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"/>
    </mc:Choice>
  </mc:AlternateContent>
  <xr:revisionPtr revIDLastSave="0" documentId="13_ncr:1_{1166B474-3D24-40C2-999C-69CE93BEAFB5}" xr6:coauthVersionLast="47" xr6:coauthVersionMax="47" xr10:uidLastSave="{00000000-0000-0000-0000-000000000000}"/>
  <bookViews>
    <workbookView xWindow="-108" yWindow="-108" windowWidth="23256" windowHeight="12456" activeTab="4" xr2:uid="{75956464-C8A6-4778-92B4-D95CFD70138D}"/>
  </bookViews>
  <sheets>
    <sheet name="Dados" sheetId="1" r:id="rId1"/>
    <sheet name="Árbitro" sheetId="2" r:id="rId2"/>
    <sheet name="VAR" sheetId="3" r:id="rId3"/>
    <sheet name="Clubes" sheetId="4" r:id="rId4"/>
    <sheet name="Gráficos" sheetId="5" r:id="rId5"/>
  </sheets>
  <definedNames>
    <definedName name="_xlnm._FilterDatabase" localSheetId="1" hidden="1">Árbitro!$A$1:$C$37</definedName>
    <definedName name="_xlnm._FilterDatabase" localSheetId="3" hidden="1">Clubes!$AZ$1:$BU$21</definedName>
    <definedName name="_xlnm._FilterDatabase" localSheetId="0" hidden="1">Dados!$A$1:$M$121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O4" i="3"/>
  <c r="P4" i="3" s="1"/>
  <c r="O3" i="3"/>
  <c r="P3" i="3" s="1"/>
  <c r="O2" i="3"/>
  <c r="P2" i="3" s="1"/>
  <c r="P3" i="2"/>
  <c r="P4" i="2"/>
  <c r="P5" i="2"/>
  <c r="P6" i="2"/>
  <c r="P2" i="2"/>
  <c r="O6" i="2"/>
  <c r="O5" i="2"/>
  <c r="O4" i="2"/>
  <c r="O3" i="2"/>
  <c r="O2" i="2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W9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T9" i="4"/>
  <c r="AS9" i="4"/>
  <c r="AR9" i="4"/>
  <c r="AQ9" i="4"/>
  <c r="AP9" i="4"/>
  <c r="AO9" i="4"/>
  <c r="AN9" i="4"/>
  <c r="AM9" i="4"/>
  <c r="AL9" i="4"/>
  <c r="AK9" i="4"/>
  <c r="AH9" i="4"/>
  <c r="AG9" i="4"/>
  <c r="AF9" i="4"/>
  <c r="AE9" i="4"/>
  <c r="AD9" i="4"/>
  <c r="BY4" i="4"/>
  <c r="BX4" i="4"/>
  <c r="BY3" i="4"/>
  <c r="BX3" i="4"/>
  <c r="CB4" i="4"/>
  <c r="CB3" i="4"/>
  <c r="CA4" i="4"/>
  <c r="CA3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W15" i="4"/>
  <c r="AV15" i="4"/>
  <c r="AU15" i="4"/>
  <c r="AT15" i="4"/>
  <c r="AS15" i="4"/>
  <c r="AR15" i="4"/>
  <c r="AQ15" i="4"/>
  <c r="AP15" i="4"/>
  <c r="AO15" i="4"/>
  <c r="AL15" i="4"/>
  <c r="AK15" i="4"/>
  <c r="AJ15" i="4"/>
  <c r="AI15" i="4"/>
  <c r="AH15" i="4"/>
  <c r="AG15" i="4"/>
  <c r="AF15" i="4"/>
  <c r="AE15" i="4"/>
  <c r="AD15" i="4"/>
  <c r="AW12" i="4"/>
  <c r="AT12" i="4"/>
  <c r="AS12" i="4"/>
  <c r="AR12" i="4"/>
  <c r="AQ12" i="4"/>
  <c r="AP12" i="4"/>
  <c r="AO12" i="4"/>
  <c r="AN12" i="4"/>
  <c r="AM12" i="4"/>
  <c r="AL12" i="4"/>
  <c r="AK12" i="4"/>
  <c r="AH12" i="4"/>
  <c r="AG12" i="4"/>
  <c r="AF12" i="4"/>
  <c r="AE12" i="4"/>
  <c r="AD12" i="4"/>
  <c r="AW8" i="4"/>
  <c r="AV8" i="4"/>
  <c r="AU8" i="4"/>
  <c r="AT8" i="4"/>
  <c r="AS8" i="4"/>
  <c r="AP8" i="4"/>
  <c r="AO8" i="4"/>
  <c r="AN8" i="4"/>
  <c r="AM8" i="4"/>
  <c r="AL8" i="4"/>
  <c r="AK8" i="4"/>
  <c r="AJ8" i="4"/>
  <c r="AI8" i="4"/>
  <c r="AH8" i="4"/>
  <c r="AG8" i="4"/>
  <c r="AD8" i="4"/>
  <c r="AW37" i="4"/>
  <c r="AW36" i="4"/>
  <c r="AW35" i="4"/>
  <c r="AW34" i="4"/>
  <c r="AW33" i="4"/>
  <c r="AW32" i="4"/>
  <c r="AW31" i="4"/>
  <c r="AW30" i="4"/>
  <c r="AW29" i="4"/>
  <c r="AW26" i="4"/>
  <c r="AW25" i="4"/>
  <c r="AW24" i="4"/>
  <c r="AW23" i="4"/>
  <c r="AW22" i="4"/>
  <c r="AW21" i="4"/>
  <c r="AW20" i="4"/>
  <c r="AW19" i="4"/>
  <c r="AW18" i="4"/>
  <c r="AW16" i="4"/>
  <c r="AW11" i="4"/>
  <c r="AW10" i="4"/>
  <c r="AW7" i="4"/>
  <c r="AW6" i="4"/>
  <c r="AW5" i="4"/>
  <c r="AW4" i="4"/>
  <c r="AW3" i="4"/>
  <c r="AW2" i="4"/>
  <c r="AV37" i="4"/>
  <c r="AV36" i="4"/>
  <c r="AV33" i="4"/>
  <c r="AV32" i="4"/>
  <c r="AV31" i="4"/>
  <c r="AV30" i="4"/>
  <c r="AV29" i="4"/>
  <c r="AV28" i="4"/>
  <c r="AV27" i="4"/>
  <c r="AV26" i="4"/>
  <c r="AV25" i="4"/>
  <c r="AV24" i="4"/>
  <c r="AV21" i="4"/>
  <c r="AV20" i="4"/>
  <c r="AV19" i="4"/>
  <c r="AV18" i="4"/>
  <c r="AV16" i="4"/>
  <c r="AV14" i="4"/>
  <c r="AV13" i="4"/>
  <c r="AV11" i="4"/>
  <c r="AV10" i="4"/>
  <c r="AV7" i="4"/>
  <c r="AV6" i="4"/>
  <c r="AV4" i="4"/>
  <c r="AV3" i="4"/>
  <c r="AV2" i="4"/>
  <c r="AU37" i="4"/>
  <c r="AU36" i="4"/>
  <c r="AU35" i="4"/>
  <c r="AU34" i="4"/>
  <c r="AU33" i="4"/>
  <c r="AU32" i="4"/>
  <c r="AU31" i="4"/>
  <c r="AU30" i="4"/>
  <c r="AU28" i="4"/>
  <c r="AU27" i="4"/>
  <c r="AU26" i="4"/>
  <c r="AU25" i="4"/>
  <c r="AU24" i="4"/>
  <c r="AU23" i="4"/>
  <c r="AU22" i="4"/>
  <c r="AU21" i="4"/>
  <c r="AU20" i="4"/>
  <c r="AU19" i="4"/>
  <c r="AU18" i="4"/>
  <c r="AU14" i="4"/>
  <c r="AU13" i="4"/>
  <c r="AU11" i="4"/>
  <c r="AU10" i="4"/>
  <c r="AU7" i="4"/>
  <c r="AU6" i="4"/>
  <c r="AU5" i="4"/>
  <c r="AU4" i="4"/>
  <c r="AU3" i="4"/>
  <c r="AU2" i="4"/>
  <c r="AT37" i="4"/>
  <c r="AT35" i="4"/>
  <c r="AT34" i="4"/>
  <c r="AT33" i="4"/>
  <c r="AT32" i="4"/>
  <c r="AT31" i="4"/>
  <c r="AT30" i="4"/>
  <c r="AT29" i="4"/>
  <c r="AT28" i="4"/>
  <c r="AT27" i="4"/>
  <c r="AT26" i="4"/>
  <c r="AT25" i="4"/>
  <c r="AT23" i="4"/>
  <c r="AT22" i="4"/>
  <c r="AT21" i="4"/>
  <c r="AT20" i="4"/>
  <c r="AT19" i="4"/>
  <c r="AT18" i="4"/>
  <c r="AT16" i="4"/>
  <c r="AT14" i="4"/>
  <c r="AT13" i="4"/>
  <c r="AT11" i="4"/>
  <c r="AT10" i="4"/>
  <c r="AT6" i="4"/>
  <c r="AT5" i="4"/>
  <c r="AT4" i="4"/>
  <c r="AT3" i="4"/>
  <c r="AT2" i="4"/>
  <c r="AS37" i="4"/>
  <c r="AS36" i="4"/>
  <c r="AS35" i="4"/>
  <c r="AS34" i="4"/>
  <c r="AS33" i="4"/>
  <c r="AS32" i="4"/>
  <c r="AS30" i="4"/>
  <c r="AS29" i="4"/>
  <c r="AS28" i="4"/>
  <c r="AS27" i="4"/>
  <c r="AS26" i="4"/>
  <c r="AS25" i="4"/>
  <c r="AS24" i="4"/>
  <c r="AS23" i="4"/>
  <c r="AS22" i="4"/>
  <c r="AS21" i="4"/>
  <c r="AS20" i="4"/>
  <c r="AS18" i="4"/>
  <c r="AS16" i="4"/>
  <c r="AS14" i="4"/>
  <c r="AS13" i="4"/>
  <c r="AS11" i="4"/>
  <c r="AS10" i="4"/>
  <c r="AS7" i="4"/>
  <c r="AS6" i="4"/>
  <c r="AS5" i="4"/>
  <c r="AS4" i="4"/>
  <c r="AS3" i="4"/>
  <c r="AR37" i="4"/>
  <c r="AR36" i="4"/>
  <c r="AR35" i="4"/>
  <c r="AR34" i="4"/>
  <c r="AR33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9" i="4"/>
  <c r="AR18" i="4"/>
  <c r="AR16" i="4"/>
  <c r="AR14" i="4"/>
  <c r="AR13" i="4"/>
  <c r="AR10" i="4"/>
  <c r="AR7" i="4"/>
  <c r="AR6" i="4"/>
  <c r="AR5" i="4"/>
  <c r="AR4" i="4"/>
  <c r="AR3" i="4"/>
  <c r="AR2" i="4"/>
  <c r="AQ37" i="4"/>
  <c r="AQ36" i="4"/>
  <c r="AQ35" i="4"/>
  <c r="AQ34" i="4"/>
  <c r="AQ32" i="4"/>
  <c r="AQ31" i="4"/>
  <c r="AQ30" i="4"/>
  <c r="AQ29" i="4"/>
  <c r="AQ28" i="4"/>
  <c r="AQ27" i="4"/>
  <c r="AQ26" i="4"/>
  <c r="AQ25" i="4"/>
  <c r="AQ24" i="4"/>
  <c r="AQ23" i="4"/>
  <c r="AQ22" i="4"/>
  <c r="AQ20" i="4"/>
  <c r="AQ19" i="4"/>
  <c r="AQ18" i="4"/>
  <c r="AQ16" i="4"/>
  <c r="AQ14" i="4"/>
  <c r="AQ13" i="4"/>
  <c r="AQ11" i="4"/>
  <c r="AQ10" i="4"/>
  <c r="AQ7" i="4"/>
  <c r="AQ6" i="4"/>
  <c r="AQ5" i="4"/>
  <c r="AQ3" i="4"/>
  <c r="AQ2" i="4"/>
  <c r="AP37" i="4"/>
  <c r="AP36" i="4"/>
  <c r="AP35" i="4"/>
  <c r="AP34" i="4"/>
  <c r="AP33" i="4"/>
  <c r="AP32" i="4"/>
  <c r="AP31" i="4"/>
  <c r="AP30" i="4"/>
  <c r="AP29" i="4"/>
  <c r="AP27" i="4"/>
  <c r="AP26" i="4"/>
  <c r="AP25" i="4"/>
  <c r="AP24" i="4"/>
  <c r="AP23" i="4"/>
  <c r="AP22" i="4"/>
  <c r="AP21" i="4"/>
  <c r="AP20" i="4"/>
  <c r="AP19" i="4"/>
  <c r="AP18" i="4"/>
  <c r="AP16" i="4"/>
  <c r="AP13" i="4"/>
  <c r="AP11" i="4"/>
  <c r="AP10" i="4"/>
  <c r="AP7" i="4"/>
  <c r="AP6" i="4"/>
  <c r="AP5" i="4"/>
  <c r="AP4" i="4"/>
  <c r="AP3" i="4"/>
  <c r="AP2" i="4"/>
  <c r="AO37" i="4"/>
  <c r="AO36" i="4"/>
  <c r="AO34" i="4"/>
  <c r="AO33" i="4"/>
  <c r="AO32" i="4"/>
  <c r="AO31" i="4"/>
  <c r="AO30" i="4"/>
  <c r="AO29" i="4"/>
  <c r="AO28" i="4"/>
  <c r="AO27" i="4"/>
  <c r="AO26" i="4"/>
  <c r="AO25" i="4"/>
  <c r="AO24" i="4"/>
  <c r="AO22" i="4"/>
  <c r="AO21" i="4"/>
  <c r="AO20" i="4"/>
  <c r="AO19" i="4"/>
  <c r="AO18" i="4"/>
  <c r="AO16" i="4"/>
  <c r="AO14" i="4"/>
  <c r="AO13" i="4"/>
  <c r="AO11" i="4"/>
  <c r="AO10" i="4"/>
  <c r="AO7" i="4"/>
  <c r="AO5" i="4"/>
  <c r="AO4" i="4"/>
  <c r="AO3" i="4"/>
  <c r="AO2" i="4"/>
  <c r="AN37" i="4"/>
  <c r="AN36" i="4"/>
  <c r="AN35" i="4"/>
  <c r="AN34" i="4"/>
  <c r="AN33" i="4"/>
  <c r="AN32" i="4"/>
  <c r="AN31" i="4"/>
  <c r="AN29" i="4"/>
  <c r="AN28" i="4"/>
  <c r="AN27" i="4"/>
  <c r="AN26" i="4"/>
  <c r="AN25" i="4"/>
  <c r="AN24" i="4"/>
  <c r="AN23" i="4"/>
  <c r="AN22" i="4"/>
  <c r="AN21" i="4"/>
  <c r="AN20" i="4"/>
  <c r="AN19" i="4"/>
  <c r="AN16" i="4"/>
  <c r="AN14" i="4"/>
  <c r="AN13" i="4"/>
  <c r="AN11" i="4"/>
  <c r="AN10" i="4"/>
  <c r="AN7" i="4"/>
  <c r="AN6" i="4"/>
  <c r="AN5" i="4"/>
  <c r="AN4" i="4"/>
  <c r="AN3" i="4"/>
  <c r="AN2" i="4"/>
  <c r="AM36" i="4"/>
  <c r="AM35" i="4"/>
  <c r="AM34" i="4"/>
  <c r="AM33" i="4"/>
  <c r="AM32" i="4"/>
  <c r="AM31" i="4"/>
  <c r="AM30" i="4"/>
  <c r="AM29" i="4"/>
  <c r="AM28" i="4"/>
  <c r="AM27" i="4"/>
  <c r="AM26" i="4"/>
  <c r="AM24" i="4"/>
  <c r="AM23" i="4"/>
  <c r="AM22" i="4"/>
  <c r="AM21" i="4"/>
  <c r="AM20" i="4"/>
  <c r="AM19" i="4"/>
  <c r="AM18" i="4"/>
  <c r="AM16" i="4"/>
  <c r="AM14" i="4"/>
  <c r="AM13" i="4"/>
  <c r="AM11" i="4"/>
  <c r="AM7" i="4"/>
  <c r="AM6" i="4"/>
  <c r="AM5" i="4"/>
  <c r="AM4" i="4"/>
  <c r="AM3" i="4"/>
  <c r="AM2" i="4"/>
  <c r="AL37" i="4"/>
  <c r="AL36" i="4"/>
  <c r="AL35" i="4"/>
  <c r="AL34" i="4"/>
  <c r="AL33" i="4"/>
  <c r="AL31" i="4"/>
  <c r="AL30" i="4"/>
  <c r="AL29" i="4"/>
  <c r="AL28" i="4"/>
  <c r="AL27" i="4"/>
  <c r="AL26" i="4"/>
  <c r="AL25" i="4"/>
  <c r="AL24" i="4"/>
  <c r="AL23" i="4"/>
  <c r="AL22" i="4"/>
  <c r="AL21" i="4"/>
  <c r="AL19" i="4"/>
  <c r="AL18" i="4"/>
  <c r="AL16" i="4"/>
  <c r="AL14" i="4"/>
  <c r="AL13" i="4"/>
  <c r="AL11" i="4"/>
  <c r="AL10" i="4"/>
  <c r="AL7" i="4"/>
  <c r="AL6" i="4"/>
  <c r="AL5" i="4"/>
  <c r="AL4" i="4"/>
  <c r="AL2" i="4"/>
  <c r="AK37" i="4"/>
  <c r="AK36" i="4"/>
  <c r="AK35" i="4"/>
  <c r="AK34" i="4"/>
  <c r="AK33" i="4"/>
  <c r="AK32" i="4"/>
  <c r="AK31" i="4"/>
  <c r="AK30" i="4"/>
  <c r="AK29" i="4"/>
  <c r="AK28" i="4"/>
  <c r="AK26" i="4"/>
  <c r="AK25" i="4"/>
  <c r="AK24" i="4"/>
  <c r="AK23" i="4"/>
  <c r="AK22" i="4"/>
  <c r="AK21" i="4"/>
  <c r="AK20" i="4"/>
  <c r="AK19" i="4"/>
  <c r="AK18" i="4"/>
  <c r="AK16" i="4"/>
  <c r="AK14" i="4"/>
  <c r="AK11" i="4"/>
  <c r="AK10" i="4"/>
  <c r="AK7" i="4"/>
  <c r="AK6" i="4"/>
  <c r="AK5" i="4"/>
  <c r="AK4" i="4"/>
  <c r="AK3" i="4"/>
  <c r="AK2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6" i="4"/>
  <c r="AJ14" i="4"/>
  <c r="AJ13" i="4"/>
  <c r="AJ11" i="4"/>
  <c r="AJ10" i="4"/>
  <c r="AJ7" i="4"/>
  <c r="AJ6" i="4"/>
  <c r="AJ5" i="4"/>
  <c r="AJ4" i="4"/>
  <c r="AJ3" i="4"/>
  <c r="AJ2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6" i="4"/>
  <c r="AI14" i="4"/>
  <c r="AI13" i="4"/>
  <c r="AI11" i="4"/>
  <c r="AI10" i="4"/>
  <c r="AI7" i="4"/>
  <c r="AI6" i="4"/>
  <c r="AI5" i="4"/>
  <c r="AI4" i="4"/>
  <c r="AI3" i="4"/>
  <c r="AI2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6" i="4"/>
  <c r="AH14" i="4"/>
  <c r="AH13" i="4"/>
  <c r="AH11" i="4"/>
  <c r="AH10" i="4"/>
  <c r="AH7" i="4"/>
  <c r="AH6" i="4"/>
  <c r="AH5" i="4"/>
  <c r="AH4" i="4"/>
  <c r="AH3" i="4"/>
  <c r="AH2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6" i="4"/>
  <c r="AG14" i="4"/>
  <c r="AG13" i="4"/>
  <c r="AG11" i="4"/>
  <c r="AG10" i="4"/>
  <c r="AG7" i="4"/>
  <c r="AG6" i="4"/>
  <c r="AG5" i="4"/>
  <c r="AG4" i="4"/>
  <c r="AG3" i="4"/>
  <c r="AG2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6" i="4"/>
  <c r="AF14" i="4"/>
  <c r="AF13" i="4"/>
  <c r="AF11" i="4"/>
  <c r="AF10" i="4"/>
  <c r="AF7" i="4"/>
  <c r="AF6" i="4"/>
  <c r="AF5" i="4"/>
  <c r="AF4" i="4"/>
  <c r="AF3" i="4"/>
  <c r="AF2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6" i="4"/>
  <c r="AE14" i="4"/>
  <c r="AE13" i="4"/>
  <c r="AE11" i="4"/>
  <c r="AE10" i="4"/>
  <c r="AE7" i="4"/>
  <c r="AE6" i="4"/>
  <c r="AE5" i="4"/>
  <c r="AE4" i="4"/>
  <c r="AE3" i="4"/>
  <c r="AE2" i="4"/>
  <c r="AD29" i="4"/>
  <c r="AD36" i="4"/>
  <c r="AD37" i="4"/>
  <c r="AD35" i="4"/>
  <c r="AD34" i="4"/>
  <c r="AD33" i="4"/>
  <c r="AD32" i="4"/>
  <c r="AD31" i="4"/>
  <c r="AD30" i="4"/>
  <c r="AD28" i="4"/>
  <c r="AD27" i="4"/>
  <c r="AD26" i="4"/>
  <c r="AD25" i="4"/>
  <c r="AD24" i="4"/>
  <c r="AD23" i="4"/>
  <c r="AD22" i="4"/>
  <c r="AD21" i="4"/>
  <c r="AD20" i="4"/>
  <c r="AD19" i="4"/>
  <c r="AD18" i="4"/>
  <c r="AD16" i="4"/>
  <c r="AD14" i="4"/>
  <c r="AD13" i="4"/>
  <c r="AD11" i="4"/>
  <c r="AD10" i="4"/>
  <c r="AD7" i="4"/>
  <c r="AD6" i="4"/>
  <c r="AD5" i="4"/>
  <c r="AD4" i="4"/>
  <c r="AD2" i="4"/>
  <c r="AD3" i="4"/>
  <c r="T13" i="4"/>
  <c r="O3" i="4"/>
  <c r="P3" i="4" s="1"/>
  <c r="Q3" i="4"/>
  <c r="O4" i="4"/>
  <c r="Q4" i="4"/>
  <c r="O5" i="4"/>
  <c r="Q5" i="4"/>
  <c r="O6" i="4"/>
  <c r="P6" i="4" s="1"/>
  <c r="Q6" i="4"/>
  <c r="O7" i="4"/>
  <c r="P7" i="4" s="1"/>
  <c r="Q7" i="4"/>
  <c r="O8" i="4"/>
  <c r="P8" i="4" s="1"/>
  <c r="Q8" i="4"/>
  <c r="O9" i="4"/>
  <c r="Q9" i="4"/>
  <c r="O10" i="4"/>
  <c r="P10" i="4" s="1"/>
  <c r="Q10" i="4"/>
  <c r="O11" i="4"/>
  <c r="Q11" i="4"/>
  <c r="O12" i="4"/>
  <c r="P12" i="4" s="1"/>
  <c r="Q12" i="4"/>
  <c r="O13" i="4"/>
  <c r="P13" i="4" s="1"/>
  <c r="Q13" i="4"/>
  <c r="O14" i="4"/>
  <c r="P14" i="4" s="1"/>
  <c r="Q14" i="4"/>
  <c r="O15" i="4"/>
  <c r="Q15" i="4"/>
  <c r="O16" i="4"/>
  <c r="Q16" i="4"/>
  <c r="O17" i="4"/>
  <c r="Q17" i="4"/>
  <c r="O18" i="4"/>
  <c r="P18" i="4" s="1"/>
  <c r="Q18" i="4"/>
  <c r="O19" i="4"/>
  <c r="P19" i="4" s="1"/>
  <c r="Q19" i="4"/>
  <c r="O20" i="4"/>
  <c r="P20" i="4" s="1"/>
  <c r="Q20" i="4"/>
  <c r="O21" i="4"/>
  <c r="Q21" i="4"/>
  <c r="O22" i="4"/>
  <c r="P22" i="4" s="1"/>
  <c r="O23" i="4"/>
  <c r="P23" i="4" s="1"/>
  <c r="Q23" i="4"/>
  <c r="O24" i="4"/>
  <c r="P24" i="4" s="1"/>
  <c r="Q24" i="4"/>
  <c r="O25" i="4"/>
  <c r="P25" i="4" s="1"/>
  <c r="Q25" i="4"/>
  <c r="O26" i="4"/>
  <c r="P26" i="4" s="1"/>
  <c r="Q26" i="4"/>
  <c r="O27" i="4"/>
  <c r="P27" i="4" s="1"/>
  <c r="Q27" i="4"/>
  <c r="O28" i="4"/>
  <c r="P28" i="4" s="1"/>
  <c r="Q28" i="4"/>
  <c r="O29" i="4"/>
  <c r="P29" i="4" s="1"/>
  <c r="Q29" i="4"/>
  <c r="O30" i="4"/>
  <c r="P30" i="4" s="1"/>
  <c r="Q30" i="4"/>
  <c r="O31" i="4"/>
  <c r="P31" i="4" s="1"/>
  <c r="Q31" i="4"/>
  <c r="O32" i="4"/>
  <c r="P32" i="4" s="1"/>
  <c r="Q32" i="4"/>
  <c r="O33" i="4"/>
  <c r="P33" i="4" s="1"/>
  <c r="Q33" i="4"/>
  <c r="O34" i="4"/>
  <c r="P34" i="4" s="1"/>
  <c r="Q34" i="4"/>
  <c r="O35" i="4"/>
  <c r="P35" i="4" s="1"/>
  <c r="Q35" i="4"/>
  <c r="O36" i="4"/>
  <c r="P36" i="4" s="1"/>
  <c r="Q36" i="4"/>
  <c r="O37" i="4"/>
  <c r="P37" i="4" s="1"/>
  <c r="Q37" i="4"/>
  <c r="O38" i="4"/>
  <c r="P38" i="4" s="1"/>
  <c r="Q38" i="4"/>
  <c r="O39" i="4"/>
  <c r="P39" i="4" s="1"/>
  <c r="Q39" i="4"/>
  <c r="O40" i="4"/>
  <c r="P40" i="4" s="1"/>
  <c r="Q40" i="4"/>
  <c r="O41" i="4"/>
  <c r="P41" i="4" s="1"/>
  <c r="Q41" i="4"/>
  <c r="O42" i="4"/>
  <c r="P42" i="4" s="1"/>
  <c r="O43" i="4"/>
  <c r="P43" i="4" s="1"/>
  <c r="O44" i="4"/>
  <c r="P44" i="4" s="1"/>
  <c r="Q44" i="4"/>
  <c r="O45" i="4"/>
  <c r="P45" i="4" s="1"/>
  <c r="Q45" i="4"/>
  <c r="O46" i="4"/>
  <c r="P46" i="4" s="1"/>
  <c r="Q46" i="4"/>
  <c r="O47" i="4"/>
  <c r="P47" i="4" s="1"/>
  <c r="Q47" i="4"/>
  <c r="O48" i="4"/>
  <c r="Q48" i="4"/>
  <c r="O49" i="4"/>
  <c r="P49" i="4" s="1"/>
  <c r="Q49" i="4"/>
  <c r="O50" i="4"/>
  <c r="P50" i="4" s="1"/>
  <c r="Q50" i="4"/>
  <c r="O51" i="4"/>
  <c r="P51" i="4" s="1"/>
  <c r="Q51" i="4"/>
  <c r="O52" i="4"/>
  <c r="P52" i="4" s="1"/>
  <c r="O53" i="4"/>
  <c r="P53" i="4" s="1"/>
  <c r="O54" i="4"/>
  <c r="P54" i="4" s="1"/>
  <c r="Q54" i="4"/>
  <c r="O55" i="4"/>
  <c r="P55" i="4" s="1"/>
  <c r="Q55" i="4"/>
  <c r="O56" i="4"/>
  <c r="P56" i="4" s="1"/>
  <c r="Q56" i="4"/>
  <c r="O57" i="4"/>
  <c r="P57" i="4" s="1"/>
  <c r="Q57" i="4"/>
  <c r="O58" i="4"/>
  <c r="P58" i="4" s="1"/>
  <c r="Q58" i="4"/>
  <c r="O59" i="4"/>
  <c r="P59" i="4" s="1"/>
  <c r="Q59" i="4"/>
  <c r="O60" i="4"/>
  <c r="P60" i="4" s="1"/>
  <c r="Q60" i="4"/>
  <c r="O61" i="4"/>
  <c r="P61" i="4" s="1"/>
  <c r="Q61" i="4"/>
  <c r="O62" i="4"/>
  <c r="P62" i="4" s="1"/>
  <c r="Q62" i="4"/>
  <c r="O63" i="4"/>
  <c r="P63" i="4" s="1"/>
  <c r="Q63" i="4"/>
  <c r="O64" i="4"/>
  <c r="P64" i="4" s="1"/>
  <c r="Q64" i="4"/>
  <c r="O65" i="4"/>
  <c r="P65" i="4" s="1"/>
  <c r="Q65" i="4"/>
  <c r="O66" i="4"/>
  <c r="P66" i="4" s="1"/>
  <c r="Q66" i="4"/>
  <c r="O67" i="4"/>
  <c r="P67" i="4" s="1"/>
  <c r="Q67" i="4"/>
  <c r="O68" i="4"/>
  <c r="P68" i="4" s="1"/>
  <c r="Q68" i="4"/>
  <c r="O69" i="4"/>
  <c r="P69" i="4" s="1"/>
  <c r="Q69" i="4"/>
  <c r="O70" i="4"/>
  <c r="P70" i="4" s="1"/>
  <c r="Q70" i="4"/>
  <c r="O71" i="4"/>
  <c r="P71" i="4" s="1"/>
  <c r="Q71" i="4"/>
  <c r="O72" i="4"/>
  <c r="P72" i="4" s="1"/>
  <c r="Q72" i="4"/>
  <c r="O73" i="4"/>
  <c r="P73" i="4" s="1"/>
  <c r="Q73" i="4"/>
  <c r="O74" i="4"/>
  <c r="P74" i="4" s="1"/>
  <c r="Q74" i="4"/>
  <c r="O75" i="4"/>
  <c r="P75" i="4" s="1"/>
  <c r="Q75" i="4"/>
  <c r="O76" i="4"/>
  <c r="P76" i="4" s="1"/>
  <c r="Q76" i="4"/>
  <c r="O77" i="4"/>
  <c r="P77" i="4" s="1"/>
  <c r="Q77" i="4"/>
  <c r="O78" i="4"/>
  <c r="P78" i="4" s="1"/>
  <c r="Q78" i="4"/>
  <c r="O79" i="4"/>
  <c r="P79" i="4" s="1"/>
  <c r="Q79" i="4"/>
  <c r="O80" i="4"/>
  <c r="P80" i="4" s="1"/>
  <c r="Q80" i="4"/>
  <c r="O81" i="4"/>
  <c r="P81" i="4" s="1"/>
  <c r="Q81" i="4"/>
  <c r="O82" i="4"/>
  <c r="P82" i="4" s="1"/>
  <c r="Q82" i="4"/>
  <c r="O83" i="4"/>
  <c r="P83" i="4" s="1"/>
  <c r="Q83" i="4"/>
  <c r="O84" i="4"/>
  <c r="P84" i="4" s="1"/>
  <c r="Q84" i="4"/>
  <c r="O85" i="4"/>
  <c r="Q85" i="4"/>
  <c r="O86" i="4"/>
  <c r="P86" i="4" s="1"/>
  <c r="Q86" i="4"/>
  <c r="O87" i="4"/>
  <c r="P87" i="4" s="1"/>
  <c r="Q87" i="4"/>
  <c r="O88" i="4"/>
  <c r="P88" i="4" s="1"/>
  <c r="Q88" i="4"/>
  <c r="O89" i="4"/>
  <c r="Q89" i="4"/>
  <c r="O90" i="4"/>
  <c r="P90" i="4" s="1"/>
  <c r="Q90" i="4"/>
  <c r="O91" i="4"/>
  <c r="P91" i="4" s="1"/>
  <c r="Q91" i="4"/>
  <c r="O92" i="4"/>
  <c r="P92" i="4" s="1"/>
  <c r="Q92" i="4"/>
  <c r="O93" i="4"/>
  <c r="P93" i="4" s="1"/>
  <c r="Q93" i="4"/>
  <c r="O94" i="4"/>
  <c r="P94" i="4" s="1"/>
  <c r="Q94" i="4"/>
  <c r="O95" i="4"/>
  <c r="P95" i="4" s="1"/>
  <c r="Q95" i="4"/>
  <c r="O96" i="4"/>
  <c r="P96" i="4" s="1"/>
  <c r="Q96" i="4"/>
  <c r="O97" i="4"/>
  <c r="P97" i="4" s="1"/>
  <c r="Q97" i="4"/>
  <c r="O98" i="4"/>
  <c r="P98" i="4" s="1"/>
  <c r="Q98" i="4"/>
  <c r="O99" i="4"/>
  <c r="P99" i="4" s="1"/>
  <c r="Q99" i="4"/>
  <c r="O100" i="4"/>
  <c r="P100" i="4" s="1"/>
  <c r="Q100" i="4"/>
  <c r="O101" i="4"/>
  <c r="P101" i="4" s="1"/>
  <c r="Q101" i="4"/>
  <c r="O102" i="4"/>
  <c r="P102" i="4" s="1"/>
  <c r="Q102" i="4"/>
  <c r="O103" i="4"/>
  <c r="P103" i="4" s="1"/>
  <c r="Q103" i="4"/>
  <c r="O104" i="4"/>
  <c r="P104" i="4" s="1"/>
  <c r="Q104" i="4"/>
  <c r="O105" i="4"/>
  <c r="P105" i="4" s="1"/>
  <c r="Q105" i="4"/>
  <c r="O106" i="4"/>
  <c r="P106" i="4" s="1"/>
  <c r="Q106" i="4"/>
  <c r="O107" i="4"/>
  <c r="P107" i="4" s="1"/>
  <c r="Q107" i="4"/>
  <c r="O108" i="4"/>
  <c r="P108" i="4" s="1"/>
  <c r="Q108" i="4"/>
  <c r="O109" i="4"/>
  <c r="Q109" i="4"/>
  <c r="O110" i="4"/>
  <c r="P110" i="4" s="1"/>
  <c r="Q110" i="4"/>
  <c r="O111" i="4"/>
  <c r="P111" i="4" s="1"/>
  <c r="Q111" i="4"/>
  <c r="O112" i="4"/>
  <c r="P112" i="4" s="1"/>
  <c r="Q112" i="4"/>
  <c r="O113" i="4"/>
  <c r="P113" i="4" s="1"/>
  <c r="Q113" i="4"/>
  <c r="O114" i="4"/>
  <c r="P114" i="4" s="1"/>
  <c r="Q114" i="4"/>
  <c r="O115" i="4"/>
  <c r="P115" i="4" s="1"/>
  <c r="Q115" i="4"/>
  <c r="O116" i="4"/>
  <c r="P116" i="4" s="1"/>
  <c r="Q116" i="4"/>
  <c r="O117" i="4"/>
  <c r="P117" i="4" s="1"/>
  <c r="Q117" i="4"/>
  <c r="O118" i="4"/>
  <c r="P118" i="4" s="1"/>
  <c r="Q118" i="4"/>
  <c r="O119" i="4"/>
  <c r="P119" i="4" s="1"/>
  <c r="Q119" i="4"/>
  <c r="O120" i="4"/>
  <c r="P120" i="4" s="1"/>
  <c r="Q120" i="4"/>
  <c r="O121" i="4"/>
  <c r="P121" i="4" s="1"/>
  <c r="Q121" i="4"/>
  <c r="Q2" i="4"/>
  <c r="O2" i="4"/>
  <c r="P2" i="4" s="1"/>
  <c r="W7" i="4"/>
  <c r="V7" i="4"/>
  <c r="U7" i="4"/>
  <c r="T7" i="4"/>
  <c r="W5" i="4"/>
  <c r="V5" i="4"/>
  <c r="U5" i="4"/>
  <c r="T5" i="4"/>
  <c r="W11" i="4"/>
  <c r="V11" i="4"/>
  <c r="U11" i="4"/>
  <c r="T11" i="4"/>
  <c r="W12" i="4"/>
  <c r="V12" i="4"/>
  <c r="U12" i="4"/>
  <c r="T12" i="4"/>
  <c r="W2" i="4"/>
  <c r="V2" i="4"/>
  <c r="U2" i="4"/>
  <c r="T2" i="4"/>
  <c r="W21" i="4"/>
  <c r="V21" i="4"/>
  <c r="U21" i="4"/>
  <c r="T21" i="4"/>
  <c r="W15" i="4"/>
  <c r="V15" i="4"/>
  <c r="U15" i="4"/>
  <c r="T15" i="4"/>
  <c r="W14" i="4"/>
  <c r="V14" i="4"/>
  <c r="U14" i="4"/>
  <c r="T14" i="4"/>
  <c r="W20" i="4"/>
  <c r="V20" i="4"/>
  <c r="U20" i="4"/>
  <c r="T20" i="4"/>
  <c r="W6" i="4"/>
  <c r="V6" i="4"/>
  <c r="U6" i="4"/>
  <c r="T6" i="4"/>
  <c r="W4" i="4"/>
  <c r="V4" i="4"/>
  <c r="U4" i="4"/>
  <c r="T4" i="4"/>
  <c r="W16" i="4"/>
  <c r="V16" i="4"/>
  <c r="U16" i="4"/>
  <c r="T16" i="4"/>
  <c r="W19" i="4"/>
  <c r="V19" i="4"/>
  <c r="U19" i="4"/>
  <c r="T19" i="4"/>
  <c r="W18" i="4"/>
  <c r="V18" i="4"/>
  <c r="U18" i="4"/>
  <c r="T18" i="4"/>
  <c r="W10" i="4"/>
  <c r="V10" i="4"/>
  <c r="U10" i="4"/>
  <c r="T10" i="4"/>
  <c r="W8" i="4"/>
  <c r="V8" i="4"/>
  <c r="U8" i="4"/>
  <c r="T8" i="4"/>
  <c r="W3" i="4"/>
  <c r="V3" i="4"/>
  <c r="U3" i="4"/>
  <c r="T3" i="4"/>
  <c r="W9" i="4"/>
  <c r="V9" i="4"/>
  <c r="U9" i="4"/>
  <c r="T9" i="4"/>
  <c r="W17" i="4"/>
  <c r="V17" i="4"/>
  <c r="U17" i="4"/>
  <c r="T17" i="4"/>
  <c r="W13" i="4"/>
  <c r="V13" i="4"/>
  <c r="U13" i="4"/>
  <c r="G3" i="3"/>
  <c r="G13" i="3" s="1"/>
  <c r="G12" i="3"/>
  <c r="G11" i="3"/>
  <c r="G10" i="3"/>
  <c r="G9" i="3"/>
  <c r="G8" i="3"/>
  <c r="G7" i="3"/>
  <c r="G6" i="3"/>
  <c r="G5" i="3"/>
  <c r="J3" i="3"/>
  <c r="G4" i="3"/>
  <c r="J2" i="3"/>
  <c r="J4" i="3" s="1"/>
  <c r="J4" i="2"/>
  <c r="J3" i="2"/>
  <c r="G3" i="2"/>
  <c r="G13" i="2"/>
  <c r="G16" i="2"/>
  <c r="G12" i="2"/>
  <c r="G11" i="2"/>
  <c r="G8" i="2"/>
  <c r="G15" i="2"/>
  <c r="G14" i="2"/>
  <c r="G10" i="2"/>
  <c r="G7" i="2"/>
  <c r="G9" i="2"/>
  <c r="G6" i="2"/>
  <c r="G5" i="2"/>
  <c r="G4" i="2"/>
  <c r="BY5" i="4" l="1"/>
  <c r="AX17" i="4"/>
  <c r="AK13" i="4"/>
  <c r="AK27" i="4"/>
  <c r="AL3" i="4"/>
  <c r="AX3" i="4" s="1"/>
  <c r="AL20" i="4"/>
  <c r="AX20" i="4" s="1"/>
  <c r="AL32" i="4"/>
  <c r="AX32" i="4" s="1"/>
  <c r="AM10" i="4"/>
  <c r="AX10" i="4" s="1"/>
  <c r="AM25" i="4"/>
  <c r="AX25" i="4" s="1"/>
  <c r="AM37" i="4"/>
  <c r="AX37" i="4" s="1"/>
  <c r="AN18" i="4"/>
  <c r="AX18" i="4" s="1"/>
  <c r="AN30" i="4"/>
  <c r="AX30" i="4" s="1"/>
  <c r="AO6" i="4"/>
  <c r="AX6" i="4" s="1"/>
  <c r="AO23" i="4"/>
  <c r="AO35" i="4"/>
  <c r="AP14" i="4"/>
  <c r="AP28" i="4"/>
  <c r="AQ4" i="4"/>
  <c r="AX4" i="4" s="1"/>
  <c r="AQ21" i="4"/>
  <c r="AX21" i="4" s="1"/>
  <c r="AQ33" i="4"/>
  <c r="AX33" i="4" s="1"/>
  <c r="AR11" i="4"/>
  <c r="AX11" i="4" s="1"/>
  <c r="AR26" i="4"/>
  <c r="AX26" i="4" s="1"/>
  <c r="AS2" i="4"/>
  <c r="AX2" i="4" s="1"/>
  <c r="AS19" i="4"/>
  <c r="AX19" i="4" s="1"/>
  <c r="AS31" i="4"/>
  <c r="AX31" i="4" s="1"/>
  <c r="AT7" i="4"/>
  <c r="AX7" i="4" s="1"/>
  <c r="AT24" i="4"/>
  <c r="AX24" i="4" s="1"/>
  <c r="AT36" i="4"/>
  <c r="AX36" i="4" s="1"/>
  <c r="AU16" i="4"/>
  <c r="AX16" i="4" s="1"/>
  <c r="AU29" i="4"/>
  <c r="AX29" i="4" s="1"/>
  <c r="AV5" i="4"/>
  <c r="AX5" i="4" s="1"/>
  <c r="AV22" i="4"/>
  <c r="AX22" i="4" s="1"/>
  <c r="AV34" i="4"/>
  <c r="AX34" i="4" s="1"/>
  <c r="AW13" i="4"/>
  <c r="AW27" i="4"/>
  <c r="AE8" i="4"/>
  <c r="AQ8" i="4"/>
  <c r="AI12" i="4"/>
  <c r="AU12" i="4"/>
  <c r="AM15" i="4"/>
  <c r="AI9" i="4"/>
  <c r="AU9" i="4"/>
  <c r="AV23" i="4"/>
  <c r="AV35" i="4"/>
  <c r="AW14" i="4"/>
  <c r="AW28" i="4"/>
  <c r="AF8" i="4"/>
  <c r="AF38" i="4" s="1"/>
  <c r="AR8" i="4"/>
  <c r="AJ12" i="4"/>
  <c r="AV12" i="4"/>
  <c r="AN15" i="4"/>
  <c r="AJ9" i="4"/>
  <c r="AV9" i="4"/>
  <c r="BU15" i="4"/>
  <c r="BX5" i="4"/>
  <c r="CA5" i="4"/>
  <c r="BU14" i="4"/>
  <c r="BU2" i="4"/>
  <c r="BU5" i="4"/>
  <c r="BU6" i="4"/>
  <c r="BU8" i="4"/>
  <c r="BU11" i="4"/>
  <c r="BU12" i="4"/>
  <c r="BU18" i="4"/>
  <c r="BU4" i="4"/>
  <c r="BU7" i="4"/>
  <c r="BU10" i="4"/>
  <c r="BU13" i="4"/>
  <c r="BU17" i="4"/>
  <c r="BU20" i="4"/>
  <c r="BU3" i="4"/>
  <c r="BU9" i="4"/>
  <c r="BU16" i="4"/>
  <c r="BU19" i="4"/>
  <c r="BH21" i="4"/>
  <c r="BT21" i="4"/>
  <c r="BI21" i="4"/>
  <c r="CB5" i="4"/>
  <c r="AD38" i="4"/>
  <c r="BF21" i="4"/>
  <c r="BG21" i="4"/>
  <c r="BL21" i="4"/>
  <c r="BP21" i="4"/>
  <c r="BE21" i="4"/>
  <c r="BB21" i="4"/>
  <c r="BN21" i="4"/>
  <c r="AG38" i="4"/>
  <c r="AH38" i="4"/>
  <c r="BA21" i="4"/>
  <c r="BJ21" i="4"/>
  <c r="BR21" i="4"/>
  <c r="BK21" i="4"/>
  <c r="BS21" i="4"/>
  <c r="BD21" i="4"/>
  <c r="BM21" i="4"/>
  <c r="BQ21" i="4"/>
  <c r="BC21" i="4"/>
  <c r="BO21" i="4"/>
  <c r="Z21" i="4"/>
  <c r="X3" i="4"/>
  <c r="Z14" i="4"/>
  <c r="Z13" i="4"/>
  <c r="Z17" i="4"/>
  <c r="X17" i="4"/>
  <c r="Z18" i="4"/>
  <c r="Z16" i="4"/>
  <c r="Z5" i="4"/>
  <c r="Z11" i="4"/>
  <c r="Z4" i="4"/>
  <c r="Z7" i="4"/>
  <c r="X2" i="4"/>
  <c r="X7" i="4"/>
  <c r="X11" i="4"/>
  <c r="X12" i="4"/>
  <c r="X10" i="4"/>
  <c r="X13" i="4"/>
  <c r="Z9" i="4"/>
  <c r="Z19" i="4"/>
  <c r="Z6" i="4"/>
  <c r="Z15" i="4"/>
  <c r="X9" i="4"/>
  <c r="X6" i="4"/>
  <c r="P109" i="4"/>
  <c r="Z20" i="4"/>
  <c r="Z2" i="4"/>
  <c r="X16" i="4"/>
  <c r="X21" i="4"/>
  <c r="X5" i="4"/>
  <c r="P85" i="4"/>
  <c r="X14" i="4"/>
  <c r="Z8" i="4"/>
  <c r="Z12" i="4"/>
  <c r="Z10" i="4"/>
  <c r="X18" i="4"/>
  <c r="Y17" i="4"/>
  <c r="P89" i="4"/>
  <c r="Y8" i="4" s="1"/>
  <c r="P17" i="4"/>
  <c r="Y15" i="4" s="1"/>
  <c r="P5" i="4"/>
  <c r="Y19" i="4"/>
  <c r="X4" i="4"/>
  <c r="P48" i="4"/>
  <c r="Y13" i="4" s="1"/>
  <c r="P21" i="4"/>
  <c r="Y16" i="4" s="1"/>
  <c r="P9" i="4"/>
  <c r="X20" i="4"/>
  <c r="Y4" i="4"/>
  <c r="X19" i="4"/>
  <c r="X15" i="4"/>
  <c r="P16" i="4"/>
  <c r="Y9" i="4" s="1"/>
  <c r="P4" i="4"/>
  <c r="Y6" i="4" s="1"/>
  <c r="Z3" i="4"/>
  <c r="P15" i="4"/>
  <c r="Y21" i="4" s="1"/>
  <c r="Y3" i="4"/>
  <c r="X8" i="4"/>
  <c r="P11" i="4"/>
  <c r="AQ38" i="4" l="1"/>
  <c r="AR38" i="4"/>
  <c r="AX9" i="4"/>
  <c r="AI38" i="4"/>
  <c r="AX23" i="4"/>
  <c r="AX27" i="4"/>
  <c r="AX14" i="4"/>
  <c r="AX28" i="4"/>
  <c r="AM38" i="4"/>
  <c r="AK38" i="4"/>
  <c r="AX13" i="4"/>
  <c r="AX35" i="4"/>
  <c r="AL38" i="4"/>
  <c r="AX15" i="4"/>
  <c r="AP38" i="4"/>
  <c r="AV38" i="4"/>
  <c r="AJ38" i="4"/>
  <c r="AU38" i="4"/>
  <c r="AX8" i="4"/>
  <c r="AS38" i="4"/>
  <c r="AW38" i="4"/>
  <c r="AX12" i="4"/>
  <c r="AN38" i="4"/>
  <c r="AT38" i="4"/>
  <c r="AE38" i="4"/>
  <c r="AO38" i="4"/>
  <c r="BU21" i="4"/>
  <c r="Y5" i="4"/>
  <c r="Y11" i="4"/>
  <c r="Y12" i="4"/>
  <c r="Y18" i="4"/>
  <c r="Y2" i="4"/>
  <c r="Y14" i="4"/>
  <c r="Y10" i="4"/>
  <c r="Y7" i="4"/>
  <c r="Y20" i="4"/>
  <c r="AX38" i="4" l="1"/>
</calcChain>
</file>

<file path=xl/sharedStrings.xml><?xml version="1.0" encoding="utf-8"?>
<sst xmlns="http://schemas.openxmlformats.org/spreadsheetml/2006/main" count="2957" uniqueCount="165">
  <si>
    <t>Rodada</t>
  </si>
  <si>
    <t>Time_casa</t>
  </si>
  <si>
    <t>Res_casa</t>
  </si>
  <si>
    <t>UF_casa</t>
  </si>
  <si>
    <t>Time_fora</t>
  </si>
  <si>
    <t>UF_fora</t>
  </si>
  <si>
    <t>Res_fora</t>
  </si>
  <si>
    <t>Árbitro</t>
  </si>
  <si>
    <t>UF_árbitro</t>
  </si>
  <si>
    <t>FIFA/CBF</t>
  </si>
  <si>
    <t>VAR</t>
  </si>
  <si>
    <t>UF_VAR</t>
  </si>
  <si>
    <t>Criciúma</t>
  </si>
  <si>
    <t>SC</t>
  </si>
  <si>
    <t>Juventude</t>
  </si>
  <si>
    <t>RS</t>
  </si>
  <si>
    <t>Internacional</t>
  </si>
  <si>
    <t>Bahia</t>
  </si>
  <si>
    <t>Red Bull</t>
  </si>
  <si>
    <t>SP</t>
  </si>
  <si>
    <t>Fluminense</t>
  </si>
  <si>
    <t>RJ</t>
  </si>
  <si>
    <t>São Paulo</t>
  </si>
  <si>
    <t>Fortaleza</t>
  </si>
  <si>
    <t>CE</t>
  </si>
  <si>
    <t>Atlético GO</t>
  </si>
  <si>
    <t>GO</t>
  </si>
  <si>
    <t>Flamengo</t>
  </si>
  <si>
    <t>Athletico</t>
  </si>
  <si>
    <t>PR</t>
  </si>
  <si>
    <t>Cuiabá</t>
  </si>
  <si>
    <t>Corinthians</t>
  </si>
  <si>
    <t>MG</t>
  </si>
  <si>
    <t>Vasco</t>
  </si>
  <si>
    <t>Grêmio</t>
  </si>
  <si>
    <t>Cruzeiro</t>
  </si>
  <si>
    <t>Botafogo</t>
  </si>
  <si>
    <t>Vitória</t>
  </si>
  <si>
    <t>BA</t>
  </si>
  <si>
    <t>Palmeiras</t>
  </si>
  <si>
    <t>Atlético MG</t>
  </si>
  <si>
    <t>MT</t>
  </si>
  <si>
    <t>Bruno Pereira Vasconcelos</t>
  </si>
  <si>
    <t>CBF</t>
  </si>
  <si>
    <t xml:space="preserve">	Emerson de Almeida Ferreira</t>
  </si>
  <si>
    <t>Rodrigo Jose Pereira de Lima</t>
  </si>
  <si>
    <t>PE</t>
  </si>
  <si>
    <t>FIFA</t>
  </si>
  <si>
    <t xml:space="preserve">Rodrigo Guarizo Ferreira do Amaral </t>
  </si>
  <si>
    <t>Maguielson Lima Barbosa</t>
  </si>
  <si>
    <t>DF</t>
  </si>
  <si>
    <t>Gilberto Rodrigues Castro Junior</t>
  </si>
  <si>
    <t>Alex Gomes Stefano</t>
  </si>
  <si>
    <t>Pablo Ramon Goncalves Pinheiro</t>
  </si>
  <si>
    <t>RN</t>
  </si>
  <si>
    <t>Andre Luiz Skettino Policarpo Bento</t>
  </si>
  <si>
    <t>Wagner Reway</t>
  </si>
  <si>
    <t>ES</t>
  </si>
  <si>
    <t>Jonathan Benkenstein Pinheiro</t>
  </si>
  <si>
    <t>Diego Pombo Lopez</t>
  </si>
  <si>
    <t>Yuri Elino Ferreira da Cruz</t>
  </si>
  <si>
    <t xml:space="preserve">	Daniel Nobre Bins</t>
  </si>
  <si>
    <t>Flavio Rodrigues de Souza</t>
  </si>
  <si>
    <t>Daiane Muniz</t>
  </si>
  <si>
    <t>Matheus Delgado Candançan</t>
  </si>
  <si>
    <t xml:space="preserve">	Rodrigo D Alonso Ferreira</t>
  </si>
  <si>
    <t xml:space="preserve">	Braulio da Silva Machado </t>
  </si>
  <si>
    <t>Braulio da Silva Machado</t>
  </si>
  <si>
    <t xml:space="preserve">	Rodolpho Toski Marques </t>
  </si>
  <si>
    <t xml:space="preserve">	Joao Vitor Gobi</t>
  </si>
  <si>
    <t>Marcelo de Lima Henrique</t>
  </si>
  <si>
    <t xml:space="preserve">	Marco Aurelio Augusto Fazekas Ferreira</t>
  </si>
  <si>
    <t>Paulo Cesar Zanovelli da Silva</t>
  </si>
  <si>
    <t xml:space="preserve">	Charly Wendy Straub Deretti </t>
  </si>
  <si>
    <t>Bruno Arleu de Araujo</t>
  </si>
  <si>
    <t>Paulo Renato Moreira da Silva Coelho</t>
  </si>
  <si>
    <t>Paulo Belence Alves dos Prazeres Filho</t>
  </si>
  <si>
    <t xml:space="preserve">	Carlos Eduardo Nunes Braga</t>
  </si>
  <si>
    <t xml:space="preserve">	Lucas Paulo Torezin</t>
  </si>
  <si>
    <t xml:space="preserve">	Bruno Mota Correia</t>
  </si>
  <si>
    <t>Rodrigo Nunes de As</t>
  </si>
  <si>
    <t xml:space="preserve">	Anderson Daronco</t>
  </si>
  <si>
    <t xml:space="preserve">	Luiz Flavio de Oliveira</t>
  </si>
  <si>
    <t xml:space="preserve">	Jose Claudio Rocha Filho</t>
  </si>
  <si>
    <t xml:space="preserve">	Wilton Pereira Sampaio</t>
  </si>
  <si>
    <t xml:space="preserve">	Igor Junio Benevenuto de Oliveira</t>
  </si>
  <si>
    <t xml:space="preserve">Rafael Rodrigo Klein </t>
  </si>
  <si>
    <t>Rodrigo D Alonso Ferreira</t>
  </si>
  <si>
    <t>Ramon Abatti Abel</t>
  </si>
  <si>
    <t xml:space="preserve">	Wagner Reway</t>
  </si>
  <si>
    <t xml:space="preserve">	Rodrigo Jose Pereira de Lima</t>
  </si>
  <si>
    <t>Daniel Nobre Bins</t>
  </si>
  <si>
    <t xml:space="preserve">	Felipe Fernandes de Lima</t>
  </si>
  <si>
    <t>Marcio Henrique de Gois</t>
  </si>
  <si>
    <t xml:space="preserve">	Raphael Claus</t>
  </si>
  <si>
    <t xml:space="preserve">	Arthur Gomes Rabelo</t>
  </si>
  <si>
    <t>Caio Max Augusto Vieira</t>
  </si>
  <si>
    <t>Rodrigo Guarizo Ferreira do Amaral</t>
  </si>
  <si>
    <t>Savio Pereira Sampaio</t>
  </si>
  <si>
    <t>Raphael Claus</t>
  </si>
  <si>
    <t>Rodolpho Toski Marques</t>
  </si>
  <si>
    <t>Fabio Augusto Santos Sa Junior</t>
  </si>
  <si>
    <t>SE</t>
  </si>
  <si>
    <t xml:space="preserve">	Diego Pombo Lopez </t>
  </si>
  <si>
    <t xml:space="preserve">	Davi de Oliveira Lacerda</t>
  </si>
  <si>
    <t xml:space="preserve">	Rodrigo Nunes de As</t>
  </si>
  <si>
    <t xml:space="preserve">	Edina Alves Batista</t>
  </si>
  <si>
    <t>Anderson Daronco</t>
  </si>
  <si>
    <t xml:space="preserve">	Pablo Ramon Goncalves Pinheiro</t>
  </si>
  <si>
    <t xml:space="preserve">Charly Wendy Straub Deretti </t>
  </si>
  <si>
    <t>Wilton Pereira Sampaio</t>
  </si>
  <si>
    <t>Rafael Traci</t>
  </si>
  <si>
    <t>Gustavo Ervino Bauermann</t>
  </si>
  <si>
    <t xml:space="preserve">	Gilberto Rodrigues Castro Junior</t>
  </si>
  <si>
    <t xml:space="preserve">	Rodrigo Guarizo Ferreira do Amaral</t>
  </si>
  <si>
    <t>Kleber Ariel Goncalves da Silva</t>
  </si>
  <si>
    <t xml:space="preserve">	Anderson Ribeiro Goncalves</t>
  </si>
  <si>
    <t>Rodrigo Nunes de Sá</t>
  </si>
  <si>
    <t>Lucas Paulo Torezin</t>
  </si>
  <si>
    <t>Joao Vitor Gobi</t>
  </si>
  <si>
    <t>Marco Aurelio Augusto Fazekas Ferreira</t>
  </si>
  <si>
    <t xml:space="preserve">	Wagner do Nascimento Magalhaes</t>
  </si>
  <si>
    <t>Carlos Eduardo Nunes Braga</t>
  </si>
  <si>
    <t>Luiz Flavio de Oliveira</t>
  </si>
  <si>
    <t>Igor Junio Benevenuto de Oliveira</t>
  </si>
  <si>
    <t>Emerson Ricardo de Almeida Andrade</t>
  </si>
  <si>
    <t>Jose Claudio Rocha Filho</t>
  </si>
  <si>
    <t xml:space="preserve">	Jefferson Ferreira de Moraes</t>
  </si>
  <si>
    <t>Emerson de Almeida Ferreira</t>
  </si>
  <si>
    <t xml:space="preserve">	Paulo Belence Alves dos Prazeres Filho</t>
  </si>
  <si>
    <t>Felipe Fernandes de Lima</t>
  </si>
  <si>
    <t>Anderson Ribeiro Goncalves</t>
  </si>
  <si>
    <t>Arthur Gomes Rabelo</t>
  </si>
  <si>
    <t xml:space="preserve">Braulio da Silva Machado </t>
  </si>
  <si>
    <t>Bruno Mota Correia</t>
  </si>
  <si>
    <t>Davi de Oliveira Lacerda</t>
  </si>
  <si>
    <t>Edina Alves Batista</t>
  </si>
  <si>
    <t>Jefferson Ferreira de Moraes</t>
  </si>
  <si>
    <t>Wagner do Nascimento Magalhaes</t>
  </si>
  <si>
    <t xml:space="preserve">Diego Pombo Lopez </t>
  </si>
  <si>
    <t xml:space="preserve">Rodolpho Toski Marques </t>
  </si>
  <si>
    <t>UF</t>
  </si>
  <si>
    <t>Árbitros</t>
  </si>
  <si>
    <t>Ranking</t>
  </si>
  <si>
    <t>Clubes</t>
  </si>
  <si>
    <t>Árbitro-FIFA</t>
  </si>
  <si>
    <t>Árbitro-CBF</t>
  </si>
  <si>
    <t>VAR-FIFA</t>
  </si>
  <si>
    <t>VAR-CBF</t>
  </si>
  <si>
    <t>2-FIFA</t>
  </si>
  <si>
    <t>1-FIFA</t>
  </si>
  <si>
    <t>0-FIFA</t>
  </si>
  <si>
    <t>Máximo</t>
  </si>
  <si>
    <t>Ranking Árbitros</t>
  </si>
  <si>
    <t>Jogos Feitos</t>
  </si>
  <si>
    <t>% FIFA</t>
  </si>
  <si>
    <t>TOTAL</t>
  </si>
  <si>
    <t>Árbitros que mais apitaram</t>
  </si>
  <si>
    <t>Jogos</t>
  </si>
  <si>
    <t>Bruno Arleu de Araújo</t>
  </si>
  <si>
    <t>VARs que mais apitaram</t>
  </si>
  <si>
    <t>Part (%)</t>
  </si>
  <si>
    <t>Árbitros p/ UF</t>
  </si>
  <si>
    <t>Total</t>
  </si>
  <si>
    <t>VAR p/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</si>
</sst>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/>
    <xf numFmtId="0" fontId="5" fillId="6" borderId="0" xfId="0" applyFont="1" applyFill="1"/>
    <xf numFmtId="0" fontId="0" fillId="0" borderId="0" xfId="0" applyAlignment="1">
      <alignment horizontal="center"/>
    </xf>
    <xf numFmtId="0" fontId="4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7" borderId="0" xfId="0" applyFont="1" applyFill="1"/>
    <xf numFmtId="0" fontId="5" fillId="0" borderId="1" xfId="0" applyFont="1" applyBorder="1"/>
    <xf numFmtId="0" fontId="0" fillId="0" borderId="1" xfId="0" applyBorder="1"/>
    <xf numFmtId="0" fontId="3" fillId="0" borderId="1" xfId="0" applyFont="1" applyBorder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7" borderId="0" xfId="0" applyFont="1" applyFill="1"/>
    <xf numFmtId="0" fontId="2" fillId="0" borderId="0" xfId="0" applyFont="1"/>
    <xf numFmtId="0" fontId="2" fillId="0" borderId="1" xfId="0" applyFont="1" applyBorder="1"/>
    <xf numFmtId="0" fontId="5" fillId="0" borderId="0" xfId="0" applyFont="1" applyAlignment="1">
      <alignment horizontal="left"/>
    </xf>
    <xf numFmtId="0" fontId="5" fillId="0" borderId="2" xfId="0" applyFont="1" applyBorder="1"/>
    <xf numFmtId="0" fontId="4" fillId="0" borderId="2" xfId="0" applyFont="1" applyBorder="1" applyAlignment="1">
      <alignment horizontal="center"/>
    </xf>
    <xf numFmtId="9" fontId="4" fillId="0" borderId="0" xfId="1" applyFont="1" applyAlignment="1">
      <alignment horizontal="center"/>
    </xf>
    <xf numFmtId="0" fontId="4" fillId="0" borderId="0" xfId="0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2" xfId="0" applyFont="1" applyBorder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Jogos</a:t>
            </a:r>
            <a:r>
              <a:rPr lang="pt-BR" baseline="0">
                <a:solidFill>
                  <a:sysClr val="windowText" lastClr="000000"/>
                </a:solidFill>
              </a:rPr>
              <a:t> c/ Árbitro FIFA vs Jogos c/ Árbitro CBF</a:t>
            </a:r>
            <a:endParaRPr lang="pt-BR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Clubes!$T$1</c:f>
              <c:strCache>
                <c:ptCount val="1"/>
                <c:pt idx="0">
                  <c:v>Árbitro-FIFA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Clubes!$S$2:$S$21</c:f>
              <c:strCache>
                <c:ptCount val="20"/>
                <c:pt idx="0">
                  <c:v>Palmeiras</c:v>
                </c:pt>
                <c:pt idx="1">
                  <c:v>Bahia</c:v>
                </c:pt>
                <c:pt idx="2">
                  <c:v>Flamengo</c:v>
                </c:pt>
                <c:pt idx="3">
                  <c:v>Vasco</c:v>
                </c:pt>
                <c:pt idx="4">
                  <c:v>Fluminense</c:v>
                </c:pt>
                <c:pt idx="5">
                  <c:v>Vitória</c:v>
                </c:pt>
                <c:pt idx="6">
                  <c:v>Botafogo</c:v>
                </c:pt>
                <c:pt idx="7">
                  <c:v>Atlético MG</c:v>
                </c:pt>
                <c:pt idx="8">
                  <c:v>Corinthians</c:v>
                </c:pt>
                <c:pt idx="9">
                  <c:v>São Paulo</c:v>
                </c:pt>
                <c:pt idx="10">
                  <c:v>Red Bull</c:v>
                </c:pt>
                <c:pt idx="11">
                  <c:v>Athletico</c:v>
                </c:pt>
                <c:pt idx="12">
                  <c:v>Grêmio</c:v>
                </c:pt>
                <c:pt idx="13">
                  <c:v>Internacional</c:v>
                </c:pt>
                <c:pt idx="14">
                  <c:v>Cuiabá</c:v>
                </c:pt>
                <c:pt idx="15">
                  <c:v>Atlético GO</c:v>
                </c:pt>
                <c:pt idx="16">
                  <c:v>Criciúma</c:v>
                </c:pt>
                <c:pt idx="17">
                  <c:v>Cruzeiro</c:v>
                </c:pt>
                <c:pt idx="18">
                  <c:v>Fortaleza</c:v>
                </c:pt>
                <c:pt idx="19">
                  <c:v>Juventude</c:v>
                </c:pt>
              </c:strCache>
            </c:strRef>
          </c:cat>
          <c:val>
            <c:numRef>
              <c:f>Clubes!$T$2:$T$21</c:f>
              <c:numCache>
                <c:formatCode>General</c:formatCode>
                <c:ptCount val="20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6-440B-9208-05A3427AB40C}"/>
            </c:ext>
          </c:extLst>
        </c:ser>
        <c:ser>
          <c:idx val="1"/>
          <c:order val="1"/>
          <c:tx>
            <c:strRef>
              <c:f>Clubes!$U$1</c:f>
              <c:strCache>
                <c:ptCount val="1"/>
                <c:pt idx="0">
                  <c:v>Árbitro-CBF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Clubes!$S$2:$S$21</c:f>
              <c:strCache>
                <c:ptCount val="20"/>
                <c:pt idx="0">
                  <c:v>Palmeiras</c:v>
                </c:pt>
                <c:pt idx="1">
                  <c:v>Bahia</c:v>
                </c:pt>
                <c:pt idx="2">
                  <c:v>Flamengo</c:v>
                </c:pt>
                <c:pt idx="3">
                  <c:v>Vasco</c:v>
                </c:pt>
                <c:pt idx="4">
                  <c:v>Fluminense</c:v>
                </c:pt>
                <c:pt idx="5">
                  <c:v>Vitória</c:v>
                </c:pt>
                <c:pt idx="6">
                  <c:v>Botafogo</c:v>
                </c:pt>
                <c:pt idx="7">
                  <c:v>Atlético MG</c:v>
                </c:pt>
                <c:pt idx="8">
                  <c:v>Corinthians</c:v>
                </c:pt>
                <c:pt idx="9">
                  <c:v>São Paulo</c:v>
                </c:pt>
                <c:pt idx="10">
                  <c:v>Red Bull</c:v>
                </c:pt>
                <c:pt idx="11">
                  <c:v>Athletico</c:v>
                </c:pt>
                <c:pt idx="12">
                  <c:v>Grêmio</c:v>
                </c:pt>
                <c:pt idx="13">
                  <c:v>Internacional</c:v>
                </c:pt>
                <c:pt idx="14">
                  <c:v>Cuiabá</c:v>
                </c:pt>
                <c:pt idx="15">
                  <c:v>Atlético GO</c:v>
                </c:pt>
                <c:pt idx="16">
                  <c:v>Criciúma</c:v>
                </c:pt>
                <c:pt idx="17">
                  <c:v>Cruzeiro</c:v>
                </c:pt>
                <c:pt idx="18">
                  <c:v>Fortaleza</c:v>
                </c:pt>
                <c:pt idx="19">
                  <c:v>Juventude</c:v>
                </c:pt>
              </c:strCache>
            </c:strRef>
          </c:cat>
          <c:val>
            <c:numRef>
              <c:f>Clubes!$U$2:$U$21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9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6-440B-9208-05A3427A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73455"/>
        <c:axId val="294374895"/>
      </c:barChart>
      <c:catAx>
        <c:axId val="2943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374895"/>
        <c:crosses val="autoZero"/>
        <c:auto val="1"/>
        <c:lblAlgn val="ctr"/>
        <c:lblOffset val="100"/>
        <c:noMultiLvlLbl val="0"/>
      </c:catAx>
      <c:valAx>
        <c:axId val="2943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3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Jogos</a:t>
            </a:r>
            <a:r>
              <a:rPr lang="pt-BR" baseline="0">
                <a:solidFill>
                  <a:sysClr val="windowText" lastClr="000000"/>
                </a:solidFill>
              </a:rPr>
              <a:t> c/ VAR FIFA vs Jogos c/ VAR CBF</a:t>
            </a:r>
            <a:endParaRPr lang="pt-BR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Clubes!$V$1</c:f>
              <c:strCache>
                <c:ptCount val="1"/>
                <c:pt idx="0">
                  <c:v>VAR-FIFA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Clubes!$S$2:$S$21</c:f>
              <c:strCache>
                <c:ptCount val="20"/>
                <c:pt idx="0">
                  <c:v>Palmeiras</c:v>
                </c:pt>
                <c:pt idx="1">
                  <c:v>Bahia</c:v>
                </c:pt>
                <c:pt idx="2">
                  <c:v>Flamengo</c:v>
                </c:pt>
                <c:pt idx="3">
                  <c:v>Vasco</c:v>
                </c:pt>
                <c:pt idx="4">
                  <c:v>Fluminense</c:v>
                </c:pt>
                <c:pt idx="5">
                  <c:v>Vitória</c:v>
                </c:pt>
                <c:pt idx="6">
                  <c:v>Botafogo</c:v>
                </c:pt>
                <c:pt idx="7">
                  <c:v>Atlético MG</c:v>
                </c:pt>
                <c:pt idx="8">
                  <c:v>Corinthians</c:v>
                </c:pt>
                <c:pt idx="9">
                  <c:v>São Paulo</c:v>
                </c:pt>
                <c:pt idx="10">
                  <c:v>Red Bull</c:v>
                </c:pt>
                <c:pt idx="11">
                  <c:v>Athletico</c:v>
                </c:pt>
                <c:pt idx="12">
                  <c:v>Grêmio</c:v>
                </c:pt>
                <c:pt idx="13">
                  <c:v>Internacional</c:v>
                </c:pt>
                <c:pt idx="14">
                  <c:v>Cuiabá</c:v>
                </c:pt>
                <c:pt idx="15">
                  <c:v>Atlético GO</c:v>
                </c:pt>
                <c:pt idx="16">
                  <c:v>Criciúma</c:v>
                </c:pt>
                <c:pt idx="17">
                  <c:v>Cruzeiro</c:v>
                </c:pt>
                <c:pt idx="18">
                  <c:v>Fortaleza</c:v>
                </c:pt>
                <c:pt idx="19">
                  <c:v>Juventude</c:v>
                </c:pt>
              </c:strCache>
            </c:strRef>
          </c:cat>
          <c:val>
            <c:numRef>
              <c:f>Clubes!$V$2:$V$21</c:f>
              <c:numCache>
                <c:formatCode>General</c:formatCode>
                <c:ptCount val="20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5-482D-BE94-69CEAE973FF5}"/>
            </c:ext>
          </c:extLst>
        </c:ser>
        <c:ser>
          <c:idx val="1"/>
          <c:order val="1"/>
          <c:tx>
            <c:strRef>
              <c:f>Clubes!$W$1</c:f>
              <c:strCache>
                <c:ptCount val="1"/>
                <c:pt idx="0">
                  <c:v>VAR-CBF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Clubes!$S$2:$S$21</c:f>
              <c:strCache>
                <c:ptCount val="20"/>
                <c:pt idx="0">
                  <c:v>Palmeiras</c:v>
                </c:pt>
                <c:pt idx="1">
                  <c:v>Bahia</c:v>
                </c:pt>
                <c:pt idx="2">
                  <c:v>Flamengo</c:v>
                </c:pt>
                <c:pt idx="3">
                  <c:v>Vasco</c:v>
                </c:pt>
                <c:pt idx="4">
                  <c:v>Fluminense</c:v>
                </c:pt>
                <c:pt idx="5">
                  <c:v>Vitória</c:v>
                </c:pt>
                <c:pt idx="6">
                  <c:v>Botafogo</c:v>
                </c:pt>
                <c:pt idx="7">
                  <c:v>Atlético MG</c:v>
                </c:pt>
                <c:pt idx="8">
                  <c:v>Corinthians</c:v>
                </c:pt>
                <c:pt idx="9">
                  <c:v>São Paulo</c:v>
                </c:pt>
                <c:pt idx="10">
                  <c:v>Red Bull</c:v>
                </c:pt>
                <c:pt idx="11">
                  <c:v>Athletico</c:v>
                </c:pt>
                <c:pt idx="12">
                  <c:v>Grêmio</c:v>
                </c:pt>
                <c:pt idx="13">
                  <c:v>Internacional</c:v>
                </c:pt>
                <c:pt idx="14">
                  <c:v>Cuiabá</c:v>
                </c:pt>
                <c:pt idx="15">
                  <c:v>Atlético GO</c:v>
                </c:pt>
                <c:pt idx="16">
                  <c:v>Criciúma</c:v>
                </c:pt>
                <c:pt idx="17">
                  <c:v>Cruzeiro</c:v>
                </c:pt>
                <c:pt idx="18">
                  <c:v>Fortaleza</c:v>
                </c:pt>
                <c:pt idx="19">
                  <c:v>Juventude</c:v>
                </c:pt>
              </c:strCache>
            </c:strRef>
          </c:cat>
          <c:val>
            <c:numRef>
              <c:f>Clubes!$W$2:$W$21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5-482D-BE94-69CEAE97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73455"/>
        <c:axId val="294374895"/>
      </c:barChart>
      <c:catAx>
        <c:axId val="2943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374895"/>
        <c:crosses val="autoZero"/>
        <c:auto val="1"/>
        <c:lblAlgn val="ctr"/>
        <c:lblOffset val="100"/>
        <c:noMultiLvlLbl val="0"/>
      </c:catAx>
      <c:valAx>
        <c:axId val="2943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3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0">
                <a:solidFill>
                  <a:sysClr val="windowText" lastClr="000000"/>
                </a:solidFill>
              </a:rPr>
              <a:t>Jogos</a:t>
            </a:r>
            <a:r>
              <a:rPr lang="pt-BR" b="0" baseline="0">
                <a:solidFill>
                  <a:sysClr val="windowText" lastClr="000000"/>
                </a:solidFill>
              </a:rPr>
              <a:t> c/ Árbitro e VAR FIFA vs Jogos c/ Árbitro ou VAR FIFA vs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pt-BR" b="0" baseline="0">
                <a:solidFill>
                  <a:sysClr val="windowText" lastClr="000000"/>
                </a:solidFill>
              </a:rPr>
              <a:t>Jogos c/ Árbitro e VAR CBF</a:t>
            </a:r>
            <a:endParaRPr lang="pt-BR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Clubes!$X$1</c:f>
              <c:strCache>
                <c:ptCount val="1"/>
                <c:pt idx="0">
                  <c:v>2-FIFA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Clubes!$S$2:$S$21</c:f>
              <c:strCache>
                <c:ptCount val="20"/>
                <c:pt idx="0">
                  <c:v>Palmeiras</c:v>
                </c:pt>
                <c:pt idx="1">
                  <c:v>Bahia</c:v>
                </c:pt>
                <c:pt idx="2">
                  <c:v>Flamengo</c:v>
                </c:pt>
                <c:pt idx="3">
                  <c:v>Vasco</c:v>
                </c:pt>
                <c:pt idx="4">
                  <c:v>Fluminense</c:v>
                </c:pt>
                <c:pt idx="5">
                  <c:v>Vitória</c:v>
                </c:pt>
                <c:pt idx="6">
                  <c:v>Botafogo</c:v>
                </c:pt>
                <c:pt idx="7">
                  <c:v>Atlético MG</c:v>
                </c:pt>
                <c:pt idx="8">
                  <c:v>Corinthians</c:v>
                </c:pt>
                <c:pt idx="9">
                  <c:v>São Paulo</c:v>
                </c:pt>
                <c:pt idx="10">
                  <c:v>Red Bull</c:v>
                </c:pt>
                <c:pt idx="11">
                  <c:v>Athletico</c:v>
                </c:pt>
                <c:pt idx="12">
                  <c:v>Grêmio</c:v>
                </c:pt>
                <c:pt idx="13">
                  <c:v>Internacional</c:v>
                </c:pt>
                <c:pt idx="14">
                  <c:v>Cuiabá</c:v>
                </c:pt>
                <c:pt idx="15">
                  <c:v>Atlético GO</c:v>
                </c:pt>
                <c:pt idx="16">
                  <c:v>Criciúma</c:v>
                </c:pt>
                <c:pt idx="17">
                  <c:v>Cruzeiro</c:v>
                </c:pt>
                <c:pt idx="18">
                  <c:v>Fortaleza</c:v>
                </c:pt>
                <c:pt idx="19">
                  <c:v>Juventude</c:v>
                </c:pt>
              </c:strCache>
            </c:strRef>
          </c:cat>
          <c:val>
            <c:numRef>
              <c:f>Clubes!$X$2:$X$21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4-43D8-9403-F9D8E2B43785}"/>
            </c:ext>
          </c:extLst>
        </c:ser>
        <c:ser>
          <c:idx val="1"/>
          <c:order val="1"/>
          <c:tx>
            <c:strRef>
              <c:f>Clubes!$Y$1</c:f>
              <c:strCache>
                <c:ptCount val="1"/>
                <c:pt idx="0">
                  <c:v>1-FIFA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Clubes!$S$2:$S$21</c:f>
              <c:strCache>
                <c:ptCount val="20"/>
                <c:pt idx="0">
                  <c:v>Palmeiras</c:v>
                </c:pt>
                <c:pt idx="1">
                  <c:v>Bahia</c:v>
                </c:pt>
                <c:pt idx="2">
                  <c:v>Flamengo</c:v>
                </c:pt>
                <c:pt idx="3">
                  <c:v>Vasco</c:v>
                </c:pt>
                <c:pt idx="4">
                  <c:v>Fluminense</c:v>
                </c:pt>
                <c:pt idx="5">
                  <c:v>Vitória</c:v>
                </c:pt>
                <c:pt idx="6">
                  <c:v>Botafogo</c:v>
                </c:pt>
                <c:pt idx="7">
                  <c:v>Atlético MG</c:v>
                </c:pt>
                <c:pt idx="8">
                  <c:v>Corinthians</c:v>
                </c:pt>
                <c:pt idx="9">
                  <c:v>São Paulo</c:v>
                </c:pt>
                <c:pt idx="10">
                  <c:v>Red Bull</c:v>
                </c:pt>
                <c:pt idx="11">
                  <c:v>Athletico</c:v>
                </c:pt>
                <c:pt idx="12">
                  <c:v>Grêmio</c:v>
                </c:pt>
                <c:pt idx="13">
                  <c:v>Internacional</c:v>
                </c:pt>
                <c:pt idx="14">
                  <c:v>Cuiabá</c:v>
                </c:pt>
                <c:pt idx="15">
                  <c:v>Atlético GO</c:v>
                </c:pt>
                <c:pt idx="16">
                  <c:v>Criciúma</c:v>
                </c:pt>
                <c:pt idx="17">
                  <c:v>Cruzeiro</c:v>
                </c:pt>
                <c:pt idx="18">
                  <c:v>Fortaleza</c:v>
                </c:pt>
                <c:pt idx="19">
                  <c:v>Juventude</c:v>
                </c:pt>
              </c:strCache>
            </c:strRef>
          </c:cat>
          <c:val>
            <c:numRef>
              <c:f>Clubes!$Y$2:$Y$21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4-43D8-9403-F9D8E2B43785}"/>
            </c:ext>
          </c:extLst>
        </c:ser>
        <c:ser>
          <c:idx val="2"/>
          <c:order val="2"/>
          <c:tx>
            <c:strRef>
              <c:f>Clubes!$Z$1</c:f>
              <c:strCache>
                <c:ptCount val="1"/>
                <c:pt idx="0">
                  <c:v>0-FIFA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Clubes!$S$2:$S$21</c:f>
              <c:strCache>
                <c:ptCount val="20"/>
                <c:pt idx="0">
                  <c:v>Palmeiras</c:v>
                </c:pt>
                <c:pt idx="1">
                  <c:v>Bahia</c:v>
                </c:pt>
                <c:pt idx="2">
                  <c:v>Flamengo</c:v>
                </c:pt>
                <c:pt idx="3">
                  <c:v>Vasco</c:v>
                </c:pt>
                <c:pt idx="4">
                  <c:v>Fluminense</c:v>
                </c:pt>
                <c:pt idx="5">
                  <c:v>Vitória</c:v>
                </c:pt>
                <c:pt idx="6">
                  <c:v>Botafogo</c:v>
                </c:pt>
                <c:pt idx="7">
                  <c:v>Atlético MG</c:v>
                </c:pt>
                <c:pt idx="8">
                  <c:v>Corinthians</c:v>
                </c:pt>
                <c:pt idx="9">
                  <c:v>São Paulo</c:v>
                </c:pt>
                <c:pt idx="10">
                  <c:v>Red Bull</c:v>
                </c:pt>
                <c:pt idx="11">
                  <c:v>Athletico</c:v>
                </c:pt>
                <c:pt idx="12">
                  <c:v>Grêmio</c:v>
                </c:pt>
                <c:pt idx="13">
                  <c:v>Internacional</c:v>
                </c:pt>
                <c:pt idx="14">
                  <c:v>Cuiabá</c:v>
                </c:pt>
                <c:pt idx="15">
                  <c:v>Atlético GO</c:v>
                </c:pt>
                <c:pt idx="16">
                  <c:v>Criciúma</c:v>
                </c:pt>
                <c:pt idx="17">
                  <c:v>Cruzeiro</c:v>
                </c:pt>
                <c:pt idx="18">
                  <c:v>Fortaleza</c:v>
                </c:pt>
                <c:pt idx="19">
                  <c:v>Juventude</c:v>
                </c:pt>
              </c:strCache>
            </c:strRef>
          </c:cat>
          <c:val>
            <c:numRef>
              <c:f>Clubes!$Z$2:$Z$21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4-43D8-9403-F9D8E2B4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73455"/>
        <c:axId val="294374895"/>
      </c:barChart>
      <c:catAx>
        <c:axId val="2943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374895"/>
        <c:crosses val="autoZero"/>
        <c:auto val="1"/>
        <c:lblAlgn val="ctr"/>
        <c:lblOffset val="100"/>
        <c:noMultiLvlLbl val="0"/>
      </c:catAx>
      <c:valAx>
        <c:axId val="2943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3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</xdr:colOff>
      <xdr:row>20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EE186E-6148-4586-8CFF-AA5F3037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15240</xdr:colOff>
      <xdr:row>20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AAF466-A772-4ACE-85FB-B9B58FB71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35</xdr:col>
      <xdr:colOff>15240</xdr:colOff>
      <xdr:row>20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112125-9B67-4400-8BA4-A68B440A9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11</xdr:col>
      <xdr:colOff>18209</xdr:colOff>
      <xdr:row>42</xdr:row>
      <xdr:rowOff>170971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48E600F-C15B-25B5-7DDD-AB792B244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23360"/>
          <a:ext cx="6723809" cy="3828571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38</xdr:row>
      <xdr:rowOff>45720</xdr:rowOff>
    </xdr:from>
    <xdr:to>
      <xdr:col>2</xdr:col>
      <xdr:colOff>34600</xdr:colOff>
      <xdr:row>39</xdr:row>
      <xdr:rowOff>85003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8136A854-3E24-4AEB-85EC-FDDBEF71BF44}"/>
            </a:ext>
          </a:extLst>
        </xdr:cNvPr>
        <xdr:cNvSpPr/>
      </xdr:nvSpPr>
      <xdr:spPr>
        <a:xfrm rot="19219103">
          <a:off x="701040" y="6995160"/>
          <a:ext cx="552760" cy="22216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23</xdr:col>
      <xdr:colOff>18209</xdr:colOff>
      <xdr:row>42</xdr:row>
      <xdr:rowOff>170971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8C8BB6DD-ECC1-443A-0A41-F00DA094B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4023360"/>
          <a:ext cx="6723809" cy="3828571"/>
        </a:xfrm>
        <a:prstGeom prst="rect">
          <a:avLst/>
        </a:prstGeom>
      </xdr:spPr>
    </xdr:pic>
    <xdr:clientData/>
  </xdr:twoCellAnchor>
  <xdr:twoCellAnchor>
    <xdr:from>
      <xdr:col>13</xdr:col>
      <xdr:colOff>396240</xdr:colOff>
      <xdr:row>38</xdr:row>
      <xdr:rowOff>45720</xdr:rowOff>
    </xdr:from>
    <xdr:to>
      <xdr:col>14</xdr:col>
      <xdr:colOff>339400</xdr:colOff>
      <xdr:row>39</xdr:row>
      <xdr:rowOff>85003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8004E52D-7E91-4005-87C8-7604ACAB9D93}"/>
            </a:ext>
          </a:extLst>
        </xdr:cNvPr>
        <xdr:cNvSpPr/>
      </xdr:nvSpPr>
      <xdr:spPr>
        <a:xfrm rot="19219103">
          <a:off x="8321040" y="6995160"/>
          <a:ext cx="552760" cy="22216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24</xdr:col>
      <xdr:colOff>0</xdr:colOff>
      <xdr:row>22</xdr:row>
      <xdr:rowOff>0</xdr:rowOff>
    </xdr:from>
    <xdr:to>
      <xdr:col>35</xdr:col>
      <xdr:colOff>18209</xdr:colOff>
      <xdr:row>42</xdr:row>
      <xdr:rowOff>170971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2CF3F65-F626-43CE-D471-0221FBAA7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630400" y="4023360"/>
          <a:ext cx="6723809" cy="3828571"/>
        </a:xfrm>
        <a:prstGeom prst="rect">
          <a:avLst/>
        </a:prstGeom>
      </xdr:spPr>
    </xdr:pic>
    <xdr:clientData/>
  </xdr:twoCellAnchor>
  <xdr:twoCellAnchor>
    <xdr:from>
      <xdr:col>25</xdr:col>
      <xdr:colOff>403860</xdr:colOff>
      <xdr:row>38</xdr:row>
      <xdr:rowOff>30480</xdr:rowOff>
    </xdr:from>
    <xdr:to>
      <xdr:col>26</xdr:col>
      <xdr:colOff>347020</xdr:colOff>
      <xdr:row>39</xdr:row>
      <xdr:rowOff>69763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D658242F-32AB-4789-9CE5-0525EA948343}"/>
            </a:ext>
          </a:extLst>
        </xdr:cNvPr>
        <xdr:cNvSpPr/>
      </xdr:nvSpPr>
      <xdr:spPr>
        <a:xfrm rot="19219103">
          <a:off x="15643860" y="6979920"/>
          <a:ext cx="552760" cy="22216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993E-C79A-4D4E-9018-2B684A7947CC}">
  <sheetPr filterMode="1"/>
  <dimension ref="A1:M121"/>
  <sheetViews>
    <sheetView showGridLines="0" workbookViewId="0">
      <pane ySplit="1" topLeftCell="A2" activePane="bottomLeft" state="frozen"/>
      <selection pane="bottomLeft" activeCell="B114" sqref="B114"/>
    </sheetView>
  </sheetViews>
  <sheetFormatPr defaultRowHeight="15.6" x14ac:dyDescent="0.3"/>
  <cols>
    <col min="1" max="1" width="8.109375" style="9" bestFit="1" customWidth="1"/>
    <col min="2" max="2" width="13.44140625" style="7" bestFit="1" customWidth="1"/>
    <col min="3" max="3" width="8.5546875" style="9" bestFit="1" customWidth="1"/>
    <col min="4" max="4" width="9.33203125" style="9" bestFit="1" customWidth="1"/>
    <col min="5" max="5" width="13.44140625" style="7" bestFit="1" customWidth="1"/>
    <col min="6" max="6" width="8.33203125" style="9" bestFit="1" customWidth="1"/>
    <col min="7" max="7" width="9.109375" style="9" bestFit="1" customWidth="1"/>
    <col min="8" max="8" width="35" style="7" bestFit="1" customWidth="1"/>
    <col min="9" max="9" width="11" style="7" bestFit="1" customWidth="1"/>
    <col min="10" max="10" width="9.33203125" style="7" bestFit="1" customWidth="1"/>
    <col min="11" max="11" width="39.77734375" style="7" bestFit="1" customWidth="1"/>
    <col min="12" max="12" width="8.44140625" style="7" bestFit="1" customWidth="1"/>
    <col min="13" max="13" width="9.33203125" style="7" bestFit="1" customWidth="1"/>
    <col min="14" max="16384" width="8.88671875" style="7"/>
  </cols>
  <sheetData>
    <row r="1" spans="1:13" s="2" customFormat="1" x14ac:dyDescent="0.3">
      <c r="A1" s="8" t="s">
        <v>0</v>
      </c>
      <c r="B1" s="3" t="s">
        <v>1</v>
      </c>
      <c r="C1" s="10" t="s">
        <v>3</v>
      </c>
      <c r="D1" s="10" t="s">
        <v>2</v>
      </c>
      <c r="E1" s="4" t="s">
        <v>4</v>
      </c>
      <c r="F1" s="11" t="s">
        <v>5</v>
      </c>
      <c r="G1" s="11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9</v>
      </c>
    </row>
    <row r="2" spans="1:13" hidden="1" x14ac:dyDescent="0.3">
      <c r="A2" s="9">
        <v>1</v>
      </c>
      <c r="B2" s="7" t="s">
        <v>12</v>
      </c>
      <c r="C2" s="9" t="s">
        <v>13</v>
      </c>
      <c r="D2" s="9">
        <v>1</v>
      </c>
      <c r="E2" s="7" t="s">
        <v>14</v>
      </c>
      <c r="F2" s="9" t="s">
        <v>15</v>
      </c>
      <c r="G2" s="9">
        <v>1</v>
      </c>
      <c r="H2" s="7" t="s">
        <v>42</v>
      </c>
      <c r="I2" s="7" t="s">
        <v>38</v>
      </c>
      <c r="J2" s="7" t="s">
        <v>43</v>
      </c>
      <c r="K2" s="7" t="s">
        <v>44</v>
      </c>
      <c r="L2" s="7" t="s">
        <v>32</v>
      </c>
      <c r="M2" s="7" t="s">
        <v>43</v>
      </c>
    </row>
    <row r="3" spans="1:13" hidden="1" x14ac:dyDescent="0.3">
      <c r="B3" s="7" t="s">
        <v>16</v>
      </c>
      <c r="C3" s="9" t="s">
        <v>15</v>
      </c>
      <c r="D3" s="9">
        <v>2</v>
      </c>
      <c r="E3" s="7" t="s">
        <v>17</v>
      </c>
      <c r="F3" s="9" t="s">
        <v>38</v>
      </c>
      <c r="G3" s="9">
        <v>1</v>
      </c>
      <c r="H3" s="7" t="s">
        <v>45</v>
      </c>
      <c r="I3" s="7" t="s">
        <v>46</v>
      </c>
      <c r="J3" s="7" t="s">
        <v>47</v>
      </c>
      <c r="K3" s="7" t="s">
        <v>48</v>
      </c>
      <c r="L3" s="7" t="s">
        <v>19</v>
      </c>
      <c r="M3" s="7" t="s">
        <v>47</v>
      </c>
    </row>
    <row r="4" spans="1:13" hidden="1" x14ac:dyDescent="0.3">
      <c r="B4" s="7" t="s">
        <v>20</v>
      </c>
      <c r="C4" s="9" t="s">
        <v>21</v>
      </c>
      <c r="D4" s="9">
        <v>2</v>
      </c>
      <c r="E4" s="7" t="s">
        <v>18</v>
      </c>
      <c r="F4" s="9" t="s">
        <v>19</v>
      </c>
      <c r="G4" s="9">
        <v>2</v>
      </c>
      <c r="H4" s="7" t="s">
        <v>49</v>
      </c>
      <c r="I4" s="7" t="s">
        <v>50</v>
      </c>
      <c r="J4" s="7" t="s">
        <v>43</v>
      </c>
      <c r="K4" s="7" t="s">
        <v>51</v>
      </c>
      <c r="L4" s="7" t="s">
        <v>46</v>
      </c>
      <c r="M4" s="7" t="s">
        <v>43</v>
      </c>
    </row>
    <row r="5" spans="1:13" hidden="1" x14ac:dyDescent="0.3">
      <c r="B5" s="7" t="s">
        <v>22</v>
      </c>
      <c r="C5" s="9" t="s">
        <v>19</v>
      </c>
      <c r="D5" s="9">
        <v>1</v>
      </c>
      <c r="E5" s="7" t="s">
        <v>23</v>
      </c>
      <c r="F5" s="9" t="s">
        <v>24</v>
      </c>
      <c r="G5" s="9">
        <v>2</v>
      </c>
      <c r="H5" s="7" t="s">
        <v>52</v>
      </c>
      <c r="I5" s="7" t="s">
        <v>21</v>
      </c>
      <c r="J5" s="7" t="s">
        <v>43</v>
      </c>
      <c r="K5" s="7" t="s">
        <v>53</v>
      </c>
      <c r="L5" s="7" t="s">
        <v>54</v>
      </c>
      <c r="M5" s="7" t="s">
        <v>47</v>
      </c>
    </row>
    <row r="6" spans="1:13" hidden="1" x14ac:dyDescent="0.3">
      <c r="B6" s="7" t="s">
        <v>25</v>
      </c>
      <c r="C6" s="9" t="s">
        <v>26</v>
      </c>
      <c r="D6" s="9">
        <v>1</v>
      </c>
      <c r="E6" s="7" t="s">
        <v>27</v>
      </c>
      <c r="F6" s="9" t="s">
        <v>21</v>
      </c>
      <c r="G6" s="9">
        <v>2</v>
      </c>
      <c r="H6" s="7" t="s">
        <v>55</v>
      </c>
      <c r="I6" s="7" t="s">
        <v>32</v>
      </c>
      <c r="J6" s="7" t="s">
        <v>43</v>
      </c>
      <c r="K6" s="7" t="s">
        <v>56</v>
      </c>
      <c r="L6" s="7" t="s">
        <v>57</v>
      </c>
      <c r="M6" s="7" t="s">
        <v>47</v>
      </c>
    </row>
    <row r="7" spans="1:13" hidden="1" x14ac:dyDescent="0.3">
      <c r="B7" s="7" t="s">
        <v>28</v>
      </c>
      <c r="C7" s="9" t="s">
        <v>29</v>
      </c>
      <c r="D7" s="9">
        <v>4</v>
      </c>
      <c r="E7" s="7" t="s">
        <v>30</v>
      </c>
      <c r="F7" s="9" t="s">
        <v>41</v>
      </c>
      <c r="G7" s="9">
        <v>0</v>
      </c>
      <c r="H7" s="7" t="s">
        <v>58</v>
      </c>
      <c r="I7" s="7" t="s">
        <v>15</v>
      </c>
      <c r="J7" s="7" t="s">
        <v>43</v>
      </c>
      <c r="K7" s="7" t="s">
        <v>59</v>
      </c>
      <c r="L7" s="7" t="s">
        <v>38</v>
      </c>
      <c r="M7" s="7" t="s">
        <v>47</v>
      </c>
    </row>
    <row r="8" spans="1:13" hidden="1" x14ac:dyDescent="0.3">
      <c r="B8" s="7" t="s">
        <v>31</v>
      </c>
      <c r="C8" s="9" t="s">
        <v>19</v>
      </c>
      <c r="D8" s="9">
        <v>0</v>
      </c>
      <c r="E8" s="7" t="s">
        <v>40</v>
      </c>
      <c r="F8" s="9" t="s">
        <v>32</v>
      </c>
      <c r="G8" s="9">
        <v>0</v>
      </c>
      <c r="H8" s="7" t="s">
        <v>60</v>
      </c>
      <c r="I8" s="7" t="s">
        <v>21</v>
      </c>
      <c r="J8" s="7" t="s">
        <v>43</v>
      </c>
      <c r="K8" s="7" t="s">
        <v>61</v>
      </c>
      <c r="L8" s="7" t="s">
        <v>15</v>
      </c>
      <c r="M8" s="7" t="s">
        <v>47</v>
      </c>
    </row>
    <row r="9" spans="1:13" hidden="1" x14ac:dyDescent="0.3">
      <c r="B9" s="7" t="s">
        <v>33</v>
      </c>
      <c r="C9" s="9" t="s">
        <v>21</v>
      </c>
      <c r="D9" s="9">
        <v>2</v>
      </c>
      <c r="E9" s="7" t="s">
        <v>34</v>
      </c>
      <c r="F9" s="9" t="s">
        <v>15</v>
      </c>
      <c r="G9" s="9">
        <v>1</v>
      </c>
      <c r="H9" s="7" t="s">
        <v>62</v>
      </c>
      <c r="I9" s="7" t="s">
        <v>19</v>
      </c>
      <c r="J9" s="7" t="s">
        <v>47</v>
      </c>
      <c r="K9" s="7" t="s">
        <v>63</v>
      </c>
      <c r="L9" s="7" t="s">
        <v>19</v>
      </c>
      <c r="M9" s="7" t="s">
        <v>47</v>
      </c>
    </row>
    <row r="10" spans="1:13" hidden="1" x14ac:dyDescent="0.3">
      <c r="B10" s="7" t="s">
        <v>35</v>
      </c>
      <c r="C10" s="9" t="s">
        <v>32</v>
      </c>
      <c r="D10" s="9">
        <v>3</v>
      </c>
      <c r="E10" s="7" t="s">
        <v>36</v>
      </c>
      <c r="F10" s="9" t="s">
        <v>21</v>
      </c>
      <c r="G10" s="9">
        <v>2</v>
      </c>
      <c r="H10" s="7" t="s">
        <v>64</v>
      </c>
      <c r="I10" s="7" t="s">
        <v>19</v>
      </c>
      <c r="J10" s="7" t="s">
        <v>43</v>
      </c>
      <c r="K10" s="7" t="s">
        <v>65</v>
      </c>
      <c r="L10" s="7" t="s">
        <v>13</v>
      </c>
      <c r="M10" s="7" t="s">
        <v>43</v>
      </c>
    </row>
    <row r="11" spans="1:13" hidden="1" x14ac:dyDescent="0.3">
      <c r="B11" s="7" t="s">
        <v>37</v>
      </c>
      <c r="C11" s="9" t="s">
        <v>38</v>
      </c>
      <c r="D11" s="9">
        <v>0</v>
      </c>
      <c r="E11" s="7" t="s">
        <v>39</v>
      </c>
      <c r="F11" s="9" t="s">
        <v>19</v>
      </c>
      <c r="G11" s="9">
        <v>1</v>
      </c>
      <c r="H11" s="7" t="s">
        <v>66</v>
      </c>
      <c r="I11" s="7" t="s">
        <v>13</v>
      </c>
      <c r="J11" s="7" t="s">
        <v>47</v>
      </c>
      <c r="K11" s="7" t="s">
        <v>68</v>
      </c>
      <c r="L11" s="7" t="s">
        <v>29</v>
      </c>
      <c r="M11" s="7" t="s">
        <v>47</v>
      </c>
    </row>
    <row r="12" spans="1:13" hidden="1" x14ac:dyDescent="0.3">
      <c r="A12" s="9">
        <v>2</v>
      </c>
      <c r="B12" s="7" t="s">
        <v>17</v>
      </c>
      <c r="C12" s="9" t="s">
        <v>38</v>
      </c>
      <c r="D12" s="9">
        <v>2</v>
      </c>
      <c r="E12" s="7" t="s">
        <v>20</v>
      </c>
      <c r="F12" s="9" t="s">
        <v>21</v>
      </c>
      <c r="G12" s="9">
        <v>1</v>
      </c>
      <c r="H12" s="7" t="s">
        <v>69</v>
      </c>
      <c r="I12" s="7" t="s">
        <v>19</v>
      </c>
      <c r="J12" s="7" t="s">
        <v>43</v>
      </c>
      <c r="K12" s="7" t="s">
        <v>63</v>
      </c>
      <c r="L12" s="7" t="s">
        <v>19</v>
      </c>
      <c r="M12" s="7" t="s">
        <v>47</v>
      </c>
    </row>
    <row r="13" spans="1:13" hidden="1" x14ac:dyDescent="0.3">
      <c r="B13" s="7" t="s">
        <v>34</v>
      </c>
      <c r="C13" s="9" t="s">
        <v>15</v>
      </c>
      <c r="D13" s="9">
        <v>2</v>
      </c>
      <c r="E13" s="7" t="s">
        <v>28</v>
      </c>
      <c r="F13" s="9" t="s">
        <v>29</v>
      </c>
      <c r="G13" s="9">
        <v>0</v>
      </c>
      <c r="H13" s="7" t="s">
        <v>70</v>
      </c>
      <c r="I13" s="7" t="s">
        <v>24</v>
      </c>
      <c r="J13" s="7" t="s">
        <v>43</v>
      </c>
      <c r="K13" s="7" t="s">
        <v>71</v>
      </c>
      <c r="L13" s="7" t="s">
        <v>32</v>
      </c>
      <c r="M13" s="7" t="s">
        <v>43</v>
      </c>
    </row>
    <row r="14" spans="1:13" hidden="1" x14ac:dyDescent="0.3">
      <c r="B14" s="7" t="s">
        <v>18</v>
      </c>
      <c r="C14" s="9" t="s">
        <v>19</v>
      </c>
      <c r="D14" s="9">
        <v>2</v>
      </c>
      <c r="E14" s="7" t="s">
        <v>33</v>
      </c>
      <c r="F14" s="9" t="s">
        <v>21</v>
      </c>
      <c r="G14" s="9">
        <v>1</v>
      </c>
      <c r="H14" s="7" t="s">
        <v>72</v>
      </c>
      <c r="I14" s="7" t="s">
        <v>32</v>
      </c>
      <c r="J14" s="7" t="s">
        <v>47</v>
      </c>
      <c r="K14" s="7" t="s">
        <v>73</v>
      </c>
      <c r="L14" s="7" t="s">
        <v>13</v>
      </c>
      <c r="M14" s="7" t="s">
        <v>47</v>
      </c>
    </row>
    <row r="15" spans="1:13" x14ac:dyDescent="0.3">
      <c r="B15" s="7" t="s">
        <v>14</v>
      </c>
      <c r="C15" s="9" t="s">
        <v>15</v>
      </c>
      <c r="D15" s="9">
        <v>2</v>
      </c>
      <c r="E15" s="7" t="s">
        <v>31</v>
      </c>
      <c r="F15" s="9" t="s">
        <v>19</v>
      </c>
      <c r="G15" s="9">
        <v>0</v>
      </c>
      <c r="H15" s="7" t="s">
        <v>74</v>
      </c>
      <c r="I15" s="7" t="s">
        <v>21</v>
      </c>
      <c r="J15" s="7" t="s">
        <v>47</v>
      </c>
      <c r="K15" s="7" t="s">
        <v>75</v>
      </c>
      <c r="L15" s="7" t="s">
        <v>21</v>
      </c>
      <c r="M15" s="7" t="s">
        <v>43</v>
      </c>
    </row>
    <row r="16" spans="1:13" hidden="1" x14ac:dyDescent="0.3">
      <c r="B16" s="7" t="s">
        <v>40</v>
      </c>
      <c r="C16" s="9" t="s">
        <v>32</v>
      </c>
      <c r="D16" s="9">
        <v>1</v>
      </c>
      <c r="E16" s="7" t="s">
        <v>12</v>
      </c>
      <c r="F16" s="9" t="s">
        <v>13</v>
      </c>
      <c r="G16" s="9">
        <v>1</v>
      </c>
      <c r="H16" s="7" t="s">
        <v>76</v>
      </c>
      <c r="I16" s="7" t="s">
        <v>46</v>
      </c>
      <c r="J16" s="7" t="s">
        <v>43</v>
      </c>
      <c r="K16" s="7" t="s">
        <v>77</v>
      </c>
      <c r="L16" s="7" t="s">
        <v>21</v>
      </c>
      <c r="M16" s="7" t="s">
        <v>43</v>
      </c>
    </row>
    <row r="17" spans="1:13" hidden="1" x14ac:dyDescent="0.3">
      <c r="B17" s="7" t="s">
        <v>39</v>
      </c>
      <c r="C17" s="9" t="s">
        <v>19</v>
      </c>
      <c r="D17" s="9">
        <v>0</v>
      </c>
      <c r="E17" s="7" t="s">
        <v>16</v>
      </c>
      <c r="F17" s="9" t="s">
        <v>15</v>
      </c>
      <c r="G17" s="9">
        <v>1</v>
      </c>
      <c r="H17" s="7" t="s">
        <v>78</v>
      </c>
      <c r="I17" s="7" t="s">
        <v>29</v>
      </c>
      <c r="J17" s="7" t="s">
        <v>43</v>
      </c>
      <c r="K17" s="7" t="s">
        <v>56</v>
      </c>
      <c r="L17" s="7" t="s">
        <v>57</v>
      </c>
      <c r="M17" s="7" t="s">
        <v>47</v>
      </c>
    </row>
    <row r="18" spans="1:13" hidden="1" x14ac:dyDescent="0.3">
      <c r="B18" s="7" t="s">
        <v>23</v>
      </c>
      <c r="C18" s="9" t="s">
        <v>24</v>
      </c>
      <c r="D18" s="9">
        <v>1</v>
      </c>
      <c r="E18" s="7" t="s">
        <v>35</v>
      </c>
      <c r="F18" s="9" t="s">
        <v>32</v>
      </c>
      <c r="G18" s="9">
        <v>1</v>
      </c>
      <c r="H18" s="7" t="s">
        <v>79</v>
      </c>
      <c r="I18" s="7" t="s">
        <v>21</v>
      </c>
      <c r="J18" s="7" t="s">
        <v>43</v>
      </c>
      <c r="K18" s="7" t="s">
        <v>80</v>
      </c>
      <c r="L18" s="7" t="s">
        <v>21</v>
      </c>
      <c r="M18" s="7" t="s">
        <v>47</v>
      </c>
    </row>
    <row r="19" spans="1:13" hidden="1" x14ac:dyDescent="0.3">
      <c r="B19" s="7" t="s">
        <v>27</v>
      </c>
      <c r="C19" s="9" t="s">
        <v>21</v>
      </c>
      <c r="D19" s="9">
        <v>2</v>
      </c>
      <c r="E19" s="7" t="s">
        <v>22</v>
      </c>
      <c r="F19" s="9" t="s">
        <v>19</v>
      </c>
      <c r="G19" s="9">
        <v>1</v>
      </c>
      <c r="H19" s="7" t="s">
        <v>81</v>
      </c>
      <c r="I19" s="7" t="s">
        <v>15</v>
      </c>
      <c r="J19" s="7" t="s">
        <v>47</v>
      </c>
      <c r="K19" s="7" t="s">
        <v>65</v>
      </c>
      <c r="L19" s="7" t="s">
        <v>13</v>
      </c>
      <c r="M19" s="7" t="s">
        <v>43</v>
      </c>
    </row>
    <row r="20" spans="1:13" hidden="1" x14ac:dyDescent="0.3">
      <c r="B20" s="7" t="s">
        <v>36</v>
      </c>
      <c r="C20" s="9" t="s">
        <v>21</v>
      </c>
      <c r="D20" s="9">
        <v>1</v>
      </c>
      <c r="E20" s="7" t="s">
        <v>25</v>
      </c>
      <c r="F20" s="9" t="s">
        <v>26</v>
      </c>
      <c r="G20" s="9">
        <v>0</v>
      </c>
      <c r="H20" s="7" t="s">
        <v>82</v>
      </c>
      <c r="I20" s="7" t="s">
        <v>19</v>
      </c>
      <c r="J20" s="7" t="s">
        <v>43</v>
      </c>
      <c r="K20" s="7" t="s">
        <v>83</v>
      </c>
      <c r="L20" s="7" t="s">
        <v>19</v>
      </c>
      <c r="M20" s="7" t="s">
        <v>47</v>
      </c>
    </row>
    <row r="21" spans="1:13" hidden="1" x14ac:dyDescent="0.3">
      <c r="B21" s="7" t="s">
        <v>30</v>
      </c>
      <c r="C21" s="9" t="s">
        <v>41</v>
      </c>
      <c r="D21" s="9">
        <v>0</v>
      </c>
      <c r="E21" s="7" t="s">
        <v>37</v>
      </c>
      <c r="F21" s="9" t="s">
        <v>38</v>
      </c>
      <c r="G21" s="9">
        <v>0</v>
      </c>
      <c r="H21" s="7" t="s">
        <v>84</v>
      </c>
      <c r="I21" s="7" t="s">
        <v>26</v>
      </c>
      <c r="J21" s="7" t="s">
        <v>47</v>
      </c>
      <c r="K21" s="7" t="s">
        <v>85</v>
      </c>
      <c r="L21" s="7" t="s">
        <v>32</v>
      </c>
      <c r="M21" s="7" t="s">
        <v>47</v>
      </c>
    </row>
    <row r="22" spans="1:13" s="13" customFormat="1" hidden="1" x14ac:dyDescent="0.3">
      <c r="A22" s="12">
        <v>3</v>
      </c>
      <c r="B22" s="13" t="s">
        <v>12</v>
      </c>
      <c r="C22" s="12" t="s">
        <v>13</v>
      </c>
      <c r="D22" s="12"/>
      <c r="E22" s="13" t="s">
        <v>23</v>
      </c>
      <c r="F22" s="12" t="s">
        <v>24</v>
      </c>
      <c r="G22" s="12"/>
    </row>
    <row r="23" spans="1:13" hidden="1" x14ac:dyDescent="0.3">
      <c r="B23" s="7" t="s">
        <v>20</v>
      </c>
      <c r="C23" s="9" t="s">
        <v>21</v>
      </c>
      <c r="D23" s="9">
        <v>2</v>
      </c>
      <c r="E23" s="7" t="s">
        <v>33</v>
      </c>
      <c r="F23" s="9" t="s">
        <v>21</v>
      </c>
      <c r="G23" s="9">
        <v>1</v>
      </c>
      <c r="H23" s="7" t="s">
        <v>84</v>
      </c>
      <c r="I23" s="7" t="s">
        <v>26</v>
      </c>
      <c r="J23" s="7" t="s">
        <v>47</v>
      </c>
      <c r="K23" s="7" t="s">
        <v>68</v>
      </c>
      <c r="L23" s="7" t="s">
        <v>29</v>
      </c>
      <c r="M23" s="7" t="s">
        <v>47</v>
      </c>
    </row>
    <row r="24" spans="1:13" hidden="1" x14ac:dyDescent="0.3">
      <c r="B24" s="7" t="s">
        <v>18</v>
      </c>
      <c r="C24" s="9" t="s">
        <v>19</v>
      </c>
      <c r="D24" s="9">
        <v>1</v>
      </c>
      <c r="E24" s="7" t="s">
        <v>31</v>
      </c>
      <c r="F24" s="9" t="s">
        <v>19</v>
      </c>
      <c r="G24" s="9">
        <v>0</v>
      </c>
      <c r="H24" s="7" t="s">
        <v>86</v>
      </c>
      <c r="I24" s="7" t="s">
        <v>15</v>
      </c>
      <c r="J24" s="7" t="s">
        <v>47</v>
      </c>
      <c r="K24" s="7" t="s">
        <v>53</v>
      </c>
      <c r="L24" s="7" t="s">
        <v>54</v>
      </c>
      <c r="M24" s="7" t="s">
        <v>47</v>
      </c>
    </row>
    <row r="25" spans="1:13" hidden="1" x14ac:dyDescent="0.3">
      <c r="B25" s="7" t="s">
        <v>34</v>
      </c>
      <c r="C25" s="9" t="s">
        <v>15</v>
      </c>
      <c r="D25" s="9">
        <v>1</v>
      </c>
      <c r="E25" s="7" t="s">
        <v>30</v>
      </c>
      <c r="F25" s="9" t="s">
        <v>41</v>
      </c>
      <c r="G25" s="9">
        <v>0</v>
      </c>
      <c r="H25" s="7" t="s">
        <v>42</v>
      </c>
      <c r="I25" s="7" t="s">
        <v>38</v>
      </c>
      <c r="J25" s="7" t="s">
        <v>43</v>
      </c>
      <c r="K25" s="7" t="s">
        <v>87</v>
      </c>
      <c r="L25" s="7" t="s">
        <v>13</v>
      </c>
      <c r="M25" s="7" t="s">
        <v>43</v>
      </c>
    </row>
    <row r="26" spans="1:13" hidden="1" x14ac:dyDescent="0.3">
      <c r="B26" s="7" t="s">
        <v>40</v>
      </c>
      <c r="C26" s="9" t="s">
        <v>32</v>
      </c>
      <c r="D26" s="9">
        <v>3</v>
      </c>
      <c r="E26" s="7" t="s">
        <v>35</v>
      </c>
      <c r="F26" s="9" t="s">
        <v>32</v>
      </c>
      <c r="G26" s="9">
        <v>0</v>
      </c>
      <c r="H26" s="7" t="s">
        <v>88</v>
      </c>
      <c r="I26" s="7" t="s">
        <v>13</v>
      </c>
      <c r="J26" s="7" t="s">
        <v>47</v>
      </c>
      <c r="K26" s="7" t="s">
        <v>89</v>
      </c>
      <c r="L26" s="7" t="s">
        <v>57</v>
      </c>
      <c r="M26" s="7" t="s">
        <v>47</v>
      </c>
    </row>
    <row r="27" spans="1:13" hidden="1" x14ac:dyDescent="0.3">
      <c r="B27" s="7" t="s">
        <v>39</v>
      </c>
      <c r="C27" s="9" t="s">
        <v>19</v>
      </c>
      <c r="D27" s="9">
        <v>0</v>
      </c>
      <c r="E27" s="7" t="s">
        <v>27</v>
      </c>
      <c r="F27" s="9" t="s">
        <v>21</v>
      </c>
      <c r="G27" s="9">
        <v>0</v>
      </c>
      <c r="H27" s="7" t="s">
        <v>90</v>
      </c>
      <c r="I27" s="7" t="s">
        <v>46</v>
      </c>
      <c r="J27" s="7" t="s">
        <v>47</v>
      </c>
      <c r="K27" s="7" t="s">
        <v>91</v>
      </c>
      <c r="L27" s="7" t="s">
        <v>15</v>
      </c>
      <c r="M27" s="7" t="s">
        <v>47</v>
      </c>
    </row>
    <row r="28" spans="1:13" hidden="1" x14ac:dyDescent="0.3">
      <c r="B28" s="7" t="s">
        <v>28</v>
      </c>
      <c r="C28" s="9" t="s">
        <v>29</v>
      </c>
      <c r="D28" s="9">
        <v>1</v>
      </c>
      <c r="E28" s="7" t="s">
        <v>16</v>
      </c>
      <c r="F28" s="9" t="s">
        <v>15</v>
      </c>
      <c r="G28" s="9">
        <v>0</v>
      </c>
      <c r="H28" s="7" t="s">
        <v>92</v>
      </c>
      <c r="I28" s="7" t="s">
        <v>32</v>
      </c>
      <c r="J28" s="7" t="s">
        <v>43</v>
      </c>
      <c r="K28" s="7" t="s">
        <v>93</v>
      </c>
      <c r="L28" s="7" t="s">
        <v>19</v>
      </c>
      <c r="M28" s="7" t="s">
        <v>43</v>
      </c>
    </row>
    <row r="29" spans="1:13" hidden="1" x14ac:dyDescent="0.3">
      <c r="B29" s="7" t="s">
        <v>37</v>
      </c>
      <c r="C29" s="9" t="s">
        <v>38</v>
      </c>
      <c r="D29" s="9">
        <v>2</v>
      </c>
      <c r="E29" s="7" t="s">
        <v>17</v>
      </c>
      <c r="F29" s="9" t="s">
        <v>38</v>
      </c>
      <c r="G29" s="9">
        <v>2</v>
      </c>
      <c r="H29" s="7" t="s">
        <v>94</v>
      </c>
      <c r="I29" s="7" t="s">
        <v>19</v>
      </c>
      <c r="J29" s="7" t="s">
        <v>47</v>
      </c>
      <c r="K29" s="7" t="s">
        <v>48</v>
      </c>
      <c r="L29" s="7" t="s">
        <v>19</v>
      </c>
      <c r="M29" s="7" t="s">
        <v>47</v>
      </c>
    </row>
    <row r="30" spans="1:13" hidden="1" x14ac:dyDescent="0.3">
      <c r="B30" s="7" t="s">
        <v>36</v>
      </c>
      <c r="C30" s="9" t="s">
        <v>21</v>
      </c>
      <c r="D30" s="9">
        <v>5</v>
      </c>
      <c r="E30" s="7" t="s">
        <v>14</v>
      </c>
      <c r="F30" s="9" t="s">
        <v>15</v>
      </c>
      <c r="G30" s="9">
        <v>1</v>
      </c>
      <c r="H30" s="7" t="s">
        <v>95</v>
      </c>
      <c r="I30" s="7" t="s">
        <v>57</v>
      </c>
      <c r="J30" s="7" t="s">
        <v>43</v>
      </c>
      <c r="K30" s="7" t="s">
        <v>63</v>
      </c>
      <c r="L30" s="7" t="s">
        <v>19</v>
      </c>
      <c r="M30" s="7" t="s">
        <v>47</v>
      </c>
    </row>
    <row r="31" spans="1:13" hidden="1" x14ac:dyDescent="0.3">
      <c r="B31" s="7" t="s">
        <v>25</v>
      </c>
      <c r="C31" s="9" t="s">
        <v>26</v>
      </c>
      <c r="D31" s="9">
        <v>0</v>
      </c>
      <c r="E31" s="7" t="s">
        <v>22</v>
      </c>
      <c r="F31" s="9" t="s">
        <v>19</v>
      </c>
      <c r="G31" s="9">
        <v>3</v>
      </c>
      <c r="H31" s="7" t="s">
        <v>66</v>
      </c>
      <c r="I31" s="7" t="s">
        <v>13</v>
      </c>
      <c r="J31" s="7" t="s">
        <v>47</v>
      </c>
      <c r="K31" s="7" t="s">
        <v>68</v>
      </c>
      <c r="L31" s="7" t="s">
        <v>29</v>
      </c>
      <c r="M31" s="7" t="s">
        <v>47</v>
      </c>
    </row>
    <row r="32" spans="1:13" hidden="1" x14ac:dyDescent="0.3">
      <c r="A32" s="9">
        <v>4</v>
      </c>
      <c r="B32" s="7" t="s">
        <v>33</v>
      </c>
      <c r="C32" s="9" t="s">
        <v>21</v>
      </c>
      <c r="D32" s="9">
        <v>0</v>
      </c>
      <c r="E32" s="7" t="s">
        <v>12</v>
      </c>
      <c r="F32" s="9" t="s">
        <v>13</v>
      </c>
      <c r="G32" s="9">
        <v>4</v>
      </c>
      <c r="H32" s="7" t="s">
        <v>96</v>
      </c>
      <c r="I32" s="7" t="s">
        <v>54</v>
      </c>
      <c r="J32" s="7" t="s">
        <v>43</v>
      </c>
      <c r="K32" s="7" t="s">
        <v>97</v>
      </c>
      <c r="L32" s="7" t="s">
        <v>19</v>
      </c>
      <c r="M32" s="7" t="s">
        <v>47</v>
      </c>
    </row>
    <row r="33" spans="1:13" hidden="1" x14ac:dyDescent="0.3">
      <c r="B33" s="7" t="s">
        <v>30</v>
      </c>
      <c r="C33" s="9" t="s">
        <v>41</v>
      </c>
      <c r="D33" s="9">
        <v>0</v>
      </c>
      <c r="E33" s="7" t="s">
        <v>40</v>
      </c>
      <c r="F33" s="9" t="s">
        <v>32</v>
      </c>
      <c r="G33" s="9">
        <v>3</v>
      </c>
      <c r="H33" s="7" t="s">
        <v>98</v>
      </c>
      <c r="I33" s="7" t="s">
        <v>50</v>
      </c>
      <c r="J33" s="7" t="s">
        <v>43</v>
      </c>
      <c r="K33" s="7" t="s">
        <v>83</v>
      </c>
      <c r="L33" s="7" t="s">
        <v>19</v>
      </c>
      <c r="M33" s="7" t="s">
        <v>47</v>
      </c>
    </row>
    <row r="34" spans="1:13" hidden="1" x14ac:dyDescent="0.3">
      <c r="B34" s="7" t="s">
        <v>17</v>
      </c>
      <c r="C34" s="9" t="s">
        <v>38</v>
      </c>
      <c r="D34" s="9">
        <v>1</v>
      </c>
      <c r="E34" s="7" t="s">
        <v>34</v>
      </c>
      <c r="F34" s="9" t="s">
        <v>15</v>
      </c>
      <c r="G34" s="9">
        <v>0</v>
      </c>
      <c r="H34" s="7" t="s">
        <v>66</v>
      </c>
      <c r="I34" s="7" t="s">
        <v>13</v>
      </c>
      <c r="J34" s="7" t="s">
        <v>47</v>
      </c>
      <c r="K34" s="7" t="s">
        <v>53</v>
      </c>
      <c r="L34" s="7" t="s">
        <v>54</v>
      </c>
      <c r="M34" s="7" t="s">
        <v>47</v>
      </c>
    </row>
    <row r="35" spans="1:13" hidden="1" x14ac:dyDescent="0.3">
      <c r="B35" s="7" t="s">
        <v>27</v>
      </c>
      <c r="C35" s="9" t="s">
        <v>21</v>
      </c>
      <c r="D35" s="9">
        <v>0</v>
      </c>
      <c r="E35" s="7" t="s">
        <v>36</v>
      </c>
      <c r="F35" s="9" t="s">
        <v>21</v>
      </c>
      <c r="G35" s="9">
        <v>2</v>
      </c>
      <c r="H35" s="7" t="s">
        <v>99</v>
      </c>
      <c r="I35" s="7" t="s">
        <v>19</v>
      </c>
      <c r="J35" s="7" t="s">
        <v>47</v>
      </c>
      <c r="K35" s="7" t="s">
        <v>100</v>
      </c>
      <c r="L35" s="7" t="s">
        <v>29</v>
      </c>
      <c r="M35" s="7" t="s">
        <v>47</v>
      </c>
    </row>
    <row r="36" spans="1:13" hidden="1" x14ac:dyDescent="0.3">
      <c r="B36" s="7" t="s">
        <v>31</v>
      </c>
      <c r="C36" s="9" t="s">
        <v>19</v>
      </c>
      <c r="D36" s="9">
        <v>3</v>
      </c>
      <c r="E36" s="7" t="s">
        <v>20</v>
      </c>
      <c r="F36" s="9" t="s">
        <v>21</v>
      </c>
      <c r="G36" s="9">
        <v>0</v>
      </c>
      <c r="H36" s="7" t="s">
        <v>88</v>
      </c>
      <c r="I36" s="7" t="s">
        <v>13</v>
      </c>
      <c r="J36" s="7" t="s">
        <v>47</v>
      </c>
      <c r="K36" s="7" t="s">
        <v>85</v>
      </c>
      <c r="L36" s="7" t="s">
        <v>32</v>
      </c>
      <c r="M36" s="7" t="s">
        <v>47</v>
      </c>
    </row>
    <row r="37" spans="1:13" hidden="1" x14ac:dyDescent="0.3">
      <c r="B37" s="7" t="s">
        <v>35</v>
      </c>
      <c r="C37" s="9" t="s">
        <v>32</v>
      </c>
      <c r="D37" s="9">
        <v>3</v>
      </c>
      <c r="E37" s="7" t="s">
        <v>37</v>
      </c>
      <c r="F37" s="9" t="s">
        <v>38</v>
      </c>
      <c r="G37" s="9">
        <v>1</v>
      </c>
      <c r="H37" s="7" t="s">
        <v>101</v>
      </c>
      <c r="I37" s="7" t="s">
        <v>102</v>
      </c>
      <c r="J37" s="7" t="s">
        <v>43</v>
      </c>
      <c r="K37" s="7" t="s">
        <v>91</v>
      </c>
      <c r="L37" s="7" t="s">
        <v>15</v>
      </c>
      <c r="M37" s="7" t="s">
        <v>47</v>
      </c>
    </row>
    <row r="38" spans="1:13" hidden="1" x14ac:dyDescent="0.3">
      <c r="B38" s="7" t="s">
        <v>14</v>
      </c>
      <c r="C38" s="9" t="s">
        <v>15</v>
      </c>
      <c r="D38" s="9">
        <v>1</v>
      </c>
      <c r="E38" s="7" t="s">
        <v>28</v>
      </c>
      <c r="F38" s="9" t="s">
        <v>29</v>
      </c>
      <c r="G38" s="9">
        <v>1</v>
      </c>
      <c r="H38" s="7" t="s">
        <v>52</v>
      </c>
      <c r="I38" s="7" t="s">
        <v>21</v>
      </c>
      <c r="J38" s="7" t="s">
        <v>43</v>
      </c>
      <c r="K38" s="7" t="s">
        <v>103</v>
      </c>
      <c r="L38" s="7" t="s">
        <v>38</v>
      </c>
      <c r="M38" s="7" t="s">
        <v>47</v>
      </c>
    </row>
    <row r="39" spans="1:13" hidden="1" x14ac:dyDescent="0.3">
      <c r="B39" s="7" t="s">
        <v>23</v>
      </c>
      <c r="C39" s="9" t="s">
        <v>24</v>
      </c>
      <c r="D39" s="9">
        <v>1</v>
      </c>
      <c r="E39" s="7" t="s">
        <v>18</v>
      </c>
      <c r="F39" s="9" t="s">
        <v>19</v>
      </c>
      <c r="G39" s="9">
        <v>1</v>
      </c>
      <c r="H39" s="7" t="s">
        <v>104</v>
      </c>
      <c r="I39" s="7" t="s">
        <v>57</v>
      </c>
      <c r="J39" s="7" t="s">
        <v>43</v>
      </c>
      <c r="K39" s="7" t="s">
        <v>105</v>
      </c>
      <c r="L39" s="7" t="s">
        <v>21</v>
      </c>
      <c r="M39" s="7" t="s">
        <v>47</v>
      </c>
    </row>
    <row r="40" spans="1:13" hidden="1" x14ac:dyDescent="0.3">
      <c r="B40" s="7" t="s">
        <v>16</v>
      </c>
      <c r="C40" s="9" t="s">
        <v>15</v>
      </c>
      <c r="D40" s="9">
        <v>1</v>
      </c>
      <c r="E40" s="7" t="s">
        <v>25</v>
      </c>
      <c r="F40" s="9" t="s">
        <v>26</v>
      </c>
      <c r="G40" s="9">
        <v>1</v>
      </c>
      <c r="H40" s="7" t="s">
        <v>106</v>
      </c>
      <c r="I40" s="7" t="s">
        <v>19</v>
      </c>
      <c r="J40" s="7" t="s">
        <v>47</v>
      </c>
      <c r="K40" s="7" t="s">
        <v>63</v>
      </c>
      <c r="L40" s="7" t="s">
        <v>19</v>
      </c>
      <c r="M40" s="7" t="s">
        <v>47</v>
      </c>
    </row>
    <row r="41" spans="1:13" hidden="1" x14ac:dyDescent="0.3">
      <c r="B41" s="7" t="s">
        <v>22</v>
      </c>
      <c r="C41" s="9" t="s">
        <v>19</v>
      </c>
      <c r="D41" s="9">
        <v>0</v>
      </c>
      <c r="E41" s="7" t="s">
        <v>39</v>
      </c>
      <c r="F41" s="9" t="s">
        <v>19</v>
      </c>
      <c r="G41" s="9">
        <v>0</v>
      </c>
      <c r="H41" s="7" t="s">
        <v>84</v>
      </c>
      <c r="I41" s="7" t="s">
        <v>26</v>
      </c>
      <c r="J41" s="7" t="s">
        <v>47</v>
      </c>
      <c r="K41" s="7" t="s">
        <v>56</v>
      </c>
      <c r="L41" s="7" t="s">
        <v>57</v>
      </c>
      <c r="M41" s="7" t="s">
        <v>47</v>
      </c>
    </row>
    <row r="42" spans="1:13" hidden="1" x14ac:dyDescent="0.3">
      <c r="A42" s="9">
        <v>5</v>
      </c>
      <c r="B42" s="7" t="s">
        <v>34</v>
      </c>
      <c r="C42" s="9" t="s">
        <v>15</v>
      </c>
      <c r="E42" s="7" t="s">
        <v>12</v>
      </c>
      <c r="F42" s="9" t="s">
        <v>13</v>
      </c>
    </row>
    <row r="43" spans="1:13" hidden="1" x14ac:dyDescent="0.3">
      <c r="B43" s="7" t="s">
        <v>35</v>
      </c>
      <c r="C43" s="9" t="s">
        <v>32</v>
      </c>
      <c r="E43" s="7" t="s">
        <v>16</v>
      </c>
      <c r="F43" s="9" t="s">
        <v>15</v>
      </c>
    </row>
    <row r="44" spans="1:13" hidden="1" x14ac:dyDescent="0.3">
      <c r="B44" s="7" t="s">
        <v>20</v>
      </c>
      <c r="C44" s="9" t="s">
        <v>21</v>
      </c>
      <c r="D44" s="9">
        <v>2</v>
      </c>
      <c r="E44" s="7" t="s">
        <v>40</v>
      </c>
      <c r="F44" s="9" t="s">
        <v>32</v>
      </c>
      <c r="G44" s="9">
        <v>2</v>
      </c>
      <c r="H44" s="7" t="s">
        <v>99</v>
      </c>
      <c r="I44" s="7" t="s">
        <v>19</v>
      </c>
      <c r="J44" s="7" t="s">
        <v>47</v>
      </c>
      <c r="K44" s="7" t="s">
        <v>97</v>
      </c>
      <c r="L44" s="7" t="s">
        <v>19</v>
      </c>
      <c r="M44" s="7" t="s">
        <v>47</v>
      </c>
    </row>
    <row r="45" spans="1:13" hidden="1" x14ac:dyDescent="0.3">
      <c r="B45" s="7" t="s">
        <v>18</v>
      </c>
      <c r="C45" s="9" t="s">
        <v>19</v>
      </c>
      <c r="D45" s="9">
        <v>1</v>
      </c>
      <c r="E45" s="7" t="s">
        <v>27</v>
      </c>
      <c r="F45" s="9" t="s">
        <v>21</v>
      </c>
      <c r="G45" s="9">
        <v>1</v>
      </c>
      <c r="H45" s="7" t="s">
        <v>72</v>
      </c>
      <c r="I45" s="7" t="s">
        <v>32</v>
      </c>
      <c r="J45" s="7" t="s">
        <v>47</v>
      </c>
      <c r="K45" s="7" t="s">
        <v>91</v>
      </c>
      <c r="L45" s="7" t="s">
        <v>15</v>
      </c>
      <c r="M45" s="7" t="s">
        <v>47</v>
      </c>
    </row>
    <row r="46" spans="1:13" hidden="1" x14ac:dyDescent="0.3">
      <c r="B46" s="7" t="s">
        <v>31</v>
      </c>
      <c r="C46" s="9" t="s">
        <v>19</v>
      </c>
      <c r="D46" s="9">
        <v>0</v>
      </c>
      <c r="E46" s="7" t="s">
        <v>23</v>
      </c>
      <c r="F46" s="9" t="s">
        <v>24</v>
      </c>
      <c r="G46" s="9">
        <v>0</v>
      </c>
      <c r="H46" s="7" t="s">
        <v>92</v>
      </c>
      <c r="I46" s="7" t="s">
        <v>32</v>
      </c>
      <c r="J46" s="7" t="s">
        <v>43</v>
      </c>
      <c r="K46" s="7" t="s">
        <v>51</v>
      </c>
      <c r="L46" s="7" t="s">
        <v>46</v>
      </c>
      <c r="M46" s="7" t="s">
        <v>43</v>
      </c>
    </row>
    <row r="47" spans="1:13" hidden="1" x14ac:dyDescent="0.3">
      <c r="B47" s="7" t="s">
        <v>37</v>
      </c>
      <c r="C47" s="9" t="s">
        <v>38</v>
      </c>
      <c r="D47" s="9">
        <v>1</v>
      </c>
      <c r="E47" s="7" t="s">
        <v>22</v>
      </c>
      <c r="F47" s="9" t="s">
        <v>19</v>
      </c>
      <c r="G47" s="9">
        <v>3</v>
      </c>
      <c r="H47" s="7" t="s">
        <v>88</v>
      </c>
      <c r="I47" s="7" t="s">
        <v>13</v>
      </c>
      <c r="J47" s="7" t="s">
        <v>47</v>
      </c>
      <c r="K47" s="7" t="s">
        <v>100</v>
      </c>
      <c r="L47" s="7" t="s">
        <v>29</v>
      </c>
      <c r="M47" s="7" t="s">
        <v>47</v>
      </c>
    </row>
    <row r="48" spans="1:13" hidden="1" x14ac:dyDescent="0.3">
      <c r="B48" s="7" t="s">
        <v>28</v>
      </c>
      <c r="C48" s="9" t="s">
        <v>29</v>
      </c>
      <c r="D48" s="9">
        <v>1</v>
      </c>
      <c r="E48" s="7" t="s">
        <v>33</v>
      </c>
      <c r="F48" s="9" t="s">
        <v>21</v>
      </c>
      <c r="G48" s="9">
        <v>0</v>
      </c>
      <c r="H48" s="7" t="s">
        <v>107</v>
      </c>
      <c r="I48" s="7" t="s">
        <v>15</v>
      </c>
      <c r="J48" s="7" t="s">
        <v>47</v>
      </c>
      <c r="K48" s="7" t="s">
        <v>108</v>
      </c>
      <c r="L48" s="7" t="s">
        <v>54</v>
      </c>
      <c r="M48" s="7" t="s">
        <v>47</v>
      </c>
    </row>
    <row r="49" spans="1:13" x14ac:dyDescent="0.3">
      <c r="B49" s="7" t="s">
        <v>30</v>
      </c>
      <c r="C49" s="9" t="s">
        <v>41</v>
      </c>
      <c r="D49" s="9">
        <v>0</v>
      </c>
      <c r="E49" s="7" t="s">
        <v>39</v>
      </c>
      <c r="F49" s="9" t="s">
        <v>19</v>
      </c>
      <c r="G49" s="9">
        <v>2</v>
      </c>
      <c r="H49" s="7" t="s">
        <v>74</v>
      </c>
      <c r="I49" s="7" t="s">
        <v>21</v>
      </c>
      <c r="J49" s="7" t="s">
        <v>47</v>
      </c>
      <c r="K49" s="7" t="s">
        <v>109</v>
      </c>
      <c r="L49" s="7" t="s">
        <v>13</v>
      </c>
      <c r="M49" s="7" t="s">
        <v>47</v>
      </c>
    </row>
    <row r="50" spans="1:13" hidden="1" x14ac:dyDescent="0.3">
      <c r="B50" s="7" t="s">
        <v>36</v>
      </c>
      <c r="C50" s="9" t="s">
        <v>21</v>
      </c>
      <c r="D50" s="9">
        <v>1</v>
      </c>
      <c r="E50" s="7" t="s">
        <v>17</v>
      </c>
      <c r="F50" s="9" t="s">
        <v>38</v>
      </c>
      <c r="G50" s="9">
        <v>2</v>
      </c>
      <c r="H50" s="7" t="s">
        <v>86</v>
      </c>
      <c r="I50" s="7" t="s">
        <v>15</v>
      </c>
      <c r="J50" s="7" t="s">
        <v>47</v>
      </c>
      <c r="K50" s="7" t="s">
        <v>85</v>
      </c>
      <c r="L50" s="7" t="s">
        <v>32</v>
      </c>
      <c r="M50" s="7" t="s">
        <v>47</v>
      </c>
    </row>
    <row r="51" spans="1:13" hidden="1" x14ac:dyDescent="0.3">
      <c r="B51" s="7" t="s">
        <v>14</v>
      </c>
      <c r="C51" s="9" t="s">
        <v>15</v>
      </c>
      <c r="D51" s="9">
        <v>1</v>
      </c>
      <c r="E51" s="7" t="s">
        <v>25</v>
      </c>
      <c r="F51" s="9" t="s">
        <v>26</v>
      </c>
      <c r="G51" s="9">
        <v>0</v>
      </c>
      <c r="H51" s="7" t="s">
        <v>99</v>
      </c>
      <c r="I51" s="7" t="s">
        <v>19</v>
      </c>
      <c r="J51" s="7" t="s">
        <v>47</v>
      </c>
      <c r="K51" s="7" t="s">
        <v>87</v>
      </c>
      <c r="L51" s="7" t="s">
        <v>13</v>
      </c>
      <c r="M51" s="7" t="s">
        <v>43</v>
      </c>
    </row>
    <row r="52" spans="1:13" hidden="1" x14ac:dyDescent="0.3">
      <c r="A52" s="9">
        <v>6</v>
      </c>
      <c r="B52" s="7" t="s">
        <v>40</v>
      </c>
      <c r="C52" s="9" t="s">
        <v>32</v>
      </c>
      <c r="E52" s="7" t="s">
        <v>34</v>
      </c>
      <c r="F52" s="9" t="s">
        <v>15</v>
      </c>
    </row>
    <row r="53" spans="1:13" hidden="1" x14ac:dyDescent="0.3">
      <c r="B53" s="7" t="s">
        <v>16</v>
      </c>
      <c r="C53" s="9" t="s">
        <v>15</v>
      </c>
      <c r="E53" s="7" t="s">
        <v>14</v>
      </c>
      <c r="F53" s="9" t="s">
        <v>15</v>
      </c>
    </row>
    <row r="54" spans="1:13" hidden="1" x14ac:dyDescent="0.3">
      <c r="B54" s="7" t="s">
        <v>27</v>
      </c>
      <c r="C54" s="9" t="s">
        <v>21</v>
      </c>
      <c r="D54" s="9">
        <v>2</v>
      </c>
      <c r="E54" s="7" t="s">
        <v>31</v>
      </c>
      <c r="F54" s="9" t="s">
        <v>19</v>
      </c>
      <c r="G54" s="9">
        <v>0</v>
      </c>
      <c r="H54" s="7" t="s">
        <v>88</v>
      </c>
      <c r="I54" s="7" t="s">
        <v>13</v>
      </c>
      <c r="J54" s="7" t="s">
        <v>47</v>
      </c>
      <c r="K54" s="7" t="s">
        <v>100</v>
      </c>
      <c r="L54" s="7" t="s">
        <v>29</v>
      </c>
      <c r="M54" s="7" t="s">
        <v>47</v>
      </c>
    </row>
    <row r="55" spans="1:13" hidden="1" x14ac:dyDescent="0.3">
      <c r="B55" s="7" t="s">
        <v>23</v>
      </c>
      <c r="C55" s="9" t="s">
        <v>24</v>
      </c>
      <c r="D55" s="9">
        <v>1</v>
      </c>
      <c r="E55" s="7" t="s">
        <v>36</v>
      </c>
      <c r="F55" s="9" t="s">
        <v>21</v>
      </c>
      <c r="G55" s="9">
        <v>1</v>
      </c>
      <c r="H55" s="7" t="s">
        <v>110</v>
      </c>
      <c r="I55" s="7" t="s">
        <v>26</v>
      </c>
      <c r="J55" s="7" t="s">
        <v>47</v>
      </c>
      <c r="K55" s="7" t="s">
        <v>87</v>
      </c>
      <c r="L55" s="7" t="s">
        <v>13</v>
      </c>
      <c r="M55" s="7" t="s">
        <v>43</v>
      </c>
    </row>
    <row r="56" spans="1:13" hidden="1" x14ac:dyDescent="0.3">
      <c r="B56" s="7" t="s">
        <v>25</v>
      </c>
      <c r="C56" s="9" t="s">
        <v>26</v>
      </c>
      <c r="D56" s="9">
        <v>0</v>
      </c>
      <c r="E56" s="7" t="s">
        <v>35</v>
      </c>
      <c r="F56" s="9" t="s">
        <v>32</v>
      </c>
      <c r="G56" s="9">
        <v>1</v>
      </c>
      <c r="H56" s="7" t="s">
        <v>45</v>
      </c>
      <c r="I56" s="7" t="s">
        <v>46</v>
      </c>
      <c r="J56" s="7" t="s">
        <v>47</v>
      </c>
      <c r="K56" s="7" t="s">
        <v>111</v>
      </c>
      <c r="L56" s="7" t="s">
        <v>13</v>
      </c>
      <c r="M56" s="7" t="s">
        <v>43</v>
      </c>
    </row>
    <row r="57" spans="1:13" hidden="1" x14ac:dyDescent="0.3">
      <c r="B57" s="7" t="s">
        <v>39</v>
      </c>
      <c r="C57" s="9" t="s">
        <v>19</v>
      </c>
      <c r="D57" s="9">
        <v>0</v>
      </c>
      <c r="E57" s="7" t="s">
        <v>28</v>
      </c>
      <c r="F57" s="9" t="s">
        <v>29</v>
      </c>
      <c r="G57" s="9">
        <v>2</v>
      </c>
      <c r="H57" s="7" t="s">
        <v>67</v>
      </c>
      <c r="I57" s="7" t="s">
        <v>13</v>
      </c>
      <c r="J57" s="7" t="s">
        <v>47</v>
      </c>
      <c r="K57" s="7" t="s">
        <v>56</v>
      </c>
      <c r="L57" s="7" t="s">
        <v>57</v>
      </c>
      <c r="M57" s="7" t="s">
        <v>47</v>
      </c>
    </row>
    <row r="58" spans="1:13" hidden="1" x14ac:dyDescent="0.3">
      <c r="B58" s="7" t="s">
        <v>17</v>
      </c>
      <c r="C58" s="9" t="s">
        <v>38</v>
      </c>
      <c r="D58" s="9">
        <v>1</v>
      </c>
      <c r="E58" s="7" t="s">
        <v>18</v>
      </c>
      <c r="F58" s="9" t="s">
        <v>19</v>
      </c>
      <c r="G58" s="9">
        <v>0</v>
      </c>
      <c r="H58" s="7" t="s">
        <v>112</v>
      </c>
      <c r="I58" s="7" t="s">
        <v>13</v>
      </c>
      <c r="J58" s="7" t="s">
        <v>43</v>
      </c>
      <c r="K58" s="7" t="s">
        <v>113</v>
      </c>
      <c r="L58" s="7" t="s">
        <v>46</v>
      </c>
      <c r="M58" s="7" t="s">
        <v>43</v>
      </c>
    </row>
    <row r="59" spans="1:13" hidden="1" x14ac:dyDescent="0.3">
      <c r="B59" s="7" t="s">
        <v>33</v>
      </c>
      <c r="C59" s="9" t="s">
        <v>21</v>
      </c>
      <c r="D59" s="9">
        <v>2</v>
      </c>
      <c r="E59" s="7" t="s">
        <v>37</v>
      </c>
      <c r="F59" s="9" t="s">
        <v>38</v>
      </c>
      <c r="G59" s="9">
        <v>1</v>
      </c>
      <c r="H59" s="7" t="s">
        <v>99</v>
      </c>
      <c r="I59" s="7" t="s">
        <v>19</v>
      </c>
      <c r="J59" s="7" t="s">
        <v>47</v>
      </c>
      <c r="K59" s="7" t="s">
        <v>114</v>
      </c>
      <c r="L59" s="7" t="s">
        <v>19</v>
      </c>
      <c r="M59" s="7" t="s">
        <v>47</v>
      </c>
    </row>
    <row r="60" spans="1:13" hidden="1" x14ac:dyDescent="0.3">
      <c r="B60" s="7" t="s">
        <v>22</v>
      </c>
      <c r="C60" s="9" t="s">
        <v>19</v>
      </c>
      <c r="D60" s="9">
        <v>2</v>
      </c>
      <c r="E60" s="7" t="s">
        <v>20</v>
      </c>
      <c r="F60" s="9" t="s">
        <v>21</v>
      </c>
      <c r="G60" s="9">
        <v>1</v>
      </c>
      <c r="H60" s="7" t="s">
        <v>107</v>
      </c>
      <c r="I60" s="7" t="s">
        <v>15</v>
      </c>
      <c r="J60" s="7" t="s">
        <v>47</v>
      </c>
      <c r="K60" s="7" t="s">
        <v>53</v>
      </c>
      <c r="L60" s="7" t="s">
        <v>54</v>
      </c>
      <c r="M60" s="7" t="s">
        <v>47</v>
      </c>
    </row>
    <row r="61" spans="1:13" x14ac:dyDescent="0.3">
      <c r="B61" s="7" t="s">
        <v>12</v>
      </c>
      <c r="C61" s="9" t="s">
        <v>13</v>
      </c>
      <c r="D61" s="9">
        <v>2</v>
      </c>
      <c r="E61" s="7" t="s">
        <v>30</v>
      </c>
      <c r="F61" s="9" t="s">
        <v>41</v>
      </c>
      <c r="G61" s="9">
        <v>5</v>
      </c>
      <c r="H61" s="7" t="s">
        <v>74</v>
      </c>
      <c r="I61" s="7" t="s">
        <v>21</v>
      </c>
      <c r="J61" s="7" t="s">
        <v>47</v>
      </c>
      <c r="K61" s="7" t="s">
        <v>75</v>
      </c>
      <c r="L61" s="7" t="s">
        <v>21</v>
      </c>
      <c r="M61" s="7" t="s">
        <v>43</v>
      </c>
    </row>
    <row r="62" spans="1:13" hidden="1" x14ac:dyDescent="0.3">
      <c r="A62" s="9">
        <v>7</v>
      </c>
      <c r="B62" s="7" t="s">
        <v>34</v>
      </c>
      <c r="C62" s="9" t="s">
        <v>15</v>
      </c>
      <c r="D62" s="9">
        <v>0</v>
      </c>
      <c r="E62" s="7" t="s">
        <v>18</v>
      </c>
      <c r="F62" s="9" t="s">
        <v>19</v>
      </c>
      <c r="G62" s="9">
        <v>2</v>
      </c>
      <c r="H62" s="7" t="s">
        <v>88</v>
      </c>
      <c r="I62" s="7" t="s">
        <v>13</v>
      </c>
      <c r="J62" s="7" t="s">
        <v>47</v>
      </c>
      <c r="K62" s="7" t="s">
        <v>75</v>
      </c>
      <c r="L62" s="7" t="s">
        <v>21</v>
      </c>
      <c r="M62" s="7" t="s">
        <v>43</v>
      </c>
    </row>
    <row r="63" spans="1:13" hidden="1" x14ac:dyDescent="0.3">
      <c r="B63" s="7" t="s">
        <v>37</v>
      </c>
      <c r="C63" s="9" t="s">
        <v>38</v>
      </c>
      <c r="D63" s="9">
        <v>0</v>
      </c>
      <c r="E63" s="7" t="s">
        <v>25</v>
      </c>
      <c r="F63" s="9" t="s">
        <v>26</v>
      </c>
      <c r="G63" s="9">
        <v>2</v>
      </c>
      <c r="H63" s="7" t="s">
        <v>115</v>
      </c>
      <c r="I63" s="7" t="s">
        <v>29</v>
      </c>
      <c r="J63" s="7" t="s">
        <v>43</v>
      </c>
      <c r="K63" s="7" t="s">
        <v>63</v>
      </c>
      <c r="L63" s="7" t="s">
        <v>19</v>
      </c>
      <c r="M63" s="7" t="s">
        <v>47</v>
      </c>
    </row>
    <row r="64" spans="1:13" hidden="1" x14ac:dyDescent="0.3">
      <c r="B64" s="7" t="s">
        <v>20</v>
      </c>
      <c r="C64" s="9" t="s">
        <v>21</v>
      </c>
      <c r="D64" s="9">
        <v>1</v>
      </c>
      <c r="E64" s="7" t="s">
        <v>14</v>
      </c>
      <c r="F64" s="9" t="s">
        <v>15</v>
      </c>
      <c r="G64" s="9">
        <v>1</v>
      </c>
      <c r="H64" s="7" t="s">
        <v>64</v>
      </c>
      <c r="I64" s="7" t="s">
        <v>19</v>
      </c>
      <c r="J64" s="7" t="s">
        <v>43</v>
      </c>
      <c r="K64" s="7" t="s">
        <v>56</v>
      </c>
      <c r="L64" s="7" t="s">
        <v>57</v>
      </c>
      <c r="M64" s="7" t="s">
        <v>47</v>
      </c>
    </row>
    <row r="65" spans="1:13" hidden="1" x14ac:dyDescent="0.3">
      <c r="B65" s="7" t="s">
        <v>30</v>
      </c>
      <c r="C65" s="9" t="s">
        <v>41</v>
      </c>
      <c r="D65" s="9">
        <v>0</v>
      </c>
      <c r="E65" s="7" t="s">
        <v>16</v>
      </c>
      <c r="F65" s="9" t="s">
        <v>15</v>
      </c>
      <c r="G65" s="9">
        <v>1</v>
      </c>
      <c r="H65" s="7" t="s">
        <v>116</v>
      </c>
      <c r="I65" s="7" t="s">
        <v>26</v>
      </c>
      <c r="J65" s="7" t="s">
        <v>43</v>
      </c>
      <c r="K65" s="7" t="s">
        <v>117</v>
      </c>
      <c r="L65" s="7" t="s">
        <v>21</v>
      </c>
      <c r="M65" s="7" t="s">
        <v>47</v>
      </c>
    </row>
    <row r="66" spans="1:13" hidden="1" x14ac:dyDescent="0.3">
      <c r="B66" s="7" t="s">
        <v>31</v>
      </c>
      <c r="C66" s="9" t="s">
        <v>19</v>
      </c>
      <c r="D66" s="9">
        <v>0</v>
      </c>
      <c r="E66" s="7" t="s">
        <v>36</v>
      </c>
      <c r="F66" s="9" t="s">
        <v>21</v>
      </c>
      <c r="G66" s="9">
        <v>1</v>
      </c>
      <c r="H66" s="7" t="s">
        <v>107</v>
      </c>
      <c r="I66" s="7" t="s">
        <v>15</v>
      </c>
      <c r="J66" s="7" t="s">
        <v>47</v>
      </c>
      <c r="K66" s="7" t="s">
        <v>53</v>
      </c>
      <c r="L66" s="7" t="s">
        <v>54</v>
      </c>
      <c r="M66" s="7" t="s">
        <v>47</v>
      </c>
    </row>
    <row r="67" spans="1:13" hidden="1" x14ac:dyDescent="0.3">
      <c r="B67" s="7" t="s">
        <v>33</v>
      </c>
      <c r="C67" s="9" t="s">
        <v>21</v>
      </c>
      <c r="D67" s="9">
        <v>1</v>
      </c>
      <c r="E67" s="7" t="s">
        <v>27</v>
      </c>
      <c r="F67" s="9" t="s">
        <v>21</v>
      </c>
      <c r="G67" s="9">
        <v>6</v>
      </c>
      <c r="H67" s="7" t="s">
        <v>67</v>
      </c>
      <c r="I67" s="7" t="s">
        <v>13</v>
      </c>
      <c r="J67" s="7" t="s">
        <v>47</v>
      </c>
      <c r="K67" s="7" t="s">
        <v>111</v>
      </c>
      <c r="L67" s="7" t="s">
        <v>13</v>
      </c>
      <c r="M67" s="7" t="s">
        <v>43</v>
      </c>
    </row>
    <row r="68" spans="1:13" hidden="1" x14ac:dyDescent="0.3">
      <c r="B68" s="7" t="s">
        <v>12</v>
      </c>
      <c r="C68" s="9" t="s">
        <v>13</v>
      </c>
      <c r="D68" s="9">
        <v>1</v>
      </c>
      <c r="E68" s="7" t="s">
        <v>39</v>
      </c>
      <c r="F68" s="9" t="s">
        <v>19</v>
      </c>
      <c r="G68" s="9">
        <v>2</v>
      </c>
      <c r="H68" s="7" t="s">
        <v>86</v>
      </c>
      <c r="I68" s="7" t="s">
        <v>15</v>
      </c>
      <c r="J68" s="7" t="s">
        <v>47</v>
      </c>
      <c r="K68" s="7" t="s">
        <v>85</v>
      </c>
      <c r="L68" s="7" t="s">
        <v>32</v>
      </c>
      <c r="M68" s="7" t="s">
        <v>47</v>
      </c>
    </row>
    <row r="69" spans="1:13" x14ac:dyDescent="0.3">
      <c r="B69" s="7" t="s">
        <v>40</v>
      </c>
      <c r="C69" s="9" t="s">
        <v>32</v>
      </c>
      <c r="D69" s="9">
        <v>1</v>
      </c>
      <c r="E69" s="7" t="s">
        <v>17</v>
      </c>
      <c r="F69" s="9" t="s">
        <v>38</v>
      </c>
      <c r="G69" s="9">
        <v>1</v>
      </c>
      <c r="H69" s="7" t="s">
        <v>74</v>
      </c>
      <c r="I69" s="7" t="s">
        <v>21</v>
      </c>
      <c r="J69" s="7" t="s">
        <v>47</v>
      </c>
      <c r="K69" s="7" t="s">
        <v>87</v>
      </c>
      <c r="L69" s="7" t="s">
        <v>13</v>
      </c>
      <c r="M69" s="7" t="s">
        <v>47</v>
      </c>
    </row>
    <row r="70" spans="1:13" hidden="1" x14ac:dyDescent="0.3">
      <c r="B70" s="7" t="s">
        <v>22</v>
      </c>
      <c r="C70" s="9" t="s">
        <v>19</v>
      </c>
      <c r="D70" s="9">
        <v>2</v>
      </c>
      <c r="E70" s="7" t="s">
        <v>35</v>
      </c>
      <c r="F70" s="9" t="s">
        <v>32</v>
      </c>
      <c r="G70" s="9">
        <v>0</v>
      </c>
      <c r="H70" s="7" t="s">
        <v>118</v>
      </c>
      <c r="I70" s="7" t="s">
        <v>29</v>
      </c>
      <c r="J70" s="7" t="s">
        <v>43</v>
      </c>
      <c r="K70" s="7" t="s">
        <v>56</v>
      </c>
      <c r="L70" s="7" t="s">
        <v>57</v>
      </c>
      <c r="M70" s="7" t="s">
        <v>47</v>
      </c>
    </row>
    <row r="71" spans="1:13" hidden="1" x14ac:dyDescent="0.3">
      <c r="B71" s="7" t="s">
        <v>23</v>
      </c>
      <c r="C71" s="9" t="s">
        <v>24</v>
      </c>
      <c r="D71" s="9">
        <v>1</v>
      </c>
      <c r="E71" s="7" t="s">
        <v>28</v>
      </c>
      <c r="F71" s="9" t="s">
        <v>29</v>
      </c>
      <c r="G71" s="9">
        <v>0</v>
      </c>
      <c r="H71" s="7" t="s">
        <v>119</v>
      </c>
      <c r="I71" s="7" t="s">
        <v>19</v>
      </c>
      <c r="J71" s="7" t="s">
        <v>43</v>
      </c>
      <c r="K71" s="7" t="s">
        <v>120</v>
      </c>
      <c r="L71" s="7" t="s">
        <v>32</v>
      </c>
      <c r="M71" s="7" t="s">
        <v>43</v>
      </c>
    </row>
    <row r="72" spans="1:13" hidden="1" x14ac:dyDescent="0.3">
      <c r="A72" s="9">
        <v>8</v>
      </c>
      <c r="B72" s="7" t="s">
        <v>14</v>
      </c>
      <c r="C72" s="9" t="s">
        <v>15</v>
      </c>
      <c r="D72" s="9">
        <v>1</v>
      </c>
      <c r="E72" s="7" t="s">
        <v>37</v>
      </c>
      <c r="F72" s="9" t="s">
        <v>38</v>
      </c>
      <c r="G72" s="9">
        <v>1</v>
      </c>
      <c r="H72" s="7" t="s">
        <v>121</v>
      </c>
      <c r="I72" s="7" t="s">
        <v>21</v>
      </c>
      <c r="J72" s="7" t="s">
        <v>43</v>
      </c>
      <c r="K72" s="7" t="s">
        <v>111</v>
      </c>
      <c r="L72" s="7" t="s">
        <v>13</v>
      </c>
      <c r="M72" s="7" t="s">
        <v>43</v>
      </c>
    </row>
    <row r="73" spans="1:13" hidden="1" x14ac:dyDescent="0.3">
      <c r="B73" s="7" t="s">
        <v>25</v>
      </c>
      <c r="C73" s="9" t="s">
        <v>26</v>
      </c>
      <c r="D73" s="9">
        <v>2</v>
      </c>
      <c r="E73" s="7" t="s">
        <v>31</v>
      </c>
      <c r="F73" s="9" t="s">
        <v>19</v>
      </c>
      <c r="G73" s="9">
        <v>2</v>
      </c>
      <c r="H73" s="7" t="s">
        <v>72</v>
      </c>
      <c r="I73" s="7" t="s">
        <v>32</v>
      </c>
      <c r="J73" s="7" t="s">
        <v>47</v>
      </c>
      <c r="K73" s="7" t="s">
        <v>122</v>
      </c>
      <c r="L73" s="7" t="s">
        <v>21</v>
      </c>
      <c r="M73" s="7" t="s">
        <v>43</v>
      </c>
    </row>
    <row r="74" spans="1:13" hidden="1" x14ac:dyDescent="0.3">
      <c r="B74" s="7" t="s">
        <v>36</v>
      </c>
      <c r="C74" s="9" t="s">
        <v>21</v>
      </c>
      <c r="D74" s="9">
        <v>1</v>
      </c>
      <c r="E74" s="7" t="s">
        <v>20</v>
      </c>
      <c r="F74" s="9" t="s">
        <v>21</v>
      </c>
      <c r="G74" s="9">
        <v>0</v>
      </c>
      <c r="H74" s="7" t="s">
        <v>62</v>
      </c>
      <c r="I74" s="7" t="s">
        <v>19</v>
      </c>
      <c r="J74" s="7" t="s">
        <v>47</v>
      </c>
      <c r="K74" s="7" t="s">
        <v>87</v>
      </c>
      <c r="L74" s="7" t="s">
        <v>13</v>
      </c>
      <c r="M74" s="7" t="s">
        <v>43</v>
      </c>
    </row>
    <row r="75" spans="1:13" hidden="1" x14ac:dyDescent="0.3">
      <c r="B75" s="7" t="s">
        <v>18</v>
      </c>
      <c r="C75" s="9" t="s">
        <v>19</v>
      </c>
      <c r="D75" s="9">
        <v>1</v>
      </c>
      <c r="E75" s="7" t="s">
        <v>40</v>
      </c>
      <c r="F75" s="9" t="s">
        <v>32</v>
      </c>
      <c r="G75" s="9">
        <v>2</v>
      </c>
      <c r="H75" s="7" t="s">
        <v>86</v>
      </c>
      <c r="I75" s="7" t="s">
        <v>15</v>
      </c>
      <c r="J75" s="7" t="s">
        <v>47</v>
      </c>
      <c r="K75" s="7" t="s">
        <v>117</v>
      </c>
      <c r="L75" s="7" t="s">
        <v>21</v>
      </c>
      <c r="M75" s="7" t="s">
        <v>47</v>
      </c>
    </row>
    <row r="76" spans="1:13" hidden="1" x14ac:dyDescent="0.3">
      <c r="B76" s="7" t="s">
        <v>35</v>
      </c>
      <c r="C76" s="9" t="s">
        <v>32</v>
      </c>
      <c r="D76" s="9">
        <v>2</v>
      </c>
      <c r="E76" s="7" t="s">
        <v>30</v>
      </c>
      <c r="F76" s="9" t="s">
        <v>41</v>
      </c>
      <c r="G76" s="9">
        <v>1</v>
      </c>
      <c r="H76" s="7" t="s">
        <v>70</v>
      </c>
      <c r="I76" s="7" t="s">
        <v>24</v>
      </c>
      <c r="J76" s="7" t="s">
        <v>43</v>
      </c>
      <c r="K76" s="7" t="s">
        <v>109</v>
      </c>
      <c r="L76" s="7" t="s">
        <v>13</v>
      </c>
      <c r="M76" s="7" t="s">
        <v>47</v>
      </c>
    </row>
    <row r="77" spans="1:13" hidden="1" x14ac:dyDescent="0.3">
      <c r="B77" s="7" t="s">
        <v>27</v>
      </c>
      <c r="C77" s="9" t="s">
        <v>21</v>
      </c>
      <c r="D77" s="9">
        <v>2</v>
      </c>
      <c r="E77" s="7" t="s">
        <v>34</v>
      </c>
      <c r="F77" s="9" t="s">
        <v>15</v>
      </c>
      <c r="G77" s="9">
        <v>1</v>
      </c>
      <c r="H77" s="7" t="s">
        <v>123</v>
      </c>
      <c r="I77" s="7" t="s">
        <v>19</v>
      </c>
      <c r="J77" s="7" t="s">
        <v>43</v>
      </c>
      <c r="K77" s="7" t="s">
        <v>124</v>
      </c>
      <c r="L77" s="7" t="s">
        <v>32</v>
      </c>
      <c r="M77" s="7" t="s">
        <v>47</v>
      </c>
    </row>
    <row r="78" spans="1:13" hidden="1" x14ac:dyDescent="0.3">
      <c r="B78" s="7" t="s">
        <v>16</v>
      </c>
      <c r="C78" s="9" t="s">
        <v>15</v>
      </c>
      <c r="D78" s="9">
        <v>0</v>
      </c>
      <c r="E78" s="7" t="s">
        <v>22</v>
      </c>
      <c r="F78" s="9" t="s">
        <v>19</v>
      </c>
      <c r="G78" s="9">
        <v>0</v>
      </c>
      <c r="H78" s="7" t="s">
        <v>67</v>
      </c>
      <c r="I78" s="7" t="s">
        <v>13</v>
      </c>
      <c r="J78" s="7" t="s">
        <v>47</v>
      </c>
      <c r="K78" s="7" t="s">
        <v>51</v>
      </c>
      <c r="L78" s="7" t="s">
        <v>46</v>
      </c>
      <c r="M78" s="7" t="s">
        <v>43</v>
      </c>
    </row>
    <row r="79" spans="1:13" hidden="1" x14ac:dyDescent="0.3">
      <c r="B79" s="7" t="s">
        <v>28</v>
      </c>
      <c r="C79" s="9" t="s">
        <v>29</v>
      </c>
      <c r="D79" s="9">
        <v>3</v>
      </c>
      <c r="E79" s="7" t="s">
        <v>12</v>
      </c>
      <c r="F79" s="9" t="s">
        <v>13</v>
      </c>
      <c r="G79" s="9">
        <v>1</v>
      </c>
      <c r="H79" s="7" t="s">
        <v>58</v>
      </c>
      <c r="I79" s="7" t="s">
        <v>15</v>
      </c>
      <c r="J79" s="7" t="s">
        <v>43</v>
      </c>
      <c r="K79" s="7" t="s">
        <v>97</v>
      </c>
      <c r="L79" s="7" t="s">
        <v>19</v>
      </c>
      <c r="M79" s="7" t="s">
        <v>47</v>
      </c>
    </row>
    <row r="80" spans="1:13" hidden="1" x14ac:dyDescent="0.3">
      <c r="B80" s="7" t="s">
        <v>39</v>
      </c>
      <c r="C80" s="9" t="s">
        <v>19</v>
      </c>
      <c r="D80" s="9">
        <v>2</v>
      </c>
      <c r="E80" s="7" t="s">
        <v>33</v>
      </c>
      <c r="F80" s="9" t="s">
        <v>21</v>
      </c>
      <c r="G80" s="9">
        <v>0</v>
      </c>
      <c r="H80" s="7" t="s">
        <v>88</v>
      </c>
      <c r="I80" s="7" t="s">
        <v>13</v>
      </c>
      <c r="J80" s="7" t="s">
        <v>47</v>
      </c>
      <c r="K80" s="7" t="s">
        <v>56</v>
      </c>
      <c r="L80" s="7" t="s">
        <v>57</v>
      </c>
      <c r="M80" s="7" t="s">
        <v>47</v>
      </c>
    </row>
    <row r="81" spans="1:13" hidden="1" x14ac:dyDescent="0.3">
      <c r="B81" s="7" t="s">
        <v>17</v>
      </c>
      <c r="C81" s="9" t="s">
        <v>38</v>
      </c>
      <c r="D81" s="9">
        <v>1</v>
      </c>
      <c r="E81" s="7" t="s">
        <v>23</v>
      </c>
      <c r="F81" s="9" t="s">
        <v>24</v>
      </c>
      <c r="G81" s="9">
        <v>0</v>
      </c>
      <c r="H81" s="7" t="s">
        <v>92</v>
      </c>
      <c r="I81" s="7" t="s">
        <v>32</v>
      </c>
      <c r="J81" s="7" t="s">
        <v>43</v>
      </c>
      <c r="K81" s="7" t="s">
        <v>63</v>
      </c>
      <c r="L81" s="7" t="s">
        <v>19</v>
      </c>
      <c r="M81" s="7" t="s">
        <v>47</v>
      </c>
    </row>
    <row r="82" spans="1:13" hidden="1" x14ac:dyDescent="0.3">
      <c r="A82" s="9">
        <v>9</v>
      </c>
      <c r="B82" s="7" t="s">
        <v>18</v>
      </c>
      <c r="C82" s="9" t="s">
        <v>19</v>
      </c>
      <c r="D82" s="9">
        <v>2</v>
      </c>
      <c r="E82" s="7" t="s">
        <v>14</v>
      </c>
      <c r="F82" s="9" t="s">
        <v>15</v>
      </c>
      <c r="G82" s="9">
        <v>1</v>
      </c>
      <c r="H82" s="7" t="s">
        <v>125</v>
      </c>
      <c r="I82" s="7" t="s">
        <v>38</v>
      </c>
      <c r="J82" s="7" t="s">
        <v>43</v>
      </c>
      <c r="K82" s="7" t="s">
        <v>59</v>
      </c>
      <c r="L82" s="7" t="s">
        <v>38</v>
      </c>
      <c r="M82" s="7" t="s">
        <v>47</v>
      </c>
    </row>
    <row r="83" spans="1:13" hidden="1" x14ac:dyDescent="0.3">
      <c r="B83" s="7" t="s">
        <v>20</v>
      </c>
      <c r="C83" s="9" t="s">
        <v>21</v>
      </c>
      <c r="D83" s="9">
        <v>1</v>
      </c>
      <c r="E83" s="7" t="s">
        <v>25</v>
      </c>
      <c r="F83" s="9" t="s">
        <v>26</v>
      </c>
      <c r="G83" s="9">
        <v>2</v>
      </c>
      <c r="H83" s="7" t="s">
        <v>112</v>
      </c>
      <c r="I83" s="7" t="s">
        <v>13</v>
      </c>
      <c r="J83" s="7" t="s">
        <v>43</v>
      </c>
      <c r="K83" s="7" t="s">
        <v>120</v>
      </c>
      <c r="L83" s="7" t="s">
        <v>32</v>
      </c>
      <c r="M83" s="7" t="s">
        <v>43</v>
      </c>
    </row>
    <row r="84" spans="1:13" x14ac:dyDescent="0.3">
      <c r="B84" s="7" t="s">
        <v>37</v>
      </c>
      <c r="C84" s="9" t="s">
        <v>38</v>
      </c>
      <c r="D84" s="9">
        <v>2</v>
      </c>
      <c r="E84" s="7" t="s">
        <v>16</v>
      </c>
      <c r="F84" s="9" t="s">
        <v>15</v>
      </c>
      <c r="G84" s="9">
        <v>1</v>
      </c>
      <c r="H84" s="7" t="s">
        <v>74</v>
      </c>
      <c r="I84" s="7" t="s">
        <v>21</v>
      </c>
      <c r="J84" s="7" t="s">
        <v>47</v>
      </c>
      <c r="K84" s="7" t="s">
        <v>122</v>
      </c>
      <c r="L84" s="7" t="s">
        <v>21</v>
      </c>
      <c r="M84" s="7" t="s">
        <v>43</v>
      </c>
    </row>
    <row r="85" spans="1:13" hidden="1" x14ac:dyDescent="0.3">
      <c r="B85" s="7" t="s">
        <v>31</v>
      </c>
      <c r="C85" s="9" t="s">
        <v>19</v>
      </c>
      <c r="D85" s="9">
        <v>2</v>
      </c>
      <c r="E85" s="7" t="s">
        <v>22</v>
      </c>
      <c r="F85" s="9" t="s">
        <v>19</v>
      </c>
      <c r="G85" s="9">
        <v>2</v>
      </c>
      <c r="H85" s="7" t="s">
        <v>88</v>
      </c>
      <c r="I85" s="7" t="s">
        <v>13</v>
      </c>
      <c r="J85" s="7" t="s">
        <v>47</v>
      </c>
      <c r="K85" s="7" t="s">
        <v>124</v>
      </c>
      <c r="L85" s="7" t="s">
        <v>32</v>
      </c>
      <c r="M85" s="7" t="s">
        <v>47</v>
      </c>
    </row>
    <row r="86" spans="1:13" hidden="1" x14ac:dyDescent="0.3">
      <c r="B86" s="7" t="s">
        <v>28</v>
      </c>
      <c r="C86" s="9" t="s">
        <v>29</v>
      </c>
      <c r="D86" s="9">
        <v>1</v>
      </c>
      <c r="E86" s="7" t="s">
        <v>27</v>
      </c>
      <c r="F86" s="9" t="s">
        <v>21</v>
      </c>
      <c r="G86" s="9">
        <v>1</v>
      </c>
      <c r="H86" s="7" t="s">
        <v>107</v>
      </c>
      <c r="I86" s="7" t="s">
        <v>15</v>
      </c>
      <c r="J86" s="7" t="s">
        <v>47</v>
      </c>
      <c r="K86" s="7" t="s">
        <v>63</v>
      </c>
      <c r="L86" s="7" t="s">
        <v>19</v>
      </c>
      <c r="M86" s="7" t="s">
        <v>47</v>
      </c>
    </row>
    <row r="87" spans="1:13" hidden="1" x14ac:dyDescent="0.3">
      <c r="B87" s="7" t="s">
        <v>12</v>
      </c>
      <c r="C87" s="9" t="s">
        <v>13</v>
      </c>
      <c r="D87" s="9">
        <v>2</v>
      </c>
      <c r="E87" s="7" t="s">
        <v>17</v>
      </c>
      <c r="F87" s="9" t="s">
        <v>38</v>
      </c>
      <c r="G87" s="9">
        <v>2</v>
      </c>
      <c r="H87" s="7" t="s">
        <v>62</v>
      </c>
      <c r="I87" s="7" t="s">
        <v>19</v>
      </c>
      <c r="J87" s="7" t="s">
        <v>47</v>
      </c>
      <c r="K87" s="7" t="s">
        <v>126</v>
      </c>
      <c r="L87" s="7" t="s">
        <v>19</v>
      </c>
      <c r="M87" s="7" t="s">
        <v>47</v>
      </c>
    </row>
    <row r="88" spans="1:13" hidden="1" x14ac:dyDescent="0.3">
      <c r="B88" s="7" t="s">
        <v>30</v>
      </c>
      <c r="C88" s="9" t="s">
        <v>41</v>
      </c>
      <c r="D88" s="9">
        <v>5</v>
      </c>
      <c r="E88" s="7" t="s">
        <v>23</v>
      </c>
      <c r="F88" s="9" t="s">
        <v>24</v>
      </c>
      <c r="G88" s="9">
        <v>0</v>
      </c>
      <c r="H88" s="7" t="s">
        <v>127</v>
      </c>
      <c r="I88" s="7" t="s">
        <v>26</v>
      </c>
      <c r="J88" s="7" t="s">
        <v>43</v>
      </c>
      <c r="K88" s="7" t="s">
        <v>114</v>
      </c>
      <c r="L88" s="7" t="s">
        <v>19</v>
      </c>
      <c r="M88" s="7" t="s">
        <v>47</v>
      </c>
    </row>
    <row r="89" spans="1:13" hidden="1" x14ac:dyDescent="0.3">
      <c r="B89" s="7" t="s">
        <v>34</v>
      </c>
      <c r="C89" s="9" t="s">
        <v>15</v>
      </c>
      <c r="D89" s="9">
        <v>1</v>
      </c>
      <c r="E89" s="7" t="s">
        <v>36</v>
      </c>
      <c r="F89" s="9" t="s">
        <v>21</v>
      </c>
      <c r="G89" s="9">
        <v>2</v>
      </c>
      <c r="H89" s="7" t="s">
        <v>72</v>
      </c>
      <c r="I89" s="7" t="s">
        <v>32</v>
      </c>
      <c r="J89" s="7" t="s">
        <v>47</v>
      </c>
      <c r="K89" s="7" t="s">
        <v>56</v>
      </c>
      <c r="L89" s="7" t="s">
        <v>57</v>
      </c>
      <c r="M89" s="7" t="s">
        <v>47</v>
      </c>
    </row>
    <row r="90" spans="1:13" hidden="1" x14ac:dyDescent="0.3">
      <c r="B90" s="7" t="s">
        <v>33</v>
      </c>
      <c r="C90" s="9" t="s">
        <v>21</v>
      </c>
      <c r="D90" s="9">
        <v>0</v>
      </c>
      <c r="E90" s="7" t="s">
        <v>35</v>
      </c>
      <c r="F90" s="9" t="s">
        <v>32</v>
      </c>
      <c r="G90" s="9">
        <v>0</v>
      </c>
      <c r="H90" s="7" t="s">
        <v>86</v>
      </c>
      <c r="I90" s="7" t="s">
        <v>15</v>
      </c>
      <c r="J90" s="7" t="s">
        <v>47</v>
      </c>
      <c r="K90" s="7" t="s">
        <v>111</v>
      </c>
      <c r="L90" s="7" t="s">
        <v>13</v>
      </c>
      <c r="M90" s="7" t="s">
        <v>43</v>
      </c>
    </row>
    <row r="91" spans="1:13" hidden="1" x14ac:dyDescent="0.3">
      <c r="B91" s="7" t="s">
        <v>40</v>
      </c>
      <c r="C91" s="9" t="s">
        <v>32</v>
      </c>
      <c r="D91" s="9">
        <v>0</v>
      </c>
      <c r="E91" s="7" t="s">
        <v>39</v>
      </c>
      <c r="F91" s="9" t="s">
        <v>19</v>
      </c>
      <c r="G91" s="9">
        <v>4</v>
      </c>
      <c r="H91" s="7" t="s">
        <v>45</v>
      </c>
      <c r="I91" s="7" t="s">
        <v>46</v>
      </c>
      <c r="J91" s="7" t="s">
        <v>47</v>
      </c>
      <c r="K91" s="7" t="s">
        <v>51</v>
      </c>
      <c r="L91" s="7" t="s">
        <v>46</v>
      </c>
      <c r="M91" s="7" t="s">
        <v>43</v>
      </c>
    </row>
    <row r="92" spans="1:13" hidden="1" x14ac:dyDescent="0.3">
      <c r="A92" s="9">
        <v>10</v>
      </c>
      <c r="B92" s="7" t="s">
        <v>25</v>
      </c>
      <c r="C92" s="9" t="s">
        <v>26</v>
      </c>
      <c r="D92" s="9">
        <v>1</v>
      </c>
      <c r="E92" s="7" t="s">
        <v>12</v>
      </c>
      <c r="F92" s="9" t="s">
        <v>13</v>
      </c>
      <c r="G92" s="9">
        <v>2</v>
      </c>
      <c r="H92" s="7" t="s">
        <v>52</v>
      </c>
      <c r="I92" s="7" t="s">
        <v>21</v>
      </c>
      <c r="J92" s="7" t="s">
        <v>43</v>
      </c>
      <c r="K92" s="7" t="s">
        <v>75</v>
      </c>
      <c r="L92" s="7" t="s">
        <v>21</v>
      </c>
      <c r="M92" s="7" t="s">
        <v>43</v>
      </c>
    </row>
    <row r="93" spans="1:13" hidden="1" x14ac:dyDescent="0.3">
      <c r="B93" s="7" t="s">
        <v>36</v>
      </c>
      <c r="C93" s="9" t="s">
        <v>21</v>
      </c>
      <c r="D93" s="9">
        <v>1</v>
      </c>
      <c r="E93" s="7" t="s">
        <v>28</v>
      </c>
      <c r="F93" s="9" t="s">
        <v>29</v>
      </c>
      <c r="G93" s="9">
        <v>1</v>
      </c>
      <c r="H93" s="7" t="s">
        <v>88</v>
      </c>
      <c r="I93" s="7" t="s">
        <v>13</v>
      </c>
      <c r="J93" s="7" t="s">
        <v>47</v>
      </c>
      <c r="K93" s="7" t="s">
        <v>124</v>
      </c>
      <c r="L93" s="7" t="s">
        <v>32</v>
      </c>
      <c r="M93" s="7" t="s">
        <v>47</v>
      </c>
    </row>
    <row r="94" spans="1:13" hidden="1" x14ac:dyDescent="0.3">
      <c r="B94" s="7" t="s">
        <v>22</v>
      </c>
      <c r="C94" s="9" t="s">
        <v>19</v>
      </c>
      <c r="D94" s="9">
        <v>0</v>
      </c>
      <c r="E94" s="7" t="s">
        <v>30</v>
      </c>
      <c r="F94" s="9" t="s">
        <v>41</v>
      </c>
      <c r="G94" s="9">
        <v>1</v>
      </c>
      <c r="H94" s="7" t="s">
        <v>112</v>
      </c>
      <c r="I94" s="7" t="s">
        <v>13</v>
      </c>
      <c r="J94" s="7" t="s">
        <v>43</v>
      </c>
      <c r="K94" s="7" t="s">
        <v>120</v>
      </c>
      <c r="L94" s="7" t="s">
        <v>32</v>
      </c>
      <c r="M94" s="7" t="s">
        <v>43</v>
      </c>
    </row>
    <row r="95" spans="1:13" hidden="1" x14ac:dyDescent="0.3">
      <c r="B95" s="7" t="s">
        <v>23</v>
      </c>
      <c r="C95" s="9" t="s">
        <v>24</v>
      </c>
      <c r="D95" s="9">
        <v>1</v>
      </c>
      <c r="E95" s="7" t="s">
        <v>34</v>
      </c>
      <c r="F95" s="9" t="s">
        <v>15</v>
      </c>
      <c r="G95" s="9">
        <v>0</v>
      </c>
      <c r="H95" s="7" t="s">
        <v>119</v>
      </c>
      <c r="I95" s="7" t="s">
        <v>19</v>
      </c>
      <c r="J95" s="7" t="s">
        <v>43</v>
      </c>
      <c r="K95" s="7" t="s">
        <v>117</v>
      </c>
      <c r="L95" s="7" t="s">
        <v>21</v>
      </c>
      <c r="M95" s="7" t="s">
        <v>47</v>
      </c>
    </row>
    <row r="96" spans="1:13" hidden="1" x14ac:dyDescent="0.3">
      <c r="B96" s="7" t="s">
        <v>14</v>
      </c>
      <c r="C96" s="9" t="s">
        <v>15</v>
      </c>
      <c r="D96" s="9">
        <v>2</v>
      </c>
      <c r="E96" s="7" t="s">
        <v>33</v>
      </c>
      <c r="F96" s="9" t="s">
        <v>21</v>
      </c>
      <c r="G96" s="9">
        <v>0</v>
      </c>
      <c r="H96" s="7" t="s">
        <v>72</v>
      </c>
      <c r="I96" s="7" t="s">
        <v>32</v>
      </c>
      <c r="J96" s="7" t="s">
        <v>47</v>
      </c>
      <c r="K96" s="7" t="s">
        <v>51</v>
      </c>
      <c r="L96" s="7" t="s">
        <v>46</v>
      </c>
      <c r="M96" s="7" t="s">
        <v>43</v>
      </c>
    </row>
    <row r="97" spans="1:13" hidden="1" x14ac:dyDescent="0.3">
      <c r="B97" s="7" t="s">
        <v>16</v>
      </c>
      <c r="C97" s="9" t="s">
        <v>15</v>
      </c>
      <c r="D97" s="9">
        <v>1</v>
      </c>
      <c r="E97" s="7" t="s">
        <v>31</v>
      </c>
      <c r="F97" s="9" t="s">
        <v>19</v>
      </c>
      <c r="G97" s="9">
        <v>0</v>
      </c>
      <c r="H97" s="7" t="s">
        <v>121</v>
      </c>
      <c r="I97" s="7" t="s">
        <v>21</v>
      </c>
      <c r="J97" s="7" t="s">
        <v>43</v>
      </c>
      <c r="K97" s="7" t="s">
        <v>56</v>
      </c>
      <c r="L97" s="7" t="s">
        <v>57</v>
      </c>
      <c r="M97" s="7" t="s">
        <v>47</v>
      </c>
    </row>
    <row r="98" spans="1:13" hidden="1" x14ac:dyDescent="0.3">
      <c r="B98" s="7" t="s">
        <v>35</v>
      </c>
      <c r="C98" s="9" t="s">
        <v>32</v>
      </c>
      <c r="D98" s="9">
        <v>2</v>
      </c>
      <c r="E98" s="7" t="s">
        <v>20</v>
      </c>
      <c r="F98" s="9" t="s">
        <v>21</v>
      </c>
      <c r="G98" s="9">
        <v>0</v>
      </c>
      <c r="H98" s="7" t="s">
        <v>64</v>
      </c>
      <c r="I98" s="7" t="s">
        <v>19</v>
      </c>
      <c r="J98" s="7" t="s">
        <v>43</v>
      </c>
      <c r="K98" s="7" t="s">
        <v>63</v>
      </c>
      <c r="L98" s="7" t="s">
        <v>19</v>
      </c>
      <c r="M98" s="7" t="s">
        <v>47</v>
      </c>
    </row>
    <row r="99" spans="1:13" hidden="1" x14ac:dyDescent="0.3">
      <c r="B99" s="7" t="s">
        <v>37</v>
      </c>
      <c r="C99" s="9" t="s">
        <v>38</v>
      </c>
      <c r="D99" s="9">
        <v>4</v>
      </c>
      <c r="E99" s="7" t="s">
        <v>40</v>
      </c>
      <c r="F99" s="9" t="s">
        <v>32</v>
      </c>
      <c r="G99" s="9">
        <v>2</v>
      </c>
      <c r="H99" s="7" t="s">
        <v>70</v>
      </c>
      <c r="I99" s="7" t="s">
        <v>24</v>
      </c>
      <c r="J99" s="7" t="s">
        <v>43</v>
      </c>
      <c r="K99" s="7" t="s">
        <v>114</v>
      </c>
      <c r="L99" s="7" t="s">
        <v>19</v>
      </c>
      <c r="M99" s="7" t="s">
        <v>47</v>
      </c>
    </row>
    <row r="100" spans="1:13" hidden="1" x14ac:dyDescent="0.3">
      <c r="B100" s="7" t="s">
        <v>27</v>
      </c>
      <c r="C100" s="9" t="s">
        <v>21</v>
      </c>
      <c r="D100" s="9">
        <v>2</v>
      </c>
      <c r="E100" s="7" t="s">
        <v>17</v>
      </c>
      <c r="F100" s="9" t="s">
        <v>38</v>
      </c>
      <c r="G100" s="9">
        <v>1</v>
      </c>
      <c r="H100" s="7" t="s">
        <v>67</v>
      </c>
      <c r="I100" s="7" t="s">
        <v>13</v>
      </c>
      <c r="J100" s="7" t="s">
        <v>47</v>
      </c>
      <c r="K100" s="7" t="s">
        <v>111</v>
      </c>
      <c r="L100" s="7" t="s">
        <v>13</v>
      </c>
      <c r="M100" s="7" t="s">
        <v>43</v>
      </c>
    </row>
    <row r="101" spans="1:13" hidden="1" x14ac:dyDescent="0.3">
      <c r="B101" s="7" t="s">
        <v>39</v>
      </c>
      <c r="C101" s="9" t="s">
        <v>19</v>
      </c>
      <c r="D101" s="9">
        <v>2</v>
      </c>
      <c r="E101" s="7" t="s">
        <v>18</v>
      </c>
      <c r="F101" s="9" t="s">
        <v>19</v>
      </c>
      <c r="G101" s="9">
        <v>1</v>
      </c>
      <c r="H101" s="7" t="s">
        <v>107</v>
      </c>
      <c r="I101" s="7" t="s">
        <v>15</v>
      </c>
      <c r="J101" s="7" t="s">
        <v>47</v>
      </c>
      <c r="K101" s="7" t="s">
        <v>63</v>
      </c>
      <c r="L101" s="7" t="s">
        <v>19</v>
      </c>
      <c r="M101" s="7" t="s">
        <v>47</v>
      </c>
    </row>
    <row r="102" spans="1:13" hidden="1" x14ac:dyDescent="0.3">
      <c r="A102" s="9">
        <v>11</v>
      </c>
      <c r="B102" s="7" t="s">
        <v>12</v>
      </c>
      <c r="C102" s="9" t="s">
        <v>13</v>
      </c>
      <c r="D102" s="9">
        <v>2</v>
      </c>
      <c r="E102" s="7" t="s">
        <v>36</v>
      </c>
      <c r="F102" s="9" t="s">
        <v>21</v>
      </c>
      <c r="G102" s="9">
        <v>1</v>
      </c>
      <c r="H102" s="7" t="s">
        <v>123</v>
      </c>
      <c r="I102" s="7" t="s">
        <v>19</v>
      </c>
      <c r="J102" s="7" t="s">
        <v>43</v>
      </c>
      <c r="K102" s="7" t="s">
        <v>56</v>
      </c>
      <c r="L102" s="7" t="s">
        <v>57</v>
      </c>
      <c r="M102" s="7" t="s">
        <v>47</v>
      </c>
    </row>
    <row r="103" spans="1:13" hidden="1" x14ac:dyDescent="0.3">
      <c r="B103" s="7" t="s">
        <v>34</v>
      </c>
      <c r="C103" s="9" t="s">
        <v>15</v>
      </c>
      <c r="D103" s="9">
        <v>0</v>
      </c>
      <c r="E103" s="7" t="s">
        <v>16</v>
      </c>
      <c r="F103" s="9" t="s">
        <v>15</v>
      </c>
      <c r="G103" s="9">
        <v>1</v>
      </c>
      <c r="H103" s="7" t="s">
        <v>88</v>
      </c>
      <c r="I103" s="7" t="s">
        <v>13</v>
      </c>
      <c r="J103" s="7" t="s">
        <v>47</v>
      </c>
      <c r="K103" s="7" t="s">
        <v>124</v>
      </c>
      <c r="L103" s="7" t="s">
        <v>32</v>
      </c>
      <c r="M103" s="7" t="s">
        <v>47</v>
      </c>
    </row>
    <row r="104" spans="1:13" hidden="1" x14ac:dyDescent="0.3">
      <c r="B104" s="7" t="s">
        <v>30</v>
      </c>
      <c r="C104" s="9" t="s">
        <v>41</v>
      </c>
      <c r="D104" s="9">
        <v>0</v>
      </c>
      <c r="E104" s="7" t="s">
        <v>25</v>
      </c>
      <c r="F104" s="9" t="s">
        <v>26</v>
      </c>
      <c r="G104" s="9">
        <v>0</v>
      </c>
      <c r="H104" s="7" t="s">
        <v>42</v>
      </c>
      <c r="I104" s="7" t="s">
        <v>38</v>
      </c>
      <c r="J104" s="7" t="s">
        <v>43</v>
      </c>
      <c r="K104" s="7" t="s">
        <v>128</v>
      </c>
      <c r="L104" s="7" t="s">
        <v>32</v>
      </c>
      <c r="M104" s="7" t="s">
        <v>43</v>
      </c>
    </row>
    <row r="105" spans="1:13" hidden="1" x14ac:dyDescent="0.3">
      <c r="B105" s="7" t="s">
        <v>33</v>
      </c>
      <c r="C105" s="9" t="s">
        <v>21</v>
      </c>
      <c r="D105" s="9">
        <v>4</v>
      </c>
      <c r="E105" s="7" t="s">
        <v>22</v>
      </c>
      <c r="F105" s="9" t="s">
        <v>19</v>
      </c>
      <c r="G105" s="9">
        <v>1</v>
      </c>
      <c r="H105" s="7" t="s">
        <v>96</v>
      </c>
      <c r="I105" s="7" t="s">
        <v>54</v>
      </c>
      <c r="J105" s="7" t="s">
        <v>43</v>
      </c>
      <c r="K105" s="7" t="s">
        <v>109</v>
      </c>
      <c r="L105" s="7" t="s">
        <v>13</v>
      </c>
      <c r="M105" s="7" t="s">
        <v>47</v>
      </c>
    </row>
    <row r="106" spans="1:13" hidden="1" x14ac:dyDescent="0.3">
      <c r="B106" s="7" t="s">
        <v>17</v>
      </c>
      <c r="C106" s="9" t="s">
        <v>38</v>
      </c>
      <c r="D106" s="9">
        <v>4</v>
      </c>
      <c r="E106" s="7" t="s">
        <v>35</v>
      </c>
      <c r="F106" s="9" t="s">
        <v>32</v>
      </c>
      <c r="G106" s="9">
        <v>1</v>
      </c>
      <c r="H106" s="7" t="s">
        <v>129</v>
      </c>
      <c r="I106" s="7" t="s">
        <v>46</v>
      </c>
      <c r="J106" s="7" t="s">
        <v>43</v>
      </c>
      <c r="K106" s="7" t="s">
        <v>117</v>
      </c>
      <c r="L106" s="7" t="s">
        <v>21</v>
      </c>
      <c r="M106" s="7" t="s">
        <v>47</v>
      </c>
    </row>
    <row r="107" spans="1:13" hidden="1" x14ac:dyDescent="0.3">
      <c r="B107" s="7" t="s">
        <v>20</v>
      </c>
      <c r="C107" s="9" t="s">
        <v>21</v>
      </c>
      <c r="D107" s="9">
        <v>0</v>
      </c>
      <c r="E107" s="7" t="s">
        <v>27</v>
      </c>
      <c r="F107" s="9" t="s">
        <v>21</v>
      </c>
      <c r="G107" s="9">
        <v>1</v>
      </c>
      <c r="H107" s="7" t="s">
        <v>86</v>
      </c>
      <c r="I107" s="7" t="s">
        <v>15</v>
      </c>
      <c r="J107" s="7" t="s">
        <v>47</v>
      </c>
      <c r="K107" s="7" t="s">
        <v>97</v>
      </c>
      <c r="L107" s="7" t="s">
        <v>19</v>
      </c>
      <c r="M107" s="7" t="s">
        <v>47</v>
      </c>
    </row>
    <row r="108" spans="1:13" hidden="1" x14ac:dyDescent="0.3">
      <c r="B108" s="7" t="s">
        <v>28</v>
      </c>
      <c r="C108" s="9" t="s">
        <v>29</v>
      </c>
      <c r="D108" s="9">
        <v>1</v>
      </c>
      <c r="E108" s="7" t="s">
        <v>31</v>
      </c>
      <c r="F108" s="9" t="s">
        <v>19</v>
      </c>
      <c r="G108" s="9">
        <v>1</v>
      </c>
      <c r="H108" s="7" t="s">
        <v>130</v>
      </c>
      <c r="I108" s="7" t="s">
        <v>32</v>
      </c>
      <c r="J108" s="7" t="s">
        <v>43</v>
      </c>
      <c r="K108" s="7" t="s">
        <v>120</v>
      </c>
      <c r="L108" s="7" t="s">
        <v>32</v>
      </c>
      <c r="M108" s="7" t="s">
        <v>43</v>
      </c>
    </row>
    <row r="109" spans="1:13" hidden="1" x14ac:dyDescent="0.3">
      <c r="B109" s="7" t="s">
        <v>18</v>
      </c>
      <c r="C109" s="9" t="s">
        <v>19</v>
      </c>
      <c r="D109" s="9">
        <v>2</v>
      </c>
      <c r="E109" s="7" t="s">
        <v>37</v>
      </c>
      <c r="F109" s="9" t="s">
        <v>38</v>
      </c>
      <c r="G109" s="9">
        <v>1</v>
      </c>
      <c r="H109" s="7" t="s">
        <v>58</v>
      </c>
      <c r="I109" s="7" t="s">
        <v>15</v>
      </c>
      <c r="J109" s="7" t="s">
        <v>43</v>
      </c>
      <c r="K109" s="7" t="s">
        <v>111</v>
      </c>
      <c r="L109" s="7" t="s">
        <v>13</v>
      </c>
      <c r="M109" s="7" t="s">
        <v>43</v>
      </c>
    </row>
    <row r="110" spans="1:13" hidden="1" x14ac:dyDescent="0.3">
      <c r="B110" s="7" t="s">
        <v>40</v>
      </c>
      <c r="C110" s="9" t="s">
        <v>32</v>
      </c>
      <c r="D110" s="9">
        <v>1</v>
      </c>
      <c r="E110" s="7" t="s">
        <v>23</v>
      </c>
      <c r="F110" s="9" t="s">
        <v>24</v>
      </c>
      <c r="G110" s="9">
        <v>1</v>
      </c>
      <c r="H110" s="7" t="s">
        <v>62</v>
      </c>
      <c r="I110" s="7" t="s">
        <v>19</v>
      </c>
      <c r="J110" s="7" t="s">
        <v>47</v>
      </c>
      <c r="K110" s="7" t="s">
        <v>63</v>
      </c>
      <c r="L110" s="7" t="s">
        <v>19</v>
      </c>
      <c r="M110" s="7" t="s">
        <v>47</v>
      </c>
    </row>
    <row r="111" spans="1:13" hidden="1" x14ac:dyDescent="0.3">
      <c r="B111" s="7" t="s">
        <v>39</v>
      </c>
      <c r="C111" s="9" t="s">
        <v>19</v>
      </c>
      <c r="D111" s="9">
        <v>3</v>
      </c>
      <c r="E111" s="7" t="s">
        <v>14</v>
      </c>
      <c r="F111" s="9" t="s">
        <v>15</v>
      </c>
      <c r="G111" s="9">
        <v>1</v>
      </c>
      <c r="H111" s="7" t="s">
        <v>104</v>
      </c>
      <c r="I111" s="7" t="s">
        <v>57</v>
      </c>
      <c r="J111" s="7" t="s">
        <v>43</v>
      </c>
      <c r="K111" s="7" t="s">
        <v>75</v>
      </c>
      <c r="L111" s="7" t="s">
        <v>21</v>
      </c>
      <c r="M111" s="7" t="s">
        <v>43</v>
      </c>
    </row>
    <row r="112" spans="1:13" hidden="1" x14ac:dyDescent="0.3">
      <c r="A112" s="9">
        <v>12</v>
      </c>
      <c r="B112" s="7" t="s">
        <v>35</v>
      </c>
      <c r="C112" s="9" t="s">
        <v>32</v>
      </c>
      <c r="D112" s="9">
        <v>2</v>
      </c>
      <c r="E112" s="7" t="s">
        <v>28</v>
      </c>
      <c r="F112" s="9" t="s">
        <v>29</v>
      </c>
      <c r="G112" s="9">
        <v>0</v>
      </c>
      <c r="H112" s="7" t="s">
        <v>104</v>
      </c>
      <c r="I112" s="7" t="s">
        <v>57</v>
      </c>
      <c r="J112" s="7" t="s">
        <v>43</v>
      </c>
      <c r="K112" s="7" t="s">
        <v>75</v>
      </c>
      <c r="L112" s="7" t="s">
        <v>21</v>
      </c>
      <c r="M112" s="7" t="s">
        <v>43</v>
      </c>
    </row>
    <row r="113" spans="2:13" hidden="1" x14ac:dyDescent="0.3">
      <c r="B113" s="7" t="s">
        <v>36</v>
      </c>
      <c r="C113" s="9" t="s">
        <v>21</v>
      </c>
      <c r="D113" s="9">
        <v>2</v>
      </c>
      <c r="E113" s="7" t="s">
        <v>18</v>
      </c>
      <c r="F113" s="9" t="s">
        <v>19</v>
      </c>
      <c r="G113" s="9">
        <v>1</v>
      </c>
      <c r="H113" s="7" t="s">
        <v>112</v>
      </c>
      <c r="I113" s="7" t="s">
        <v>13</v>
      </c>
      <c r="J113" s="7" t="s">
        <v>43</v>
      </c>
      <c r="K113" s="7" t="s">
        <v>124</v>
      </c>
      <c r="L113" s="7" t="s">
        <v>32</v>
      </c>
      <c r="M113" s="7" t="s">
        <v>47</v>
      </c>
    </row>
    <row r="114" spans="2:13" x14ac:dyDescent="0.3">
      <c r="B114" s="7" t="s">
        <v>25</v>
      </c>
      <c r="C114" s="9" t="s">
        <v>26</v>
      </c>
      <c r="D114" s="9">
        <v>1</v>
      </c>
      <c r="E114" s="7" t="s">
        <v>34</v>
      </c>
      <c r="F114" s="9" t="s">
        <v>15</v>
      </c>
      <c r="G114" s="9">
        <v>1</v>
      </c>
      <c r="H114" s="7" t="s">
        <v>74</v>
      </c>
      <c r="I114" s="7" t="s">
        <v>21</v>
      </c>
      <c r="J114" s="7" t="s">
        <v>47</v>
      </c>
      <c r="K114" s="7" t="s">
        <v>111</v>
      </c>
      <c r="L114" s="7" t="s">
        <v>13</v>
      </c>
      <c r="M114" s="7" t="s">
        <v>43</v>
      </c>
    </row>
    <row r="115" spans="2:13" hidden="1" x14ac:dyDescent="0.3">
      <c r="B115" s="7" t="s">
        <v>31</v>
      </c>
      <c r="C115" s="9" t="s">
        <v>19</v>
      </c>
      <c r="D115" s="9">
        <v>1</v>
      </c>
      <c r="E115" s="7" t="s">
        <v>30</v>
      </c>
      <c r="F115" s="9" t="s">
        <v>41</v>
      </c>
      <c r="G115" s="9">
        <v>1</v>
      </c>
      <c r="H115" s="7" t="s">
        <v>101</v>
      </c>
      <c r="I115" s="7" t="s">
        <v>102</v>
      </c>
      <c r="J115" s="7" t="s">
        <v>43</v>
      </c>
      <c r="K115" s="7" t="s">
        <v>117</v>
      </c>
      <c r="L115" s="7" t="s">
        <v>21</v>
      </c>
      <c r="M115" s="7" t="s">
        <v>47</v>
      </c>
    </row>
    <row r="116" spans="2:13" hidden="1" x14ac:dyDescent="0.3">
      <c r="B116" s="7" t="s">
        <v>14</v>
      </c>
      <c r="C116" s="9" t="s">
        <v>15</v>
      </c>
      <c r="D116" s="9">
        <v>2</v>
      </c>
      <c r="E116" s="7" t="s">
        <v>27</v>
      </c>
      <c r="F116" s="9" t="s">
        <v>21</v>
      </c>
      <c r="G116" s="9">
        <v>1</v>
      </c>
      <c r="H116" s="7" t="s">
        <v>64</v>
      </c>
      <c r="I116" s="7" t="s">
        <v>19</v>
      </c>
      <c r="J116" s="7" t="s">
        <v>43</v>
      </c>
      <c r="K116" s="7" t="s">
        <v>109</v>
      </c>
      <c r="L116" s="7" t="s">
        <v>13</v>
      </c>
      <c r="M116" s="7" t="s">
        <v>47</v>
      </c>
    </row>
    <row r="117" spans="2:13" hidden="1" x14ac:dyDescent="0.3">
      <c r="B117" s="7" t="s">
        <v>23</v>
      </c>
      <c r="C117" s="9" t="s">
        <v>24</v>
      </c>
      <c r="D117" s="9">
        <v>3</v>
      </c>
      <c r="E117" s="7" t="s">
        <v>39</v>
      </c>
      <c r="F117" s="9" t="s">
        <v>19</v>
      </c>
      <c r="G117" s="9">
        <v>0</v>
      </c>
      <c r="H117" s="7" t="s">
        <v>52</v>
      </c>
      <c r="I117" s="7" t="s">
        <v>21</v>
      </c>
      <c r="J117" s="7" t="s">
        <v>43</v>
      </c>
      <c r="K117" s="7" t="s">
        <v>51</v>
      </c>
      <c r="L117" s="7" t="s">
        <v>46</v>
      </c>
      <c r="M117" s="7" t="s">
        <v>43</v>
      </c>
    </row>
    <row r="118" spans="2:13" hidden="1" x14ac:dyDescent="0.3">
      <c r="B118" s="7" t="s">
        <v>17</v>
      </c>
      <c r="C118" s="9" t="s">
        <v>38</v>
      </c>
      <c r="D118" s="9">
        <v>2</v>
      </c>
      <c r="E118" s="7" t="s">
        <v>33</v>
      </c>
      <c r="F118" s="9" t="s">
        <v>21</v>
      </c>
      <c r="G118" s="9">
        <v>1</v>
      </c>
      <c r="H118" s="7" t="s">
        <v>119</v>
      </c>
      <c r="I118" s="7" t="s">
        <v>19</v>
      </c>
      <c r="J118" s="7" t="s">
        <v>43</v>
      </c>
      <c r="K118" s="7" t="s">
        <v>63</v>
      </c>
      <c r="L118" s="7" t="s">
        <v>19</v>
      </c>
      <c r="M118" s="7" t="s">
        <v>47</v>
      </c>
    </row>
    <row r="119" spans="2:13" hidden="1" x14ac:dyDescent="0.3">
      <c r="B119" s="7" t="s">
        <v>16</v>
      </c>
      <c r="C119" s="9" t="s">
        <v>15</v>
      </c>
      <c r="D119" s="9">
        <v>1</v>
      </c>
      <c r="E119" s="7" t="s">
        <v>40</v>
      </c>
      <c r="F119" s="9" t="s">
        <v>32</v>
      </c>
      <c r="G119" s="9">
        <v>2</v>
      </c>
      <c r="H119" s="7" t="s">
        <v>123</v>
      </c>
      <c r="I119" s="7" t="s">
        <v>19</v>
      </c>
      <c r="J119" s="7" t="s">
        <v>43</v>
      </c>
      <c r="K119" s="7" t="s">
        <v>97</v>
      </c>
      <c r="L119" s="7" t="s">
        <v>19</v>
      </c>
      <c r="M119" s="7" t="s">
        <v>47</v>
      </c>
    </row>
    <row r="120" spans="2:13" hidden="1" x14ac:dyDescent="0.3">
      <c r="B120" s="7" t="s">
        <v>20</v>
      </c>
      <c r="C120" s="9" t="s">
        <v>21</v>
      </c>
      <c r="E120" s="7" t="s">
        <v>37</v>
      </c>
      <c r="F120" s="9" t="s">
        <v>38</v>
      </c>
      <c r="H120" s="7" t="s">
        <v>62</v>
      </c>
      <c r="I120" s="7" t="s">
        <v>19</v>
      </c>
      <c r="J120" s="7" t="s">
        <v>47</v>
      </c>
      <c r="K120" s="7" t="s">
        <v>56</v>
      </c>
      <c r="L120" s="7" t="s">
        <v>57</v>
      </c>
      <c r="M120" s="7" t="s">
        <v>47</v>
      </c>
    </row>
    <row r="121" spans="2:13" hidden="1" x14ac:dyDescent="0.3">
      <c r="B121" s="7" t="s">
        <v>22</v>
      </c>
      <c r="C121" s="9" t="s">
        <v>19</v>
      </c>
      <c r="E121" s="7" t="s">
        <v>12</v>
      </c>
      <c r="F121" s="9" t="s">
        <v>13</v>
      </c>
      <c r="H121" s="7" t="s">
        <v>42</v>
      </c>
      <c r="I121" s="7" t="s">
        <v>38</v>
      </c>
      <c r="J121" s="7" t="s">
        <v>43</v>
      </c>
      <c r="K121" s="7" t="s">
        <v>122</v>
      </c>
      <c r="L121" s="7" t="s">
        <v>21</v>
      </c>
      <c r="M121" s="7" t="s">
        <v>43</v>
      </c>
    </row>
  </sheetData>
  <autoFilter ref="A1:M121" xr:uid="{4191993E-C79A-4D4E-9018-2B684A7947CC}">
    <filterColumn colId="7">
      <filters>
        <filter val="Bruno Arleu de Araujo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0A5D-2D93-4A90-88F0-0AC83EC79655}">
  <dimension ref="A1:P37"/>
  <sheetViews>
    <sheetView showGridLines="0" workbookViewId="0">
      <selection activeCell="L1" sqref="L1:P6"/>
    </sheetView>
  </sheetViews>
  <sheetFormatPr defaultRowHeight="14.4" x14ac:dyDescent="0.3"/>
  <cols>
    <col min="1" max="1" width="38.6640625" bestFit="1" customWidth="1"/>
    <col min="2" max="2" width="11" bestFit="1" customWidth="1"/>
    <col min="3" max="3" width="9.33203125" bestFit="1" customWidth="1"/>
    <col min="7" max="7" width="8.88671875" style="15"/>
    <col min="12" max="12" width="27" bestFit="1" customWidth="1"/>
    <col min="13" max="13" width="3.44140625" bestFit="1" customWidth="1"/>
    <col min="14" max="14" width="8.44140625" bestFit="1" customWidth="1"/>
    <col min="15" max="15" width="5.6640625" bestFit="1" customWidth="1"/>
  </cols>
  <sheetData>
    <row r="1" spans="1:16" ht="16.2" thickBot="1" x14ac:dyDescent="0.35">
      <c r="A1" s="5" t="s">
        <v>7</v>
      </c>
      <c r="B1" s="5" t="s">
        <v>8</v>
      </c>
      <c r="C1" s="5" t="s">
        <v>9</v>
      </c>
      <c r="F1" s="50" t="s">
        <v>162</v>
      </c>
      <c r="G1" s="50"/>
      <c r="L1" s="25" t="s">
        <v>157</v>
      </c>
      <c r="M1" s="25" t="s">
        <v>141</v>
      </c>
      <c r="N1" s="25" t="s">
        <v>143</v>
      </c>
      <c r="O1" s="23" t="s">
        <v>158</v>
      </c>
      <c r="P1" s="42" t="s">
        <v>161</v>
      </c>
    </row>
    <row r="2" spans="1:16" ht="16.2" thickTop="1" x14ac:dyDescent="0.3">
      <c r="A2" s="7" t="s">
        <v>52</v>
      </c>
      <c r="B2" s="7" t="s">
        <v>21</v>
      </c>
      <c r="C2" s="7" t="s">
        <v>43</v>
      </c>
      <c r="F2" s="26" t="s">
        <v>141</v>
      </c>
      <c r="G2" s="26" t="s">
        <v>142</v>
      </c>
      <c r="I2" s="26" t="s">
        <v>143</v>
      </c>
      <c r="J2" s="25" t="s">
        <v>142</v>
      </c>
      <c r="L2" s="39" t="s">
        <v>88</v>
      </c>
      <c r="M2" s="39" t="s">
        <v>13</v>
      </c>
      <c r="N2" s="39" t="s">
        <v>47</v>
      </c>
      <c r="O2" s="40">
        <f>18/2</f>
        <v>9</v>
      </c>
      <c r="P2" s="43">
        <f>O2/115</f>
        <v>7.8260869565217397E-2</v>
      </c>
    </row>
    <row r="3" spans="1:16" ht="15.6" x14ac:dyDescent="0.3">
      <c r="A3" s="7" t="s">
        <v>107</v>
      </c>
      <c r="B3" s="7" t="s">
        <v>15</v>
      </c>
      <c r="C3" s="7" t="s">
        <v>47</v>
      </c>
      <c r="F3" s="9" t="s">
        <v>19</v>
      </c>
      <c r="G3" s="9">
        <f>COUNTIFS($B$2:$B$37,"=SP")</f>
        <v>6</v>
      </c>
      <c r="I3" s="28" t="s">
        <v>47</v>
      </c>
      <c r="J3" s="28">
        <f>COUNTIFS($C$2:$C$37,"=FIFA")</f>
        <v>11</v>
      </c>
      <c r="L3" s="7" t="s">
        <v>67</v>
      </c>
      <c r="M3" s="7" t="s">
        <v>13</v>
      </c>
      <c r="N3" s="7" t="s">
        <v>47</v>
      </c>
      <c r="O3" s="9">
        <f>14/2</f>
        <v>7</v>
      </c>
      <c r="P3" s="43">
        <f t="shared" ref="P3:P6" si="0">O3/115</f>
        <v>6.0869565217391307E-2</v>
      </c>
    </row>
    <row r="4" spans="1:16" ht="15.6" x14ac:dyDescent="0.3">
      <c r="A4" s="7" t="s">
        <v>131</v>
      </c>
      <c r="B4" s="7" t="s">
        <v>26</v>
      </c>
      <c r="C4" s="7" t="s">
        <v>43</v>
      </c>
      <c r="F4" s="9" t="s">
        <v>21</v>
      </c>
      <c r="G4" s="9">
        <f>COUNTIFS($B$2:$B$37,"=RJ")</f>
        <v>5</v>
      </c>
      <c r="I4" s="27" t="s">
        <v>43</v>
      </c>
      <c r="J4" s="27">
        <f>COUNTIFS($C$2:$C$37,"=CBF")</f>
        <v>25</v>
      </c>
      <c r="L4" s="7" t="s">
        <v>107</v>
      </c>
      <c r="M4" s="7" t="s">
        <v>15</v>
      </c>
      <c r="N4" s="7" t="s">
        <v>47</v>
      </c>
      <c r="O4" s="9">
        <f>12/2</f>
        <v>6</v>
      </c>
      <c r="P4" s="43">
        <f t="shared" si="0"/>
        <v>5.2173913043478258E-2</v>
      </c>
    </row>
    <row r="5" spans="1:16" ht="15.6" x14ac:dyDescent="0.3">
      <c r="A5" s="7" t="s">
        <v>55</v>
      </c>
      <c r="B5" s="7" t="s">
        <v>32</v>
      </c>
      <c r="C5" s="7" t="s">
        <v>43</v>
      </c>
      <c r="F5" s="9" t="s">
        <v>26</v>
      </c>
      <c r="G5" s="9">
        <f>COUNTIFS($B$2:$B$37,"=GO")</f>
        <v>3</v>
      </c>
      <c r="I5" s="8" t="s">
        <v>163</v>
      </c>
      <c r="J5" s="8">
        <v>36</v>
      </c>
      <c r="L5" s="7" t="s">
        <v>74</v>
      </c>
      <c r="M5" s="7" t="s">
        <v>21</v>
      </c>
      <c r="N5" s="7" t="s">
        <v>47</v>
      </c>
      <c r="O5" s="9">
        <f>12/2</f>
        <v>6</v>
      </c>
      <c r="P5" s="43">
        <f t="shared" si="0"/>
        <v>5.2173913043478258E-2</v>
      </c>
    </row>
    <row r="6" spans="1:16" ht="15.6" x14ac:dyDescent="0.3">
      <c r="A6" s="7" t="s">
        <v>132</v>
      </c>
      <c r="B6" s="7" t="s">
        <v>57</v>
      </c>
      <c r="C6" s="7" t="s">
        <v>43</v>
      </c>
      <c r="F6" s="9" t="s">
        <v>32</v>
      </c>
      <c r="G6" s="9">
        <f>COUNTIFS($B$2:$B$37,"=MG")</f>
        <v>3</v>
      </c>
      <c r="L6" s="21" t="s">
        <v>86</v>
      </c>
      <c r="M6" s="21" t="s">
        <v>15</v>
      </c>
      <c r="N6" s="21" t="s">
        <v>47</v>
      </c>
      <c r="O6" s="27">
        <f>12/2</f>
        <v>6</v>
      </c>
      <c r="P6" s="44">
        <f t="shared" si="0"/>
        <v>5.2173913043478258E-2</v>
      </c>
    </row>
    <row r="7" spans="1:16" ht="15.6" x14ac:dyDescent="0.3">
      <c r="A7" s="7" t="s">
        <v>133</v>
      </c>
      <c r="B7" s="7" t="s">
        <v>13</v>
      </c>
      <c r="C7" s="7" t="s">
        <v>47</v>
      </c>
      <c r="F7" s="9" t="s">
        <v>13</v>
      </c>
      <c r="G7" s="9">
        <f>COUNTIFS($B$2:$B$37,"=SC")</f>
        <v>3</v>
      </c>
    </row>
    <row r="8" spans="1:16" ht="15.6" x14ac:dyDescent="0.3">
      <c r="A8" s="7" t="s">
        <v>159</v>
      </c>
      <c r="B8" s="7" t="s">
        <v>21</v>
      </c>
      <c r="C8" s="7" t="s">
        <v>47</v>
      </c>
      <c r="F8" s="9" t="s">
        <v>15</v>
      </c>
      <c r="G8" s="9">
        <f>COUNTIFS($B$2:$B$37,"=RS")</f>
        <v>3</v>
      </c>
    </row>
    <row r="9" spans="1:16" ht="15.6" x14ac:dyDescent="0.3">
      <c r="A9" s="7" t="s">
        <v>134</v>
      </c>
      <c r="B9" s="7" t="s">
        <v>21</v>
      </c>
      <c r="C9" s="7" t="s">
        <v>43</v>
      </c>
      <c r="F9" s="9" t="s">
        <v>57</v>
      </c>
      <c r="G9" s="9">
        <f>COUNTIFS($B$2:$B$37,"=ES")</f>
        <v>2</v>
      </c>
    </row>
    <row r="10" spans="1:16" ht="15.6" x14ac:dyDescent="0.3">
      <c r="A10" s="7" t="s">
        <v>42</v>
      </c>
      <c r="B10" s="7" t="s">
        <v>38</v>
      </c>
      <c r="C10" s="7" t="s">
        <v>43</v>
      </c>
      <c r="F10" s="9" t="s">
        <v>38</v>
      </c>
      <c r="G10" s="9">
        <f>COUNTIFS($B$2:$B$37,"=BA")</f>
        <v>2</v>
      </c>
    </row>
    <row r="11" spans="1:16" ht="15.6" x14ac:dyDescent="0.3">
      <c r="A11" s="7" t="s">
        <v>96</v>
      </c>
      <c r="B11" s="7" t="s">
        <v>54</v>
      </c>
      <c r="C11" s="7" t="s">
        <v>43</v>
      </c>
      <c r="F11" s="9" t="s">
        <v>29</v>
      </c>
      <c r="G11" s="9">
        <f>COUNTIFS($B$2:$B$37,"=PR")</f>
        <v>2</v>
      </c>
    </row>
    <row r="12" spans="1:16" ht="15.6" x14ac:dyDescent="0.3">
      <c r="A12" s="7" t="s">
        <v>135</v>
      </c>
      <c r="B12" s="7" t="s">
        <v>57</v>
      </c>
      <c r="C12" s="7" t="s">
        <v>43</v>
      </c>
      <c r="F12" s="9" t="s">
        <v>50</v>
      </c>
      <c r="G12" s="9">
        <f>COUNTIFS($B$2:$B$37,"=DF")</f>
        <v>2</v>
      </c>
    </row>
    <row r="13" spans="1:16" ht="15.6" x14ac:dyDescent="0.3">
      <c r="A13" s="7" t="s">
        <v>136</v>
      </c>
      <c r="B13" s="7" t="s">
        <v>19</v>
      </c>
      <c r="C13" s="7" t="s">
        <v>47</v>
      </c>
      <c r="F13" s="9" t="s">
        <v>46</v>
      </c>
      <c r="G13" s="9">
        <f>COUNTIFS($B$2:$B$37,"=PE")</f>
        <v>2</v>
      </c>
    </row>
    <row r="14" spans="1:16" ht="15.6" x14ac:dyDescent="0.3">
      <c r="A14" s="7" t="s">
        <v>125</v>
      </c>
      <c r="B14" s="7" t="s">
        <v>38</v>
      </c>
      <c r="C14" s="7" t="s">
        <v>43</v>
      </c>
      <c r="F14" s="9" t="s">
        <v>54</v>
      </c>
      <c r="G14" s="9">
        <f>COUNTIFS($B$2:$B$37,"=RN")</f>
        <v>1</v>
      </c>
    </row>
    <row r="15" spans="1:16" ht="15.6" x14ac:dyDescent="0.3">
      <c r="A15" s="7" t="s">
        <v>101</v>
      </c>
      <c r="B15" s="7" t="s">
        <v>102</v>
      </c>
      <c r="C15" s="7" t="s">
        <v>43</v>
      </c>
      <c r="F15" s="9" t="s">
        <v>102</v>
      </c>
      <c r="G15" s="9">
        <f>COUNTIFS($B$2:$B$37,"=SE")</f>
        <v>1</v>
      </c>
    </row>
    <row r="16" spans="1:16" ht="15.6" x14ac:dyDescent="0.3">
      <c r="A16" s="7" t="s">
        <v>130</v>
      </c>
      <c r="B16" s="7" t="s">
        <v>32</v>
      </c>
      <c r="C16" s="7" t="s">
        <v>43</v>
      </c>
      <c r="F16" s="27" t="s">
        <v>24</v>
      </c>
      <c r="G16" s="27">
        <f>COUNTIFS($B$2:$B$37,"=CE")</f>
        <v>1</v>
      </c>
    </row>
    <row r="17" spans="1:7" ht="15.6" x14ac:dyDescent="0.3">
      <c r="A17" s="7" t="s">
        <v>62</v>
      </c>
      <c r="B17" s="7" t="s">
        <v>19</v>
      </c>
      <c r="C17" s="7" t="s">
        <v>47</v>
      </c>
      <c r="F17" s="41" t="s">
        <v>163</v>
      </c>
      <c r="G17" s="8">
        <f>SUM(G3:G16)</f>
        <v>36</v>
      </c>
    </row>
    <row r="18" spans="1:7" ht="15.6" x14ac:dyDescent="0.3">
      <c r="A18" s="7" t="s">
        <v>112</v>
      </c>
      <c r="B18" s="7" t="s">
        <v>13</v>
      </c>
      <c r="C18" s="7" t="s">
        <v>43</v>
      </c>
    </row>
    <row r="19" spans="1:7" ht="15.6" x14ac:dyDescent="0.3">
      <c r="A19" s="7" t="s">
        <v>137</v>
      </c>
      <c r="B19" s="7" t="s">
        <v>26</v>
      </c>
      <c r="C19" s="7" t="s">
        <v>43</v>
      </c>
    </row>
    <row r="20" spans="1:7" ht="15.6" x14ac:dyDescent="0.3">
      <c r="A20" s="7" t="s">
        <v>119</v>
      </c>
      <c r="B20" s="7" t="s">
        <v>19</v>
      </c>
      <c r="C20" s="7" t="s">
        <v>43</v>
      </c>
    </row>
    <row r="21" spans="1:7" ht="15.6" x14ac:dyDescent="0.3">
      <c r="A21" s="7" t="s">
        <v>58</v>
      </c>
      <c r="B21" s="7" t="s">
        <v>15</v>
      </c>
      <c r="C21" s="7" t="s">
        <v>43</v>
      </c>
    </row>
    <row r="22" spans="1:7" ht="15.6" x14ac:dyDescent="0.3">
      <c r="A22" s="7" t="s">
        <v>115</v>
      </c>
      <c r="B22" s="7" t="s">
        <v>29</v>
      </c>
      <c r="C22" s="7" t="s">
        <v>43</v>
      </c>
    </row>
    <row r="23" spans="1:7" ht="15.6" x14ac:dyDescent="0.3">
      <c r="A23" s="7" t="s">
        <v>118</v>
      </c>
      <c r="B23" s="7" t="s">
        <v>29</v>
      </c>
      <c r="C23" s="7" t="s">
        <v>43</v>
      </c>
    </row>
    <row r="24" spans="1:7" ht="15.6" x14ac:dyDescent="0.3">
      <c r="A24" s="7" t="s">
        <v>123</v>
      </c>
      <c r="B24" s="7" t="s">
        <v>19</v>
      </c>
      <c r="C24" s="7" t="s">
        <v>43</v>
      </c>
    </row>
    <row r="25" spans="1:7" ht="15.6" x14ac:dyDescent="0.3">
      <c r="A25" s="7" t="s">
        <v>49</v>
      </c>
      <c r="B25" s="7" t="s">
        <v>50</v>
      </c>
      <c r="C25" s="7" t="s">
        <v>43</v>
      </c>
    </row>
    <row r="26" spans="1:7" ht="15.6" x14ac:dyDescent="0.3">
      <c r="A26" s="7" t="s">
        <v>70</v>
      </c>
      <c r="B26" s="7" t="s">
        <v>24</v>
      </c>
      <c r="C26" s="7" t="s">
        <v>43</v>
      </c>
    </row>
    <row r="27" spans="1:7" ht="15.6" x14ac:dyDescent="0.3">
      <c r="A27" s="7" t="s">
        <v>64</v>
      </c>
      <c r="B27" s="7" t="s">
        <v>19</v>
      </c>
      <c r="C27" s="7" t="s">
        <v>43</v>
      </c>
    </row>
    <row r="28" spans="1:7" ht="15.6" x14ac:dyDescent="0.3">
      <c r="A28" s="7" t="s">
        <v>76</v>
      </c>
      <c r="B28" s="7" t="s">
        <v>46</v>
      </c>
      <c r="C28" s="7" t="s">
        <v>43</v>
      </c>
    </row>
    <row r="29" spans="1:7" ht="15.6" x14ac:dyDescent="0.3">
      <c r="A29" s="7" t="s">
        <v>72</v>
      </c>
      <c r="B29" s="7" t="s">
        <v>32</v>
      </c>
      <c r="C29" s="7" t="s">
        <v>47</v>
      </c>
    </row>
    <row r="30" spans="1:7" ht="15.6" x14ac:dyDescent="0.3">
      <c r="A30" s="7" t="s">
        <v>86</v>
      </c>
      <c r="B30" s="7" t="s">
        <v>15</v>
      </c>
      <c r="C30" s="7" t="s">
        <v>47</v>
      </c>
    </row>
    <row r="31" spans="1:7" ht="15.6" x14ac:dyDescent="0.3">
      <c r="A31" s="7" t="s">
        <v>88</v>
      </c>
      <c r="B31" s="7" t="s">
        <v>13</v>
      </c>
      <c r="C31" s="7" t="s">
        <v>47</v>
      </c>
    </row>
    <row r="32" spans="1:7" ht="15.6" x14ac:dyDescent="0.3">
      <c r="A32" s="7" t="s">
        <v>99</v>
      </c>
      <c r="B32" s="7" t="s">
        <v>19</v>
      </c>
      <c r="C32" s="7" t="s">
        <v>47</v>
      </c>
    </row>
    <row r="33" spans="1:3" ht="15.6" x14ac:dyDescent="0.3">
      <c r="A33" s="7" t="s">
        <v>45</v>
      </c>
      <c r="B33" s="7" t="s">
        <v>46</v>
      </c>
      <c r="C33" s="7" t="s">
        <v>47</v>
      </c>
    </row>
    <row r="34" spans="1:3" ht="15.6" x14ac:dyDescent="0.3">
      <c r="A34" s="7" t="s">
        <v>98</v>
      </c>
      <c r="B34" s="7" t="s">
        <v>50</v>
      </c>
      <c r="C34" s="7" t="s">
        <v>43</v>
      </c>
    </row>
    <row r="35" spans="1:3" ht="15.6" x14ac:dyDescent="0.3">
      <c r="A35" s="7" t="s">
        <v>138</v>
      </c>
      <c r="B35" s="7" t="s">
        <v>21</v>
      </c>
      <c r="C35" s="7" t="s">
        <v>43</v>
      </c>
    </row>
    <row r="36" spans="1:3" ht="15.6" x14ac:dyDescent="0.3">
      <c r="A36" s="7" t="s">
        <v>110</v>
      </c>
      <c r="B36" s="7" t="s">
        <v>26</v>
      </c>
      <c r="C36" s="7" t="s">
        <v>47</v>
      </c>
    </row>
    <row r="37" spans="1:3" ht="15.6" x14ac:dyDescent="0.3">
      <c r="A37" s="7" t="s">
        <v>60</v>
      </c>
      <c r="B37" s="7" t="s">
        <v>21</v>
      </c>
      <c r="C37" s="7" t="s">
        <v>43</v>
      </c>
    </row>
  </sheetData>
  <autoFilter ref="A1:C37" xr:uid="{8DD80A5D-2D93-4A90-88F0-0AC83EC79655}"/>
  <sortState xmlns:xlrd2="http://schemas.microsoft.com/office/spreadsheetml/2017/richdata2" ref="L2:O6">
    <sortCondition descending="1" ref="O2:O6"/>
  </sortState>
  <mergeCells count="1">
    <mergeCell ref="F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14A7-4481-4AD8-A308-603E3409D9DD}">
  <dimension ref="A1:P119"/>
  <sheetViews>
    <sheetView showGridLines="0" topLeftCell="B1" workbookViewId="0">
      <selection activeCell="I1" sqref="I1:J4"/>
    </sheetView>
  </sheetViews>
  <sheetFormatPr defaultRowHeight="14.4" x14ac:dyDescent="0.3"/>
  <cols>
    <col min="1" max="1" width="39.77734375" bestFit="1" customWidth="1"/>
    <col min="2" max="2" width="8.44140625" bestFit="1" customWidth="1"/>
    <col min="3" max="3" width="9.33203125" bestFit="1" customWidth="1"/>
    <col min="12" max="12" width="34.6640625" bestFit="1" customWidth="1"/>
    <col min="13" max="13" width="4.33203125" bestFit="1" customWidth="1"/>
    <col min="15" max="15" width="6.109375" bestFit="1" customWidth="1"/>
    <col min="16" max="16" width="8.44140625" bestFit="1" customWidth="1"/>
  </cols>
  <sheetData>
    <row r="1" spans="1:16" ht="16.2" thickBot="1" x14ac:dyDescent="0.35">
      <c r="A1" s="6" t="s">
        <v>10</v>
      </c>
      <c r="B1" s="6" t="s">
        <v>11</v>
      </c>
      <c r="C1" s="6" t="s">
        <v>9</v>
      </c>
      <c r="F1" s="49" t="s">
        <v>164</v>
      </c>
      <c r="G1" s="49"/>
      <c r="I1" s="26" t="s">
        <v>143</v>
      </c>
      <c r="J1" s="26" t="s">
        <v>10</v>
      </c>
      <c r="L1" s="45" t="s">
        <v>160</v>
      </c>
      <c r="M1" s="26" t="s">
        <v>141</v>
      </c>
      <c r="N1" s="26" t="s">
        <v>143</v>
      </c>
      <c r="O1" s="26" t="s">
        <v>158</v>
      </c>
      <c r="P1" s="42" t="s">
        <v>161</v>
      </c>
    </row>
    <row r="2" spans="1:16" ht="16.2" thickTop="1" x14ac:dyDescent="0.3">
      <c r="A2" s="7" t="s">
        <v>122</v>
      </c>
      <c r="B2" s="7" t="s">
        <v>21</v>
      </c>
      <c r="C2" s="7" t="s">
        <v>43</v>
      </c>
      <c r="F2" s="26" t="s">
        <v>141</v>
      </c>
      <c r="G2" s="26" t="s">
        <v>10</v>
      </c>
      <c r="I2" s="9" t="s">
        <v>47</v>
      </c>
      <c r="J2" s="9">
        <f>COUNTIFS($C$2:$C$37,"=FIFA")</f>
        <v>11</v>
      </c>
      <c r="L2" s="39" t="s">
        <v>56</v>
      </c>
      <c r="M2" s="40" t="s">
        <v>57</v>
      </c>
      <c r="N2" s="40" t="s">
        <v>47</v>
      </c>
      <c r="O2" s="40">
        <f>24/2</f>
        <v>12</v>
      </c>
      <c r="P2" s="43">
        <f>O2/115</f>
        <v>0.10434782608695652</v>
      </c>
    </row>
    <row r="3" spans="1:16" ht="15.6" x14ac:dyDescent="0.3">
      <c r="A3" s="7" t="s">
        <v>109</v>
      </c>
      <c r="B3" s="7" t="s">
        <v>13</v>
      </c>
      <c r="C3" s="7" t="s">
        <v>47</v>
      </c>
      <c r="F3" s="9" t="s">
        <v>19</v>
      </c>
      <c r="G3" s="9">
        <f>COUNTIFS($B$2:$B$37,"=SP")</f>
        <v>4</v>
      </c>
      <c r="I3" s="27" t="s">
        <v>43</v>
      </c>
      <c r="J3" s="27">
        <f>COUNTIFS($C$2:$C$37,"=CBF")</f>
        <v>8</v>
      </c>
      <c r="L3" s="7" t="s">
        <v>97</v>
      </c>
      <c r="M3" s="9" t="s">
        <v>19</v>
      </c>
      <c r="N3" s="9" t="s">
        <v>47</v>
      </c>
      <c r="O3" s="9">
        <f>20/2</f>
        <v>10</v>
      </c>
      <c r="P3" s="43">
        <f t="shared" ref="P3:P4" si="0">O3/115</f>
        <v>8.6956521739130432E-2</v>
      </c>
    </row>
    <row r="4" spans="1:16" ht="15.6" x14ac:dyDescent="0.3">
      <c r="A4" s="7" t="s">
        <v>63</v>
      </c>
      <c r="B4" s="7" t="s">
        <v>19</v>
      </c>
      <c r="C4" s="7" t="s">
        <v>47</v>
      </c>
      <c r="F4" s="9" t="s">
        <v>21</v>
      </c>
      <c r="G4" s="9">
        <f>COUNTIFS($B$2:$B$37,"=RJ")</f>
        <v>3</v>
      </c>
      <c r="I4" s="8" t="s">
        <v>156</v>
      </c>
      <c r="J4" s="8">
        <f>SUM(J2:J3)</f>
        <v>19</v>
      </c>
      <c r="L4" s="21" t="s">
        <v>124</v>
      </c>
      <c r="M4" s="27" t="s">
        <v>32</v>
      </c>
      <c r="N4" s="27" t="s">
        <v>47</v>
      </c>
      <c r="O4" s="27">
        <f>18/2</f>
        <v>9</v>
      </c>
      <c r="P4" s="44">
        <f t="shared" si="0"/>
        <v>7.8260869565217397E-2</v>
      </c>
    </row>
    <row r="5" spans="1:16" ht="15.6" x14ac:dyDescent="0.3">
      <c r="A5" s="7" t="s">
        <v>91</v>
      </c>
      <c r="B5" s="7" t="s">
        <v>15</v>
      </c>
      <c r="C5" s="7" t="s">
        <v>47</v>
      </c>
      <c r="F5" s="9" t="s">
        <v>32</v>
      </c>
      <c r="G5" s="9">
        <f>COUNTIFS($B$2:$B$37,"=MG")</f>
        <v>3</v>
      </c>
    </row>
    <row r="6" spans="1:16" ht="15.6" x14ac:dyDescent="0.3">
      <c r="A6" s="7" t="s">
        <v>139</v>
      </c>
      <c r="B6" s="7" t="s">
        <v>38</v>
      </c>
      <c r="C6" s="7" t="s">
        <v>47</v>
      </c>
      <c r="F6" s="9" t="s">
        <v>13</v>
      </c>
      <c r="G6" s="9">
        <f>COUNTIFS($B$2:$B$37,"=SC")</f>
        <v>3</v>
      </c>
    </row>
    <row r="7" spans="1:16" ht="15.6" x14ac:dyDescent="0.3">
      <c r="A7" s="7" t="s">
        <v>128</v>
      </c>
      <c r="B7" s="7" t="s">
        <v>32</v>
      </c>
      <c r="C7" s="7" t="s">
        <v>43</v>
      </c>
      <c r="F7" s="9" t="s">
        <v>15</v>
      </c>
      <c r="G7" s="9">
        <f>COUNTIFS($B$2:$B$37,"=RS")</f>
        <v>1</v>
      </c>
    </row>
    <row r="8" spans="1:16" ht="15.6" x14ac:dyDescent="0.3">
      <c r="A8" s="7" t="s">
        <v>51</v>
      </c>
      <c r="B8" s="7" t="s">
        <v>46</v>
      </c>
      <c r="C8" s="7" t="s">
        <v>43</v>
      </c>
      <c r="F8" s="9" t="s">
        <v>57</v>
      </c>
      <c r="G8" s="9">
        <f>COUNTIFS($B$2:$B$37,"=ES")</f>
        <v>1</v>
      </c>
    </row>
    <row r="9" spans="1:16" ht="15.6" x14ac:dyDescent="0.3">
      <c r="A9" s="7" t="s">
        <v>124</v>
      </c>
      <c r="B9" s="7" t="s">
        <v>32</v>
      </c>
      <c r="C9" s="7" t="s">
        <v>47</v>
      </c>
      <c r="F9" s="9" t="s">
        <v>38</v>
      </c>
      <c r="G9" s="9">
        <f>COUNTIFS($B$2:$B$37,"=BA")</f>
        <v>1</v>
      </c>
    </row>
    <row r="10" spans="1:16" ht="15.6" x14ac:dyDescent="0.3">
      <c r="A10" s="7" t="s">
        <v>126</v>
      </c>
      <c r="B10" s="7" t="s">
        <v>19</v>
      </c>
      <c r="C10" s="7" t="s">
        <v>47</v>
      </c>
      <c r="F10" s="9" t="s">
        <v>29</v>
      </c>
      <c r="G10" s="9">
        <f>COUNTIFS($B$2:$B$37,"=PR")</f>
        <v>1</v>
      </c>
    </row>
    <row r="11" spans="1:16" ht="15.6" x14ac:dyDescent="0.3">
      <c r="A11" s="7" t="s">
        <v>93</v>
      </c>
      <c r="B11" s="7" t="s">
        <v>19</v>
      </c>
      <c r="C11" s="7" t="s">
        <v>43</v>
      </c>
      <c r="F11" s="9" t="s">
        <v>46</v>
      </c>
      <c r="G11" s="9">
        <f>COUNTIFS($B$2:$B$37,"=PE")</f>
        <v>1</v>
      </c>
    </row>
    <row r="12" spans="1:16" ht="15.6" x14ac:dyDescent="0.3">
      <c r="A12" s="7" t="s">
        <v>120</v>
      </c>
      <c r="B12" s="7" t="s">
        <v>32</v>
      </c>
      <c r="C12" s="7" t="s">
        <v>43</v>
      </c>
      <c r="F12" s="27" t="s">
        <v>54</v>
      </c>
      <c r="G12" s="27">
        <f>COUNTIFS($B$2:$B$37,"=RN")</f>
        <v>1</v>
      </c>
    </row>
    <row r="13" spans="1:16" ht="15.6" x14ac:dyDescent="0.3">
      <c r="A13" s="7" t="s">
        <v>53</v>
      </c>
      <c r="B13" s="7" t="s">
        <v>54</v>
      </c>
      <c r="C13" s="7" t="s">
        <v>47</v>
      </c>
      <c r="F13" s="2" t="s">
        <v>156</v>
      </c>
      <c r="G13" s="8">
        <f>SUM(G3:G12)</f>
        <v>19</v>
      </c>
    </row>
    <row r="14" spans="1:16" ht="15.6" x14ac:dyDescent="0.3">
      <c r="A14" s="7" t="s">
        <v>75</v>
      </c>
      <c r="B14" s="7" t="s">
        <v>21</v>
      </c>
      <c r="C14" s="7" t="s">
        <v>43</v>
      </c>
      <c r="F14" s="7"/>
    </row>
    <row r="15" spans="1:16" ht="15.6" x14ac:dyDescent="0.3">
      <c r="A15" s="7" t="s">
        <v>111</v>
      </c>
      <c r="B15" s="7" t="s">
        <v>13</v>
      </c>
      <c r="C15" s="7" t="s">
        <v>43</v>
      </c>
      <c r="F15" s="7"/>
    </row>
    <row r="16" spans="1:16" ht="15.6" x14ac:dyDescent="0.3">
      <c r="A16" s="7" t="s">
        <v>140</v>
      </c>
      <c r="B16" s="7" t="s">
        <v>29</v>
      </c>
      <c r="C16" s="7" t="s">
        <v>47</v>
      </c>
      <c r="F16" s="7"/>
    </row>
    <row r="17" spans="1:3" ht="15.6" x14ac:dyDescent="0.3">
      <c r="A17" s="7" t="s">
        <v>87</v>
      </c>
      <c r="B17" s="7" t="s">
        <v>13</v>
      </c>
      <c r="C17" s="7" t="s">
        <v>43</v>
      </c>
    </row>
    <row r="18" spans="1:3" ht="15.6" x14ac:dyDescent="0.3">
      <c r="A18" s="7" t="s">
        <v>97</v>
      </c>
      <c r="B18" s="7" t="s">
        <v>19</v>
      </c>
      <c r="C18" s="7" t="s">
        <v>47</v>
      </c>
    </row>
    <row r="19" spans="1:3" ht="15.6" x14ac:dyDescent="0.3">
      <c r="A19" s="7" t="s">
        <v>117</v>
      </c>
      <c r="B19" s="7" t="s">
        <v>21</v>
      </c>
      <c r="C19" s="7" t="s">
        <v>47</v>
      </c>
    </row>
    <row r="20" spans="1:3" ht="15.6" x14ac:dyDescent="0.3">
      <c r="A20" s="7" t="s">
        <v>56</v>
      </c>
      <c r="B20" s="7" t="s">
        <v>57</v>
      </c>
      <c r="C20" s="7" t="s">
        <v>47</v>
      </c>
    </row>
    <row r="21" spans="1:3" ht="15.6" x14ac:dyDescent="0.3">
      <c r="A21" s="7"/>
      <c r="B21" s="7"/>
      <c r="C21" s="7"/>
    </row>
    <row r="26" spans="1:3" ht="15.6" x14ac:dyDescent="0.3">
      <c r="A26" s="14"/>
      <c r="B26" s="14"/>
      <c r="C26" s="14"/>
    </row>
    <row r="50" spans="1:3" ht="15.6" x14ac:dyDescent="0.3">
      <c r="A50" s="7"/>
      <c r="B50" s="7"/>
      <c r="C50" s="7"/>
    </row>
    <row r="51" spans="1:3" ht="15.6" x14ac:dyDescent="0.3">
      <c r="A51" s="7"/>
      <c r="B51" s="7"/>
      <c r="C51" s="7"/>
    </row>
    <row r="52" spans="1:3" ht="15.6" x14ac:dyDescent="0.3">
      <c r="A52" s="7" t="s">
        <v>100</v>
      </c>
      <c r="B52" s="7" t="s">
        <v>29</v>
      </c>
      <c r="C52" s="7" t="s">
        <v>47</v>
      </c>
    </row>
    <row r="53" spans="1:3" ht="15.6" x14ac:dyDescent="0.3">
      <c r="A53" s="7" t="s">
        <v>87</v>
      </c>
      <c r="B53" s="7" t="s">
        <v>13</v>
      </c>
      <c r="C53" s="7" t="s">
        <v>43</v>
      </c>
    </row>
    <row r="54" spans="1:3" ht="15.6" x14ac:dyDescent="0.3">
      <c r="A54" s="7" t="s">
        <v>111</v>
      </c>
      <c r="B54" s="7" t="s">
        <v>13</v>
      </c>
      <c r="C54" s="7" t="s">
        <v>43</v>
      </c>
    </row>
    <row r="55" spans="1:3" ht="15.6" x14ac:dyDescent="0.3">
      <c r="A55" s="7" t="s">
        <v>56</v>
      </c>
      <c r="B55" s="7" t="s">
        <v>57</v>
      </c>
      <c r="C55" s="7" t="s">
        <v>47</v>
      </c>
    </row>
    <row r="56" spans="1:3" ht="15.6" x14ac:dyDescent="0.3">
      <c r="A56" s="7" t="s">
        <v>113</v>
      </c>
      <c r="B56" s="7" t="s">
        <v>46</v>
      </c>
      <c r="C56" s="7" t="s">
        <v>43</v>
      </c>
    </row>
    <row r="57" spans="1:3" ht="15.6" x14ac:dyDescent="0.3">
      <c r="A57" s="7" t="s">
        <v>114</v>
      </c>
      <c r="B57" s="7" t="s">
        <v>19</v>
      </c>
      <c r="C57" s="7" t="s">
        <v>47</v>
      </c>
    </row>
    <row r="58" spans="1:3" ht="15.6" x14ac:dyDescent="0.3">
      <c r="A58" s="7" t="s">
        <v>53</v>
      </c>
      <c r="B58" s="7" t="s">
        <v>54</v>
      </c>
      <c r="C58" s="7" t="s">
        <v>47</v>
      </c>
    </row>
    <row r="59" spans="1:3" ht="15.6" x14ac:dyDescent="0.3">
      <c r="A59" s="7" t="s">
        <v>75</v>
      </c>
      <c r="B59" s="7" t="s">
        <v>21</v>
      </c>
      <c r="C59" s="7" t="s">
        <v>43</v>
      </c>
    </row>
    <row r="60" spans="1:3" ht="15.6" x14ac:dyDescent="0.3">
      <c r="A60" s="7" t="s">
        <v>75</v>
      </c>
      <c r="B60" s="7" t="s">
        <v>21</v>
      </c>
      <c r="C60" s="7" t="s">
        <v>43</v>
      </c>
    </row>
    <row r="61" spans="1:3" ht="15.6" x14ac:dyDescent="0.3">
      <c r="A61" s="7" t="s">
        <v>63</v>
      </c>
      <c r="B61" s="7" t="s">
        <v>19</v>
      </c>
      <c r="C61" s="7" t="s">
        <v>47</v>
      </c>
    </row>
    <row r="62" spans="1:3" ht="15.6" x14ac:dyDescent="0.3">
      <c r="A62" s="7" t="s">
        <v>56</v>
      </c>
      <c r="B62" s="7" t="s">
        <v>57</v>
      </c>
      <c r="C62" s="7" t="s">
        <v>47</v>
      </c>
    </row>
    <row r="63" spans="1:3" ht="15.6" x14ac:dyDescent="0.3">
      <c r="A63" s="7" t="s">
        <v>117</v>
      </c>
      <c r="B63" s="7" t="s">
        <v>21</v>
      </c>
      <c r="C63" s="7" t="s">
        <v>47</v>
      </c>
    </row>
    <row r="64" spans="1:3" ht="15.6" x14ac:dyDescent="0.3">
      <c r="A64" s="7" t="s">
        <v>53</v>
      </c>
      <c r="B64" s="7" t="s">
        <v>54</v>
      </c>
      <c r="C64" s="7" t="s">
        <v>47</v>
      </c>
    </row>
    <row r="65" spans="1:3" ht="15.6" x14ac:dyDescent="0.3">
      <c r="A65" s="7" t="s">
        <v>111</v>
      </c>
      <c r="B65" s="7" t="s">
        <v>13</v>
      </c>
      <c r="C65" s="7" t="s">
        <v>43</v>
      </c>
    </row>
    <row r="66" spans="1:3" ht="15.6" x14ac:dyDescent="0.3">
      <c r="A66" s="7" t="s">
        <v>85</v>
      </c>
      <c r="B66" s="7" t="s">
        <v>32</v>
      </c>
      <c r="C66" s="7" t="s">
        <v>47</v>
      </c>
    </row>
    <row r="67" spans="1:3" ht="15.6" x14ac:dyDescent="0.3">
      <c r="A67" s="7" t="s">
        <v>87</v>
      </c>
      <c r="B67" s="7" t="s">
        <v>13</v>
      </c>
      <c r="C67" s="7" t="s">
        <v>47</v>
      </c>
    </row>
    <row r="68" spans="1:3" ht="15.6" x14ac:dyDescent="0.3">
      <c r="A68" s="7" t="s">
        <v>56</v>
      </c>
      <c r="B68" s="7" t="s">
        <v>57</v>
      </c>
      <c r="C68" s="7" t="s">
        <v>47</v>
      </c>
    </row>
    <row r="69" spans="1:3" ht="15.6" x14ac:dyDescent="0.3">
      <c r="A69" s="7" t="s">
        <v>120</v>
      </c>
      <c r="B69" s="7" t="s">
        <v>32</v>
      </c>
      <c r="C69" s="7" t="s">
        <v>43</v>
      </c>
    </row>
    <row r="70" spans="1:3" ht="15.6" x14ac:dyDescent="0.3">
      <c r="A70" s="7" t="s">
        <v>111</v>
      </c>
      <c r="B70" s="7" t="s">
        <v>13</v>
      </c>
      <c r="C70" s="7" t="s">
        <v>43</v>
      </c>
    </row>
    <row r="71" spans="1:3" ht="15.6" x14ac:dyDescent="0.3">
      <c r="A71" s="7" t="s">
        <v>122</v>
      </c>
      <c r="B71" s="7" t="s">
        <v>21</v>
      </c>
      <c r="C71" s="7" t="s">
        <v>43</v>
      </c>
    </row>
    <row r="72" spans="1:3" ht="15.6" x14ac:dyDescent="0.3">
      <c r="A72" s="7" t="s">
        <v>87</v>
      </c>
      <c r="B72" s="7" t="s">
        <v>13</v>
      </c>
      <c r="C72" s="7" t="s">
        <v>43</v>
      </c>
    </row>
    <row r="73" spans="1:3" ht="15.6" x14ac:dyDescent="0.3">
      <c r="A73" s="7" t="s">
        <v>117</v>
      </c>
      <c r="B73" s="7" t="s">
        <v>21</v>
      </c>
      <c r="C73" s="7" t="s">
        <v>47</v>
      </c>
    </row>
    <row r="74" spans="1:3" ht="15.6" x14ac:dyDescent="0.3">
      <c r="A74" s="7" t="s">
        <v>109</v>
      </c>
      <c r="B74" s="7" t="s">
        <v>13</v>
      </c>
      <c r="C74" s="7" t="s">
        <v>47</v>
      </c>
    </row>
    <row r="75" spans="1:3" ht="15.6" x14ac:dyDescent="0.3">
      <c r="A75" s="7" t="s">
        <v>124</v>
      </c>
      <c r="B75" s="7" t="s">
        <v>32</v>
      </c>
      <c r="C75" s="7" t="s">
        <v>47</v>
      </c>
    </row>
    <row r="76" spans="1:3" ht="15.6" x14ac:dyDescent="0.3">
      <c r="A76" s="7" t="s">
        <v>51</v>
      </c>
      <c r="B76" s="7" t="s">
        <v>46</v>
      </c>
      <c r="C76" s="7" t="s">
        <v>43</v>
      </c>
    </row>
    <row r="77" spans="1:3" ht="15.6" x14ac:dyDescent="0.3">
      <c r="A77" s="7" t="s">
        <v>97</v>
      </c>
      <c r="B77" s="7" t="s">
        <v>19</v>
      </c>
      <c r="C77" s="7" t="s">
        <v>47</v>
      </c>
    </row>
    <row r="78" spans="1:3" ht="15.6" x14ac:dyDescent="0.3">
      <c r="A78" s="7" t="s">
        <v>56</v>
      </c>
      <c r="B78" s="7" t="s">
        <v>57</v>
      </c>
      <c r="C78" s="7" t="s">
        <v>47</v>
      </c>
    </row>
    <row r="79" spans="1:3" ht="15.6" x14ac:dyDescent="0.3">
      <c r="A79" s="7" t="s">
        <v>63</v>
      </c>
      <c r="B79" s="7" t="s">
        <v>19</v>
      </c>
      <c r="C79" s="7" t="s">
        <v>47</v>
      </c>
    </row>
    <row r="80" spans="1:3" ht="15.6" x14ac:dyDescent="0.3">
      <c r="A80" s="7" t="s">
        <v>59</v>
      </c>
      <c r="B80" s="7" t="s">
        <v>38</v>
      </c>
      <c r="C80" s="7" t="s">
        <v>47</v>
      </c>
    </row>
    <row r="81" spans="1:3" ht="15.6" x14ac:dyDescent="0.3">
      <c r="A81" s="7" t="s">
        <v>120</v>
      </c>
      <c r="B81" s="7" t="s">
        <v>32</v>
      </c>
      <c r="C81" s="7" t="s">
        <v>43</v>
      </c>
    </row>
    <row r="82" spans="1:3" ht="15.6" x14ac:dyDescent="0.3">
      <c r="A82" s="7" t="s">
        <v>122</v>
      </c>
      <c r="B82" s="7" t="s">
        <v>21</v>
      </c>
      <c r="C82" s="7" t="s">
        <v>43</v>
      </c>
    </row>
    <row r="83" spans="1:3" ht="15.6" x14ac:dyDescent="0.3">
      <c r="A83" s="7" t="s">
        <v>124</v>
      </c>
      <c r="B83" s="7" t="s">
        <v>32</v>
      </c>
      <c r="C83" s="7" t="s">
        <v>47</v>
      </c>
    </row>
    <row r="84" spans="1:3" ht="15.6" x14ac:dyDescent="0.3">
      <c r="A84" s="7" t="s">
        <v>63</v>
      </c>
      <c r="B84" s="7" t="s">
        <v>19</v>
      </c>
      <c r="C84" s="7" t="s">
        <v>47</v>
      </c>
    </row>
    <row r="85" spans="1:3" ht="15.6" x14ac:dyDescent="0.3">
      <c r="A85" s="7" t="s">
        <v>126</v>
      </c>
      <c r="B85" s="7" t="s">
        <v>19</v>
      </c>
      <c r="C85" s="7" t="s">
        <v>47</v>
      </c>
    </row>
    <row r="86" spans="1:3" ht="15.6" x14ac:dyDescent="0.3">
      <c r="A86" s="7" t="s">
        <v>114</v>
      </c>
      <c r="B86" s="7" t="s">
        <v>19</v>
      </c>
      <c r="C86" s="7" t="s">
        <v>47</v>
      </c>
    </row>
    <row r="87" spans="1:3" ht="15.6" x14ac:dyDescent="0.3">
      <c r="A87" s="7" t="s">
        <v>56</v>
      </c>
      <c r="B87" s="7" t="s">
        <v>57</v>
      </c>
      <c r="C87" s="7" t="s">
        <v>47</v>
      </c>
    </row>
    <row r="88" spans="1:3" ht="15.6" x14ac:dyDescent="0.3">
      <c r="A88" s="7" t="s">
        <v>111</v>
      </c>
      <c r="B88" s="7" t="s">
        <v>13</v>
      </c>
      <c r="C88" s="7" t="s">
        <v>43</v>
      </c>
    </row>
    <row r="89" spans="1:3" ht="15.6" x14ac:dyDescent="0.3">
      <c r="A89" s="7" t="s">
        <v>51</v>
      </c>
      <c r="B89" s="7" t="s">
        <v>46</v>
      </c>
      <c r="C89" s="7" t="s">
        <v>43</v>
      </c>
    </row>
    <row r="90" spans="1:3" ht="15.6" x14ac:dyDescent="0.3">
      <c r="A90" s="7" t="s">
        <v>75</v>
      </c>
      <c r="B90" s="7" t="s">
        <v>21</v>
      </c>
      <c r="C90" s="7" t="s">
        <v>43</v>
      </c>
    </row>
    <row r="91" spans="1:3" ht="15.6" x14ac:dyDescent="0.3">
      <c r="A91" s="7" t="s">
        <v>124</v>
      </c>
      <c r="B91" s="7" t="s">
        <v>32</v>
      </c>
      <c r="C91" s="7" t="s">
        <v>47</v>
      </c>
    </row>
    <row r="92" spans="1:3" ht="15.6" x14ac:dyDescent="0.3">
      <c r="A92" s="7" t="s">
        <v>120</v>
      </c>
      <c r="B92" s="7" t="s">
        <v>32</v>
      </c>
      <c r="C92" s="7" t="s">
        <v>43</v>
      </c>
    </row>
    <row r="93" spans="1:3" ht="15.6" x14ac:dyDescent="0.3">
      <c r="A93" s="7" t="s">
        <v>117</v>
      </c>
      <c r="B93" s="7" t="s">
        <v>21</v>
      </c>
      <c r="C93" s="7" t="s">
        <v>47</v>
      </c>
    </row>
    <row r="94" spans="1:3" ht="15.6" x14ac:dyDescent="0.3">
      <c r="A94" s="7" t="s">
        <v>51</v>
      </c>
      <c r="B94" s="7" t="s">
        <v>46</v>
      </c>
      <c r="C94" s="7" t="s">
        <v>43</v>
      </c>
    </row>
    <row r="95" spans="1:3" ht="15.6" x14ac:dyDescent="0.3">
      <c r="A95" s="7" t="s">
        <v>56</v>
      </c>
      <c r="B95" s="7" t="s">
        <v>57</v>
      </c>
      <c r="C95" s="7" t="s">
        <v>47</v>
      </c>
    </row>
    <row r="96" spans="1:3" ht="15.6" x14ac:dyDescent="0.3">
      <c r="A96" s="7" t="s">
        <v>63</v>
      </c>
      <c r="B96" s="7" t="s">
        <v>19</v>
      </c>
      <c r="C96" s="7" t="s">
        <v>47</v>
      </c>
    </row>
    <row r="97" spans="1:3" ht="15.6" x14ac:dyDescent="0.3">
      <c r="A97" s="7" t="s">
        <v>114</v>
      </c>
      <c r="B97" s="7" t="s">
        <v>19</v>
      </c>
      <c r="C97" s="7" t="s">
        <v>47</v>
      </c>
    </row>
    <row r="98" spans="1:3" ht="15.6" x14ac:dyDescent="0.3">
      <c r="A98" s="7" t="s">
        <v>111</v>
      </c>
      <c r="B98" s="7" t="s">
        <v>13</v>
      </c>
      <c r="C98" s="7" t="s">
        <v>43</v>
      </c>
    </row>
    <row r="99" spans="1:3" ht="15.6" x14ac:dyDescent="0.3">
      <c r="A99" s="7" t="s">
        <v>63</v>
      </c>
      <c r="B99" s="7" t="s">
        <v>19</v>
      </c>
      <c r="C99" s="7" t="s">
        <v>47</v>
      </c>
    </row>
    <row r="100" spans="1:3" ht="15.6" x14ac:dyDescent="0.3">
      <c r="A100" s="7" t="s">
        <v>56</v>
      </c>
      <c r="B100" s="7" t="s">
        <v>57</v>
      </c>
      <c r="C100" s="7" t="s">
        <v>47</v>
      </c>
    </row>
    <row r="101" spans="1:3" ht="15.6" x14ac:dyDescent="0.3">
      <c r="A101" s="7" t="s">
        <v>124</v>
      </c>
      <c r="B101" s="7" t="s">
        <v>32</v>
      </c>
      <c r="C101" s="7" t="s">
        <v>47</v>
      </c>
    </row>
    <row r="102" spans="1:3" ht="15.6" x14ac:dyDescent="0.3">
      <c r="A102" s="7" t="s">
        <v>128</v>
      </c>
      <c r="B102" s="7" t="s">
        <v>32</v>
      </c>
      <c r="C102" s="7" t="s">
        <v>43</v>
      </c>
    </row>
    <row r="103" spans="1:3" ht="15.6" x14ac:dyDescent="0.3">
      <c r="A103" s="7" t="s">
        <v>109</v>
      </c>
      <c r="B103" s="7" t="s">
        <v>13</v>
      </c>
      <c r="C103" s="7" t="s">
        <v>47</v>
      </c>
    </row>
    <row r="104" spans="1:3" ht="15.6" x14ac:dyDescent="0.3">
      <c r="A104" s="7" t="s">
        <v>117</v>
      </c>
      <c r="B104" s="7" t="s">
        <v>21</v>
      </c>
      <c r="C104" s="7" t="s">
        <v>47</v>
      </c>
    </row>
    <row r="105" spans="1:3" ht="15.6" x14ac:dyDescent="0.3">
      <c r="A105" s="7" t="s">
        <v>97</v>
      </c>
      <c r="B105" s="7" t="s">
        <v>19</v>
      </c>
      <c r="C105" s="7" t="s">
        <v>47</v>
      </c>
    </row>
    <row r="106" spans="1:3" ht="15.6" x14ac:dyDescent="0.3">
      <c r="A106" s="7" t="s">
        <v>120</v>
      </c>
      <c r="B106" s="7" t="s">
        <v>32</v>
      </c>
      <c r="C106" s="7" t="s">
        <v>43</v>
      </c>
    </row>
    <row r="107" spans="1:3" ht="15.6" x14ac:dyDescent="0.3">
      <c r="A107" s="7" t="s">
        <v>111</v>
      </c>
      <c r="B107" s="7" t="s">
        <v>13</v>
      </c>
      <c r="C107" s="7" t="s">
        <v>43</v>
      </c>
    </row>
    <row r="108" spans="1:3" ht="15.6" x14ac:dyDescent="0.3">
      <c r="A108" s="7" t="s">
        <v>63</v>
      </c>
      <c r="B108" s="7" t="s">
        <v>19</v>
      </c>
      <c r="C108" s="7" t="s">
        <v>47</v>
      </c>
    </row>
    <row r="109" spans="1:3" ht="15.6" x14ac:dyDescent="0.3">
      <c r="A109" s="7" t="s">
        <v>75</v>
      </c>
      <c r="B109" s="7" t="s">
        <v>21</v>
      </c>
      <c r="C109" s="7" t="s">
        <v>43</v>
      </c>
    </row>
    <row r="110" spans="1:3" ht="15.6" x14ac:dyDescent="0.3">
      <c r="A110" s="7" t="s">
        <v>75</v>
      </c>
      <c r="B110" s="7" t="s">
        <v>21</v>
      </c>
      <c r="C110" s="7" t="s">
        <v>43</v>
      </c>
    </row>
    <row r="111" spans="1:3" ht="15.6" x14ac:dyDescent="0.3">
      <c r="A111" s="7" t="s">
        <v>124</v>
      </c>
      <c r="B111" s="7" t="s">
        <v>32</v>
      </c>
      <c r="C111" s="7" t="s">
        <v>47</v>
      </c>
    </row>
    <row r="112" spans="1:3" ht="15.6" x14ac:dyDescent="0.3">
      <c r="A112" s="7" t="s">
        <v>111</v>
      </c>
      <c r="B112" s="7" t="s">
        <v>13</v>
      </c>
      <c r="C112" s="7" t="s">
        <v>43</v>
      </c>
    </row>
    <row r="113" spans="1:3" ht="15.6" x14ac:dyDescent="0.3">
      <c r="A113" s="7" t="s">
        <v>117</v>
      </c>
      <c r="B113" s="7" t="s">
        <v>21</v>
      </c>
      <c r="C113" s="7" t="s">
        <v>47</v>
      </c>
    </row>
    <row r="114" spans="1:3" ht="15.6" x14ac:dyDescent="0.3">
      <c r="A114" s="7" t="s">
        <v>109</v>
      </c>
      <c r="B114" s="7" t="s">
        <v>13</v>
      </c>
      <c r="C114" s="7" t="s">
        <v>47</v>
      </c>
    </row>
    <row r="115" spans="1:3" ht="15.6" x14ac:dyDescent="0.3">
      <c r="A115" s="7" t="s">
        <v>51</v>
      </c>
      <c r="B115" s="7" t="s">
        <v>46</v>
      </c>
      <c r="C115" s="7" t="s">
        <v>43</v>
      </c>
    </row>
    <row r="116" spans="1:3" ht="15.6" x14ac:dyDescent="0.3">
      <c r="A116" s="7" t="s">
        <v>63</v>
      </c>
      <c r="B116" s="7" t="s">
        <v>19</v>
      </c>
      <c r="C116" s="7" t="s">
        <v>47</v>
      </c>
    </row>
    <row r="117" spans="1:3" ht="15.6" x14ac:dyDescent="0.3">
      <c r="A117" s="7" t="s">
        <v>97</v>
      </c>
      <c r="B117" s="7" t="s">
        <v>19</v>
      </c>
      <c r="C117" s="7" t="s">
        <v>47</v>
      </c>
    </row>
    <row r="118" spans="1:3" ht="15.6" x14ac:dyDescent="0.3">
      <c r="A118" s="7" t="s">
        <v>56</v>
      </c>
      <c r="B118" s="7" t="s">
        <v>57</v>
      </c>
      <c r="C118" s="7" t="s">
        <v>47</v>
      </c>
    </row>
    <row r="119" spans="1:3" ht="15.6" x14ac:dyDescent="0.3">
      <c r="A119" s="7" t="s">
        <v>122</v>
      </c>
      <c r="B119" s="7" t="s">
        <v>21</v>
      </c>
      <c r="C119" s="7" t="s">
        <v>43</v>
      </c>
    </row>
  </sheetData>
  <sortState xmlns:xlrd2="http://schemas.microsoft.com/office/spreadsheetml/2017/richdata2" ref="L2:O4">
    <sortCondition descending="1" ref="O2:O4"/>
  </sortState>
  <mergeCells count="1">
    <mergeCell ref="F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9E41-F723-4DDB-9A30-834CE4DA51EC}">
  <dimension ref="A1:CB121"/>
  <sheetViews>
    <sheetView showGridLines="0" zoomScaleNormal="100" workbookViewId="0">
      <pane xSplit="1" ySplit="1" topLeftCell="BQ2" activePane="bottomRight" state="frozen"/>
      <selection pane="topRight" activeCell="B1" sqref="B1"/>
      <selection pane="bottomLeft" activeCell="A2" sqref="A2"/>
      <selection pane="bottomRight" activeCell="CA15" sqref="CA15"/>
    </sheetView>
  </sheetViews>
  <sheetFormatPr defaultRowHeight="14.4" x14ac:dyDescent="0.3"/>
  <cols>
    <col min="1" max="1" width="2" bestFit="1" customWidth="1"/>
    <col min="2" max="2" width="13.44140625" bestFit="1" customWidth="1"/>
    <col min="3" max="3" width="8.5546875" bestFit="1" customWidth="1"/>
    <col min="4" max="4" width="9.33203125" bestFit="1" customWidth="1"/>
    <col min="5" max="5" width="13.44140625" bestFit="1" customWidth="1"/>
    <col min="6" max="6" width="8.33203125" bestFit="1" customWidth="1"/>
    <col min="7" max="7" width="9.109375" bestFit="1" customWidth="1"/>
    <col min="8" max="8" width="37.44140625" bestFit="1" customWidth="1"/>
    <col min="9" max="9" width="11" bestFit="1" customWidth="1"/>
    <col min="10" max="10" width="9.33203125" bestFit="1" customWidth="1"/>
    <col min="11" max="11" width="38.6640625" bestFit="1" customWidth="1"/>
    <col min="12" max="12" width="8.44140625" bestFit="1" customWidth="1"/>
    <col min="13" max="13" width="9.33203125" bestFit="1" customWidth="1"/>
    <col min="14" max="14" width="9.33203125" style="17" customWidth="1"/>
    <col min="15" max="17" width="6.6640625" style="17" bestFit="1" customWidth="1"/>
    <col min="18" max="18" width="8.88671875" style="17"/>
    <col min="19" max="19" width="13.44140625" bestFit="1" customWidth="1"/>
    <col min="20" max="20" width="12.21875" bestFit="1" customWidth="1"/>
    <col min="21" max="21" width="11.77734375" bestFit="1" customWidth="1"/>
    <col min="22" max="22" width="9.44140625" bestFit="1" customWidth="1"/>
    <col min="23" max="23" width="9" bestFit="1" customWidth="1"/>
    <col min="24" max="26" width="6.6640625" bestFit="1" customWidth="1"/>
    <col min="29" max="29" width="37.44140625" bestFit="1" customWidth="1"/>
    <col min="30" max="30" width="9.44140625" bestFit="1" customWidth="1"/>
    <col min="31" max="31" width="11.77734375" bestFit="1" customWidth="1"/>
    <col min="32" max="32" width="12.109375" bestFit="1" customWidth="1"/>
    <col min="33" max="33" width="6.21875" bestFit="1" customWidth="1"/>
    <col min="34" max="34" width="9.44140625" bestFit="1" customWidth="1"/>
    <col min="35" max="35" width="11.77734375" bestFit="1" customWidth="1"/>
    <col min="36" max="36" width="9.109375" bestFit="1" customWidth="1"/>
    <col min="37" max="37" width="8.77734375" bestFit="1" customWidth="1"/>
    <col min="38" max="38" width="7.44140625" bestFit="1" customWidth="1"/>
    <col min="39" max="39" width="10" bestFit="1" customWidth="1"/>
    <col min="40" max="40" width="11.6640625" bestFit="1" customWidth="1"/>
    <col min="41" max="41" width="9.5546875" bestFit="1" customWidth="1"/>
    <col min="42" max="42" width="7.88671875" bestFit="1" customWidth="1"/>
    <col min="43" max="43" width="13.44140625" bestFit="1" customWidth="1"/>
    <col min="44" max="44" width="10.6640625" bestFit="1" customWidth="1"/>
    <col min="45" max="45" width="10.109375" bestFit="1" customWidth="1"/>
    <col min="46" max="46" width="8.6640625" bestFit="1" customWidth="1"/>
    <col min="47" max="47" width="10.21875" bestFit="1" customWidth="1"/>
    <col min="48" max="48" width="6.44140625" bestFit="1" customWidth="1"/>
    <col min="49" max="49" width="7.33203125" bestFit="1" customWidth="1"/>
    <col min="50" max="50" width="7.33203125" customWidth="1"/>
    <col min="52" max="52" width="38.6640625" bestFit="1" customWidth="1"/>
    <col min="53" max="53" width="9.44140625" bestFit="1" customWidth="1"/>
    <col min="54" max="54" width="11.77734375" bestFit="1" customWidth="1"/>
    <col min="55" max="55" width="12.109375" bestFit="1" customWidth="1"/>
    <col min="56" max="56" width="6.21875" bestFit="1" customWidth="1"/>
    <col min="57" max="57" width="9.44140625" bestFit="1" customWidth="1"/>
    <col min="58" max="58" width="11.77734375" bestFit="1" customWidth="1"/>
    <col min="59" max="59" width="9.109375" bestFit="1" customWidth="1"/>
    <col min="60" max="60" width="8.77734375" bestFit="1" customWidth="1"/>
    <col min="61" max="61" width="7.44140625" bestFit="1" customWidth="1"/>
    <col min="62" max="62" width="10" bestFit="1" customWidth="1"/>
    <col min="63" max="63" width="11.6640625" bestFit="1" customWidth="1"/>
    <col min="64" max="64" width="9.5546875" bestFit="1" customWidth="1"/>
    <col min="65" max="65" width="7.88671875" bestFit="1" customWidth="1"/>
    <col min="66" max="66" width="13.44140625" bestFit="1" customWidth="1"/>
    <col min="67" max="67" width="10.6640625" bestFit="1" customWidth="1"/>
    <col min="68" max="68" width="10.109375" bestFit="1" customWidth="1"/>
    <col min="69" max="69" width="8.6640625" bestFit="1" customWidth="1"/>
    <col min="70" max="70" width="10.21875" bestFit="1" customWidth="1"/>
    <col min="71" max="71" width="6.44140625" bestFit="1" customWidth="1"/>
    <col min="72" max="72" width="7.33203125" bestFit="1" customWidth="1"/>
    <col min="78" max="78" width="3.109375" style="38" customWidth="1"/>
  </cols>
  <sheetData>
    <row r="1" spans="1:80" ht="15.6" x14ac:dyDescent="0.3">
      <c r="B1" s="3" t="s">
        <v>1</v>
      </c>
      <c r="C1" s="10" t="s">
        <v>3</v>
      </c>
      <c r="D1" s="10" t="s">
        <v>2</v>
      </c>
      <c r="E1" s="4" t="s">
        <v>4</v>
      </c>
      <c r="F1" s="11" t="s">
        <v>5</v>
      </c>
      <c r="G1" s="11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9</v>
      </c>
      <c r="N1" s="16"/>
      <c r="O1" s="6" t="s">
        <v>149</v>
      </c>
      <c r="P1" s="6" t="s">
        <v>150</v>
      </c>
      <c r="Q1" s="6" t="s">
        <v>151</v>
      </c>
      <c r="S1" s="6" t="s">
        <v>144</v>
      </c>
      <c r="T1" s="19" t="s">
        <v>145</v>
      </c>
      <c r="U1" s="19" t="s">
        <v>146</v>
      </c>
      <c r="V1" s="19" t="s">
        <v>147</v>
      </c>
      <c r="W1" s="19" t="s">
        <v>148</v>
      </c>
      <c r="X1" s="19" t="s">
        <v>149</v>
      </c>
      <c r="Y1" s="19" t="s">
        <v>150</v>
      </c>
      <c r="Z1" s="19" t="s">
        <v>151</v>
      </c>
      <c r="AC1" s="20" t="s">
        <v>7</v>
      </c>
      <c r="AD1" s="20" t="s">
        <v>28</v>
      </c>
      <c r="AE1" s="20" t="s">
        <v>25</v>
      </c>
      <c r="AF1" s="20" t="s">
        <v>40</v>
      </c>
      <c r="AG1" s="20" t="s">
        <v>17</v>
      </c>
      <c r="AH1" s="20" t="s">
        <v>36</v>
      </c>
      <c r="AI1" s="20" t="s">
        <v>31</v>
      </c>
      <c r="AJ1" s="20" t="s">
        <v>12</v>
      </c>
      <c r="AK1" s="20" t="s">
        <v>35</v>
      </c>
      <c r="AL1" s="20" t="s">
        <v>30</v>
      </c>
      <c r="AM1" s="20" t="s">
        <v>27</v>
      </c>
      <c r="AN1" s="20" t="s">
        <v>20</v>
      </c>
      <c r="AO1" s="20" t="s">
        <v>23</v>
      </c>
      <c r="AP1" s="20" t="s">
        <v>34</v>
      </c>
      <c r="AQ1" s="20" t="s">
        <v>16</v>
      </c>
      <c r="AR1" s="20" t="s">
        <v>14</v>
      </c>
      <c r="AS1" s="20" t="s">
        <v>39</v>
      </c>
      <c r="AT1" s="20" t="s">
        <v>18</v>
      </c>
      <c r="AU1" s="20" t="s">
        <v>22</v>
      </c>
      <c r="AV1" s="20" t="s">
        <v>33</v>
      </c>
      <c r="AW1" s="20" t="s">
        <v>37</v>
      </c>
      <c r="AX1" s="29" t="s">
        <v>156</v>
      </c>
      <c r="AZ1" s="20" t="s">
        <v>10</v>
      </c>
      <c r="BA1" s="20" t="s">
        <v>28</v>
      </c>
      <c r="BB1" s="20" t="s">
        <v>25</v>
      </c>
      <c r="BC1" s="20" t="s">
        <v>40</v>
      </c>
      <c r="BD1" s="20" t="s">
        <v>17</v>
      </c>
      <c r="BE1" s="20" t="s">
        <v>36</v>
      </c>
      <c r="BF1" s="20" t="s">
        <v>31</v>
      </c>
      <c r="BG1" s="20" t="s">
        <v>12</v>
      </c>
      <c r="BH1" s="20" t="s">
        <v>35</v>
      </c>
      <c r="BI1" s="20" t="s">
        <v>30</v>
      </c>
      <c r="BJ1" s="20" t="s">
        <v>27</v>
      </c>
      <c r="BK1" s="20" t="s">
        <v>20</v>
      </c>
      <c r="BL1" s="20" t="s">
        <v>23</v>
      </c>
      <c r="BM1" s="20" t="s">
        <v>34</v>
      </c>
      <c r="BN1" s="20" t="s">
        <v>16</v>
      </c>
      <c r="BO1" s="20" t="s">
        <v>14</v>
      </c>
      <c r="BP1" s="20" t="s">
        <v>39</v>
      </c>
      <c r="BQ1" s="20" t="s">
        <v>18</v>
      </c>
      <c r="BR1" s="20" t="s">
        <v>22</v>
      </c>
      <c r="BS1" s="20" t="s">
        <v>33</v>
      </c>
      <c r="BT1" s="20" t="s">
        <v>37</v>
      </c>
      <c r="BU1" s="29" t="s">
        <v>156</v>
      </c>
      <c r="BW1" s="46" t="s">
        <v>153</v>
      </c>
      <c r="BX1" s="46"/>
      <c r="BY1" s="46"/>
      <c r="BZ1" s="36"/>
      <c r="CA1" s="47" t="s">
        <v>154</v>
      </c>
      <c r="CB1" s="47"/>
    </row>
    <row r="2" spans="1:80" ht="16.2" thickBot="1" x14ac:dyDescent="0.35">
      <c r="A2">
        <v>1</v>
      </c>
      <c r="B2" s="7" t="s">
        <v>12</v>
      </c>
      <c r="C2" s="9" t="s">
        <v>13</v>
      </c>
      <c r="D2" s="9">
        <v>1</v>
      </c>
      <c r="E2" s="7" t="s">
        <v>14</v>
      </c>
      <c r="F2" s="9" t="s">
        <v>15</v>
      </c>
      <c r="G2" s="9">
        <v>1</v>
      </c>
      <c r="H2" s="7" t="s">
        <v>42</v>
      </c>
      <c r="I2" s="7" t="s">
        <v>38</v>
      </c>
      <c r="J2" s="7" t="s">
        <v>43</v>
      </c>
      <c r="K2" s="7" t="s">
        <v>128</v>
      </c>
      <c r="L2" s="7" t="s">
        <v>32</v>
      </c>
      <c r="M2" s="7" t="s">
        <v>43</v>
      </c>
      <c r="N2" s="14"/>
      <c r="O2" s="18">
        <f>IF(AND(J2="FIFA",M2="FIFA"),1,0)</f>
        <v>0</v>
      </c>
      <c r="P2" s="18">
        <f>IF(OR(J2="FIFA",M2="FIFA"),1,0)-O2</f>
        <v>0</v>
      </c>
      <c r="Q2" s="18">
        <f>IF(AND(J2&lt;&gt;"FIFA",M2&lt;&gt;"FIFA"),1,0)</f>
        <v>1</v>
      </c>
      <c r="S2" s="7" t="s">
        <v>39</v>
      </c>
      <c r="T2" s="15">
        <f>COUNTIFS($B$2:$B$121,"Palmeiras",$J$2:$J$121,"=FIFA")+COUNTIFS($E$2:$E$121,"Palmeiras",$J$2:$J$121,"=FIFA")</f>
        <v>9</v>
      </c>
      <c r="U2" s="15">
        <f>COUNTIFS($B$2:$B$121,"Palmeiras",$J$2:$J$121,"=CBF")+COUNTIFS($E$2:$E$121,"Palmeiras",$J$2:$J$121,"=CBF")</f>
        <v>3</v>
      </c>
      <c r="V2" s="15">
        <f>COUNTIFS($B$2:$B$121,"Palmeiras",$M$2:$M$121,"=FIFA")+COUNTIFS($E$2:$E$121,"Palmeiras",$M$2:$M$121,"=FIFA")</f>
        <v>9</v>
      </c>
      <c r="W2" s="15">
        <f>COUNTIFS($B$2:$B$121,"Palmeiras",$M$2:$M$121,"=CBF")+COUNTIFS($E$2:$E$121,"Palmeiras",$M$2:$M$121,"=CBF")</f>
        <v>3</v>
      </c>
      <c r="X2" s="15">
        <f>SUMIFS($O$2:$O$121,$B$2:$B$121,"Palmeiras")+SUMIFS($O$2:$O$121,$E$2:$E$121,"Palmeiras")</f>
        <v>8</v>
      </c>
      <c r="Y2" s="15">
        <f>SUMIFS($P$2:$P$121,$B$2:$B$121,"Palmeiras")+SUMIFS($P$2:$P$121,$E$2:$E$121,"Palmeiras")</f>
        <v>2</v>
      </c>
      <c r="Z2" s="15">
        <f>SUMIFS($Q$2:$Q$121,$B$2:$B$121,"Palmeiras")+SUMIFS($Q$2:$Q$121,$E$2:$E$121,"Palmeiras")</f>
        <v>2</v>
      </c>
      <c r="AC2" s="7" t="s">
        <v>52</v>
      </c>
      <c r="AD2">
        <f>SUMIFS($A$2:$A$121,$H$2:$H$121,"Alex Gomes Stefano",$B$2:$B$121,"Athletico")+SUMIFS($A$2:$A$121,$H$2:$H$121,"Alex Gomes Stefano",$E$2:$E$121,"Athletico")</f>
        <v>1</v>
      </c>
      <c r="AE2">
        <f>SUMIFS($A$2:$A$121,$H$2:$H$121,"Alex Gomes Stefano",$B$2:$B$121,"Atlético GO")+SUMIFS($A$2:$A$121,$H$2:$H$121,"Alex Gomes Stefano",$E$2:$E$121,"Atlético GO")</f>
        <v>1</v>
      </c>
      <c r="AF2">
        <f>SUMIFS($A$2:$A$121,$H$2:$H$121,"Alex Gomes Stefano",$B$2:$B$121,"Atlético MG")+SUMIFS($A$2:$A$121,$H$2:$H$121,"Alex Gomes Stefano",$E$2:$E$121,"Atlético MG")</f>
        <v>0</v>
      </c>
      <c r="AG2">
        <f>SUMIFS($A$2:$A$121,$H$2:$H$121,"Alex Gomes Stefano",$B$2:$B$121,"Bahia")+SUMIFS($A$2:$A$121,$H$2:$H$121,"Alex Gomes Stefano",$E$2:$E$121,"Bahia")</f>
        <v>0</v>
      </c>
      <c r="AH2">
        <f>SUMIFS($A$2:$A$121,$H$2:$H$121,"Alex Gomes Stefano",$B$2:$B$121,"Botafogo")+SUMIFS($A$2:$A$121,$H$2:$H$121,"Alex Gomes Stefano",$E$2:$E$121,"Botafogo")</f>
        <v>0</v>
      </c>
      <c r="AI2">
        <f>SUMIFS($A$2:$A$121,$H$2:$H$121,"Alex Gomes Stefano",$B$2:$B$121,"Corinthians")+SUMIFS($A$2:$A$121,$H$2:$H$121,"Alex Gomes Stefano",$E$2:$E$121,"Corinthians")</f>
        <v>0</v>
      </c>
      <c r="AJ2">
        <f>SUMIFS($A$2:$A$121,$H$2:$H$121,"Alex Gomes Stefano",$B$2:$B$121,"Criciúma")+SUMIFS($A$2:$A$121,$H$2:$H$121,"Alex Gomes Stefano",$E$2:$E$121,"Criciúma")</f>
        <v>1</v>
      </c>
      <c r="AK2">
        <f>SUMIFS($A$2:$A$121,$H$2:$H$121,"Alex Gomes Stefano",$B$2:$B$121,"Cruzeiro")+SUMIFS($A$2:$A$121,$H$2:$H$121,"Alex Gomes Stefano",$E$2:$E$121,"Cruzeiro")</f>
        <v>0</v>
      </c>
      <c r="AL2">
        <f>SUMIFS($A$2:$A$121,$H$2:$H$121,"Alex Gomes Stefano",$B$2:$B$121,"Cuiabá")+SUMIFS($A$2:$A$121,$H$2:$H$121,"Alex Gomes Stefano",$E$2:$E$121,"Cuiabá")</f>
        <v>0</v>
      </c>
      <c r="AM2">
        <f>SUMIFS($A$2:$A$121,$H$2:$H$121,"Alex Gomes Stefano",$B$2:$B$121,"Flamengo")+SUMIFS($A$2:$A$121,$H$2:$H$121,"Alex Gomes Stefano",$E$2:$E$121,"Flamengo")</f>
        <v>0</v>
      </c>
      <c r="AN2">
        <f>SUMIFS($A$2:$A$121,$H$2:$H$121,"Alex Gomes Stefano",$B$2:$B$121,"Fluminense")+SUMIFS($A$2:$A$121,$H$2:$H$121,"Alex Gomes Stefano",$E$2:$E$121,"Fluminense")</f>
        <v>0</v>
      </c>
      <c r="AO2">
        <f>SUMIFS($A$2:$A$121,$H$2:$H$121,"Alex Gomes Stefano",$B$2:$B$121,"Fortaleza")+SUMIFS($A$2:$A$121,$H$2:$H$121,"Alex Gomes Stefano",$E$2:$E$121,"Fortaleza")</f>
        <v>2</v>
      </c>
      <c r="AP2">
        <f>SUMIFS($A$2:$A$121,$H$2:$H$121,"Alex Gomes Stefano",$B$2:$B$121,"Grêmio")+SUMIFS($A$2:$A$121,$H$2:$H$121,"Alex Gomes Stefano",$E$2:$E$121,"Grêmio")</f>
        <v>0</v>
      </c>
      <c r="AQ2">
        <f>SUMIFS($A$2:$A$121,$H$2:$H$121,"Alex Gomes Stefano",$B$2:$B$121,"Internacional")+SUMIFS($A$2:$A$121,$H$2:$H$121,"Alex Gomes Stefano",$E$2:$E$121,"Internacional")</f>
        <v>0</v>
      </c>
      <c r="AR2">
        <f>SUMIFS($A$2:$A$121,$H$2:$H$121,"Alex Gomes Stefano",$B$2:$B$121,"Juventude")+SUMIFS($A$2:$A$121,$H$2:$H$121,"Alex Gomes Stefano",$E$2:$E$121,"Juventude")</f>
        <v>1</v>
      </c>
      <c r="AS2">
        <f>SUMIFS($A$2:$A$121,$H$2:$H$121,"Alex Gomes Stefano",$B$2:$B$121,"Palmeiras")+SUMIFS($A$2:$A$121,$H$2:$H$121,"Alex Gomes Stefano",$E$2:$E$121,"Palmeiras")</f>
        <v>1</v>
      </c>
      <c r="AT2">
        <f>SUMIFS($A$2:$A$121,$H$2:$H$121,"Alex Gomes Stefano",$B$2:$B$121,"Red Bull")+SUMIFS($A$2:$A$121,$H$2:$H$121,"Alex Gomes Stefano",$E$2:$E$121,"Red Bull")</f>
        <v>0</v>
      </c>
      <c r="AU2">
        <f>SUMIFS($A$2:$A$121,$H$2:$H$121,"Alex Gomes Stefano",$B$2:$B$121,"São Paulo")+SUMIFS($A$2:$A$121,$H$2:$H$121,"Alex Gomes Stefano",$E$2:$E$121,"São Paulo")</f>
        <v>1</v>
      </c>
      <c r="AV2">
        <f>SUMIFS($A$2:$A$121,$H$2:$H$121,"Alex Gomes Stefano",$B$2:$B$121,"Vasco")+SUMIFS($A$2:$A$121,$H$2:$H$121,"Alex Gomes Stefano",$E$2:$E$121,"Vasco")</f>
        <v>0</v>
      </c>
      <c r="AW2">
        <f>SUMIFS($A$2:$A$121,$H$2:$H$121,"Alex Gomes Stefano",$B$2:$B$121,"Vitória")+SUMIFS($A$2:$A$121,$H$2:$H$121,"Alex Gomes Stefano",$E$2:$E$121,"Vitória")</f>
        <v>0</v>
      </c>
      <c r="AX2" s="30">
        <f>SUM(AD2:AW2)</f>
        <v>8</v>
      </c>
      <c r="AZ2" s="7" t="s">
        <v>122</v>
      </c>
      <c r="BA2">
        <f>SUMIFS($A$2:$A$121,$K$2:$K$121,"Carlos Eduardo Nunes Braga",$B$2:$B$121,"Athletico")+SUMIFS($A$2:$A$121,$K$2:$K$121,"Carlos Eduardo Nunes Braga",$E$2:$E$121,"Athletico")</f>
        <v>0</v>
      </c>
      <c r="BB2">
        <f>SUMIFS($A$2:$A$121,$K$2:$K$121,"Carlos Eduardo Nunes Braga",$B$2:$B$121,"Atlético GO")+SUMIFS($A$2:$A$121,$K$2:$K$121,"Carlos Eduardo Nunes Braga",$E$2:$E$121,"Atlético GO")</f>
        <v>1</v>
      </c>
      <c r="BC2">
        <f>SUMIFS($A$2:$A$121,$K$2:$K$121,"Carlos Eduardo Nunes Braga",$B$2:$B$121,"Atlético MG")+SUMIFS($A$2:$A$121,$K$2:$K$121,"Carlos Eduardo Nunes Braga",$E$2:$E$121,"Atlético MG")</f>
        <v>1</v>
      </c>
      <c r="BD2">
        <f>SUMIFS($A$2:$A$121,$K$2:$K$121,"Carlos Eduardo Nunes Braga",$B$2:$B$121,"Bahia")+SUMIFS($A$2:$A$121,$K$2:$K$121,"Carlos Eduardo Nunes Braga",$E$2:$E$121,"Bahia")</f>
        <v>0</v>
      </c>
      <c r="BE2">
        <f>SUMIFS($A$2:$A$121,$K$2:$K$121,"Carlos Eduardo Nunes Braga",$B$2:$B$121,"Botafogo")+SUMIFS($A$2:$A$121,$K$2:$K$121,"Carlos Eduardo Nunes Braga",$E$2:$E$121,"Botafogo")</f>
        <v>0</v>
      </c>
      <c r="BF2">
        <f>SUMIFS($A$2:$A$121,$K$2:$K$121,"Carlos Eduardo Nunes Braga",$B$2:$B$121,"Corinthians")+SUMIFS($A$2:$A$121,$K$2:$K$121,"Carlos Eduardo Nunes Braga",$E$2:$E$121,"Corinthians")</f>
        <v>1</v>
      </c>
      <c r="BG2">
        <f>SUMIFS($A$2:$A$121,$K$2:$K$121,"Carlos Eduardo Nunes Braga",$B$2:$B$121,"Criciúma")+SUMIFS($A$2:$A$121,$K$2:$K$121,"Carlos Eduardo Nunes Braga",$E$2:$E$121,"Criciúma")</f>
        <v>2</v>
      </c>
      <c r="BH2">
        <f>SUMIFS($A$2:$A$121,$K$2:$K$121,"Carlos Eduardo Nunes Braga",$B$2:$B$121,"Cruzeiro")+SUMIFS($A$2:$A$121,$K$2:$K$121,"Carlos Eduardo Nunes Braga",$E$2:$E$121,"Cruzeiro")</f>
        <v>0</v>
      </c>
      <c r="BI2">
        <f>SUMIFS($A$2:$A$121,$K$2:$K$121,"Carlos Eduardo Nunes Braga",$B$2:$B$121,"Cuiabá")+SUMIFS($A$2:$A$121,$K$2:$K$121,"Carlos Eduardo Nunes Braga",$E$2:$E$121,"Cuiabá")</f>
        <v>0</v>
      </c>
      <c r="BJ2">
        <f>SUMIFS($A$2:$A$121,$K$2:$K$121,"Carlos Eduardo Nunes Braga",$B$2:$B$121,"Flamengo")+SUMIFS($A$2:$A$121,$K$2:$K$121,"Carlos Eduardo Nunes Braga",$E$2:$E$121,"Flamengo")</f>
        <v>0</v>
      </c>
      <c r="BK2">
        <f>SUMIFS($A$2:$A$121,$K$2:$K$121,"Carlos Eduardo Nunes Braga",$B$2:$B$121,"Fluminense")+SUMIFS($A$2:$A$121,$K$2:$K$121,"Carlos Eduardo Nunes Braga",$E$2:$E$121,"Fluminense")</f>
        <v>0</v>
      </c>
      <c r="BL2">
        <f>SUMIFS($A$2:$A$121,$K$2:$K$121,"Carlos Eduardo Nunes Braga",$B$2:$B$121,"Fortaleza")+SUMIFS($A$2:$A$121,$K$2:$K$121,"Carlos Eduardo Nunes Braga",$E$2:$E$121,"Fortaleza")</f>
        <v>0</v>
      </c>
      <c r="BM2">
        <f>SUMIFS($A$2:$A$121,$K$2:$K$121,"Carlos Eduardo Nunes Braga",$B$2:$B$121,"Grêmio")+SUMIFS($A$2:$A$121,$K$2:$K$121,"Carlos Eduardo Nunes Braga",$E$2:$E$121,"Grêmio")</f>
        <v>0</v>
      </c>
      <c r="BN2">
        <f>SUMIFS($A$2:$A$121,$K$2:$K$121,"Carlos Eduardo Nunes Braga",$B$2:$B$121,"Internacional")+SUMIFS($A$2:$A$121,$K$2:$K$121,"Carlos Eduardo Nunes Braga",$E$2:$E$121,"Internacional")</f>
        <v>1</v>
      </c>
      <c r="BO2">
        <f>SUMIFS($A$2:$A$121,$K$2:$K$121,"Carlos Eduardo Nunes Braga",$B$2:$B$121,"Juventude")+SUMIFS($A$2:$A$121,$K$2:$K$121,"Carlos Eduardo Nunes Braga",$E$2:$E$121,"Juventude")</f>
        <v>0</v>
      </c>
      <c r="BP2">
        <f>SUMIFS($A$2:$A$121,$K$2:$K$121,"Carlos Eduardo Nunes Braga",$B$2:$B$121,"Palmeiras")+SUMIFS($A$2:$A$121,$K$2:$K$121,"Carlos Eduardo Nunes Braga",$E$2:$E$121,"Palmeiras")</f>
        <v>0</v>
      </c>
      <c r="BQ2">
        <f>SUMIFS($A$2:$A$121,$K$2:$K$121,"Carlos Eduardo Nunes Braga",$B$2:$B$121,"Red Bull")+SUMIFS($A$2:$A$121,$K$2:$K$121,"Carlos Eduardo Nunes Braga",$E$2:$E$121,"Red Bull")</f>
        <v>0</v>
      </c>
      <c r="BR2">
        <f>SUMIFS($A$2:$A$121,$K$2:$K$121,"Carlos Eduardo Nunes Braga",$B$2:$B$121,"São Paulo")+SUMIFS($A$2:$A$121,$K$2:$K$121,"Carlos Eduardo Nunes Braga",$E$2:$E$121,"São Paulo")</f>
        <v>1</v>
      </c>
      <c r="BS2">
        <f>SUMIFS($A$2:$A$121,$K$2:$K$121,"Carlos Eduardo Nunes Braga",$B$2:$B$121,"Vasco")+SUMIFS($A$2:$A$121,$K$2:$K$121,"Carlos Eduardo Nunes Braga",$E$2:$E$121,"Vasco")</f>
        <v>0</v>
      </c>
      <c r="BT2">
        <f>SUMIFS($A$2:$A$121,$K$2:$K$121,"Carlos Eduardo Nunes Braga",$B$2:$B$121,"Vitória")+SUMIFS($A$2:$A$121,$K$2:$K$121,"Carlos Eduardo Nunes Braga",$E$2:$E$121,"Vitória")</f>
        <v>1</v>
      </c>
      <c r="BU2" s="30">
        <f>SUM(BA2:BT2)</f>
        <v>8</v>
      </c>
      <c r="BW2" s="33"/>
      <c r="BX2" s="34" t="s">
        <v>7</v>
      </c>
      <c r="BY2" s="34" t="s">
        <v>10</v>
      </c>
      <c r="BZ2" s="36"/>
      <c r="CA2" s="34" t="s">
        <v>7</v>
      </c>
      <c r="CB2" s="34" t="s">
        <v>10</v>
      </c>
    </row>
    <row r="3" spans="1:80" ht="16.2" thickTop="1" x14ac:dyDescent="0.3">
      <c r="A3">
        <v>1</v>
      </c>
      <c r="B3" s="7" t="s">
        <v>16</v>
      </c>
      <c r="C3" s="9" t="s">
        <v>15</v>
      </c>
      <c r="D3" s="9">
        <v>2</v>
      </c>
      <c r="E3" s="7" t="s">
        <v>17</v>
      </c>
      <c r="F3" s="9" t="s">
        <v>38</v>
      </c>
      <c r="G3" s="9">
        <v>1</v>
      </c>
      <c r="H3" s="7" t="s">
        <v>45</v>
      </c>
      <c r="I3" s="7" t="s">
        <v>46</v>
      </c>
      <c r="J3" s="7" t="s">
        <v>47</v>
      </c>
      <c r="K3" s="7" t="s">
        <v>97</v>
      </c>
      <c r="L3" s="7" t="s">
        <v>19</v>
      </c>
      <c r="M3" s="7" t="s">
        <v>47</v>
      </c>
      <c r="N3" s="14"/>
      <c r="O3" s="18">
        <f t="shared" ref="O3:O66" si="0">IF(AND(J3="FIFA",M3="FIFA"),1,0)</f>
        <v>1</v>
      </c>
      <c r="P3" s="18">
        <f t="shared" ref="P3:P66" si="1">IF(OR(J3="FIFA",M3="FIFA"),1,0)-O3</f>
        <v>0</v>
      </c>
      <c r="Q3" s="18">
        <f t="shared" ref="Q3:Q66" si="2">IF(AND(J3&lt;&gt;"FIFA",M3&lt;&gt;"FIFA"),1,0)</f>
        <v>0</v>
      </c>
      <c r="S3" s="7" t="s">
        <v>17</v>
      </c>
      <c r="T3" s="15">
        <f>COUNTIFS($B$2:$B$121,"Bahia",$J$2:$J$121,"=FIFA")+COUNTIFS($E$2:$E$121,"Bahia",$J$2:$J$121,"=FIFA")</f>
        <v>7</v>
      </c>
      <c r="U3" s="15">
        <f>COUNTIFS($B$2:$B$121,"Bahia",$J$2:$J$121,"=CBF")+COUNTIFS($E$2:$E$121,"Bahia",$J$2:$J$121,"=CBF")</f>
        <v>5</v>
      </c>
      <c r="V3" s="15">
        <f>COUNTIFS($B$2:$B$121,"Bahia",$M$2:$M$121,"=FIFA")+COUNTIFS($E$2:$E$121,"Bahia",$M$2:$M$121,"=FIFA")</f>
        <v>10</v>
      </c>
      <c r="W3" s="15">
        <f>COUNTIFS($B$2:$B$121,"Bahia",$M$2:$M$121,"=CBF")+COUNTIFS($E$2:$E$121,"Bahia",$M$2:$M$121,"=CBF")</f>
        <v>2</v>
      </c>
      <c r="X3" s="15">
        <f>SUMIFS($O$2:$O$121,$B$2:$B$121,"Bahia")+SUMIFS($O$2:$O$121,$E$2:$E$121,"Bahia")</f>
        <v>6</v>
      </c>
      <c r="Y3" s="15">
        <f>SUMIFS($P$2:$P$121,$B$2:$B$121,"Bahia")+SUMIFS($P$2:$P$121,$E$2:$E$121,"Bahia")</f>
        <v>5</v>
      </c>
      <c r="Z3" s="15">
        <f>SUMIFS($Q$2:$Q$121,$B$2:$B$121,"Bahia")+SUMIFS($Q$2:$Q$121,$E$2:$E$121,"Bahia")</f>
        <v>1</v>
      </c>
      <c r="AC3" s="7" t="s">
        <v>107</v>
      </c>
      <c r="AD3">
        <f>SUMIFS($A$2:$A$121,$H$2:$H$121,"Anderson Daronco",$B$2:$B$121,"Athletico") + SUMIFS($A$2:$A$121,$H$2:$H$121,"Anderson Daronco",$E$2:$E$121,"Athletico")</f>
        <v>2</v>
      </c>
      <c r="AE3">
        <f>SUMIFS($A$2:$A$121,$H$2:$H$121,"Anderson Daronco",$B$2:$B$121,"Atlético GO") + SUMIFS($A$2:$A$121,$H$2:$H$121,"Anderson Daronco",$E$2:$E$121,"Atlético GO")</f>
        <v>0</v>
      </c>
      <c r="AF3">
        <f>SUMIFS($A$2:$A$121,$H$2:$H$121,"Anderson Daronco",$B$2:$B$121,"Atlético MG") + SUMIFS($A$2:$A$121,$H$2:$H$121,"Anderson Daronco",$E$2:$E$121,"Atlético MG")</f>
        <v>0</v>
      </c>
      <c r="AG3">
        <f>SUMIFS($A$2:$A$121,$H$2:$H$121,"Anderson Daronco",$B$2:$B$121,"Bahia") + SUMIFS($A$2:$A$121,$H$2:$H$121,"Anderson Daronco",$E$2:$E$121,"Bahia")</f>
        <v>0</v>
      </c>
      <c r="AH3">
        <f>SUMIFS($A$2:$A$121,$H$2:$H$121,"Anderson Daronco",$B$2:$B$121,"Botafogo") + SUMIFS($A$2:$A$121,$H$2:$H$121,"Anderson Daronco",$E$2:$E$121,"Botafogo")</f>
        <v>1</v>
      </c>
      <c r="AI3">
        <f>SUMIFS($A$2:$A$121,$H$2:$H$121,"Anderson Daronco",$B$2:$B$121,"Corinthians") + SUMIFS($A$2:$A$121,$H$2:$H$121,"Anderson Daronco",$E$2:$E$121,"Corinthians")</f>
        <v>1</v>
      </c>
      <c r="AJ3">
        <f>SUMIFS($A$2:$A$121,$H$2:$H$121,"Anderson Daronco",$B$2:$B$121,"Criciúma") + SUMIFS($A$2:$A$121,$H$2:$H$121,"Anderson Daronco",$E$2:$E$121,"Criciúma")</f>
        <v>0</v>
      </c>
      <c r="AK3">
        <f>SUMIFS($A$2:$A$121,$H$2:$H$121,"Anderson Daronco",$B$2:$B$121,"Cruzeiro") + SUMIFS($A$2:$A$121,$H$2:$H$121,"Anderson Daronco",$E$2:$E$121,"Cruzeiro")</f>
        <v>0</v>
      </c>
      <c r="AL3">
        <f>SUMIFS($A$2:$A$121,$H$2:$H$121,"Anderson Daronco",$B$2:$B$121,"Cuiabá") + SUMIFS($A$2:$A$121,$H$2:$H$121,"Anderson Daronco",$E$2:$E$121,"Cuiabá")</f>
        <v>0</v>
      </c>
      <c r="AM3">
        <f>SUMIFS($A$2:$A$121,$H$2:$H$121,"Anderson Daronco",$B$2:$B$121,"Flamengo") + SUMIFS($A$2:$A$121,$H$2:$H$121,"Anderson Daronco",$E$2:$E$121,"Flamengo")</f>
        <v>2</v>
      </c>
      <c r="AN3">
        <f>SUMIFS($A$2:$A$121,$H$2:$H$121,"Anderson Daronco",$B$2:$B$121,"Fluminense") + SUMIFS($A$2:$A$121,$H$2:$H$121,"Anderson Daronco",$E$2:$E$121,"Fluminense")</f>
        <v>1</v>
      </c>
      <c r="AO3">
        <f>SUMIFS($A$2:$A$121,$H$2:$H$121,"Anderson Daronco",$B$2:$B$121,"Fortaleza") + SUMIFS($A$2:$A$121,$H$2:$H$121,"Anderson Daronco",$E$2:$E$121,"Fortaleza")</f>
        <v>0</v>
      </c>
      <c r="AP3">
        <f>SUMIFS($A$2:$A$121,$H$2:$H$121,"Anderson Daronco",$B$2:$B$121,"Grêmio") + SUMIFS($A$2:$A$121,$H$2:$H$121,"Anderson Daronco",$E$2:$E$121,"Grêmio")</f>
        <v>0</v>
      </c>
      <c r="AQ3">
        <f>SUMIFS($A$2:$A$121,$H$2:$H$121,"Anderson Daronco",$B$2:$B$121,"Internacional") + SUMIFS($A$2:$A$121,$H$2:$H$121,"Anderson Daronco",$E$2:$E$121,"Internacional")</f>
        <v>0</v>
      </c>
      <c r="AR3">
        <f>SUMIFS($A$2:$A$121,$H$2:$H$121,"Anderson Daronco",$B$2:$B$121,"Juventude") + SUMIFS($A$2:$A$121,$H$2:$H$121,"Anderson Daronco",$E$2:$E$121,"Juventude")</f>
        <v>0</v>
      </c>
      <c r="AS3">
        <f>SUMIFS($A$2:$A$121,$H$2:$H$121,"Anderson Daronco",$B$2:$B$121,"Palmeiras") + SUMIFS($A$2:$A$121,$H$2:$H$121,"Anderson Daronco",$E$2:$E$121,"Palmeiras")</f>
        <v>1</v>
      </c>
      <c r="AT3">
        <f>SUMIFS($A$2:$A$121,$H$2:$H$121,"Anderson Daronco",$B$2:$B$121,"Red Bull") + SUMIFS($A$2:$A$121,$H$2:$H$121,"Anderson Daronco",$E$2:$E$121,"Red Bull")</f>
        <v>1</v>
      </c>
      <c r="AU3">
        <f>SUMIFS($A$2:$A$121,$H$2:$H$121,"Anderson Daronco",$B$2:$B$121,"São Paulo") + SUMIFS($A$2:$A$121,$H$2:$H$121,"Anderson Daronco",$E$2:$E$121,"São Paulo")</f>
        <v>2</v>
      </c>
      <c r="AV3">
        <f>SUMIFS($A$2:$A$121,$H$2:$H$121,"Anderson Daronco",$B$2:$B$121,"Vasco") + SUMIFS($A$2:$A$121,$H$2:$H$121,"Anderson Daronco",$E$2:$E$121,"Vasco")</f>
        <v>1</v>
      </c>
      <c r="AW3">
        <f>SUMIFS($A$2:$A$121,$H$2:$H$121,"Anderson Daronco",$B$2:$B$121,"Vitória") + SUMIFS($A$2:$A$121,$H$2:$H$121,"Anderson Daronco",$E$2:$E$121,"Vitória")</f>
        <v>0</v>
      </c>
      <c r="AX3" s="30">
        <f t="shared" ref="AX3:AX37" si="3">SUM(AD3:AW3)</f>
        <v>12</v>
      </c>
      <c r="AZ3" s="7" t="s">
        <v>109</v>
      </c>
      <c r="BA3">
        <f>SUMIFS($A$2:$A$121,$K$2:$K$121,"Charly Wendy Straub Deretti ",$B$2:$B$121,"Athletico") + SUMIFS($A$2:$A$121,$K$2:$K$121,"Charly Wendy Straub Deretti ",$E$2:$E$121,"Athletico")</f>
        <v>0</v>
      </c>
      <c r="BB3">
        <f>SUMIFS($A$2:$A$121,$K$2:$K$121,"Charly Wendy Straub Deretti ",$B$2:$B$121,"Atlético GO") + SUMIFS($A$2:$A$121,$K$2:$K$121,"Charly Wendy Straub Deretti ",$E$2:$E$121,"Atlético GO")</f>
        <v>0</v>
      </c>
      <c r="BC3">
        <f>SUMIFS($A$2:$A$121,$K$2:$K$121,"Charly Wendy Straub Deretti ",$B$2:$B$121,"Atlético MG") + SUMIFS($A$2:$A$121,$K$2:$K$121,"Charly Wendy Straub Deretti ",$E$2:$E$121,"Atlético MG")</f>
        <v>0</v>
      </c>
      <c r="BD3">
        <f>SUMIFS($A$2:$A$121,$K$2:$K$121,"Charly Wendy Straub Deretti ",$B$2:$B$121,"Bahia") + SUMIFS($A$2:$A$121,$K$2:$K$121,"Charly Wendy Straub Deretti ",$E$2:$E$121,"Bahia")</f>
        <v>0</v>
      </c>
      <c r="BE3">
        <f>SUMIFS($A$2:$A$121,$K$2:$K$121,"Charly Wendy Straub Deretti ",$B$2:$B$121,"Botafogo") + SUMIFS($A$2:$A$121,$K$2:$K$121,"Charly Wendy Straub Deretti ",$E$2:$E$121,"Botafogo")</f>
        <v>0</v>
      </c>
      <c r="BF3">
        <f>SUMIFS($A$2:$A$121,$K$2:$K$121,"Charly Wendy Straub Deretti ",$B$2:$B$121,"Corinthians") + SUMIFS($A$2:$A$121,$K$2:$K$121,"Charly Wendy Straub Deretti ",$E$2:$E$121,"Corinthians")</f>
        <v>0</v>
      </c>
      <c r="BG3">
        <f>SUMIFS($A$2:$A$121,$K$2:$K$121,"Charly Wendy Straub Deretti ",$B$2:$B$121,"Criciúma") + SUMIFS($A$2:$A$121,$K$2:$K$121,"Charly Wendy Straub Deretti ",$E$2:$E$121,"Criciúma")</f>
        <v>0</v>
      </c>
      <c r="BH3">
        <f>SUMIFS($A$2:$A$121,$K$2:$K$121,"Charly Wendy Straub Deretti ",$B$2:$B$121,"Cruzeiro") + SUMIFS($A$2:$A$121,$K$2:$K$121,"Charly Wendy Straub Deretti ",$E$2:$E$121,"Cruzeiro")</f>
        <v>1</v>
      </c>
      <c r="BI3">
        <f>SUMIFS($A$2:$A$121,$K$2:$K$121,"Charly Wendy Straub Deretti ",$B$2:$B$121,"Cuiabá") + SUMIFS($A$2:$A$121,$K$2:$K$121,"Charly Wendy Straub Deretti ",$E$2:$E$121,"Cuiabá")</f>
        <v>2</v>
      </c>
      <c r="BJ3">
        <f>SUMIFS($A$2:$A$121,$K$2:$K$121,"Charly Wendy Straub Deretti ",$B$2:$B$121,"Flamengo") + SUMIFS($A$2:$A$121,$K$2:$K$121,"Charly Wendy Straub Deretti ",$E$2:$E$121,"Flamengo")</f>
        <v>1</v>
      </c>
      <c r="BK3">
        <f>SUMIFS($A$2:$A$121,$K$2:$K$121,"Charly Wendy Straub Deretti ",$B$2:$B$121,"Fluminense") + SUMIFS($A$2:$A$121,$K$2:$K$121,"Charly Wendy Straub Deretti ",$E$2:$E$121,"Fluminense")</f>
        <v>0</v>
      </c>
      <c r="BL3">
        <f>SUMIFS($A$2:$A$121,$K$2:$K$121,"Charly Wendy Straub Deretti ",$B$2:$B$121,"Fortaleza") + SUMIFS($A$2:$A$121,$K$2:$K$121,"Charly Wendy Straub Deretti ",$E$2:$E$121,"Fortaleza")</f>
        <v>0</v>
      </c>
      <c r="BM3">
        <f>SUMIFS($A$2:$A$121,$K$2:$K$121,"Charly Wendy Straub Deretti ",$B$2:$B$121,"Grêmio") + SUMIFS($A$2:$A$121,$K$2:$K$121,"Charly Wendy Straub Deretti ",$E$2:$E$121,"Grêmio")</f>
        <v>0</v>
      </c>
      <c r="BN3">
        <f>SUMIFS($A$2:$A$121,$K$2:$K$121,"Charly Wendy Straub Deretti ",$B$2:$B$121,"Internacional") + SUMIFS($A$2:$A$121,$K$2:$K$121,"Charly Wendy Straub Deretti ",$E$2:$E$121,"Internacional")</f>
        <v>0</v>
      </c>
      <c r="BO3">
        <f>SUMIFS($A$2:$A$121,$K$2:$K$121,"Charly Wendy Straub Deretti ",$B$2:$B$121,"Juventude") + SUMIFS($A$2:$A$121,$K$2:$K$121,"Charly Wendy Straub Deretti ",$E$2:$E$121,"Juventude")</f>
        <v>1</v>
      </c>
      <c r="BP3">
        <f>SUMIFS($A$2:$A$121,$K$2:$K$121,"Charly Wendy Straub Deretti ",$B$2:$B$121,"Palmeiras") + SUMIFS($A$2:$A$121,$K$2:$K$121,"Charly Wendy Straub Deretti ",$E$2:$E$121,"Palmeiras")</f>
        <v>1</v>
      </c>
      <c r="BQ3">
        <f>SUMIFS($A$2:$A$121,$K$2:$K$121,"Charly Wendy Straub Deretti ",$B$2:$B$121,"Red Bull") + SUMIFS($A$2:$A$121,$K$2:$K$121,"Charly Wendy Straub Deretti ",$E$2:$E$121,"Red Bull")</f>
        <v>1</v>
      </c>
      <c r="BR3">
        <f>SUMIFS($A$2:$A$121,$K$2:$K$121,"Charly Wendy Straub Deretti ",$B$2:$B$121,"São Paulo") + SUMIFS($A$2:$A$121,$K$2:$K$121,"Charly Wendy Straub Deretti ",$E$2:$E$121,"São Paulo")</f>
        <v>1</v>
      </c>
      <c r="BS3">
        <f>SUMIFS($A$2:$A$121,$K$2:$K$121,"Charly Wendy Straub Deretti ",$B$2:$B$121,"Vasco") + SUMIFS($A$2:$A$121,$K$2:$K$121,"Charly Wendy Straub Deretti ",$E$2:$E$121,"Vasco")</f>
        <v>2</v>
      </c>
      <c r="BT3">
        <f>SUMIFS($A$2:$A$121,$K$2:$K$121,"Charly Wendy Straub Deretti ",$B$2:$B$121,"Vitória") + SUMIFS($A$2:$A$121,$K$2:$K$121,"Charly Wendy Straub Deretti ",$E$2:$E$121,"Vitória")</f>
        <v>0</v>
      </c>
      <c r="BU3" s="30">
        <f t="shared" ref="BU3:BU20" si="4">SUM(BA3:BT3)</f>
        <v>10</v>
      </c>
      <c r="BW3" s="2" t="s">
        <v>47</v>
      </c>
      <c r="BX3" s="8">
        <f>COUNTIFS(Árbitro!$C$2:$C$37,"FIFA")</f>
        <v>11</v>
      </c>
      <c r="BY3" s="8">
        <f>COUNTIFS(VAR!$C$2:$C$37,"FIFA")</f>
        <v>11</v>
      </c>
      <c r="BZ3" s="36"/>
      <c r="CA3" s="8">
        <f>COUNTIFS($J$2:$J$121,"FIFA")</f>
        <v>58</v>
      </c>
      <c r="CB3" s="8">
        <f>COUNTIFS($M$2:$M$121,"FIFA")</f>
        <v>77</v>
      </c>
    </row>
    <row r="4" spans="1:80" ht="16.2" thickBot="1" x14ac:dyDescent="0.35">
      <c r="A4">
        <v>1</v>
      </c>
      <c r="B4" s="7" t="s">
        <v>20</v>
      </c>
      <c r="C4" s="9" t="s">
        <v>21</v>
      </c>
      <c r="D4" s="9">
        <v>2</v>
      </c>
      <c r="E4" s="7" t="s">
        <v>18</v>
      </c>
      <c r="F4" s="9" t="s">
        <v>19</v>
      </c>
      <c r="G4" s="9">
        <v>2</v>
      </c>
      <c r="H4" s="7" t="s">
        <v>49</v>
      </c>
      <c r="I4" s="7" t="s">
        <v>50</v>
      </c>
      <c r="J4" s="7" t="s">
        <v>43</v>
      </c>
      <c r="K4" s="7" t="s">
        <v>51</v>
      </c>
      <c r="L4" s="7" t="s">
        <v>46</v>
      </c>
      <c r="M4" s="7" t="s">
        <v>43</v>
      </c>
      <c r="N4" s="14"/>
      <c r="O4" s="18">
        <f t="shared" si="0"/>
        <v>0</v>
      </c>
      <c r="P4" s="18">
        <f t="shared" si="1"/>
        <v>0</v>
      </c>
      <c r="Q4" s="18">
        <f t="shared" si="2"/>
        <v>1</v>
      </c>
      <c r="S4" s="7" t="s">
        <v>27</v>
      </c>
      <c r="T4" s="15">
        <f>COUNTIFS($B$2:$B$121,"Flamengo",$J$2:$J$121,"=FIFA")+COUNTIFS($E$2:$E$121,"Flamengo",$J$2:$J$121,"=FIFA")</f>
        <v>9</v>
      </c>
      <c r="U4" s="15">
        <f>COUNTIFS($B$2:$B$121,"Flamengo",$J$2:$J$121,"=CBF")+COUNTIFS($E$2:$E$121,"Flamengo",$J$2:$J$121,"=CBF")</f>
        <v>3</v>
      </c>
      <c r="V4" s="15">
        <f>COUNTIFS($B$2:$B$121,"Flamengo",$M$2:$M$121,"=FIFA")+COUNTIFS($E$2:$E$121,"Flamengo",$M$2:$M$121,"=FIFA")</f>
        <v>9</v>
      </c>
      <c r="W4" s="15">
        <f>COUNTIFS($B$2:$B$121,"Flamengo",$M$2:$M$121,"=CBF")+COUNTIFS($E$2:$E$121,"Flamengo",$M$2:$M$121,"=CBF")</f>
        <v>3</v>
      </c>
      <c r="X4" s="15">
        <f>SUMIFS($O$2:$O$121,$B$2:$B$121,"Flamengo")+SUMIFS($O$2:$O$121,$E$2:$E$121,"Flamengo")</f>
        <v>6</v>
      </c>
      <c r="Y4" s="15">
        <f>SUMIFS($P$2:$P$121,$B$2:$B$121,"Flamengo")+SUMIFS($P$2:$P$121,$E$2:$E$121,"Flamengo")</f>
        <v>6</v>
      </c>
      <c r="Z4" s="15">
        <f>SUMIFS($Q$2:$Q$121,$B$2:$B$121,"Flamengo")+SUMIFS($Q$2:$Q$121,$E$2:$E$121,"Flamengo")</f>
        <v>0</v>
      </c>
      <c r="AC4" s="7" t="s">
        <v>131</v>
      </c>
      <c r="AD4">
        <f>SUMIFS($A$2:$A$121,$H$2:$H$121,"Anderson Ribeiro Goncalves",$B$2:$B$121,"Athletico")+SUMIFS($A$2:$A$121,$H$2:$H$121,"Anderson Ribeiro Goncalves",$E$2:$E$121,"Athletico")</f>
        <v>0</v>
      </c>
      <c r="AE4">
        <f>SUMIFS($A$2:$A$121,$H$2:$H$121,"Anderson Ribeiro Goncalves",$B$2:$B$121,"Atlético GO")+SUMIFS($A$2:$A$121,$H$2:$H$121,"Anderson Ribeiro Goncalves",$E$2:$E$121,"Atlético GO")</f>
        <v>0</v>
      </c>
      <c r="AF4">
        <f>SUMIFS($A$2:$A$121,$H$2:$H$121,"Anderson Ribeiro Goncalves",$B$2:$B$121,"Atlético MG")+SUMIFS($A$2:$A$121,$H$2:$H$121,"Anderson Ribeiro Goncalves",$E$2:$E$121,"Atlético MG")</f>
        <v>0</v>
      </c>
      <c r="AG4">
        <f>SUMIFS($A$2:$A$121,$H$2:$H$121,"Anderson Ribeiro Goncalves",$B$2:$B$121,"Bahia")+SUMIFS($A$2:$A$121,$H$2:$H$121,"Anderson Ribeiro Goncalves",$E$2:$E$121,"Bahia")</f>
        <v>0</v>
      </c>
      <c r="AH4">
        <f>SUMIFS($A$2:$A$121,$H$2:$H$121,"Anderson Ribeiro Goncalves",$B$2:$B$121,"Botafogo")+SUMIFS($A$2:$A$121,$H$2:$H$121,"Anderson Ribeiro Goncalves",$E$2:$E$121,"Botafogo")</f>
        <v>0</v>
      </c>
      <c r="AI4">
        <f>SUMIFS($A$2:$A$121,$H$2:$H$121,"Anderson Ribeiro Goncalves",$B$2:$B$121,"Corinthians")+SUMIFS($A$2:$A$121,$H$2:$H$121,"Anderson Ribeiro Goncalves",$E$2:$E$121,"Corinthians")</f>
        <v>0</v>
      </c>
      <c r="AJ4">
        <f>SUMIFS($A$2:$A$121,$H$2:$H$121,"Anderson Ribeiro Goncalves",$B$2:$B$121,"Criciúma")+SUMIFS($A$2:$A$121,$H$2:$H$121,"Anderson Ribeiro Goncalves",$E$2:$E$121,"Criciúma")</f>
        <v>0</v>
      </c>
      <c r="AK4">
        <f>SUMIFS($A$2:$A$121,$H$2:$H$121,"Anderson Ribeiro Goncalves",$B$2:$B$121,"Cruzeiro")+SUMIFS($A$2:$A$121,$H$2:$H$121,"Anderson Ribeiro Goncalves",$E$2:$E$121,"Cruzeiro")</f>
        <v>0</v>
      </c>
      <c r="AL4">
        <f>SUMIFS($A$2:$A$121,$H$2:$H$121,"Anderson Ribeiro Goncalves",$B$2:$B$121,"Cuiabá")+SUMIFS($A$2:$A$121,$H$2:$H$121,"Anderson Ribeiro Goncalves",$E$2:$E$121,"Cuiabá")</f>
        <v>1</v>
      </c>
      <c r="AM4">
        <f>SUMIFS($A$2:$A$121,$H$2:$H$121,"Anderson Ribeiro Goncalves",$B$2:$B$121,"Flamengo")+SUMIFS($A$2:$A$121,$H$2:$H$121,"Anderson Ribeiro Goncalves",$E$2:$E$121,"Flamengo")</f>
        <v>0</v>
      </c>
      <c r="AN4">
        <f>SUMIFS($A$2:$A$121,$H$2:$H$121,"Anderson Ribeiro Goncalves",$B$2:$B$121,"Fluminense")+SUMIFS($A$2:$A$121,$H$2:$H$121,"Anderson Ribeiro Goncalves",$E$2:$E$121,"Fluminense")</f>
        <v>0</v>
      </c>
      <c r="AO4">
        <f>SUMIFS($A$2:$A$121,$H$2:$H$121,"Anderson Ribeiro Goncalves",$B$2:$B$121,"Fortaleza")+SUMIFS($A$2:$A$121,$H$2:$H$121,"Anderson Ribeiro Goncalves",$E$2:$E$121,"Fortaleza")</f>
        <v>0</v>
      </c>
      <c r="AP4">
        <f>SUMIFS($A$2:$A$121,$H$2:$H$121,"Anderson Ribeiro Goncalves",$B$2:$B$121,"Grêmio")+SUMIFS($A$2:$A$121,$H$2:$H$121,"Anderson Ribeiro Goncalves",$E$2:$E$121,"Grêmio")</f>
        <v>0</v>
      </c>
      <c r="AQ4">
        <f>SUMIFS($A$2:$A$121,$H$2:$H$121,"Anderson Ribeiro Goncalves",$B$2:$B$121,"Internacional")+SUMIFS($A$2:$A$121,$H$2:$H$121,"Anderson Ribeiro Goncalves",$E$2:$E$121,"Internacional")</f>
        <v>1</v>
      </c>
      <c r="AR4">
        <f>SUMIFS($A$2:$A$121,$H$2:$H$121,"Anderson Ribeiro Goncalves",$B$2:$B$121,"Juventude")+SUMIFS($A$2:$A$121,$H$2:$H$121,"Anderson Ribeiro Goncalves",$E$2:$E$121,"Juventude")</f>
        <v>0</v>
      </c>
      <c r="AS4">
        <f>SUMIFS($A$2:$A$121,$H$2:$H$121,"Anderson Ribeiro Goncalves",$B$2:$B$121,"Palmeiras")+SUMIFS($A$2:$A$121,$H$2:$H$121,"Anderson Ribeiro Goncalves",$E$2:$E$121,"Palmeiras")</f>
        <v>0</v>
      </c>
      <c r="AT4">
        <f>SUMIFS($A$2:$A$121,$H$2:$H$121,"Anderson Ribeiro Goncalves",$B$2:$B$121,"Red Bull")+SUMIFS($A$2:$A$121,$H$2:$H$121,"Anderson Ribeiro Goncalves",$E$2:$E$121,"Red Bull")</f>
        <v>0</v>
      </c>
      <c r="AU4">
        <f>SUMIFS($A$2:$A$121,$H$2:$H$121,"Anderson Ribeiro Goncalves",$B$2:$B$121,"São Paulo")+SUMIFS($A$2:$A$121,$H$2:$H$121,"Anderson Ribeiro Goncalves",$E$2:$E$121,"São Paulo")</f>
        <v>0</v>
      </c>
      <c r="AV4">
        <f>SUMIFS($A$2:$A$121,$H$2:$H$121,"Anderson Ribeiro Goncalves",$B$2:$B$121,"Vasco")+SUMIFS($A$2:$A$121,$H$2:$H$121,"Anderson Ribeiro Goncalves",$E$2:$E$121,"Vasco")</f>
        <v>0</v>
      </c>
      <c r="AW4">
        <f>SUMIFS($A$2:$A$121,$H$2:$H$121,"Anderson Ribeiro Goncalves",$B$2:$B$121,"Vitória")+SUMIFS($A$2:$A$121,$H$2:$H$121,"Anderson Ribeiro Goncalves",$E$2:$E$121,"Vitória")</f>
        <v>0</v>
      </c>
      <c r="AX4" s="30">
        <f t="shared" si="3"/>
        <v>2</v>
      </c>
      <c r="AZ4" s="7" t="s">
        <v>63</v>
      </c>
      <c r="BA4">
        <f>SUMIFS($A$2:$A$121,$K$2:$K$121,"Daiane Muniz",$B$2:$B$121,"Athletico")+SUMIFS($A$2:$A$121,$K$2:$K$121,"Daiane Muniz",$E$2:$E$121,"Athletico")</f>
        <v>1</v>
      </c>
      <c r="BB4">
        <f>SUMIFS($A$2:$A$121,$K$2:$K$121,"Daiane Muniz",$B$2:$B$121,"Atlético GO")+SUMIFS($A$2:$A$121,$K$2:$K$121,"Daiane Muniz",$E$2:$E$121,"Atlético GO")</f>
        <v>2</v>
      </c>
      <c r="BC4">
        <f>SUMIFS($A$2:$A$121,$K$2:$K$121,"Daiane Muniz",$B$2:$B$121,"Atlético MG")+SUMIFS($A$2:$A$121,$K$2:$K$121,"Daiane Muniz",$E$2:$E$121,"Atlético MG")</f>
        <v>1</v>
      </c>
      <c r="BD4">
        <f>SUMIFS($A$2:$A$121,$K$2:$K$121,"Daiane Muniz",$B$2:$B$121,"Bahia")+SUMIFS($A$2:$A$121,$K$2:$K$121,"Daiane Muniz",$E$2:$E$121,"Bahia")</f>
        <v>3</v>
      </c>
      <c r="BE4">
        <f>SUMIFS($A$2:$A$121,$K$2:$K$121,"Daiane Muniz",$B$2:$B$121,"Botafogo")+SUMIFS($A$2:$A$121,$K$2:$K$121,"Daiane Muniz",$E$2:$E$121,"Botafogo")</f>
        <v>1</v>
      </c>
      <c r="BF4">
        <f>SUMIFS($A$2:$A$121,$K$2:$K$121,"Daiane Muniz",$B$2:$B$121,"Corinthians")+SUMIFS($A$2:$A$121,$K$2:$K$121,"Daiane Muniz",$E$2:$E$121,"Corinthians")</f>
        <v>0</v>
      </c>
      <c r="BG4">
        <f>SUMIFS($A$2:$A$121,$K$2:$K$121,"Daiane Muniz",$B$2:$B$121,"Criciúma")+SUMIFS($A$2:$A$121,$K$2:$K$121,"Daiane Muniz",$E$2:$E$121,"Criciúma")</f>
        <v>0</v>
      </c>
      <c r="BH4">
        <f>SUMIFS($A$2:$A$121,$K$2:$K$121,"Daiane Muniz",$B$2:$B$121,"Cruzeiro")+SUMIFS($A$2:$A$121,$K$2:$K$121,"Daiane Muniz",$E$2:$E$121,"Cruzeiro")</f>
        <v>1</v>
      </c>
      <c r="BI4">
        <f>SUMIFS($A$2:$A$121,$K$2:$K$121,"Daiane Muniz",$B$2:$B$121,"Cuiabá")+SUMIFS($A$2:$A$121,$K$2:$K$121,"Daiane Muniz",$E$2:$E$121,"Cuiabá")</f>
        <v>0</v>
      </c>
      <c r="BJ4">
        <f>SUMIFS($A$2:$A$121,$K$2:$K$121,"Daiane Muniz",$B$2:$B$121,"Flamengo")+SUMIFS($A$2:$A$121,$K$2:$K$121,"Daiane Muniz",$E$2:$E$121,"Flamengo")</f>
        <v>1</v>
      </c>
      <c r="BK4">
        <f>SUMIFS($A$2:$A$121,$K$2:$K$121,"Daiane Muniz",$B$2:$B$121,"Fluminense")+SUMIFS($A$2:$A$121,$K$2:$K$121,"Daiane Muniz",$E$2:$E$121,"Fluminense")</f>
        <v>2</v>
      </c>
      <c r="BL4">
        <f>SUMIFS($A$2:$A$121,$K$2:$K$121,"Daiane Muniz",$B$2:$B$121,"Fortaleza")+SUMIFS($A$2:$A$121,$K$2:$K$121,"Daiane Muniz",$E$2:$E$121,"Fortaleza")</f>
        <v>2</v>
      </c>
      <c r="BM4">
        <f>SUMIFS($A$2:$A$121,$K$2:$K$121,"Daiane Muniz",$B$2:$B$121,"Grêmio")+SUMIFS($A$2:$A$121,$K$2:$K$121,"Daiane Muniz",$E$2:$E$121,"Grêmio")</f>
        <v>1</v>
      </c>
      <c r="BN4">
        <f>SUMIFS($A$2:$A$121,$K$2:$K$121,"Daiane Muniz",$B$2:$B$121,"Internacional")+SUMIFS($A$2:$A$121,$K$2:$K$121,"Daiane Muniz",$E$2:$E$121,"Internacional")</f>
        <v>1</v>
      </c>
      <c r="BO4">
        <f>SUMIFS($A$2:$A$121,$K$2:$K$121,"Daiane Muniz",$B$2:$B$121,"Juventude")+SUMIFS($A$2:$A$121,$K$2:$K$121,"Daiane Muniz",$E$2:$E$121,"Juventude")</f>
        <v>1</v>
      </c>
      <c r="BP4">
        <f>SUMIFS($A$2:$A$121,$K$2:$K$121,"Daiane Muniz",$B$2:$B$121,"Palmeiras")+SUMIFS($A$2:$A$121,$K$2:$K$121,"Daiane Muniz",$E$2:$E$121,"Palmeiras")</f>
        <v>1</v>
      </c>
      <c r="BQ4">
        <f>SUMIFS($A$2:$A$121,$K$2:$K$121,"Daiane Muniz",$B$2:$B$121,"Red Bull")+SUMIFS($A$2:$A$121,$K$2:$K$121,"Daiane Muniz",$E$2:$E$121,"Red Bull")</f>
        <v>1</v>
      </c>
      <c r="BR4">
        <f>SUMIFS($A$2:$A$121,$K$2:$K$121,"Daiane Muniz",$B$2:$B$121,"São Paulo")+SUMIFS($A$2:$A$121,$K$2:$K$121,"Daiane Muniz",$E$2:$E$121,"São Paulo")</f>
        <v>0</v>
      </c>
      <c r="BS4">
        <f>SUMIFS($A$2:$A$121,$K$2:$K$121,"Daiane Muniz",$B$2:$B$121,"Vasco")+SUMIFS($A$2:$A$121,$K$2:$K$121,"Daiane Muniz",$E$2:$E$121,"Vasco")</f>
        <v>2</v>
      </c>
      <c r="BT4">
        <f>SUMIFS($A$2:$A$121,$K$2:$K$121,"Daiane Muniz",$B$2:$B$121,"Vitória")+SUMIFS($A$2:$A$121,$K$2:$K$121,"Daiane Muniz",$E$2:$E$121,"Vitória")</f>
        <v>1</v>
      </c>
      <c r="BU4" s="30">
        <f t="shared" si="4"/>
        <v>22</v>
      </c>
      <c r="BW4" s="48" t="s">
        <v>43</v>
      </c>
      <c r="BX4" s="34">
        <f>COUNTIFS(Árbitro!$C$2:$C$37,"CBF")</f>
        <v>25</v>
      </c>
      <c r="BY4" s="34">
        <f>COUNTIFS(VAR!$C$2:$C$37,"CBF")</f>
        <v>8</v>
      </c>
      <c r="BZ4" s="36"/>
      <c r="CA4" s="34">
        <f>COUNTIFS($J$2:$J$121,"CBF")</f>
        <v>57</v>
      </c>
      <c r="CB4" s="34">
        <f>COUNTIFS($M$2:$M$121,"CBF")</f>
        <v>38</v>
      </c>
    </row>
    <row r="5" spans="1:80" ht="16.2" thickTop="1" x14ac:dyDescent="0.3">
      <c r="A5">
        <v>1</v>
      </c>
      <c r="B5" s="7" t="s">
        <v>22</v>
      </c>
      <c r="C5" s="9" t="s">
        <v>19</v>
      </c>
      <c r="D5" s="9">
        <v>1</v>
      </c>
      <c r="E5" s="7" t="s">
        <v>23</v>
      </c>
      <c r="F5" s="9" t="s">
        <v>24</v>
      </c>
      <c r="G5" s="9">
        <v>2</v>
      </c>
      <c r="H5" s="7" t="s">
        <v>52</v>
      </c>
      <c r="I5" s="7" t="s">
        <v>21</v>
      </c>
      <c r="J5" s="7" t="s">
        <v>43</v>
      </c>
      <c r="K5" s="7" t="s">
        <v>53</v>
      </c>
      <c r="L5" s="7" t="s">
        <v>54</v>
      </c>
      <c r="M5" s="7" t="s">
        <v>47</v>
      </c>
      <c r="N5" s="14"/>
      <c r="O5" s="18">
        <f t="shared" si="0"/>
        <v>0</v>
      </c>
      <c r="P5" s="18">
        <f t="shared" si="1"/>
        <v>1</v>
      </c>
      <c r="Q5" s="18">
        <f t="shared" si="2"/>
        <v>0</v>
      </c>
      <c r="S5" s="24" t="s">
        <v>33</v>
      </c>
      <c r="T5" s="15">
        <f>COUNTIFS($B$2:$B$121,"Vasco",$J$2:$J$121,"=FIFA")+COUNTIFS($E$2:$E$121,"Vasco",$J$2:$J$121,"=FIFA")</f>
        <v>9</v>
      </c>
      <c r="U5" s="15">
        <f>COUNTIFS($B$2:$B$121,"Vasco",$J$2:$J$121,"=CBF")+COUNTIFS($E$2:$E$121,"Vasco",$J$2:$J$121,"=CBF")</f>
        <v>3</v>
      </c>
      <c r="V5" s="15">
        <f>COUNTIFS($B$2:$B$121,"Vasco",$M$2:$M$121,"=FIFA")+COUNTIFS($E$2:$E$121,"Vasco",$M$2:$M$121,"=FIFA")</f>
        <v>9</v>
      </c>
      <c r="W5" s="15">
        <f>COUNTIFS($B$2:$B$121,"Vasco",$M$2:$M$121,"=CBF")+COUNTIFS($E$2:$E$121,"Vasco",$M$2:$M$121,"=CBF")</f>
        <v>3</v>
      </c>
      <c r="X5" s="15">
        <f>SUMIFS($O$2:$O$121,$B$2:$B$121,"Vasco")+SUMIFS($O$2:$O$121,$E$2:$E$121,"Vasco")</f>
        <v>6</v>
      </c>
      <c r="Y5" s="15">
        <f>SUMIFS($P$2:$P$121,$B$2:$B$121,"Vasco")+SUMIFS($P$2:$P$121,$E$2:$E$121,"Vasco")</f>
        <v>6</v>
      </c>
      <c r="Z5" s="15">
        <f>SUMIFS($Q$2:$Q$121,$B$2:$B$121,"Vasco")+SUMIFS($Q$2:$Q$121,$E$2:$E$121,"Vasco")</f>
        <v>0</v>
      </c>
      <c r="AC5" s="7" t="s">
        <v>55</v>
      </c>
      <c r="AD5">
        <f>SUMIFS($A$2:$A$121,$H$2:$H$121,"Andre Luiz Skettino Policarpo Bento",$B$2:$B$121,"Athletico")+SUMIFS($A$2:$A$121,$H$2:$H$121,"Andre Luiz Skettino Policarpo Bento",$E$2:$E$121,"Athletico")</f>
        <v>0</v>
      </c>
      <c r="AE5">
        <f>SUMIFS($A$2:$A$121,$H$2:$H$121,"Andre Luiz Skettino Policarpo Bento",$B$2:$B$121,"Atlético GO")+SUMIFS($A$2:$A$121,$H$2:$H$121,"Andre Luiz Skettino Policarpo Bento",$E$2:$E$121,"Atlético GO")</f>
        <v>1</v>
      </c>
      <c r="AF5">
        <f>SUMIFS($A$2:$A$121,$H$2:$H$121,"Andre Luiz Skettino Policarpo Bento",$B$2:$B$121,"Atlético MG")+SUMIFS($A$2:$A$121,$H$2:$H$121,"Andre Luiz Skettino Policarpo Bento",$E$2:$E$121,"Atlético MG")</f>
        <v>0</v>
      </c>
      <c r="AG5">
        <f>SUMIFS($A$2:$A$121,$H$2:$H$121,"Andre Luiz Skettino Policarpo Bento",$B$2:$B$121,"Bahia")+SUMIFS($A$2:$A$121,$H$2:$H$121,"Andre Luiz Skettino Policarpo Bento",$E$2:$E$121,"Bahia")</f>
        <v>0</v>
      </c>
      <c r="AH5">
        <f>SUMIFS($A$2:$A$121,$H$2:$H$121,"Andre Luiz Skettino Policarpo Bento",$B$2:$B$121,"Botafogo")+SUMIFS($A$2:$A$121,$H$2:$H$121,"Andre Luiz Skettino Policarpo Bento",$E$2:$E$121,"Botafogo")</f>
        <v>0</v>
      </c>
      <c r="AI5">
        <f>SUMIFS($A$2:$A$121,$H$2:$H$121,"Andre Luiz Skettino Policarpo Bento",$B$2:$B$121,"Corinthians")+SUMIFS($A$2:$A$121,$H$2:$H$121,"Andre Luiz Skettino Policarpo Bento",$E$2:$E$121,"Corinthians")</f>
        <v>0</v>
      </c>
      <c r="AJ5">
        <f>SUMIFS($A$2:$A$121,$H$2:$H$121,"Andre Luiz Skettino Policarpo Bento",$B$2:$B$121,"Criciúma")+SUMIFS($A$2:$A$121,$H$2:$H$121,"Andre Luiz Skettino Policarpo Bento",$E$2:$E$121,"Criciúma")</f>
        <v>0</v>
      </c>
      <c r="AK5">
        <f>SUMIFS($A$2:$A$121,$H$2:$H$121,"Andre Luiz Skettino Policarpo Bento",$B$2:$B$121,"Cruzeiro")+SUMIFS($A$2:$A$121,$H$2:$H$121,"Andre Luiz Skettino Policarpo Bento",$E$2:$E$121,"Cruzeiro")</f>
        <v>0</v>
      </c>
      <c r="AL5">
        <f>SUMIFS($A$2:$A$121,$H$2:$H$121,"Andre Luiz Skettino Policarpo Bento",$B$2:$B$121,"Cuiabá")+SUMIFS($A$2:$A$121,$H$2:$H$121,"Andre Luiz Skettino Policarpo Bento",$E$2:$E$121,"Cuiabá")</f>
        <v>0</v>
      </c>
      <c r="AM5">
        <f>SUMIFS($A$2:$A$121,$H$2:$H$121,"Andre Luiz Skettino Policarpo Bento",$B$2:$B$121,"Flamengo")+SUMIFS($A$2:$A$121,$H$2:$H$121,"Andre Luiz Skettino Policarpo Bento",$E$2:$E$121,"Flamengo")</f>
        <v>1</v>
      </c>
      <c r="AN5">
        <f>SUMIFS($A$2:$A$121,$H$2:$H$121,"Andre Luiz Skettino Policarpo Bento",$B$2:$B$121,"Fluminense")+SUMIFS($A$2:$A$121,$H$2:$H$121,"Andre Luiz Skettino Policarpo Bento",$E$2:$E$121,"Fluminense")</f>
        <v>0</v>
      </c>
      <c r="AO5">
        <f>SUMIFS($A$2:$A$121,$H$2:$H$121,"Andre Luiz Skettino Policarpo Bento",$B$2:$B$121,"Fortaleza")+SUMIFS($A$2:$A$121,$H$2:$H$121,"Andre Luiz Skettino Policarpo Bento",$E$2:$E$121,"Fortaleza")</f>
        <v>0</v>
      </c>
      <c r="AP5">
        <f>SUMIFS($A$2:$A$121,$H$2:$H$121,"Andre Luiz Skettino Policarpo Bento",$B$2:$B$121,"Grêmio")+SUMIFS($A$2:$A$121,$H$2:$H$121,"Andre Luiz Skettino Policarpo Bento",$E$2:$E$121,"Grêmio")</f>
        <v>0</v>
      </c>
      <c r="AQ5">
        <f>SUMIFS($A$2:$A$121,$H$2:$H$121,"Andre Luiz Skettino Policarpo Bento",$B$2:$B$121,"Internacional")+SUMIFS($A$2:$A$121,$H$2:$H$121,"Andre Luiz Skettino Policarpo Bento",$E$2:$E$121,"Internacional")</f>
        <v>0</v>
      </c>
      <c r="AR5">
        <f>SUMIFS($A$2:$A$121,$H$2:$H$121,"Andre Luiz Skettino Policarpo Bento",$B$2:$B$121,"Juventude")+SUMIFS($A$2:$A$121,$H$2:$H$121,"Andre Luiz Skettino Policarpo Bento",$E$2:$E$121,"Juventude")</f>
        <v>0</v>
      </c>
      <c r="AS5">
        <f>SUMIFS($A$2:$A$121,$H$2:$H$121,"Andre Luiz Skettino Policarpo Bento",$B$2:$B$121,"Palmeiras")+SUMIFS($A$2:$A$121,$H$2:$H$121,"Andre Luiz Skettino Policarpo Bento",$E$2:$E$121,"Palmeiras")</f>
        <v>0</v>
      </c>
      <c r="AT5">
        <f>SUMIFS($A$2:$A$121,$H$2:$H$121,"Andre Luiz Skettino Policarpo Bento",$B$2:$B$121,"Red Bull")+SUMIFS($A$2:$A$121,$H$2:$H$121,"Andre Luiz Skettino Policarpo Bento",$E$2:$E$121,"Red Bull")</f>
        <v>0</v>
      </c>
      <c r="AU5">
        <f>SUMIFS($A$2:$A$121,$H$2:$H$121,"Andre Luiz Skettino Policarpo Bento",$B$2:$B$121,"São Paulo")+SUMIFS($A$2:$A$121,$H$2:$H$121,"Andre Luiz Skettino Policarpo Bento",$E$2:$E$121,"São Paulo")</f>
        <v>0</v>
      </c>
      <c r="AV5">
        <f>SUMIFS($A$2:$A$121,$H$2:$H$121,"Andre Luiz Skettino Policarpo Bento",$B$2:$B$121,"Vasco")+SUMIFS($A$2:$A$121,$H$2:$H$121,"Andre Luiz Skettino Policarpo Bento",$E$2:$E$121,"Vasco")</f>
        <v>0</v>
      </c>
      <c r="AW5">
        <f>SUMIFS($A$2:$A$121,$H$2:$H$121,"Andre Luiz Skettino Policarpo Bento",$B$2:$B$121,"Vitória")+SUMIFS($A$2:$A$121,$H$2:$H$121,"Andre Luiz Skettino Policarpo Bento",$E$2:$E$121,"Vitória")</f>
        <v>0</v>
      </c>
      <c r="AX5" s="30">
        <f t="shared" si="3"/>
        <v>2</v>
      </c>
      <c r="AZ5" s="7" t="s">
        <v>91</v>
      </c>
      <c r="BA5">
        <f>SUMIFS($A$2:$A$121,$K$2:$K$121,"Daniel Nobre Bins",$B$2:$B$121,"Athletico")+SUMIFS($A$2:$A$121,$K$2:$K$121,"Daniel Nobre Bins",$E$2:$E$121,"Athletico")</f>
        <v>0</v>
      </c>
      <c r="BB5">
        <f>SUMIFS($A$2:$A$121,$K$2:$K$121,"Daniel Nobre Bins",$B$2:$B$121,"Atlético GO")+SUMIFS($A$2:$A$121,$K$2:$K$121,"Daniel Nobre Bins",$E$2:$E$121,"Atlético GO")</f>
        <v>0</v>
      </c>
      <c r="BC5">
        <f>SUMIFS($A$2:$A$121,$K$2:$K$121,"Daniel Nobre Bins",$B$2:$B$121,"Atlético MG")+SUMIFS($A$2:$A$121,$K$2:$K$121,"Daniel Nobre Bins",$E$2:$E$121,"Atlético MG")</f>
        <v>1</v>
      </c>
      <c r="BD5">
        <f>SUMIFS($A$2:$A$121,$K$2:$K$121,"Daniel Nobre Bins",$B$2:$B$121,"Bahia")+SUMIFS($A$2:$A$121,$K$2:$K$121,"Daniel Nobre Bins",$E$2:$E$121,"Bahia")</f>
        <v>0</v>
      </c>
      <c r="BE5">
        <f>SUMIFS($A$2:$A$121,$K$2:$K$121,"Daniel Nobre Bins",$B$2:$B$121,"Botafogo")+SUMIFS($A$2:$A$121,$K$2:$K$121,"Daniel Nobre Bins",$E$2:$E$121,"Botafogo")</f>
        <v>0</v>
      </c>
      <c r="BF5">
        <f>SUMIFS($A$2:$A$121,$K$2:$K$121,"Daniel Nobre Bins",$B$2:$B$121,"Corinthians")+SUMIFS($A$2:$A$121,$K$2:$K$121,"Daniel Nobre Bins",$E$2:$E$121,"Corinthians")</f>
        <v>1</v>
      </c>
      <c r="BG5">
        <f>SUMIFS($A$2:$A$121,$K$2:$K$121,"Daniel Nobre Bins",$B$2:$B$121,"Criciúma")+SUMIFS($A$2:$A$121,$K$2:$K$121,"Daniel Nobre Bins",$E$2:$E$121,"Criciúma")</f>
        <v>0</v>
      </c>
      <c r="BH5">
        <f>SUMIFS($A$2:$A$121,$K$2:$K$121,"Daniel Nobre Bins",$B$2:$B$121,"Cruzeiro")+SUMIFS($A$2:$A$121,$K$2:$K$121,"Daniel Nobre Bins",$E$2:$E$121,"Cruzeiro")</f>
        <v>1</v>
      </c>
      <c r="BI5">
        <f>SUMIFS($A$2:$A$121,$K$2:$K$121,"Daniel Nobre Bins",$B$2:$B$121,"Cuiabá")+SUMIFS($A$2:$A$121,$K$2:$K$121,"Daniel Nobre Bins",$E$2:$E$121,"Cuiabá")</f>
        <v>0</v>
      </c>
      <c r="BJ5">
        <f>SUMIFS($A$2:$A$121,$K$2:$K$121,"Daniel Nobre Bins",$B$2:$B$121,"Flamengo")+SUMIFS($A$2:$A$121,$K$2:$K$121,"Daniel Nobre Bins",$E$2:$E$121,"Flamengo")</f>
        <v>2</v>
      </c>
      <c r="BK5">
        <f>SUMIFS($A$2:$A$121,$K$2:$K$121,"Daniel Nobre Bins",$B$2:$B$121,"Fluminense")+SUMIFS($A$2:$A$121,$K$2:$K$121,"Daniel Nobre Bins",$E$2:$E$121,"Fluminense")</f>
        <v>0</v>
      </c>
      <c r="BL5">
        <f>SUMIFS($A$2:$A$121,$K$2:$K$121,"Daniel Nobre Bins",$B$2:$B$121,"Fortaleza")+SUMIFS($A$2:$A$121,$K$2:$K$121,"Daniel Nobre Bins",$E$2:$E$121,"Fortaleza")</f>
        <v>0</v>
      </c>
      <c r="BM5">
        <f>SUMIFS($A$2:$A$121,$K$2:$K$121,"Daniel Nobre Bins",$B$2:$B$121,"Grêmio")+SUMIFS($A$2:$A$121,$K$2:$K$121,"Daniel Nobre Bins",$E$2:$E$121,"Grêmio")</f>
        <v>0</v>
      </c>
      <c r="BN5">
        <f>SUMIFS($A$2:$A$121,$K$2:$K$121,"Daniel Nobre Bins",$B$2:$B$121,"Internacional")+SUMIFS($A$2:$A$121,$K$2:$K$121,"Daniel Nobre Bins",$E$2:$E$121,"Internacional")</f>
        <v>0</v>
      </c>
      <c r="BO5">
        <f>SUMIFS($A$2:$A$121,$K$2:$K$121,"Daniel Nobre Bins",$B$2:$B$121,"Juventude")+SUMIFS($A$2:$A$121,$K$2:$K$121,"Daniel Nobre Bins",$E$2:$E$121,"Juventude")</f>
        <v>0</v>
      </c>
      <c r="BP5">
        <f>SUMIFS($A$2:$A$121,$K$2:$K$121,"Daniel Nobre Bins",$B$2:$B$121,"Palmeiras")+SUMIFS($A$2:$A$121,$K$2:$K$121,"Daniel Nobre Bins",$E$2:$E$121,"Palmeiras")</f>
        <v>1</v>
      </c>
      <c r="BQ5">
        <f>SUMIFS($A$2:$A$121,$K$2:$K$121,"Daniel Nobre Bins",$B$2:$B$121,"Red Bull")+SUMIFS($A$2:$A$121,$K$2:$K$121,"Daniel Nobre Bins",$E$2:$E$121,"Red Bull")</f>
        <v>1</v>
      </c>
      <c r="BR5">
        <f>SUMIFS($A$2:$A$121,$K$2:$K$121,"Daniel Nobre Bins",$B$2:$B$121,"São Paulo")+SUMIFS($A$2:$A$121,$K$2:$K$121,"Daniel Nobre Bins",$E$2:$E$121,"São Paulo")</f>
        <v>0</v>
      </c>
      <c r="BS5">
        <f>SUMIFS($A$2:$A$121,$K$2:$K$121,"Daniel Nobre Bins",$B$2:$B$121,"Vasco")+SUMIFS($A$2:$A$121,$K$2:$K$121,"Daniel Nobre Bins",$E$2:$E$121,"Vasco")</f>
        <v>0</v>
      </c>
      <c r="BT5">
        <f>SUMIFS($A$2:$A$121,$K$2:$K$121,"Daniel Nobre Bins",$B$2:$B$121,"Vitória")+SUMIFS($A$2:$A$121,$K$2:$K$121,"Daniel Nobre Bins",$E$2:$E$121,"Vitória")</f>
        <v>1</v>
      </c>
      <c r="BU5" s="30">
        <f t="shared" si="4"/>
        <v>8</v>
      </c>
      <c r="BW5" s="2" t="s">
        <v>155</v>
      </c>
      <c r="BX5" s="35">
        <f>BX3/SUM(BX3:BX4)</f>
        <v>0.30555555555555558</v>
      </c>
      <c r="BY5" s="35">
        <f>BY3/SUM(BY3:BY4)</f>
        <v>0.57894736842105265</v>
      </c>
      <c r="BZ5" s="37"/>
      <c r="CA5" s="35">
        <f>CA3/SUM(CA3:CA4)</f>
        <v>0.5043478260869565</v>
      </c>
      <c r="CB5" s="35">
        <f>CB3/SUM(CB3:CB4)</f>
        <v>0.66956521739130437</v>
      </c>
    </row>
    <row r="6" spans="1:80" ht="15.6" x14ac:dyDescent="0.3">
      <c r="A6">
        <v>1</v>
      </c>
      <c r="B6" s="7" t="s">
        <v>25</v>
      </c>
      <c r="C6" s="9" t="s">
        <v>26</v>
      </c>
      <c r="D6" s="9">
        <v>1</v>
      </c>
      <c r="E6" s="7" t="s">
        <v>27</v>
      </c>
      <c r="F6" s="9" t="s">
        <v>21</v>
      </c>
      <c r="G6" s="9">
        <v>2</v>
      </c>
      <c r="H6" s="7" t="s">
        <v>55</v>
      </c>
      <c r="I6" s="7" t="s">
        <v>32</v>
      </c>
      <c r="J6" s="7" t="s">
        <v>43</v>
      </c>
      <c r="K6" s="7" t="s">
        <v>56</v>
      </c>
      <c r="L6" s="7" t="s">
        <v>57</v>
      </c>
      <c r="M6" s="7" t="s">
        <v>47</v>
      </c>
      <c r="N6" s="14"/>
      <c r="O6" s="18">
        <f t="shared" si="0"/>
        <v>0</v>
      </c>
      <c r="P6" s="18">
        <f t="shared" si="1"/>
        <v>1</v>
      </c>
      <c r="Q6" s="18">
        <f t="shared" si="2"/>
        <v>0</v>
      </c>
      <c r="S6" s="7" t="s">
        <v>20</v>
      </c>
      <c r="T6" s="15">
        <f>COUNTIFS($B$2:$B$121,"Fluminense",$J$2:$J$121,"=FIFA")+COUNTIFS($E$2:$E$121,"Fluminense",$J$2:$J$121,"=FIFA")</f>
        <v>7</v>
      </c>
      <c r="U6" s="15">
        <f>COUNTIFS($B$2:$B$121,"Fluminense",$J$2:$J$121,"=CBF")+COUNTIFS($E$2:$E$121,"Fluminense",$J$2:$J$121,"=CBF")</f>
        <v>5</v>
      </c>
      <c r="V6" s="15">
        <f>COUNTIFS($B$2:$B$121,"Fluminense",$M$2:$M$121,"=FIFA")+COUNTIFS($E$2:$E$121,"Fluminense",$M$2:$M$121,"=FIFA")</f>
        <v>9</v>
      </c>
      <c r="W6" s="15">
        <f>COUNTIFS($B$2:$B$121,"Fluminense",$M$2:$M$121,"=CBF")+COUNTIFS($E$2:$E$121,"Fluminense",$M$2:$M$121,"=CBF")</f>
        <v>3</v>
      </c>
      <c r="X6" s="15">
        <f>SUMIFS($O$2:$O$121,$B$2:$B$121,"Fluminense")+SUMIFS($O$2:$O$121,$E$2:$E$121,"Fluminense")</f>
        <v>6</v>
      </c>
      <c r="Y6" s="15">
        <f>SUMIFS($P$2:$P$121,$B$2:$B$121,"Fluminense")+SUMIFS($P$2:$P$121,$E$2:$E$121,"Fluminense")</f>
        <v>4</v>
      </c>
      <c r="Z6" s="15">
        <f>SUMIFS($Q$2:$Q$121,$B$2:$B$121,"Fluminense")+SUMIFS($Q$2:$Q$121,$E$2:$E$121,"Fluminense")</f>
        <v>2</v>
      </c>
      <c r="AC6" s="7" t="s">
        <v>132</v>
      </c>
      <c r="AD6">
        <f>SUMIFS($A$2:$A$121,$H$2:$H$121,"Arthur Gomes Rabelo",$B$2:$B$121,"Athletico")+SUMIFS($A$2:$A$121,$H$2:$H$121,"Arthur Gomes Rabelo",$E$2:$E$121,"Athletico")</f>
        <v>0</v>
      </c>
      <c r="AE6">
        <f>SUMIFS($A$2:$A$121,$H$2:$H$121,"Arthur Gomes Rabelo",$B$2:$B$121,"Atlético GO")+SUMIFS($A$2:$A$121,$H$2:$H$121,"Arthur Gomes Rabelo",$E$2:$E$121,"Atlético GO")</f>
        <v>0</v>
      </c>
      <c r="AF6">
        <f>SUMIFS($A$2:$A$121,$H$2:$H$121,"Arthur Gomes Rabelo",$B$2:$B$121,"Atlético MG")+SUMIFS($A$2:$A$121,$H$2:$H$121,"Arthur Gomes Rabelo",$E$2:$E$121,"Atlético MG")</f>
        <v>0</v>
      </c>
      <c r="AG6">
        <f>SUMIFS($A$2:$A$121,$H$2:$H$121,"Arthur Gomes Rabelo",$B$2:$B$121,"Bahia")+SUMIFS($A$2:$A$121,$H$2:$H$121,"Arthur Gomes Rabelo",$E$2:$E$121,"Bahia")</f>
        <v>0</v>
      </c>
      <c r="AH6">
        <f>SUMIFS($A$2:$A$121,$H$2:$H$121,"Arthur Gomes Rabelo",$B$2:$B$121,"Botafogo")+SUMIFS($A$2:$A$121,$H$2:$H$121,"Arthur Gomes Rabelo",$E$2:$E$121,"Botafogo")</f>
        <v>1</v>
      </c>
      <c r="AI6">
        <f>SUMIFS($A$2:$A$121,$H$2:$H$121,"Arthur Gomes Rabelo",$B$2:$B$121,"Corinthians")+SUMIFS($A$2:$A$121,$H$2:$H$121,"Arthur Gomes Rabelo",$E$2:$E$121,"Corinthians")</f>
        <v>0</v>
      </c>
      <c r="AJ6">
        <f>SUMIFS($A$2:$A$121,$H$2:$H$121,"Arthur Gomes Rabelo",$B$2:$B$121,"Criciúma")+SUMIFS($A$2:$A$121,$H$2:$H$121,"Arthur Gomes Rabelo",$E$2:$E$121,"Criciúma")</f>
        <v>0</v>
      </c>
      <c r="AK6">
        <f>SUMIFS($A$2:$A$121,$H$2:$H$121,"Arthur Gomes Rabelo",$B$2:$B$121,"Cruzeiro")+SUMIFS($A$2:$A$121,$H$2:$H$121,"Arthur Gomes Rabelo",$E$2:$E$121,"Cruzeiro")</f>
        <v>0</v>
      </c>
      <c r="AL6">
        <f>SUMIFS($A$2:$A$121,$H$2:$H$121,"Arthur Gomes Rabelo",$B$2:$B$121,"Cuiabá")+SUMIFS($A$2:$A$121,$H$2:$H$121,"Arthur Gomes Rabelo",$E$2:$E$121,"Cuiabá")</f>
        <v>0</v>
      </c>
      <c r="AM6">
        <f>SUMIFS($A$2:$A$121,$H$2:$H$121,"Arthur Gomes Rabelo",$B$2:$B$121,"Flamengo")+SUMIFS($A$2:$A$121,$H$2:$H$121,"Arthur Gomes Rabelo",$E$2:$E$121,"Flamengo")</f>
        <v>0</v>
      </c>
      <c r="AN6">
        <f>SUMIFS($A$2:$A$121,$H$2:$H$121,"Arthur Gomes Rabelo",$B$2:$B$121,"Fluminense")+SUMIFS($A$2:$A$121,$H$2:$H$121,"Arthur Gomes Rabelo",$E$2:$E$121,"Fluminense")</f>
        <v>0</v>
      </c>
      <c r="AO6">
        <f>SUMIFS($A$2:$A$121,$H$2:$H$121,"Arthur Gomes Rabelo",$B$2:$B$121,"Fortaleza")+SUMIFS($A$2:$A$121,$H$2:$H$121,"Arthur Gomes Rabelo",$E$2:$E$121,"Fortaleza")</f>
        <v>0</v>
      </c>
      <c r="AP6">
        <f>SUMIFS($A$2:$A$121,$H$2:$H$121,"Arthur Gomes Rabelo",$B$2:$B$121,"Grêmio")+SUMIFS($A$2:$A$121,$H$2:$H$121,"Arthur Gomes Rabelo",$E$2:$E$121,"Grêmio")</f>
        <v>0</v>
      </c>
      <c r="AQ6">
        <f>SUMIFS($A$2:$A$121,$H$2:$H$121,"Arthur Gomes Rabelo",$B$2:$B$121,"Internacional")+SUMIFS($A$2:$A$121,$H$2:$H$121,"Arthur Gomes Rabelo",$E$2:$E$121,"Internacional")</f>
        <v>0</v>
      </c>
      <c r="AR6">
        <f>SUMIFS($A$2:$A$121,$H$2:$H$121,"Arthur Gomes Rabelo",$B$2:$B$121,"Juventude")+SUMIFS($A$2:$A$121,$H$2:$H$121,"Arthur Gomes Rabelo",$E$2:$E$121,"Juventude")</f>
        <v>1</v>
      </c>
      <c r="AS6">
        <f>SUMIFS($A$2:$A$121,$H$2:$H$121,"Arthur Gomes Rabelo",$B$2:$B$121,"Palmeiras")+SUMIFS($A$2:$A$121,$H$2:$H$121,"Arthur Gomes Rabelo",$E$2:$E$121,"Palmeiras")</f>
        <v>0</v>
      </c>
      <c r="AT6">
        <f>SUMIFS($A$2:$A$121,$H$2:$H$121,"Arthur Gomes Rabelo",$B$2:$B$121,"Red Bull")+SUMIFS($A$2:$A$121,$H$2:$H$121,"Arthur Gomes Rabelo",$E$2:$E$121,"Red Bull")</f>
        <v>0</v>
      </c>
      <c r="AU6">
        <f>SUMIFS($A$2:$A$121,$H$2:$H$121,"Arthur Gomes Rabelo",$B$2:$B$121,"São Paulo")+SUMIFS($A$2:$A$121,$H$2:$H$121,"Arthur Gomes Rabelo",$E$2:$E$121,"São Paulo")</f>
        <v>0</v>
      </c>
      <c r="AV6">
        <f>SUMIFS($A$2:$A$121,$H$2:$H$121,"Arthur Gomes Rabelo",$B$2:$B$121,"Vasco")+SUMIFS($A$2:$A$121,$H$2:$H$121,"Arthur Gomes Rabelo",$E$2:$E$121,"Vasco")</f>
        <v>0</v>
      </c>
      <c r="AW6">
        <f>SUMIFS($A$2:$A$121,$H$2:$H$121,"Arthur Gomes Rabelo",$B$2:$B$121,"Vitória")+SUMIFS($A$2:$A$121,$H$2:$H$121,"Arthur Gomes Rabelo",$E$2:$E$121,"Vitória")</f>
        <v>0</v>
      </c>
      <c r="AX6" s="30">
        <f t="shared" si="3"/>
        <v>2</v>
      </c>
      <c r="AZ6" s="7" t="s">
        <v>59</v>
      </c>
      <c r="BA6">
        <f>SUMIFS($A$2:$A$121,$K$2:$K$121,"Diego Pombo Lopez",$B$2:$B$121,"Athletico")+SUMIFS($A$2:$A$121,$K$2:$K$121,"Diego Pombo Lopez",$E$2:$E$121,"Athletico")</f>
        <v>2</v>
      </c>
      <c r="BB6">
        <f>SUMIFS($A$2:$A$121,$K$2:$K$121,"Diego Pombo Lopez",$B$2:$B$121,"Atlético GO")+SUMIFS($A$2:$A$121,$K$2:$K$121,"Diego Pombo Lopez",$E$2:$E$121,"Atlético GO")</f>
        <v>0</v>
      </c>
      <c r="BC6">
        <f>SUMIFS($A$2:$A$121,$K$2:$K$121,"Diego Pombo Lopez",$B$2:$B$121,"Atlético MG")+SUMIFS($A$2:$A$121,$K$2:$K$121,"Diego Pombo Lopez",$E$2:$E$121,"Atlético MG")</f>
        <v>0</v>
      </c>
      <c r="BD6">
        <f>SUMIFS($A$2:$A$121,$K$2:$K$121,"Diego Pombo Lopez",$B$2:$B$121,"Bahia")+SUMIFS($A$2:$A$121,$K$2:$K$121,"Diego Pombo Lopez",$E$2:$E$121,"Bahia")</f>
        <v>0</v>
      </c>
      <c r="BE6">
        <f>SUMIFS($A$2:$A$121,$K$2:$K$121,"Diego Pombo Lopez",$B$2:$B$121,"Botafogo")+SUMIFS($A$2:$A$121,$K$2:$K$121,"Diego Pombo Lopez",$E$2:$E$121,"Botafogo")</f>
        <v>0</v>
      </c>
      <c r="BF6">
        <f>SUMIFS($A$2:$A$121,$K$2:$K$121,"Diego Pombo Lopez",$B$2:$B$121,"Corinthians")+SUMIFS($A$2:$A$121,$K$2:$K$121,"Diego Pombo Lopez",$E$2:$E$121,"Corinthians")</f>
        <v>0</v>
      </c>
      <c r="BG6">
        <f>SUMIFS($A$2:$A$121,$K$2:$K$121,"Diego Pombo Lopez",$B$2:$B$121,"Criciúma")+SUMIFS($A$2:$A$121,$K$2:$K$121,"Diego Pombo Lopez",$E$2:$E$121,"Criciúma")</f>
        <v>0</v>
      </c>
      <c r="BH6">
        <f>SUMIFS($A$2:$A$121,$K$2:$K$121,"Diego Pombo Lopez",$B$2:$B$121,"Cruzeiro")+SUMIFS($A$2:$A$121,$K$2:$K$121,"Diego Pombo Lopez",$E$2:$E$121,"Cruzeiro")</f>
        <v>0</v>
      </c>
      <c r="BI6">
        <f>SUMIFS($A$2:$A$121,$K$2:$K$121,"Diego Pombo Lopez",$B$2:$B$121,"Cuiabá")+SUMIFS($A$2:$A$121,$K$2:$K$121,"Diego Pombo Lopez",$E$2:$E$121,"Cuiabá")</f>
        <v>1</v>
      </c>
      <c r="BJ6">
        <f>SUMIFS($A$2:$A$121,$K$2:$K$121,"Diego Pombo Lopez",$B$2:$B$121,"Flamengo")+SUMIFS($A$2:$A$121,$K$2:$K$121,"Diego Pombo Lopez",$E$2:$E$121,"Flamengo")</f>
        <v>0</v>
      </c>
      <c r="BK6">
        <f>SUMIFS($A$2:$A$121,$K$2:$K$121,"Diego Pombo Lopez",$B$2:$B$121,"Fluminense")+SUMIFS($A$2:$A$121,$K$2:$K$121,"Diego Pombo Lopez",$E$2:$E$121,"Fluminense")</f>
        <v>0</v>
      </c>
      <c r="BL6">
        <f>SUMIFS($A$2:$A$121,$K$2:$K$121,"Diego Pombo Lopez",$B$2:$B$121,"Fortaleza")+SUMIFS($A$2:$A$121,$K$2:$K$121,"Diego Pombo Lopez",$E$2:$E$121,"Fortaleza")</f>
        <v>0</v>
      </c>
      <c r="BM6">
        <f>SUMIFS($A$2:$A$121,$K$2:$K$121,"Diego Pombo Lopez",$B$2:$B$121,"Grêmio")+SUMIFS($A$2:$A$121,$K$2:$K$121,"Diego Pombo Lopez",$E$2:$E$121,"Grêmio")</f>
        <v>0</v>
      </c>
      <c r="BN6">
        <f>SUMIFS($A$2:$A$121,$K$2:$K$121,"Diego Pombo Lopez",$B$2:$B$121,"Internacional")+SUMIFS($A$2:$A$121,$K$2:$K$121,"Diego Pombo Lopez",$E$2:$E$121,"Internacional")</f>
        <v>0</v>
      </c>
      <c r="BO6">
        <f>SUMIFS($A$2:$A$121,$K$2:$K$121,"Diego Pombo Lopez",$B$2:$B$121,"Juventude")+SUMIFS($A$2:$A$121,$K$2:$K$121,"Diego Pombo Lopez",$E$2:$E$121,"Juventude")</f>
        <v>2</v>
      </c>
      <c r="BP6">
        <f>SUMIFS($A$2:$A$121,$K$2:$K$121,"Diego Pombo Lopez",$B$2:$B$121,"Palmeiras")+SUMIFS($A$2:$A$121,$K$2:$K$121,"Diego Pombo Lopez",$E$2:$E$121,"Palmeiras")</f>
        <v>0</v>
      </c>
      <c r="BQ6">
        <f>SUMIFS($A$2:$A$121,$K$2:$K$121,"Diego Pombo Lopez",$B$2:$B$121,"Red Bull")+SUMIFS($A$2:$A$121,$K$2:$K$121,"Diego Pombo Lopez",$E$2:$E$121,"Red Bull")</f>
        <v>1</v>
      </c>
      <c r="BR6">
        <f>SUMIFS($A$2:$A$121,$K$2:$K$121,"Diego Pombo Lopez",$B$2:$B$121,"São Paulo")+SUMIFS($A$2:$A$121,$K$2:$K$121,"Diego Pombo Lopez",$E$2:$E$121,"São Paulo")</f>
        <v>0</v>
      </c>
      <c r="BS6">
        <f>SUMIFS($A$2:$A$121,$K$2:$K$121,"Diego Pombo Lopez",$B$2:$B$121,"Vasco")+SUMIFS($A$2:$A$121,$K$2:$K$121,"Diego Pombo Lopez",$E$2:$E$121,"Vasco")</f>
        <v>0</v>
      </c>
      <c r="BT6">
        <f>SUMIFS($A$2:$A$121,$K$2:$K$121,"Diego Pombo Lopez",$B$2:$B$121,"Vitória")+SUMIFS($A$2:$A$121,$K$2:$K$121,"Diego Pombo Lopez",$E$2:$E$121,"Vitória")</f>
        <v>0</v>
      </c>
      <c r="BU6" s="30">
        <f t="shared" si="4"/>
        <v>6</v>
      </c>
    </row>
    <row r="7" spans="1:80" ht="15.6" x14ac:dyDescent="0.3">
      <c r="A7">
        <v>1</v>
      </c>
      <c r="B7" s="7" t="s">
        <v>28</v>
      </c>
      <c r="C7" s="9" t="s">
        <v>29</v>
      </c>
      <c r="D7" s="9">
        <v>4</v>
      </c>
      <c r="E7" s="7" t="s">
        <v>30</v>
      </c>
      <c r="F7" s="9" t="s">
        <v>41</v>
      </c>
      <c r="G7" s="9">
        <v>0</v>
      </c>
      <c r="H7" s="7" t="s">
        <v>58</v>
      </c>
      <c r="I7" s="7" t="s">
        <v>15</v>
      </c>
      <c r="J7" s="7" t="s">
        <v>43</v>
      </c>
      <c r="K7" s="7" t="s">
        <v>59</v>
      </c>
      <c r="L7" s="7" t="s">
        <v>38</v>
      </c>
      <c r="M7" s="7" t="s">
        <v>47</v>
      </c>
      <c r="N7" s="14"/>
      <c r="O7" s="18">
        <f t="shared" si="0"/>
        <v>0</v>
      </c>
      <c r="P7" s="18">
        <f t="shared" si="1"/>
        <v>1</v>
      </c>
      <c r="Q7" s="18">
        <f t="shared" si="2"/>
        <v>0</v>
      </c>
      <c r="S7" s="7" t="s">
        <v>37</v>
      </c>
      <c r="T7" s="15">
        <f>COUNTIFS($B$2:$B$121,"Vitória",$J$2:$J$121,"=FIFA")+COUNTIFS($E$2:$E$121,"Vitória",$J$2:$J$121,"=FIFA")</f>
        <v>7</v>
      </c>
      <c r="U7" s="15">
        <f>COUNTIFS($B$2:$B$121,"Vitória",$J$2:$J$121,"=CBF")+COUNTIFS($E$2:$E$121,"Vitória",$J$2:$J$121,"=CBF")</f>
        <v>5</v>
      </c>
      <c r="V7" s="15">
        <f>COUNTIFS($B$2:$B$121,"Vitória",$M$2:$M$121,"=FIFA")+COUNTIFS($E$2:$E$121,"Vitória",$M$2:$M$121,"=FIFA")</f>
        <v>9</v>
      </c>
      <c r="W7" s="15">
        <f>COUNTIFS($B$2:$B$121,"Vitória",$M$2:$M$121,"=CBF")+COUNTIFS($E$2:$E$121,"Vitória",$M$2:$M$121,"=CBF")</f>
        <v>3</v>
      </c>
      <c r="X7" s="15">
        <f>SUMIFS($O$2:$O$121,$B$2:$B$121,"Vitória")+SUMIFS($O$2:$O$121,$E$2:$E$121,"Vitória")</f>
        <v>6</v>
      </c>
      <c r="Y7" s="15">
        <f>SUMIFS($P$2:$P$121,$B$2:$B$121,"Vitória")+SUMIFS($P$2:$P$121,$E$2:$E$121,"Vitória")</f>
        <v>4</v>
      </c>
      <c r="Z7" s="15">
        <f>SUMIFS($Q$2:$Q$121,$B$2:$B$121,"Vitória")+SUMIFS($Q$2:$Q$121,$E$2:$E$121,"Vitória")</f>
        <v>2</v>
      </c>
      <c r="AC7" s="7" t="s">
        <v>67</v>
      </c>
      <c r="AD7">
        <f>SUMIFS($A$2:$A$121,$H$2:$H$121,"Braulio da Silva Machado",$B$2:$B$121,"Athletico")+SUMIFS($A$2:$A$121,$H$2:$H$121,"Braulio da Silva Machado",$E$2:$E$121,"Athletico")</f>
        <v>1</v>
      </c>
      <c r="AE7">
        <f>SUMIFS($A$2:$A$121,$H$2:$H$121,"Braulio da Silva Machado",$B$2:$B$121,"Atlético GO")+SUMIFS($A$2:$A$121,$H$2:$H$121,"Braulio da Silva Machado",$E$2:$E$121,"Atlético GO")</f>
        <v>1</v>
      </c>
      <c r="AF7">
        <f>SUMIFS($A$2:$A$121,$H$2:$H$121,"Braulio da Silva Machado",$B$2:$B$121,"Atlético MG")+SUMIFS($A$2:$A$121,$H$2:$H$121,"Braulio da Silva Machado",$E$2:$E$121,"Atlético MG")</f>
        <v>0</v>
      </c>
      <c r="AG7">
        <f>SUMIFS($A$2:$A$121,$H$2:$H$121,"Braulio da Silva Machado",$B$2:$B$121,"Bahia")+SUMIFS($A$2:$A$121,$H$2:$H$121,"Braulio da Silva Machado",$E$2:$E$121,"Bahia")</f>
        <v>2</v>
      </c>
      <c r="AH7">
        <f>SUMIFS($A$2:$A$121,$H$2:$H$121,"Braulio da Silva Machado",$B$2:$B$121,"Botafogo")+SUMIFS($A$2:$A$121,$H$2:$H$121,"Braulio da Silva Machado",$E$2:$E$121,"Botafogo")</f>
        <v>0</v>
      </c>
      <c r="AI7">
        <f>SUMIFS($A$2:$A$121,$H$2:$H$121,"Braulio da Silva Machado",$B$2:$B$121,"Corinthians")+SUMIFS($A$2:$A$121,$H$2:$H$121,"Braulio da Silva Machado",$E$2:$E$121,"Corinthians")</f>
        <v>0</v>
      </c>
      <c r="AJ7">
        <f>SUMIFS($A$2:$A$121,$H$2:$H$121,"Braulio da Silva Machado",$B$2:$B$121,"Criciúma")+SUMIFS($A$2:$A$121,$H$2:$H$121,"Braulio da Silva Machado",$E$2:$E$121,"Criciúma")</f>
        <v>0</v>
      </c>
      <c r="AK7">
        <f>SUMIFS($A$2:$A$121,$H$2:$H$121,"Braulio da Silva Machado",$B$2:$B$121,"Cruzeiro")+SUMIFS($A$2:$A$121,$H$2:$H$121,"Braulio da Silva Machado",$E$2:$E$121,"Cruzeiro")</f>
        <v>0</v>
      </c>
      <c r="AL7">
        <f>SUMIFS($A$2:$A$121,$H$2:$H$121,"Braulio da Silva Machado",$B$2:$B$121,"Cuiabá")+SUMIFS($A$2:$A$121,$H$2:$H$121,"Braulio da Silva Machado",$E$2:$E$121,"Cuiabá")</f>
        <v>0</v>
      </c>
      <c r="AM7">
        <f>SUMIFS($A$2:$A$121,$H$2:$H$121,"Braulio da Silva Machado",$B$2:$B$121,"Flamengo")+SUMIFS($A$2:$A$121,$H$2:$H$121,"Braulio da Silva Machado",$E$2:$E$121,"Flamengo")</f>
        <v>2</v>
      </c>
      <c r="AN7">
        <f>SUMIFS($A$2:$A$121,$H$2:$H$121,"Braulio da Silva Machado",$B$2:$B$121,"Fluminense")+SUMIFS($A$2:$A$121,$H$2:$H$121,"Braulio da Silva Machado",$E$2:$E$121,"Fluminense")</f>
        <v>0</v>
      </c>
      <c r="AO7">
        <f>SUMIFS($A$2:$A$121,$H$2:$H$121,"Braulio da Silva Machado",$B$2:$B$121,"Fortaleza")+SUMIFS($A$2:$A$121,$H$2:$H$121,"Braulio da Silva Machado",$E$2:$E$121,"Fortaleza")</f>
        <v>0</v>
      </c>
      <c r="AP7">
        <f>SUMIFS($A$2:$A$121,$H$2:$H$121,"Braulio da Silva Machado",$B$2:$B$121,"Grêmio")+SUMIFS($A$2:$A$121,$H$2:$H$121,"Braulio da Silva Machado",$E$2:$E$121,"Grêmio")</f>
        <v>1</v>
      </c>
      <c r="AQ7">
        <f>SUMIFS($A$2:$A$121,$H$2:$H$121,"Braulio da Silva Machado",$B$2:$B$121,"Internacional")+SUMIFS($A$2:$A$121,$H$2:$H$121,"Braulio da Silva Machado",$E$2:$E$121,"Internacional")</f>
        <v>1</v>
      </c>
      <c r="AR7">
        <f>SUMIFS($A$2:$A$121,$H$2:$H$121,"Braulio da Silva Machado",$B$2:$B$121,"Juventude")+SUMIFS($A$2:$A$121,$H$2:$H$121,"Braulio da Silva Machado",$E$2:$E$121,"Juventude")</f>
        <v>0</v>
      </c>
      <c r="AS7">
        <f>SUMIFS($A$2:$A$121,$H$2:$H$121,"Braulio da Silva Machado",$B$2:$B$121,"Palmeiras")+SUMIFS($A$2:$A$121,$H$2:$H$121,"Braulio da Silva Machado",$E$2:$E$121,"Palmeiras")</f>
        <v>2</v>
      </c>
      <c r="AT7">
        <f>SUMIFS($A$2:$A$121,$H$2:$H$121,"Braulio da Silva Machado",$B$2:$B$121,"Red Bull")+SUMIFS($A$2:$A$121,$H$2:$H$121,"Braulio da Silva Machado",$E$2:$E$121,"Red Bull")</f>
        <v>0</v>
      </c>
      <c r="AU7">
        <f>SUMIFS($A$2:$A$121,$H$2:$H$121,"Braulio da Silva Machado",$B$2:$B$121,"São Paulo")+SUMIFS($A$2:$A$121,$H$2:$H$121,"Braulio da Silva Machado",$E$2:$E$121,"São Paulo")</f>
        <v>2</v>
      </c>
      <c r="AV7">
        <f>SUMIFS($A$2:$A$121,$H$2:$H$121,"Braulio da Silva Machado",$B$2:$B$121,"Vasco")+SUMIFS($A$2:$A$121,$H$2:$H$121,"Braulio da Silva Machado",$E$2:$E$121,"Vasco")</f>
        <v>1</v>
      </c>
      <c r="AW7">
        <f>SUMIFS($A$2:$A$121,$H$2:$H$121,"Braulio da Silva Machado",$B$2:$B$121,"Vitória")+SUMIFS($A$2:$A$121,$H$2:$H$121,"Braulio da Silva Machado",$E$2:$E$121,"Vitória")</f>
        <v>1</v>
      </c>
      <c r="AX7" s="30">
        <f t="shared" si="3"/>
        <v>14</v>
      </c>
      <c r="AZ7" s="7" t="s">
        <v>128</v>
      </c>
      <c r="BA7">
        <f>SUMIFS($A$2:$A$121,$K$2:$K$121,"Emerson de Almeida Ferreira",$B$2:$B$121,"Athletico")+SUMIFS($A$2:$A$121,$K$2:$K$121,"Emerson de Almeida Ferreira",$E$2:$E$121,"Athletico")</f>
        <v>0</v>
      </c>
      <c r="BB7">
        <f>SUMIFS($A$2:$A$121,$K$2:$K$121,"Emerson de Almeida Ferreira",$B$2:$B$121,"Atlético GO")+SUMIFS($A$2:$A$121,$K$2:$K$121,"Emerson de Almeida Ferreira",$E$2:$E$121,"Atlético GO")</f>
        <v>1</v>
      </c>
      <c r="BC7">
        <f>SUMIFS($A$2:$A$121,$K$2:$K$121,"Emerson de Almeida Ferreira",$B$2:$B$121,"Atlético MG")+SUMIFS($A$2:$A$121,$K$2:$K$121,"Emerson de Almeida Ferreira",$E$2:$E$121,"Atlético MG")</f>
        <v>0</v>
      </c>
      <c r="BD7">
        <f>SUMIFS($A$2:$A$121,$K$2:$K$121,"Emerson de Almeida Ferreira",$B$2:$B$121,"Bahia")+SUMIFS($A$2:$A$121,$K$2:$K$121,"Emerson de Almeida Ferreira",$E$2:$E$121,"Bahia")</f>
        <v>0</v>
      </c>
      <c r="BE7">
        <f>SUMIFS($A$2:$A$121,$K$2:$K$121,"Emerson de Almeida Ferreira",$B$2:$B$121,"Botafogo")+SUMIFS($A$2:$A$121,$K$2:$K$121,"Emerson de Almeida Ferreira",$E$2:$E$121,"Botafogo")</f>
        <v>0</v>
      </c>
      <c r="BF7">
        <f>SUMIFS($A$2:$A$121,$K$2:$K$121,"Emerson de Almeida Ferreira",$B$2:$B$121,"Corinthians")+SUMIFS($A$2:$A$121,$K$2:$K$121,"Emerson de Almeida Ferreira",$E$2:$E$121,"Corinthians")</f>
        <v>0</v>
      </c>
      <c r="BG7">
        <f>SUMIFS($A$2:$A$121,$K$2:$K$121,"Emerson de Almeida Ferreira",$B$2:$B$121,"Criciúma")+SUMIFS($A$2:$A$121,$K$2:$K$121,"Emerson de Almeida Ferreira",$E$2:$E$121,"Criciúma")</f>
        <v>1</v>
      </c>
      <c r="BH7">
        <f>SUMIFS($A$2:$A$121,$K$2:$K$121,"Emerson de Almeida Ferreira",$B$2:$B$121,"Cruzeiro")+SUMIFS($A$2:$A$121,$K$2:$K$121,"Emerson de Almeida Ferreira",$E$2:$E$121,"Cruzeiro")</f>
        <v>0</v>
      </c>
      <c r="BI7">
        <f>SUMIFS($A$2:$A$121,$K$2:$K$121,"Emerson de Almeida Ferreira",$B$2:$B$121,"Cuiabá")+SUMIFS($A$2:$A$121,$K$2:$K$121,"Emerson de Almeida Ferreira",$E$2:$E$121,"Cuiabá")</f>
        <v>1</v>
      </c>
      <c r="BJ7">
        <f>SUMIFS($A$2:$A$121,$K$2:$K$121,"Emerson de Almeida Ferreira",$B$2:$B$121,"Flamengo")+SUMIFS($A$2:$A$121,$K$2:$K$121,"Emerson de Almeida Ferreira",$E$2:$E$121,"Flamengo")</f>
        <v>0</v>
      </c>
      <c r="BK7">
        <f>SUMIFS($A$2:$A$121,$K$2:$K$121,"Emerson de Almeida Ferreira",$B$2:$B$121,"Fluminense")+SUMIFS($A$2:$A$121,$K$2:$K$121,"Emerson de Almeida Ferreira",$E$2:$E$121,"Fluminense")</f>
        <v>0</v>
      </c>
      <c r="BL7">
        <f>SUMIFS($A$2:$A$121,$K$2:$K$121,"Emerson de Almeida Ferreira",$B$2:$B$121,"Fortaleza")+SUMIFS($A$2:$A$121,$K$2:$K$121,"Emerson de Almeida Ferreira",$E$2:$E$121,"Fortaleza")</f>
        <v>0</v>
      </c>
      <c r="BM7">
        <f>SUMIFS($A$2:$A$121,$K$2:$K$121,"Emerson de Almeida Ferreira",$B$2:$B$121,"Grêmio")+SUMIFS($A$2:$A$121,$K$2:$K$121,"Emerson de Almeida Ferreira",$E$2:$E$121,"Grêmio")</f>
        <v>0</v>
      </c>
      <c r="BN7">
        <f>SUMIFS($A$2:$A$121,$K$2:$K$121,"Emerson de Almeida Ferreira",$B$2:$B$121,"Internacional")+SUMIFS($A$2:$A$121,$K$2:$K$121,"Emerson de Almeida Ferreira",$E$2:$E$121,"Internacional")</f>
        <v>0</v>
      </c>
      <c r="BO7">
        <f>SUMIFS($A$2:$A$121,$K$2:$K$121,"Emerson de Almeida Ferreira",$B$2:$B$121,"Juventude")+SUMIFS($A$2:$A$121,$K$2:$K$121,"Emerson de Almeida Ferreira",$E$2:$E$121,"Juventude")</f>
        <v>1</v>
      </c>
      <c r="BP7">
        <f>SUMIFS($A$2:$A$121,$K$2:$K$121,"Emerson de Almeida Ferreira",$B$2:$B$121,"Palmeiras")+SUMIFS($A$2:$A$121,$K$2:$K$121,"Emerson de Almeida Ferreira",$E$2:$E$121,"Palmeiras")</f>
        <v>0</v>
      </c>
      <c r="BQ7">
        <f>SUMIFS($A$2:$A$121,$K$2:$K$121,"Emerson de Almeida Ferreira",$B$2:$B$121,"Red Bull")+SUMIFS($A$2:$A$121,$K$2:$K$121,"Emerson de Almeida Ferreira",$E$2:$E$121,"Red Bull")</f>
        <v>0</v>
      </c>
      <c r="BR7">
        <f>SUMIFS($A$2:$A$121,$K$2:$K$121,"Emerson de Almeida Ferreira",$B$2:$B$121,"São Paulo")+SUMIFS($A$2:$A$121,$K$2:$K$121,"Emerson de Almeida Ferreira",$E$2:$E$121,"São Paulo")</f>
        <v>0</v>
      </c>
      <c r="BS7">
        <f>SUMIFS($A$2:$A$121,$K$2:$K$121,"Emerson de Almeida Ferreira",$B$2:$B$121,"Vasco")+SUMIFS($A$2:$A$121,$K$2:$K$121,"Emerson de Almeida Ferreira",$E$2:$E$121,"Vasco")</f>
        <v>0</v>
      </c>
      <c r="BT7">
        <f>SUMIFS($A$2:$A$121,$K$2:$K$121,"Emerson de Almeida Ferreira",$B$2:$B$121,"Vitória")+SUMIFS($A$2:$A$121,$K$2:$K$121,"Emerson de Almeida Ferreira",$E$2:$E$121,"Vitória")</f>
        <v>0</v>
      </c>
      <c r="BU7" s="30">
        <f t="shared" si="4"/>
        <v>4</v>
      </c>
    </row>
    <row r="8" spans="1:80" ht="15.6" x14ac:dyDescent="0.3">
      <c r="A8">
        <v>1</v>
      </c>
      <c r="B8" s="7" t="s">
        <v>31</v>
      </c>
      <c r="C8" s="9" t="s">
        <v>19</v>
      </c>
      <c r="D8" s="9">
        <v>0</v>
      </c>
      <c r="E8" s="7" t="s">
        <v>40</v>
      </c>
      <c r="F8" s="9" t="s">
        <v>32</v>
      </c>
      <c r="G8" s="9">
        <v>0</v>
      </c>
      <c r="H8" s="7" t="s">
        <v>60</v>
      </c>
      <c r="I8" s="7" t="s">
        <v>21</v>
      </c>
      <c r="J8" s="7" t="s">
        <v>43</v>
      </c>
      <c r="K8" s="7" t="s">
        <v>91</v>
      </c>
      <c r="L8" s="7" t="s">
        <v>15</v>
      </c>
      <c r="M8" s="7" t="s">
        <v>47</v>
      </c>
      <c r="N8" s="14"/>
      <c r="O8" s="18">
        <f t="shared" si="0"/>
        <v>0</v>
      </c>
      <c r="P8" s="18">
        <f t="shared" si="1"/>
        <v>1</v>
      </c>
      <c r="Q8" s="18">
        <f t="shared" si="2"/>
        <v>0</v>
      </c>
      <c r="S8" s="7" t="s">
        <v>36</v>
      </c>
      <c r="T8" s="15">
        <f>COUNTIFS($B$2:$B$121,"Botafogo",$J$2:$J$121,"=FIFA")+COUNTIFS($E$2:$E$121,"Botafogo",$J$2:$J$121,"=FIFA")</f>
        <v>7</v>
      </c>
      <c r="U8" s="15">
        <f>COUNTIFS($B$2:$B$121,"Botafogo",$J$2:$J$121,"=CBF")+COUNTIFS($E$2:$E$121,"Botafogo",$J$2:$J$121,"=CBF")</f>
        <v>5</v>
      </c>
      <c r="V8" s="15">
        <f>COUNTIFS($B$2:$B$121,"Botafogo",$M$2:$M$121,"=FIFA")+COUNTIFS($E$2:$E$121,"Botafogo",$M$2:$M$121,"=FIFA")</f>
        <v>9</v>
      </c>
      <c r="W8" s="15">
        <f>COUNTIFS($B$2:$B$121,"Botafogo",$M$2:$M$121,"=CBF")+COUNTIFS($E$2:$E$121,"Botafogo",$M$2:$M$121,"=CBF")</f>
        <v>3</v>
      </c>
      <c r="X8" s="15">
        <f>SUMIFS($O$2:$O$121,$B$2:$B$121,"Botafogo")+SUMIFS($O$2:$O$121,$E$2:$E$121,"Botafogo")</f>
        <v>5</v>
      </c>
      <c r="Y8" s="15">
        <f>SUMIFS($P$2:$P$121,$B$2:$B$121,"Botafogo")+SUMIFS($P$2:$P$121,$E$2:$E$121,"Botafogo")</f>
        <v>6</v>
      </c>
      <c r="Z8" s="15">
        <f>SUMIFS($Q$2:$Q$121,$B$2:$B$121,"Botafogo")+SUMIFS($Q$2:$Q$121,$E$2:$E$121,"Botafogo")</f>
        <v>1</v>
      </c>
      <c r="AC8" s="7" t="s">
        <v>134</v>
      </c>
      <c r="AD8">
        <f>SUMIFS($A$2:$A$121,$H$2:$H$121,"Bruno Mota Correia",$B$2:$B$121,"Athletico")+SUMIFS($A$2:$A$121,$H$2:$H$121,"Bruno Mota Correia",$E$2:$E$121,"Athletico")</f>
        <v>0</v>
      </c>
      <c r="AE8">
        <f>SUMIFS($A$2:$A$121,$H$2:$H$121,"Bruno Mota Correia",$B$2:$B$121,"Atlético GO")+SUMIFS($A$2:$A$121,$H$2:$H$121,"Bruno Mota Correia",$E$2:$E$121,"Atlético GO")</f>
        <v>0</v>
      </c>
      <c r="AF8">
        <f>SUMIFS($A$2:$A$121,$H$2:$H$121,"Bruno Mota Correia",$B$2:$B$121,"Atlético MG")+SUMIFS($A$2:$A$121,$H$2:$H$121,"Bruno Mota Correia",$E$2:$E$121,"Atlético MG")</f>
        <v>0</v>
      </c>
      <c r="AG8">
        <f>SUMIFS($A$2:$A$121,$H$2:$H$121,"Bruno Mota Correia",$B$2:$B$121,"Bahia")+SUMIFS($A$2:$A$121,$H$2:$H$121,"Bruno Mota Correia",$E$2:$E$121,"Bahia")</f>
        <v>0</v>
      </c>
      <c r="AH8">
        <f>SUMIFS($A$2:$A$121,$H$2:$H$121,"Bruno Mota Correia",$B$2:$B$121,"Botafogo")+SUMIFS($A$2:$A$121,$H$2:$H$121,"Bruno Mota Correia",$E$2:$E$121,"Botafogo")</f>
        <v>0</v>
      </c>
      <c r="AI8">
        <f>SUMIFS($A$2:$A$121,$H$2:$H$121,"Bruno Mota Correia",$B$2:$B$121,"Corinthians")+SUMIFS($A$2:$A$121,$H$2:$H$121,"Bruno Mota Correia",$E$2:$E$121,"Corinthians")</f>
        <v>0</v>
      </c>
      <c r="AJ8">
        <f>SUMIFS($A$2:$A$121,$H$2:$H$121,"Bruno Mota Correia",$B$2:$B$121,"Criciúma")+SUMIFS($A$2:$A$121,$H$2:$H$121,"Bruno Mota Correia",$E$2:$E$121,"Criciúma")</f>
        <v>0</v>
      </c>
      <c r="AK8">
        <f>SUMIFS($A$2:$A$121,$H$2:$H$121,"Bruno Mota Correia",$B$2:$B$121,"Cruzeiro")+SUMIFS($A$2:$A$121,$H$2:$H$121,"Bruno Mota Correia",$E$2:$E$121,"Cruzeiro")</f>
        <v>1</v>
      </c>
      <c r="AL8">
        <f>SUMIFS($A$2:$A$121,$H$2:$H$121,"Bruno Mota Correia",$B$2:$B$121,"Cuiabá")+SUMIFS($A$2:$A$121,$H$2:$H$121,"Bruno Mota Correia",$E$2:$E$121,"Cuiabá")</f>
        <v>0</v>
      </c>
      <c r="AM8">
        <f>SUMIFS($A$2:$A$121,$H$2:$H$121,"Bruno Mota Correia",$B$2:$B$121,"Flamengo")+SUMIFS($A$2:$A$121,$H$2:$H$121,"Bruno Mota Correia",$E$2:$E$121,"Flamengo")</f>
        <v>0</v>
      </c>
      <c r="AN8">
        <f>SUMIFS($A$2:$A$121,$H$2:$H$121,"Bruno Mota Correia",$B$2:$B$121,"Fluminense")+SUMIFS($A$2:$A$121,$H$2:$H$121,"Bruno Mota Correia",$E$2:$E$121,"Fluminense")</f>
        <v>0</v>
      </c>
      <c r="AO8">
        <f>SUMIFS($A$2:$A$121,$H$2:$H$121,"Bruno Mota Correia",$B$2:$B$121,"Fortaleza")+SUMIFS($A$2:$A$121,$H$2:$H$121,"Bruno Mota Correia",$E$2:$E$121,"Fortaleza")</f>
        <v>1</v>
      </c>
      <c r="AP8">
        <f>SUMIFS($A$2:$A$121,$H$2:$H$121,"Bruno Mota Correia",$B$2:$B$121,"Grêmio")+SUMIFS($A$2:$A$121,$H$2:$H$121,"Bruno Mota Correia",$E$2:$E$121,"Grêmio")</f>
        <v>0</v>
      </c>
      <c r="AQ8">
        <f>SUMIFS($A$2:$A$121,$H$2:$H$121,"Bruno Mota Correia",$B$2:$B$121,"Internacional")+SUMIFS($A$2:$A$121,$H$2:$H$121,"Bruno Mota Correia",$E$2:$E$121,"Internacional")</f>
        <v>0</v>
      </c>
      <c r="AR8">
        <f>SUMIFS($A$2:$A$121,$H$2:$H$121,"Bruno Mota Correia",$B$2:$B$121,"Juventude")+SUMIFS($A$2:$A$121,$H$2:$H$121,"Bruno Mota Correia",$E$2:$E$121,"Juventude")</f>
        <v>0</v>
      </c>
      <c r="AS8">
        <f>SUMIFS($A$2:$A$121,$H$2:$H$121,"Bruno Mota Correia",$B$2:$B$121,"Palmeiras")+SUMIFS($A$2:$A$121,$H$2:$H$121,"Bruno Mota Correia",$E$2:$E$121,"Palmeiras")</f>
        <v>0</v>
      </c>
      <c r="AT8">
        <f>SUMIFS($A$2:$A$121,$H$2:$H$121,"Bruno Mota Correia",$B$2:$B$121,"Red Bull")+SUMIFS($A$2:$A$121,$H$2:$H$121,"Bruno Mota Correia",$E$2:$E$121,"Red Bull")</f>
        <v>0</v>
      </c>
      <c r="AU8">
        <f>SUMIFS($A$2:$A$121,$H$2:$H$121,"Bruno Mota Correia",$B$2:$B$121,"São Paulo")+SUMIFS($A$2:$A$121,$H$2:$H$121,"Bruno Mota Correia",$E$2:$E$121,"São Paulo")</f>
        <v>0</v>
      </c>
      <c r="AV8">
        <f>SUMIFS($A$2:$A$121,$H$2:$H$121,"Bruno Mota Correia",$B$2:$B$121,"Vasco")+SUMIFS($A$2:$A$121,$H$2:$H$121,"Bruno Mota Correia",$E$2:$E$121,"Vasco")</f>
        <v>0</v>
      </c>
      <c r="AW8">
        <f>SUMIFS($A$2:$A$121,$H$2:$H$121,"Bruno Mota Correia",$B$2:$B$121,"Vitória")+SUMIFS($A$2:$A$121,$H$2:$H$121,"Bruno Mota Correia",$E$2:$E$121,"Vitória")</f>
        <v>0</v>
      </c>
      <c r="AX8" s="30">
        <f t="shared" si="3"/>
        <v>2</v>
      </c>
      <c r="AZ8" s="7" t="s">
        <v>51</v>
      </c>
      <c r="BA8">
        <f>SUMIFS($A$2:$A$121,$K$2:$K$121,"Gilberto Rodrigues Castro Junior",$B$2:$B$121,"Athletico")+SUMIFS($A$2:$A$121,$K$2:$K$121,"Gilberto Rodrigues Castro Junior",$E$2:$E$121,"Athletico")</f>
        <v>0</v>
      </c>
      <c r="BB8">
        <f>SUMIFS($A$2:$A$121,$K$2:$K$121,"Gilberto Rodrigues Castro Junior",$B$2:$B$121,"Atlético GO")+SUMIFS($A$2:$A$121,$K$2:$K$121,"Gilberto Rodrigues Castro Junior",$E$2:$E$121,"Atlético GO")</f>
        <v>0</v>
      </c>
      <c r="BC8">
        <f>SUMIFS($A$2:$A$121,$K$2:$K$121,"Gilberto Rodrigues Castro Junior",$B$2:$B$121,"Atlético MG")+SUMIFS($A$2:$A$121,$K$2:$K$121,"Gilberto Rodrigues Castro Junior",$E$2:$E$121,"Atlético MG")</f>
        <v>1</v>
      </c>
      <c r="BD8">
        <f>SUMIFS($A$2:$A$121,$K$2:$K$121,"Gilberto Rodrigues Castro Junior",$B$2:$B$121,"Bahia")+SUMIFS($A$2:$A$121,$K$2:$K$121,"Gilberto Rodrigues Castro Junior",$E$2:$E$121,"Bahia")</f>
        <v>1</v>
      </c>
      <c r="BE8">
        <f>SUMIFS($A$2:$A$121,$K$2:$K$121,"Gilberto Rodrigues Castro Junior",$B$2:$B$121,"Botafogo")+SUMIFS($A$2:$A$121,$K$2:$K$121,"Gilberto Rodrigues Castro Junior",$E$2:$E$121,"Botafogo")</f>
        <v>0</v>
      </c>
      <c r="BF8">
        <f>SUMIFS($A$2:$A$121,$K$2:$K$121,"Gilberto Rodrigues Castro Junior",$B$2:$B$121,"Corinthians")+SUMIFS($A$2:$A$121,$K$2:$K$121,"Gilberto Rodrigues Castro Junior",$E$2:$E$121,"Corinthians")</f>
        <v>1</v>
      </c>
      <c r="BG8">
        <f>SUMIFS($A$2:$A$121,$K$2:$K$121,"Gilberto Rodrigues Castro Junior",$B$2:$B$121,"Criciúma")+SUMIFS($A$2:$A$121,$K$2:$K$121,"Gilberto Rodrigues Castro Junior",$E$2:$E$121,"Criciúma")</f>
        <v>0</v>
      </c>
      <c r="BH8">
        <f>SUMIFS($A$2:$A$121,$K$2:$K$121,"Gilberto Rodrigues Castro Junior",$B$2:$B$121,"Cruzeiro")+SUMIFS($A$2:$A$121,$K$2:$K$121,"Gilberto Rodrigues Castro Junior",$E$2:$E$121,"Cruzeiro")</f>
        <v>0</v>
      </c>
      <c r="BI8">
        <f>SUMIFS($A$2:$A$121,$K$2:$K$121,"Gilberto Rodrigues Castro Junior",$B$2:$B$121,"Cuiabá")+SUMIFS($A$2:$A$121,$K$2:$K$121,"Gilberto Rodrigues Castro Junior",$E$2:$E$121,"Cuiabá")</f>
        <v>0</v>
      </c>
      <c r="BJ8">
        <f>SUMIFS($A$2:$A$121,$K$2:$K$121,"Gilberto Rodrigues Castro Junior",$B$2:$B$121,"Flamengo")+SUMIFS($A$2:$A$121,$K$2:$K$121,"Gilberto Rodrigues Castro Junior",$E$2:$E$121,"Flamengo")</f>
        <v>0</v>
      </c>
      <c r="BK8">
        <f>SUMIFS($A$2:$A$121,$K$2:$K$121,"Gilberto Rodrigues Castro Junior",$B$2:$B$121,"Fluminense")+SUMIFS($A$2:$A$121,$K$2:$K$121,"Gilberto Rodrigues Castro Junior",$E$2:$E$121,"Fluminense")</f>
        <v>1</v>
      </c>
      <c r="BL8">
        <f>SUMIFS($A$2:$A$121,$K$2:$K$121,"Gilberto Rodrigues Castro Junior",$B$2:$B$121,"Fortaleza")+SUMIFS($A$2:$A$121,$K$2:$K$121,"Gilberto Rodrigues Castro Junior",$E$2:$E$121,"Fortaleza")</f>
        <v>2</v>
      </c>
      <c r="BM8">
        <f>SUMIFS($A$2:$A$121,$K$2:$K$121,"Gilberto Rodrigues Castro Junior",$B$2:$B$121,"Grêmio")+SUMIFS($A$2:$A$121,$K$2:$K$121,"Gilberto Rodrigues Castro Junior",$E$2:$E$121,"Grêmio")</f>
        <v>0</v>
      </c>
      <c r="BN8">
        <f>SUMIFS($A$2:$A$121,$K$2:$K$121,"Gilberto Rodrigues Castro Junior",$B$2:$B$121,"Internacional")+SUMIFS($A$2:$A$121,$K$2:$K$121,"Gilberto Rodrigues Castro Junior",$E$2:$E$121,"Internacional")</f>
        <v>1</v>
      </c>
      <c r="BO8">
        <f>SUMIFS($A$2:$A$121,$K$2:$K$121,"Gilberto Rodrigues Castro Junior",$B$2:$B$121,"Juventude")+SUMIFS($A$2:$A$121,$K$2:$K$121,"Gilberto Rodrigues Castro Junior",$E$2:$E$121,"Juventude")</f>
        <v>1</v>
      </c>
      <c r="BP8">
        <f>SUMIFS($A$2:$A$121,$K$2:$K$121,"Gilberto Rodrigues Castro Junior",$B$2:$B$121,"Palmeiras")+SUMIFS($A$2:$A$121,$K$2:$K$121,"Gilberto Rodrigues Castro Junior",$E$2:$E$121,"Palmeiras")</f>
        <v>2</v>
      </c>
      <c r="BQ8">
        <f>SUMIFS($A$2:$A$121,$K$2:$K$121,"Gilberto Rodrigues Castro Junior",$B$2:$B$121,"Red Bull")+SUMIFS($A$2:$A$121,$K$2:$K$121,"Gilberto Rodrigues Castro Junior",$E$2:$E$121,"Red Bull")</f>
        <v>2</v>
      </c>
      <c r="BR8">
        <f>SUMIFS($A$2:$A$121,$K$2:$K$121,"Gilberto Rodrigues Castro Junior",$B$2:$B$121,"São Paulo")+SUMIFS($A$2:$A$121,$K$2:$K$121,"Gilberto Rodrigues Castro Junior",$E$2:$E$121,"São Paulo")</f>
        <v>1</v>
      </c>
      <c r="BS8">
        <f>SUMIFS($A$2:$A$121,$K$2:$K$121,"Gilberto Rodrigues Castro Junior",$B$2:$B$121,"Vasco")+SUMIFS($A$2:$A$121,$K$2:$K$121,"Gilberto Rodrigues Castro Junior",$E$2:$E$121,"Vasco")</f>
        <v>1</v>
      </c>
      <c r="BT8">
        <f>SUMIFS($A$2:$A$121,$K$2:$K$121,"Gilberto Rodrigues Castro Junior",$B$2:$B$121,"Vitória")+SUMIFS($A$2:$A$121,$K$2:$K$121,"Gilberto Rodrigues Castro Junior",$E$2:$E$121,"Vitória")</f>
        <v>0</v>
      </c>
      <c r="BU8" s="30">
        <f t="shared" si="4"/>
        <v>14</v>
      </c>
    </row>
    <row r="9" spans="1:80" ht="15.6" x14ac:dyDescent="0.3">
      <c r="A9">
        <v>1</v>
      </c>
      <c r="B9" s="7" t="s">
        <v>33</v>
      </c>
      <c r="C9" s="9" t="s">
        <v>21</v>
      </c>
      <c r="D9" s="9">
        <v>2</v>
      </c>
      <c r="E9" s="7" t="s">
        <v>34</v>
      </c>
      <c r="F9" s="9" t="s">
        <v>15</v>
      </c>
      <c r="G9" s="9">
        <v>1</v>
      </c>
      <c r="H9" s="32" t="s">
        <v>62</v>
      </c>
      <c r="I9" s="7" t="s">
        <v>19</v>
      </c>
      <c r="J9" s="7" t="s">
        <v>47</v>
      </c>
      <c r="K9" s="7" t="s">
        <v>63</v>
      </c>
      <c r="L9" s="7" t="s">
        <v>19</v>
      </c>
      <c r="M9" s="7" t="s">
        <v>47</v>
      </c>
      <c r="N9" s="14"/>
      <c r="O9" s="18">
        <f t="shared" si="0"/>
        <v>1</v>
      </c>
      <c r="P9" s="18">
        <f t="shared" si="1"/>
        <v>0</v>
      </c>
      <c r="Q9" s="18">
        <f t="shared" si="2"/>
        <v>0</v>
      </c>
      <c r="S9" s="7" t="s">
        <v>40</v>
      </c>
      <c r="T9" s="15">
        <f>COUNTIFS($B$2:$B$121,"Atlético MG",$J$2:$J$121,"=FIFA")+COUNTIFS($E$2:$E$121,"Atlético MG",$J$2:$J$121,"=FIFA")</f>
        <v>6</v>
      </c>
      <c r="U9" s="15">
        <f>COUNTIFS($B$2:$B$121,"Atlético MG",$J$2:$J$121,"=CBF")+COUNTIFS($E$2:$E$121,"Atlético MG",$J$2:$J$121,"=CBF")</f>
        <v>5</v>
      </c>
      <c r="V9" s="15">
        <f>COUNTIFS($B$2:$B$121,"Atlético MG",$M$2:$M$121,"=FIFA")+COUNTIFS($E$2:$E$121,"Atlético MG",$M$2:$M$121,"=FIFA")</f>
        <v>9</v>
      </c>
      <c r="W9" s="15">
        <f>COUNTIFS($B$2:$B$121,"Atlético MG",$M$2:$M$121,"=CBF")+COUNTIFS($E$2:$E$121,"Atlético MG",$M$2:$M$121,"=CBF")</f>
        <v>2</v>
      </c>
      <c r="X9" s="15">
        <f>SUMIFS($O$2:$O$121,$B$2:$B$121,"Atlético MG")+SUMIFS($O$2:$O$121,$E$2:$E$121,"Atlético MG")</f>
        <v>5</v>
      </c>
      <c r="Y9" s="15">
        <f>SUMIFS($P$2:$P$121,$B$2:$B$121,"Atlético MG")+SUMIFS($P$2:$P$121,$E$2:$E$121,"Atlético MG")</f>
        <v>5</v>
      </c>
      <c r="Z9" s="15">
        <f>SUMIFS($Q$2:$Q$121,$B$2:$B$121,"Atlético MG")+SUMIFS($Q$2:$Q$121,$E$2:$E$121,"Atlético MG")</f>
        <v>1</v>
      </c>
      <c r="AC9" s="7" t="s">
        <v>74</v>
      </c>
      <c r="AD9">
        <f>SUMIFS($A$2:$A$121,$H$2:$H$121,"Bruno Arleu de Araujo",$B$2:$B$121,"Athletico")+SUMIFS($A$2:$A$121,$H$2:$H$121,"Bruno Arleu de Araujo",$E$2:$E$121,"Athletico")</f>
        <v>0</v>
      </c>
      <c r="AE9">
        <f>SUMIFS($A$2:$A$121,$H$2:$H$121,"Bruno Arleu de Araujo",$B$2:$B$121,"Atlético GO")+SUMIFS($A$2:$A$121,$H$2:$H$121,"Bruno Arleu de Araujo",$E$2:$E$121,"Atlético GO")</f>
        <v>1</v>
      </c>
      <c r="AF9">
        <f>SUMIFS($A$2:$A$121,$H$2:$H$121,"Bruno Arleu de Araujo",$B$2:$B$121,"Atlético MG")+SUMIFS($A$2:$A$121,$H$2:$H$121,"Bruno Arleu de Araujo",$E$2:$E$121,"Atlético MG")</f>
        <v>1</v>
      </c>
      <c r="AG9">
        <f>SUMIFS($A$2:$A$121,$H$2:$H$121,"Bruno Arleu de Araujo",$B$2:$B$121,"Bahia")+SUMIFS($A$2:$A$121,$H$2:$H$121,"Bruno Arleu de Araujo",$E$2:$E$121,"Bahia")</f>
        <v>1</v>
      </c>
      <c r="AH9">
        <f>SUMIFS($A$2:$A$121,$H$2:$H$121,"Bruno Arleu de Araujo",$B$2:$B$121,"Botafogo")+SUMIFS($A$2:$A$121,$H$2:$H$121,"Bruno Arleu de Araujo",$E$2:$E$121,"Botafogo")</f>
        <v>0</v>
      </c>
      <c r="AI9">
        <f>SUMIFS($A$2:$A$121,$H$2:$H$121,"Bruno Arleu de Araujo",$B$2:$B$121,"Corinthians")+SUMIFS($A$2:$A$121,$H$2:$H$121,"Bruno Arleu de Araujo",$E$2:$E$121,"Corinthians")</f>
        <v>1</v>
      </c>
      <c r="AJ9">
        <f>SUMIFS($A$2:$A$121,$H$2:$H$121,"Bruno Arleu de Araujo",$B$2:$B$121,"Criciúma")+SUMIFS($A$2:$A$121,$H$2:$H$121,"Bruno Arleu de Araujo",$E$2:$E$121,"Criciúma")</f>
        <v>1</v>
      </c>
      <c r="AK9">
        <f>SUMIFS($A$2:$A$121,$H$2:$H$121,"Bruno Arleu de Araujo",$B$2:$B$121,"Cruzeiro")+SUMIFS($A$2:$A$121,$H$2:$H$121,"Bruno Arleu de Araujo",$E$2:$E$121,"Cruzeiro")</f>
        <v>0</v>
      </c>
      <c r="AL9">
        <f>SUMIFS($A$2:$A$121,$H$2:$H$121,"Bruno Arleu de Araujo",$B$2:$B$121,"Cuiabá")+SUMIFS($A$2:$A$121,$H$2:$H$121,"Bruno Arleu de Araujo",$E$2:$E$121,"Cuiabá")</f>
        <v>2</v>
      </c>
      <c r="AM9">
        <f>SUMIFS($A$2:$A$121,$H$2:$H$121,"Bruno Arleu de Araujo",$B$2:$B$121,"Flamengo")+SUMIFS($A$2:$A$121,$H$2:$H$121,"Bruno Arleu de Araujo",$E$2:$E$121,"Flamengo")</f>
        <v>0</v>
      </c>
      <c r="AN9">
        <f>SUMIFS($A$2:$A$121,$H$2:$H$121,"Bruno Arleu de Araujo",$B$2:$B$121,"Fluminense")+SUMIFS($A$2:$A$121,$H$2:$H$121,"Bruno Arleu de Araujo",$E$2:$E$121,"Fluminense")</f>
        <v>0</v>
      </c>
      <c r="AO9">
        <f>SUMIFS($A$2:$A$121,$H$2:$H$121,"Bruno Arleu de Araujo",$B$2:$B$121,"Fortaleza")+SUMIFS($A$2:$A$121,$H$2:$H$121,"Bruno Arleu de Araujo",$E$2:$E$121,"Fortaleza")</f>
        <v>0</v>
      </c>
      <c r="AP9">
        <f>SUMIFS($A$2:$A$121,$H$2:$H$121,"Bruno Arleu de Araujo",$B$2:$B$121,"Grêmio")+SUMIFS($A$2:$A$121,$H$2:$H$121,"Bruno Arleu de Araujo",$E$2:$E$121,"Grêmio")</f>
        <v>1</v>
      </c>
      <c r="AQ9">
        <f>SUMIFS($A$2:$A$121,$H$2:$H$121,"Bruno Arleu de Araujo",$B$2:$B$121,"Internacional")+SUMIFS($A$2:$A$121,$H$2:$H$121,"Bruno Arleu de Araujo",$E$2:$E$121,"Internacional")</f>
        <v>1</v>
      </c>
      <c r="AR9">
        <f>SUMIFS($A$2:$A$121,$H$2:$H$121,"Bruno Arleu de Araujo",$B$2:$B$121,"Juventude")+SUMIFS($A$2:$A$121,$H$2:$H$121,"Bruno Arleu de Araujo",$E$2:$E$121,"Juventude")</f>
        <v>1</v>
      </c>
      <c r="AS9">
        <f>SUMIFS($A$2:$A$121,$H$2:$H$121,"Bruno Arleu de Araujo",$B$2:$B$121,"Palmeiras")+SUMIFS($A$2:$A$121,$H$2:$H$121,"Bruno Arleu de Araujo",$E$2:$E$121,"Palmeiras")</f>
        <v>1</v>
      </c>
      <c r="AT9">
        <f>SUMIFS($A$2:$A$121,$H$2:$H$121,"Bruno Arleu de Araujo",$B$2:$B$121,"Red Bull")+SUMIFS($A$2:$A$121,$H$2:$H$121,"Bruno Arleu de Araujo",$E$2:$E$121,"Red Bull")</f>
        <v>0</v>
      </c>
      <c r="AU9">
        <f>SUMIFS($A$2:$A$121,$H$2:$H$121,"Bruno Arleu de Araujo",$B$2:$B$121,"São Paulo")+SUMIFS($A$2:$A$121,$H$2:$H$121,"Bruno Arleu de Araujo",$E$2:$E$121,"São Paulo")</f>
        <v>0</v>
      </c>
      <c r="AV9">
        <f>SUMIFS($A$2:$A$121,$H$2:$H$121,"Bruno Arleu de Araujo",$B$2:$B$121,"Vasco")+SUMIFS($A$2:$A$121,$H$2:$H$121,"Bruno Arleu de Araujo",$E$2:$E$121,"Vasco")</f>
        <v>0</v>
      </c>
      <c r="AW9">
        <f>SUMIFS($A$2:$A$121,$H$2:$H$121,"Bruno Arleu de Araujo",$B$2:$B$121,"Vitória")+SUMIFS($A$2:$A$121,$H$2:$H$121,"Bruno Arleu de Araujo",$E$2:$E$121,"Vitória")</f>
        <v>1</v>
      </c>
      <c r="AX9" s="30">
        <f t="shared" ref="AX9" si="5">SUM(AD9:AW9)</f>
        <v>12</v>
      </c>
      <c r="AZ9" s="7" t="s">
        <v>124</v>
      </c>
      <c r="BA9">
        <f>SUMIFS($A$2:$A$121,$K$2:$K$121,"Igor Junio Benevenuto de Oliveira",$B$2:$B$121,"Athletico")+SUMIFS($A$2:$A$121,$K$2:$K$121,"Igor Junio Benevenuto de Oliveira",$E$2:$E$121,"Athletico")</f>
        <v>1</v>
      </c>
      <c r="BB9">
        <f>SUMIFS($A$2:$A$121,$K$2:$K$121,"Igor Junio Benevenuto de Oliveira",$B$2:$B$121,"Atlético GO")+SUMIFS($A$2:$A$121,$K$2:$K$121,"Igor Junio Benevenuto de Oliveira",$E$2:$E$121,"Atlético GO")</f>
        <v>0</v>
      </c>
      <c r="BC9">
        <f>SUMIFS($A$2:$A$121,$K$2:$K$121,"Igor Junio Benevenuto de Oliveira",$B$2:$B$121,"Atlético MG")+SUMIFS($A$2:$A$121,$K$2:$K$121,"Igor Junio Benevenuto de Oliveira",$E$2:$E$121,"Atlético MG")</f>
        <v>0</v>
      </c>
      <c r="BD9">
        <f>SUMIFS($A$2:$A$121,$K$2:$K$121,"Igor Junio Benevenuto de Oliveira",$B$2:$B$121,"Bahia")+SUMIFS($A$2:$A$121,$K$2:$K$121,"Igor Junio Benevenuto de Oliveira",$E$2:$E$121,"Bahia")</f>
        <v>1</v>
      </c>
      <c r="BE9">
        <f>SUMIFS($A$2:$A$121,$K$2:$K$121,"Igor Junio Benevenuto de Oliveira",$B$2:$B$121,"Botafogo")+SUMIFS($A$2:$A$121,$K$2:$K$121,"Igor Junio Benevenuto de Oliveira",$E$2:$E$121,"Botafogo")</f>
        <v>3</v>
      </c>
      <c r="BF9">
        <f>SUMIFS($A$2:$A$121,$K$2:$K$121,"Igor Junio Benevenuto de Oliveira",$B$2:$B$121,"Corinthians")+SUMIFS($A$2:$A$121,$K$2:$K$121,"Igor Junio Benevenuto de Oliveira",$E$2:$E$121,"Corinthians")</f>
        <v>2</v>
      </c>
      <c r="BG9">
        <f>SUMIFS($A$2:$A$121,$K$2:$K$121,"Igor Junio Benevenuto de Oliveira",$B$2:$B$121,"Criciúma")+SUMIFS($A$2:$A$121,$K$2:$K$121,"Igor Junio Benevenuto de Oliveira",$E$2:$E$121,"Criciúma")</f>
        <v>1</v>
      </c>
      <c r="BH9">
        <f>SUMIFS($A$2:$A$121,$K$2:$K$121,"Igor Junio Benevenuto de Oliveira",$B$2:$B$121,"Cruzeiro")+SUMIFS($A$2:$A$121,$K$2:$K$121,"Igor Junio Benevenuto de Oliveira",$E$2:$E$121,"Cruzeiro")</f>
        <v>0</v>
      </c>
      <c r="BI9">
        <f>SUMIFS($A$2:$A$121,$K$2:$K$121,"Igor Junio Benevenuto de Oliveira",$B$2:$B$121,"Cuiabá")+SUMIFS($A$2:$A$121,$K$2:$K$121,"Igor Junio Benevenuto de Oliveira",$E$2:$E$121,"Cuiabá")</f>
        <v>1</v>
      </c>
      <c r="BJ9">
        <f>SUMIFS($A$2:$A$121,$K$2:$K$121,"Igor Junio Benevenuto de Oliveira",$B$2:$B$121,"Flamengo")+SUMIFS($A$2:$A$121,$K$2:$K$121,"Igor Junio Benevenuto de Oliveira",$E$2:$E$121,"Flamengo")</f>
        <v>1</v>
      </c>
      <c r="BK9">
        <f>SUMIFS($A$2:$A$121,$K$2:$K$121,"Igor Junio Benevenuto de Oliveira",$B$2:$B$121,"Fluminense")+SUMIFS($A$2:$A$121,$K$2:$K$121,"Igor Junio Benevenuto de Oliveira",$E$2:$E$121,"Fluminense")</f>
        <v>1</v>
      </c>
      <c r="BL9">
        <f>SUMIFS($A$2:$A$121,$K$2:$K$121,"Igor Junio Benevenuto de Oliveira",$B$2:$B$121,"Fortaleza")+SUMIFS($A$2:$A$121,$K$2:$K$121,"Igor Junio Benevenuto de Oliveira",$E$2:$E$121,"Fortaleza")</f>
        <v>0</v>
      </c>
      <c r="BM9">
        <f>SUMIFS($A$2:$A$121,$K$2:$K$121,"Igor Junio Benevenuto de Oliveira",$B$2:$B$121,"Grêmio")+SUMIFS($A$2:$A$121,$K$2:$K$121,"Igor Junio Benevenuto de Oliveira",$E$2:$E$121,"Grêmio")</f>
        <v>2</v>
      </c>
      <c r="BN9">
        <f>SUMIFS($A$2:$A$121,$K$2:$K$121,"Igor Junio Benevenuto de Oliveira",$B$2:$B$121,"Internacional")+SUMIFS($A$2:$A$121,$K$2:$K$121,"Igor Junio Benevenuto de Oliveira",$E$2:$E$121,"Internacional")</f>
        <v>1</v>
      </c>
      <c r="BO9">
        <f>SUMIFS($A$2:$A$121,$K$2:$K$121,"Igor Junio Benevenuto de Oliveira",$B$2:$B$121,"Juventude")+SUMIFS($A$2:$A$121,$K$2:$K$121,"Igor Junio Benevenuto de Oliveira",$E$2:$E$121,"Juventude")</f>
        <v>0</v>
      </c>
      <c r="BP9">
        <f>SUMIFS($A$2:$A$121,$K$2:$K$121,"Igor Junio Benevenuto de Oliveira",$B$2:$B$121,"Palmeiras")+SUMIFS($A$2:$A$121,$K$2:$K$121,"Igor Junio Benevenuto de Oliveira",$E$2:$E$121,"Palmeiras")</f>
        <v>1</v>
      </c>
      <c r="BQ9">
        <f>SUMIFS($A$2:$A$121,$K$2:$K$121,"Igor Junio Benevenuto de Oliveira",$B$2:$B$121,"Red Bull")+SUMIFS($A$2:$A$121,$K$2:$K$121,"Igor Junio Benevenuto de Oliveira",$E$2:$E$121,"Red Bull")</f>
        <v>1</v>
      </c>
      <c r="BR9">
        <f>SUMIFS($A$2:$A$121,$K$2:$K$121,"Igor Junio Benevenuto de Oliveira",$B$2:$B$121,"São Paulo")+SUMIFS($A$2:$A$121,$K$2:$K$121,"Igor Junio Benevenuto de Oliveira",$E$2:$E$121,"São Paulo")</f>
        <v>1</v>
      </c>
      <c r="BS9">
        <f>SUMIFS($A$2:$A$121,$K$2:$K$121,"Igor Junio Benevenuto de Oliveira",$B$2:$B$121,"Vasco")+SUMIFS($A$2:$A$121,$K$2:$K$121,"Igor Junio Benevenuto de Oliveira",$E$2:$E$121,"Vasco")</f>
        <v>0</v>
      </c>
      <c r="BT9">
        <f>SUMIFS($A$2:$A$121,$K$2:$K$121,"Igor Junio Benevenuto de Oliveira",$B$2:$B$121,"Vitória")+SUMIFS($A$2:$A$121,$K$2:$K$121,"Igor Junio Benevenuto de Oliveira",$E$2:$E$121,"Vitória")</f>
        <v>1</v>
      </c>
      <c r="BU9" s="30">
        <f t="shared" si="4"/>
        <v>18</v>
      </c>
    </row>
    <row r="10" spans="1:80" ht="15.6" x14ac:dyDescent="0.3">
      <c r="A10">
        <v>1</v>
      </c>
      <c r="B10" s="7" t="s">
        <v>35</v>
      </c>
      <c r="C10" s="9" t="s">
        <v>32</v>
      </c>
      <c r="D10" s="9">
        <v>3</v>
      </c>
      <c r="E10" s="7" t="s">
        <v>36</v>
      </c>
      <c r="F10" s="9" t="s">
        <v>21</v>
      </c>
      <c r="G10" s="9">
        <v>2</v>
      </c>
      <c r="H10" s="7" t="s">
        <v>64</v>
      </c>
      <c r="I10" s="7" t="s">
        <v>19</v>
      </c>
      <c r="J10" s="7" t="s">
        <v>43</v>
      </c>
      <c r="K10" s="7" t="s">
        <v>87</v>
      </c>
      <c r="L10" s="7" t="s">
        <v>13</v>
      </c>
      <c r="M10" s="7" t="s">
        <v>43</v>
      </c>
      <c r="N10" s="14"/>
      <c r="O10" s="18">
        <f t="shared" si="0"/>
        <v>0</v>
      </c>
      <c r="P10" s="18">
        <f t="shared" si="1"/>
        <v>0</v>
      </c>
      <c r="Q10" s="18">
        <f t="shared" si="2"/>
        <v>1</v>
      </c>
      <c r="S10" s="7" t="s">
        <v>31</v>
      </c>
      <c r="T10" s="15">
        <f>COUNTIFS($B$2:$B$121,"Corinthians",$J$2:$J$121,"=FIFA")+COUNTIFS($E$2:$E$121,"Corinthians",$J$2:$J$121,"=FIFA")</f>
        <v>7</v>
      </c>
      <c r="U10" s="15">
        <f>COUNTIFS($B$2:$B$121,"Corinthians",$J$2:$J$121,"=CBF")+COUNTIFS($E$2:$E$121,"Corinthians",$J$2:$J$121,"=CBF")</f>
        <v>5</v>
      </c>
      <c r="V10" s="15">
        <f>COUNTIFS($B$2:$B$121,"Corinthians",$M$2:$M$121,"=FIFA")+COUNTIFS($E$2:$E$121,"Corinthians",$M$2:$M$121,"=FIFA")</f>
        <v>8</v>
      </c>
      <c r="W10" s="15">
        <f>COUNTIFS($B$2:$B$121,"Corinthians",$M$2:$M$121,"=CBF")+COUNTIFS($E$2:$E$121,"Corinthians",$M$2:$M$121,"=CBF")</f>
        <v>4</v>
      </c>
      <c r="X10" s="15">
        <f>SUMIFS($O$2:$O$121,$B$2:$B$121,"Corinthians")+SUMIFS($O$2:$O$121,$E$2:$E$121,"Corinthians")</f>
        <v>5</v>
      </c>
      <c r="Y10" s="15">
        <f>SUMIFS($P$2:$P$121,$B$2:$B$121,"Corinthians")+SUMIFS($P$2:$P$121,$E$2:$E$121,"Corinthians")</f>
        <v>5</v>
      </c>
      <c r="Z10" s="15">
        <f>SUMIFS($Q$2:$Q$121,$B$2:$B$121,"Corinthians")+SUMIFS($Q$2:$Q$121,$E$2:$E$121,"Corinthians")</f>
        <v>2</v>
      </c>
      <c r="AC10" s="7" t="s">
        <v>42</v>
      </c>
      <c r="AD10">
        <f>SUMIFS($A$2:$A$121,$H$2:$H$121,"Bruno Pereira Vasconcelos",$B$2:$B$121,"Athletico")+SUMIFS($A$2:$A$121,$H$2:$H$121,"Bruno Pereira Vasconcelos",$E$2:$E$121,"Athletico")</f>
        <v>0</v>
      </c>
      <c r="AE10">
        <f>SUMIFS($A$2:$A$121,$H$2:$H$121,"Bruno Pereira Vasconcelos",$B$2:$B$121,"Atlético GO")+SUMIFS($A$2:$A$121,$H$2:$H$121,"Bruno Pereira Vasconcelos",$E$2:$E$121,"Atlético GO")</f>
        <v>1</v>
      </c>
      <c r="AF10">
        <f>SUMIFS($A$2:$A$121,$H$2:$H$121,"Bruno Pereira Vasconcelos",$B$2:$B$121,"Atlético MG")+SUMIFS($A$2:$A$121,$H$2:$H$121,"Bruno Pereira Vasconcelos",$E$2:$E$121,"Atlético MG")</f>
        <v>0</v>
      </c>
      <c r="AG10">
        <f>SUMIFS($A$2:$A$121,$H$2:$H$121,"Bruno Pereira Vasconcelos",$B$2:$B$121,"Bahia")+SUMIFS($A$2:$A$121,$H$2:$H$121,"Bruno Pereira Vasconcelos",$E$2:$E$121,"Bahia")</f>
        <v>0</v>
      </c>
      <c r="AH10">
        <f>SUMIFS($A$2:$A$121,$H$2:$H$121,"Bruno Pereira Vasconcelos",$B$2:$B$121,"Botafogo")+SUMIFS($A$2:$A$121,$H$2:$H$121,"Bruno Pereira Vasconcelos",$E$2:$E$121,"Botafogo")</f>
        <v>0</v>
      </c>
      <c r="AI10">
        <f>SUMIFS($A$2:$A$121,$H$2:$H$121,"Bruno Pereira Vasconcelos",$B$2:$B$121,"Corinthians")+SUMIFS($A$2:$A$121,$H$2:$H$121,"Bruno Pereira Vasconcelos",$E$2:$E$121,"Corinthians")</f>
        <v>0</v>
      </c>
      <c r="AJ10">
        <f>SUMIFS($A$2:$A$121,$H$2:$H$121,"Bruno Pereira Vasconcelos",$B$2:$B$121,"Criciúma")+SUMIFS($A$2:$A$121,$H$2:$H$121,"Bruno Pereira Vasconcelos",$E$2:$E$121,"Criciúma")</f>
        <v>2</v>
      </c>
      <c r="AK10">
        <f>SUMIFS($A$2:$A$121,$H$2:$H$121,"Bruno Pereira Vasconcelos",$B$2:$B$121,"Cruzeiro")+SUMIFS($A$2:$A$121,$H$2:$H$121,"Bruno Pereira Vasconcelos",$E$2:$E$121,"Cruzeiro")</f>
        <v>0</v>
      </c>
      <c r="AL10">
        <f>SUMIFS($A$2:$A$121,$H$2:$H$121,"Bruno Pereira Vasconcelos",$B$2:$B$121,"Cuiabá")+SUMIFS($A$2:$A$121,$H$2:$H$121,"Bruno Pereira Vasconcelos",$E$2:$E$121,"Cuiabá")</f>
        <v>2</v>
      </c>
      <c r="AM10">
        <f>SUMIFS($A$2:$A$121,$H$2:$H$121,"Bruno Pereira Vasconcelos",$B$2:$B$121,"Flamengo")+SUMIFS($A$2:$A$121,$H$2:$H$121,"Bruno Pereira Vasconcelos",$E$2:$E$121,"Flamengo")</f>
        <v>0</v>
      </c>
      <c r="AN10">
        <f>SUMIFS($A$2:$A$121,$H$2:$H$121,"Bruno Pereira Vasconcelos",$B$2:$B$121,"Fluminense")+SUMIFS($A$2:$A$121,$H$2:$H$121,"Bruno Pereira Vasconcelos",$E$2:$E$121,"Fluminense")</f>
        <v>0</v>
      </c>
      <c r="AO10">
        <f>SUMIFS($A$2:$A$121,$H$2:$H$121,"Bruno Pereira Vasconcelos",$B$2:$B$121,"Fortaleza")+SUMIFS($A$2:$A$121,$H$2:$H$121,"Bruno Pereira Vasconcelos",$E$2:$E$121,"Fortaleza")</f>
        <v>0</v>
      </c>
      <c r="AP10">
        <f>SUMIFS($A$2:$A$121,$H$2:$H$121,"Bruno Pereira Vasconcelos",$B$2:$B$121,"Grêmio")+SUMIFS($A$2:$A$121,$H$2:$H$121,"Bruno Pereira Vasconcelos",$E$2:$E$121,"Grêmio")</f>
        <v>1</v>
      </c>
      <c r="AQ10">
        <f>SUMIFS($A$2:$A$121,$H$2:$H$121,"Bruno Pereira Vasconcelos",$B$2:$B$121,"Internacional")+SUMIFS($A$2:$A$121,$H$2:$H$121,"Bruno Pereira Vasconcelos",$E$2:$E$121,"Internacional")</f>
        <v>0</v>
      </c>
      <c r="AR10">
        <f>SUMIFS($A$2:$A$121,$H$2:$H$121,"Bruno Pereira Vasconcelos",$B$2:$B$121,"Juventude")+SUMIFS($A$2:$A$121,$H$2:$H$121,"Bruno Pereira Vasconcelos",$E$2:$E$121,"Juventude")</f>
        <v>1</v>
      </c>
      <c r="AS10">
        <f>SUMIFS($A$2:$A$121,$H$2:$H$121,"Bruno Pereira Vasconcelos",$B$2:$B$121,"Palmeiras")+SUMIFS($A$2:$A$121,$H$2:$H$121,"Bruno Pereira Vasconcelos",$E$2:$E$121,"Palmeiras")</f>
        <v>0</v>
      </c>
      <c r="AT10">
        <f>SUMIFS($A$2:$A$121,$H$2:$H$121,"Bruno Pereira Vasconcelos",$B$2:$B$121,"Red Bull")+SUMIFS($A$2:$A$121,$H$2:$H$121,"Bruno Pereira Vasconcelos",$E$2:$E$121,"Red Bull")</f>
        <v>0</v>
      </c>
      <c r="AU10">
        <f>SUMIFS($A$2:$A$121,$H$2:$H$121,"Bruno Pereira Vasconcelos",$B$2:$B$121,"São Paulo")+SUMIFS($A$2:$A$121,$H$2:$H$121,"Bruno Pereira Vasconcelos",$E$2:$E$121,"São Paulo")</f>
        <v>1</v>
      </c>
      <c r="AV10">
        <f>SUMIFS($A$2:$A$121,$H$2:$H$121,"Bruno Pereira Vasconcelos",$B$2:$B$121,"Vasco")+SUMIFS($A$2:$A$121,$H$2:$H$121,"Bruno Pereira Vasconcelos",$E$2:$E$121,"Vasco")</f>
        <v>0</v>
      </c>
      <c r="AW10">
        <f>SUMIFS($A$2:$A$121,$H$2:$H$121,"Bruno Pereira Vasconcelos",$B$2:$B$121,"Vitória")+SUMIFS($A$2:$A$121,$H$2:$H$121,"Bruno Pereira Vasconcelos",$E$2:$E$121,"Vitória")</f>
        <v>0</v>
      </c>
      <c r="AX10" s="30">
        <f t="shared" si="3"/>
        <v>8</v>
      </c>
      <c r="AZ10" s="7" t="s">
        <v>126</v>
      </c>
      <c r="BA10">
        <f>SUMIFS($A$2:$A$121,$K$2:$K$121,"Jose Claudio Rocha Filho",$B$2:$B$121,"Athletico")+SUMIFS($A$2:$A$121,$K$2:$K$121,"Jose Claudio Rocha Filho",$E$2:$E$121,"Athletico")</f>
        <v>0</v>
      </c>
      <c r="BB10">
        <f>SUMIFS($A$2:$A$121,$K$2:$K$121,"Jose Claudio Rocha Filho",$B$2:$B$121,"Atlético GO")+SUMIFS($A$2:$A$121,$K$2:$K$121,"Jose Claudio Rocha Filho",$E$2:$E$121,"Atlético GO")</f>
        <v>1</v>
      </c>
      <c r="BC10">
        <f>SUMIFS($A$2:$A$121,$K$2:$K$121,"Jose Claudio Rocha Filho",$B$2:$B$121,"Atlético MG")+SUMIFS($A$2:$A$121,$K$2:$K$121,"Jose Claudio Rocha Filho",$E$2:$E$121,"Atlético MG")</f>
        <v>1</v>
      </c>
      <c r="BD10">
        <f>SUMIFS($A$2:$A$121,$K$2:$K$121,"Jose Claudio Rocha Filho",$B$2:$B$121,"Bahia")+SUMIFS($A$2:$A$121,$K$2:$K$121,"Jose Claudio Rocha Filho",$E$2:$E$121,"Bahia")</f>
        <v>1</v>
      </c>
      <c r="BE10">
        <f>SUMIFS($A$2:$A$121,$K$2:$K$121,"Jose Claudio Rocha Filho",$B$2:$B$121,"Botafogo")+SUMIFS($A$2:$A$121,$K$2:$K$121,"Jose Claudio Rocha Filho",$E$2:$E$121,"Botafogo")</f>
        <v>1</v>
      </c>
      <c r="BF10">
        <f>SUMIFS($A$2:$A$121,$K$2:$K$121,"Jose Claudio Rocha Filho",$B$2:$B$121,"Corinthians")+SUMIFS($A$2:$A$121,$K$2:$K$121,"Jose Claudio Rocha Filho",$E$2:$E$121,"Corinthians")</f>
        <v>0</v>
      </c>
      <c r="BG10">
        <f>SUMIFS($A$2:$A$121,$K$2:$K$121,"Jose Claudio Rocha Filho",$B$2:$B$121,"Criciúma")+SUMIFS($A$2:$A$121,$K$2:$K$121,"Jose Claudio Rocha Filho",$E$2:$E$121,"Criciúma")</f>
        <v>1</v>
      </c>
      <c r="BH10">
        <f>SUMIFS($A$2:$A$121,$K$2:$K$121,"Jose Claudio Rocha Filho",$B$2:$B$121,"Cruzeiro")+SUMIFS($A$2:$A$121,$K$2:$K$121,"Jose Claudio Rocha Filho",$E$2:$E$121,"Cruzeiro")</f>
        <v>0</v>
      </c>
      <c r="BI10">
        <f>SUMIFS($A$2:$A$121,$K$2:$K$121,"Jose Claudio Rocha Filho",$B$2:$B$121,"Cuiabá")+SUMIFS($A$2:$A$121,$K$2:$K$121,"Jose Claudio Rocha Filho",$E$2:$E$121,"Cuiabá")</f>
        <v>1</v>
      </c>
      <c r="BJ10">
        <f>SUMIFS($A$2:$A$121,$K$2:$K$121,"Jose Claudio Rocha Filho",$B$2:$B$121,"Flamengo")+SUMIFS($A$2:$A$121,$K$2:$K$121,"Jose Claudio Rocha Filho",$E$2:$E$121,"Flamengo")</f>
        <v>0</v>
      </c>
      <c r="BK10">
        <f>SUMIFS($A$2:$A$121,$K$2:$K$121,"Jose Claudio Rocha Filho",$B$2:$B$121,"Fluminense")+SUMIFS($A$2:$A$121,$K$2:$K$121,"Jose Claudio Rocha Filho",$E$2:$E$121,"Fluminense")</f>
        <v>0</v>
      </c>
      <c r="BL10">
        <f>SUMIFS($A$2:$A$121,$K$2:$K$121,"Jose Claudio Rocha Filho",$B$2:$B$121,"Fortaleza")+SUMIFS($A$2:$A$121,$K$2:$K$121,"Jose Claudio Rocha Filho",$E$2:$E$121,"Fortaleza")</f>
        <v>0</v>
      </c>
      <c r="BM10">
        <f>SUMIFS($A$2:$A$121,$K$2:$K$121,"Jose Claudio Rocha Filho",$B$2:$B$121,"Grêmio")+SUMIFS($A$2:$A$121,$K$2:$K$121,"Jose Claudio Rocha Filho",$E$2:$E$121,"Grêmio")</f>
        <v>0</v>
      </c>
      <c r="BN10">
        <f>SUMIFS($A$2:$A$121,$K$2:$K$121,"Jose Claudio Rocha Filho",$B$2:$B$121,"Internacional")+SUMIFS($A$2:$A$121,$K$2:$K$121,"Jose Claudio Rocha Filho",$E$2:$E$121,"Internacional")</f>
        <v>0</v>
      </c>
      <c r="BO10">
        <f>SUMIFS($A$2:$A$121,$K$2:$K$121,"Jose Claudio Rocha Filho",$B$2:$B$121,"Juventude")+SUMIFS($A$2:$A$121,$K$2:$K$121,"Jose Claudio Rocha Filho",$E$2:$E$121,"Juventude")</f>
        <v>0</v>
      </c>
      <c r="BP10">
        <f>SUMIFS($A$2:$A$121,$K$2:$K$121,"Jose Claudio Rocha Filho",$B$2:$B$121,"Palmeiras")+SUMIFS($A$2:$A$121,$K$2:$K$121,"Jose Claudio Rocha Filho",$E$2:$E$121,"Palmeiras")</f>
        <v>0</v>
      </c>
      <c r="BQ10">
        <f>SUMIFS($A$2:$A$121,$K$2:$K$121,"Jose Claudio Rocha Filho",$B$2:$B$121,"Red Bull")+SUMIFS($A$2:$A$121,$K$2:$K$121,"Jose Claudio Rocha Filho",$E$2:$E$121,"Red Bull")</f>
        <v>0</v>
      </c>
      <c r="BR10">
        <f>SUMIFS($A$2:$A$121,$K$2:$K$121,"Jose Claudio Rocha Filho",$B$2:$B$121,"São Paulo")+SUMIFS($A$2:$A$121,$K$2:$K$121,"Jose Claudio Rocha Filho",$E$2:$E$121,"São Paulo")</f>
        <v>0</v>
      </c>
      <c r="BS10">
        <f>SUMIFS($A$2:$A$121,$K$2:$K$121,"Jose Claudio Rocha Filho",$B$2:$B$121,"Vasco")+SUMIFS($A$2:$A$121,$K$2:$K$121,"Jose Claudio Rocha Filho",$E$2:$E$121,"Vasco")</f>
        <v>0</v>
      </c>
      <c r="BT10">
        <f>SUMIFS($A$2:$A$121,$K$2:$K$121,"Jose Claudio Rocha Filho",$B$2:$B$121,"Vitória")+SUMIFS($A$2:$A$121,$K$2:$K$121,"Jose Claudio Rocha Filho",$E$2:$E$121,"Vitória")</f>
        <v>0</v>
      </c>
      <c r="BU10" s="30">
        <f t="shared" si="4"/>
        <v>6</v>
      </c>
    </row>
    <row r="11" spans="1:80" ht="15.6" x14ac:dyDescent="0.3">
      <c r="A11">
        <v>1</v>
      </c>
      <c r="B11" s="7" t="s">
        <v>37</v>
      </c>
      <c r="C11" s="9" t="s">
        <v>38</v>
      </c>
      <c r="D11" s="9">
        <v>0</v>
      </c>
      <c r="E11" s="7" t="s">
        <v>39</v>
      </c>
      <c r="F11" s="9" t="s">
        <v>19</v>
      </c>
      <c r="G11" s="9">
        <v>1</v>
      </c>
      <c r="H11" s="7" t="s">
        <v>67</v>
      </c>
      <c r="I11" s="7" t="s">
        <v>13</v>
      </c>
      <c r="J11" s="7" t="s">
        <v>47</v>
      </c>
      <c r="K11" s="7" t="s">
        <v>100</v>
      </c>
      <c r="L11" s="7" t="s">
        <v>29</v>
      </c>
      <c r="M11" s="7" t="s">
        <v>47</v>
      </c>
      <c r="N11" s="14"/>
      <c r="O11" s="18">
        <f t="shared" si="0"/>
        <v>1</v>
      </c>
      <c r="P11" s="18">
        <f t="shared" si="1"/>
        <v>0</v>
      </c>
      <c r="Q11" s="18">
        <f t="shared" si="2"/>
        <v>0</v>
      </c>
      <c r="S11" s="7" t="s">
        <v>22</v>
      </c>
      <c r="T11" s="15">
        <f>COUNTIFS($B$2:$B$121,"São Paulo",$J$2:$J$121,"=FIFA")+COUNTIFS($E$2:$E$121,"São Paulo",$J$2:$J$121,"=FIFA")</f>
        <v>7</v>
      </c>
      <c r="U11" s="15">
        <f>COUNTIFS($B$2:$B$121,"São Paulo",$J$2:$J$121,"=CBF")+COUNTIFS($E$2:$E$121,"São Paulo",$J$2:$J$121,"=CBF")</f>
        <v>5</v>
      </c>
      <c r="V11" s="15">
        <f>COUNTIFS($B$2:$B$121,"São Paulo",$M$2:$M$121,"=FIFA")+COUNTIFS($E$2:$E$121,"São Paulo",$M$2:$M$121,"=FIFA")</f>
        <v>8</v>
      </c>
      <c r="W11" s="15">
        <f>COUNTIFS($B$2:$B$121,"São Paulo",$M$2:$M$121,"=CBF")+COUNTIFS($E$2:$E$121,"São Paulo",$M$2:$M$121,"=CBF")</f>
        <v>4</v>
      </c>
      <c r="X11" s="15">
        <f>SUMIFS($O$2:$O$121,$B$2:$B$121,"São Paulo")+SUMIFS($O$2:$O$121,$E$2:$E$121,"São Paulo")</f>
        <v>5</v>
      </c>
      <c r="Y11" s="15">
        <f>SUMIFS($P$2:$P$121,$B$2:$B$121,"São Paulo")+SUMIFS($P$2:$P$121,$E$2:$E$121,"São Paulo")</f>
        <v>5</v>
      </c>
      <c r="Z11" s="15">
        <f>SUMIFS($Q$2:$Q$121,$B$2:$B$121,"São Paulo")+SUMIFS($Q$2:$Q$121,$E$2:$E$121,"São Paulo")</f>
        <v>2</v>
      </c>
      <c r="AC11" s="7" t="s">
        <v>96</v>
      </c>
      <c r="AD11">
        <f>SUMIFS($A$2:$A$121,$H$2:$H$121,"Caio Max Augusto Vieira",$B$2:$B$121,"Athletico")+SUMIFS($A$2:$A$121,$H$2:$H$121,"Caio Max Augusto Vieira",$E$2:$E$121,"Athletico")</f>
        <v>0</v>
      </c>
      <c r="AE11">
        <f>SUMIFS($A$2:$A$121,$H$2:$H$121,"Caio Max Augusto Vieira",$B$2:$B$121,"Atlético GO")+SUMIFS($A$2:$A$121,$H$2:$H$121,"Caio Max Augusto Vieira",$E$2:$E$121,"Atlético GO")</f>
        <v>0</v>
      </c>
      <c r="AF11">
        <f>SUMIFS($A$2:$A$121,$H$2:$H$121,"Caio Max Augusto Vieira",$B$2:$B$121,"Atlético MG")+SUMIFS($A$2:$A$121,$H$2:$H$121,"Caio Max Augusto Vieira",$E$2:$E$121,"Atlético MG")</f>
        <v>0</v>
      </c>
      <c r="AG11">
        <f>SUMIFS($A$2:$A$121,$H$2:$H$121,"Caio Max Augusto Vieira",$B$2:$B$121,"Bahia")+SUMIFS($A$2:$A$121,$H$2:$H$121,"Caio Max Augusto Vieira",$E$2:$E$121,"Bahia")</f>
        <v>0</v>
      </c>
      <c r="AH11">
        <f>SUMIFS($A$2:$A$121,$H$2:$H$121,"Caio Max Augusto Vieira",$B$2:$B$121,"Botafogo")+SUMIFS($A$2:$A$121,$H$2:$H$121,"Caio Max Augusto Vieira",$E$2:$E$121,"Botafogo")</f>
        <v>0</v>
      </c>
      <c r="AI11">
        <f>SUMIFS($A$2:$A$121,$H$2:$H$121,"Caio Max Augusto Vieira",$B$2:$B$121,"Corinthians")+SUMIFS($A$2:$A$121,$H$2:$H$121,"Caio Max Augusto Vieira",$E$2:$E$121,"Corinthians")</f>
        <v>0</v>
      </c>
      <c r="AJ11">
        <f>SUMIFS($A$2:$A$121,$H$2:$H$121,"Caio Max Augusto Vieira",$B$2:$B$121,"Criciúma")+SUMIFS($A$2:$A$121,$H$2:$H$121,"Caio Max Augusto Vieira",$E$2:$E$121,"Criciúma")</f>
        <v>1</v>
      </c>
      <c r="AK11">
        <f>SUMIFS($A$2:$A$121,$H$2:$H$121,"Caio Max Augusto Vieira",$B$2:$B$121,"Cruzeiro")+SUMIFS($A$2:$A$121,$H$2:$H$121,"Caio Max Augusto Vieira",$E$2:$E$121,"Cruzeiro")</f>
        <v>0</v>
      </c>
      <c r="AL11">
        <f>SUMIFS($A$2:$A$121,$H$2:$H$121,"Caio Max Augusto Vieira",$B$2:$B$121,"Cuiabá")+SUMIFS($A$2:$A$121,$H$2:$H$121,"Caio Max Augusto Vieira",$E$2:$E$121,"Cuiabá")</f>
        <v>0</v>
      </c>
      <c r="AM11">
        <f>SUMIFS($A$2:$A$121,$H$2:$H$121,"Caio Max Augusto Vieira",$B$2:$B$121,"Flamengo")+SUMIFS($A$2:$A$121,$H$2:$H$121,"Caio Max Augusto Vieira",$E$2:$E$121,"Flamengo")</f>
        <v>0</v>
      </c>
      <c r="AN11">
        <f>SUMIFS($A$2:$A$121,$H$2:$H$121,"Caio Max Augusto Vieira",$B$2:$B$121,"Fluminense")+SUMIFS($A$2:$A$121,$H$2:$H$121,"Caio Max Augusto Vieira",$E$2:$E$121,"Fluminense")</f>
        <v>0</v>
      </c>
      <c r="AO11">
        <f>SUMIFS($A$2:$A$121,$H$2:$H$121,"Caio Max Augusto Vieira",$B$2:$B$121,"Fortaleza")+SUMIFS($A$2:$A$121,$H$2:$H$121,"Caio Max Augusto Vieira",$E$2:$E$121,"Fortaleza")</f>
        <v>0</v>
      </c>
      <c r="AP11">
        <f>SUMIFS($A$2:$A$121,$H$2:$H$121,"Caio Max Augusto Vieira",$B$2:$B$121,"Grêmio")+SUMIFS($A$2:$A$121,$H$2:$H$121,"Caio Max Augusto Vieira",$E$2:$E$121,"Grêmio")</f>
        <v>0</v>
      </c>
      <c r="AQ11">
        <f>SUMIFS($A$2:$A$121,$H$2:$H$121,"Caio Max Augusto Vieira",$B$2:$B$121,"Internacional")+SUMIFS($A$2:$A$121,$H$2:$H$121,"Caio Max Augusto Vieira",$E$2:$E$121,"Internacional")</f>
        <v>0</v>
      </c>
      <c r="AR11">
        <f>SUMIFS($A$2:$A$121,$H$2:$H$121,"Caio Max Augusto Vieira",$B$2:$B$121,"Juventude")+SUMIFS($A$2:$A$121,$H$2:$H$121,"Caio Max Augusto Vieira",$E$2:$E$121,"Juventude")</f>
        <v>0</v>
      </c>
      <c r="AS11">
        <f>SUMIFS($A$2:$A$121,$H$2:$H$121,"Caio Max Augusto Vieira",$B$2:$B$121,"Palmeiras")+SUMIFS($A$2:$A$121,$H$2:$H$121,"Caio Max Augusto Vieira",$E$2:$E$121,"Palmeiras")</f>
        <v>0</v>
      </c>
      <c r="AT11">
        <f>SUMIFS($A$2:$A$121,$H$2:$H$121,"Caio Max Augusto Vieira",$B$2:$B$121,"Red Bull")+SUMIFS($A$2:$A$121,$H$2:$H$121,"Caio Max Augusto Vieira",$E$2:$E$121,"Red Bull")</f>
        <v>0</v>
      </c>
      <c r="AU11">
        <f>SUMIFS($A$2:$A$121,$H$2:$H$121,"Caio Max Augusto Vieira",$B$2:$B$121,"São Paulo")+SUMIFS($A$2:$A$121,$H$2:$H$121,"Caio Max Augusto Vieira",$E$2:$E$121,"São Paulo")</f>
        <v>1</v>
      </c>
      <c r="AV11">
        <f>SUMIFS($A$2:$A$121,$H$2:$H$121,"Caio Max Augusto Vieira",$B$2:$B$121,"Vasco")+SUMIFS($A$2:$A$121,$H$2:$H$121,"Caio Max Augusto Vieira",$E$2:$E$121,"Vasco")</f>
        <v>2</v>
      </c>
      <c r="AW11">
        <f>SUMIFS($A$2:$A$121,$H$2:$H$121,"Caio Max Augusto Vieira",$B$2:$B$121,"Vitória")+SUMIFS($A$2:$A$121,$H$2:$H$121,"Caio Max Augusto Vieira",$E$2:$E$121,"Vitória")</f>
        <v>0</v>
      </c>
      <c r="AX11" s="30">
        <f t="shared" si="3"/>
        <v>4</v>
      </c>
      <c r="AZ11" s="7" t="s">
        <v>93</v>
      </c>
      <c r="BA11">
        <f>SUMIFS($A$2:$A$121,$K$2:$K$121,"Marcio Henrique de Gois",$B$2:$B$121,"Athletico")+SUMIFS($A$2:$A$121,$K$2:$K$121,"Marcio Henrique de Gois",$E$2:$E$121,"Athletico")</f>
        <v>1</v>
      </c>
      <c r="BB11">
        <f>SUMIFS($A$2:$A$121,$K$2:$K$121,"Marcio Henrique de Gois",$B$2:$B$121,"Atlético GO")+SUMIFS($A$2:$A$121,$K$2:$K$121,"Marcio Henrique de Gois",$E$2:$E$121,"Atlético GO")</f>
        <v>0</v>
      </c>
      <c r="BC11">
        <f>SUMIFS($A$2:$A$121,$K$2:$K$121,"Marcio Henrique de Gois",$B$2:$B$121,"Atlético MG")+SUMIFS($A$2:$A$121,$K$2:$K$121,"Marcio Henrique de Gois",$E$2:$E$121,"Atlético MG")</f>
        <v>0</v>
      </c>
      <c r="BD11">
        <f>SUMIFS($A$2:$A$121,$K$2:$K$121,"Marcio Henrique de Gois",$B$2:$B$121,"Bahia")+SUMIFS($A$2:$A$121,$K$2:$K$121,"Marcio Henrique de Gois",$E$2:$E$121,"Bahia")</f>
        <v>0</v>
      </c>
      <c r="BE11">
        <f>SUMIFS($A$2:$A$121,$K$2:$K$121,"Marcio Henrique de Gois",$B$2:$B$121,"Botafogo")+SUMIFS($A$2:$A$121,$K$2:$K$121,"Marcio Henrique de Gois",$E$2:$E$121,"Botafogo")</f>
        <v>0</v>
      </c>
      <c r="BF11">
        <f>SUMIFS($A$2:$A$121,$K$2:$K$121,"Marcio Henrique de Gois",$B$2:$B$121,"Corinthians")+SUMIFS($A$2:$A$121,$K$2:$K$121,"Marcio Henrique de Gois",$E$2:$E$121,"Corinthians")</f>
        <v>0</v>
      </c>
      <c r="BG11">
        <f>SUMIFS($A$2:$A$121,$K$2:$K$121,"Marcio Henrique de Gois",$B$2:$B$121,"Criciúma")+SUMIFS($A$2:$A$121,$K$2:$K$121,"Marcio Henrique de Gois",$E$2:$E$121,"Criciúma")</f>
        <v>0</v>
      </c>
      <c r="BH11">
        <f>SUMIFS($A$2:$A$121,$K$2:$K$121,"Marcio Henrique de Gois",$B$2:$B$121,"Cruzeiro")+SUMIFS($A$2:$A$121,$K$2:$K$121,"Marcio Henrique de Gois",$E$2:$E$121,"Cruzeiro")</f>
        <v>0</v>
      </c>
      <c r="BI11">
        <f>SUMIFS($A$2:$A$121,$K$2:$K$121,"Marcio Henrique de Gois",$B$2:$B$121,"Cuiabá")+SUMIFS($A$2:$A$121,$K$2:$K$121,"Marcio Henrique de Gois",$E$2:$E$121,"Cuiabá")</f>
        <v>0</v>
      </c>
      <c r="BJ11">
        <f>SUMIFS($A$2:$A$121,$K$2:$K$121,"Marcio Henrique de Gois",$B$2:$B$121,"Flamengo")+SUMIFS($A$2:$A$121,$K$2:$K$121,"Marcio Henrique de Gois",$E$2:$E$121,"Flamengo")</f>
        <v>0</v>
      </c>
      <c r="BK11">
        <f>SUMIFS($A$2:$A$121,$K$2:$K$121,"Marcio Henrique de Gois",$B$2:$B$121,"Fluminense")+SUMIFS($A$2:$A$121,$K$2:$K$121,"Marcio Henrique de Gois",$E$2:$E$121,"Fluminense")</f>
        <v>0</v>
      </c>
      <c r="BL11">
        <f>SUMIFS($A$2:$A$121,$K$2:$K$121,"Marcio Henrique de Gois",$B$2:$B$121,"Fortaleza")+SUMIFS($A$2:$A$121,$K$2:$K$121,"Marcio Henrique de Gois",$E$2:$E$121,"Fortaleza")</f>
        <v>0</v>
      </c>
      <c r="BM11">
        <f>SUMIFS($A$2:$A$121,$K$2:$K$121,"Marcio Henrique de Gois",$B$2:$B$121,"Grêmio")+SUMIFS($A$2:$A$121,$K$2:$K$121,"Marcio Henrique de Gois",$E$2:$E$121,"Grêmio")</f>
        <v>0</v>
      </c>
      <c r="BN11">
        <f>SUMIFS($A$2:$A$121,$K$2:$K$121,"Marcio Henrique de Gois",$B$2:$B$121,"Internacional")+SUMIFS($A$2:$A$121,$K$2:$K$121,"Marcio Henrique de Gois",$E$2:$E$121,"Internacional")</f>
        <v>1</v>
      </c>
      <c r="BO11">
        <f>SUMIFS($A$2:$A$121,$K$2:$K$121,"Marcio Henrique de Gois",$B$2:$B$121,"Juventude")+SUMIFS($A$2:$A$121,$K$2:$K$121,"Marcio Henrique de Gois",$E$2:$E$121,"Juventude")</f>
        <v>0</v>
      </c>
      <c r="BP11">
        <f>SUMIFS($A$2:$A$121,$K$2:$K$121,"Marcio Henrique de Gois",$B$2:$B$121,"Palmeiras")+SUMIFS($A$2:$A$121,$K$2:$K$121,"Marcio Henrique de Gois",$E$2:$E$121,"Palmeiras")</f>
        <v>0</v>
      </c>
      <c r="BQ11">
        <f>SUMIFS($A$2:$A$121,$K$2:$K$121,"Marcio Henrique de Gois",$B$2:$B$121,"Red Bull")+SUMIFS($A$2:$A$121,$K$2:$K$121,"Marcio Henrique de Gois",$E$2:$E$121,"Red Bull")</f>
        <v>0</v>
      </c>
      <c r="BR11">
        <f>SUMIFS($A$2:$A$121,$K$2:$K$121,"Marcio Henrique de Gois",$B$2:$B$121,"São Paulo")+SUMIFS($A$2:$A$121,$K$2:$K$121,"Marcio Henrique de Gois",$E$2:$E$121,"São Paulo")</f>
        <v>0</v>
      </c>
      <c r="BS11">
        <f>SUMIFS($A$2:$A$121,$K$2:$K$121,"Marcio Henrique de Gois",$B$2:$B$121,"Vasco")+SUMIFS($A$2:$A$121,$K$2:$K$121,"Marcio Henrique de Gois",$E$2:$E$121,"Vasco")</f>
        <v>0</v>
      </c>
      <c r="BT11">
        <f>SUMIFS($A$2:$A$121,$K$2:$K$121,"Marcio Henrique de Gois",$B$2:$B$121,"Vitória")+SUMIFS($A$2:$A$121,$K$2:$K$121,"Marcio Henrique de Gois",$E$2:$E$121,"Vitória")</f>
        <v>0</v>
      </c>
      <c r="BU11" s="30">
        <f t="shared" si="4"/>
        <v>2</v>
      </c>
    </row>
    <row r="12" spans="1:80" ht="15.6" x14ac:dyDescent="0.3">
      <c r="A12">
        <v>1</v>
      </c>
      <c r="B12" s="7" t="s">
        <v>17</v>
      </c>
      <c r="C12" s="9" t="s">
        <v>38</v>
      </c>
      <c r="D12" s="9">
        <v>2</v>
      </c>
      <c r="E12" s="7" t="s">
        <v>20</v>
      </c>
      <c r="F12" s="9" t="s">
        <v>21</v>
      </c>
      <c r="G12" s="9">
        <v>1</v>
      </c>
      <c r="H12" s="7" t="s">
        <v>119</v>
      </c>
      <c r="I12" s="7" t="s">
        <v>19</v>
      </c>
      <c r="J12" s="7" t="s">
        <v>43</v>
      </c>
      <c r="K12" s="7" t="s">
        <v>63</v>
      </c>
      <c r="L12" s="7" t="s">
        <v>19</v>
      </c>
      <c r="M12" s="7" t="s">
        <v>47</v>
      </c>
      <c r="N12" s="14"/>
      <c r="O12" s="18">
        <f t="shared" si="0"/>
        <v>0</v>
      </c>
      <c r="P12" s="18">
        <f t="shared" si="1"/>
        <v>1</v>
      </c>
      <c r="Q12" s="18">
        <f t="shared" si="2"/>
        <v>0</v>
      </c>
      <c r="S12" s="7" t="s">
        <v>18</v>
      </c>
      <c r="T12" s="15">
        <f>COUNTIFS($B$2:$B$121,"Red Bull",$J$2:$J$121,"=FIFA")+COUNTIFS($E$2:$E$121,"Red Bull",$J$2:$J$121,"=FIFA")</f>
        <v>6</v>
      </c>
      <c r="U12" s="15">
        <f>COUNTIFS($B$2:$B$121,"Red Bull",$J$2:$J$121,"=CBF")+COUNTIFS($E$2:$E$121,"Red Bull",$J$2:$J$121,"=CBF")</f>
        <v>6</v>
      </c>
      <c r="V12" s="15">
        <f>COUNTIFS($B$2:$B$121,"Red Bull",$M$2:$M$121,"=FIFA")+COUNTIFS($E$2:$E$121,"Red Bull",$M$2:$M$121,"=FIFA")</f>
        <v>8</v>
      </c>
      <c r="W12" s="15">
        <f>COUNTIFS($B$2:$B$121,"Red Bull",$M$2:$M$121,"=CBF")+COUNTIFS($E$2:$E$121,"Red Bull",$M$2:$M$121,"=CBF")</f>
        <v>4</v>
      </c>
      <c r="X12" s="15">
        <f>SUMIFS($O$2:$O$121,$B$2:$B$121,"Red Bull")+SUMIFS($O$2:$O$121,$E$2:$E$121,"Red Bull")</f>
        <v>5</v>
      </c>
      <c r="Y12" s="15">
        <f>SUMIFS($P$2:$P$121,$B$2:$B$121,"Red Bull")+SUMIFS($P$2:$P$121,$E$2:$E$121,"Red Bull")</f>
        <v>4</v>
      </c>
      <c r="Z12" s="15">
        <f>SUMIFS($Q$2:$Q$121,$B$2:$B$121,"Red Bull")+SUMIFS($Q$2:$Q$121,$E$2:$E$121,"Red Bull")</f>
        <v>3</v>
      </c>
      <c r="AC12" s="7" t="s">
        <v>135</v>
      </c>
      <c r="AD12">
        <f>SUMIFS($A$2:$A$121,$H$2:$H$121,"Davi de Oliveira Lacerda",$B$2:$B$121,"Athletico")+SUMIFS($A$2:$A$121,$H$2:$H$121,"Davi de Oliveira Lacerda",$E$2:$E$121,"Athletico")</f>
        <v>1</v>
      </c>
      <c r="AE12">
        <f>SUMIFS($A$2:$A$121,$H$2:$H$121,"Davi de Oliveira Lacerda",$B$2:$B$121,"Atlético GO")+SUMIFS($A$2:$A$121,$H$2:$H$121,"Davi de Oliveira Lacerda",$E$2:$E$121,"Atlético GO")</f>
        <v>0</v>
      </c>
      <c r="AF12">
        <f>SUMIFS($A$2:$A$121,$H$2:$H$121,"Davi de Oliveira Lacerda",$B$2:$B$121,"Atlético MG")+SUMIFS($A$2:$A$121,$H$2:$H$121,"Davi de Oliveira Lacerda",$E$2:$E$121,"Atlético MG")</f>
        <v>0</v>
      </c>
      <c r="AG12">
        <f>SUMIFS($A$2:$A$121,$H$2:$H$121,"Davi de Oliveira Lacerda",$B$2:$B$121,"Bahia")+SUMIFS($A$2:$A$121,$H$2:$H$121,"Davi de Oliveira Lacerda",$E$2:$E$121,"Bahia")</f>
        <v>0</v>
      </c>
      <c r="AH12">
        <f>SUMIFS($A$2:$A$121,$H$2:$H$121,"Davi de Oliveira Lacerda",$B$2:$B$121,"Botafogo")+SUMIFS($A$2:$A$121,$H$2:$H$121,"Davi de Oliveira Lacerda",$E$2:$E$121,"Botafogo")</f>
        <v>0</v>
      </c>
      <c r="AI12">
        <f>SUMIFS($A$2:$A$121,$H$2:$H$121,"Davi de Oliveira Lacerda",$B$2:$B$121,"Corinthians")+SUMIFS($A$2:$A$121,$H$2:$H$121,"Davi de Oliveira Lacerda",$E$2:$E$121,"Corinthians")</f>
        <v>0</v>
      </c>
      <c r="AJ12">
        <f>SUMIFS($A$2:$A$121,$H$2:$H$121,"Davi de Oliveira Lacerda",$B$2:$B$121,"Criciúma")+SUMIFS($A$2:$A$121,$H$2:$H$121,"Davi de Oliveira Lacerda",$E$2:$E$121,"Criciúma")</f>
        <v>0</v>
      </c>
      <c r="AK12">
        <f>SUMIFS($A$2:$A$121,$H$2:$H$121,"Davi de Oliveira Lacerda",$B$2:$B$121,"Cruzeiro")+SUMIFS($A$2:$A$121,$H$2:$H$121,"Davi de Oliveira Lacerda",$E$2:$E$121,"Cruzeiro")</f>
        <v>1</v>
      </c>
      <c r="AL12">
        <f>SUMIFS($A$2:$A$121,$H$2:$H$121,"Davi de Oliveira Lacerda",$B$2:$B$121,"Cuiabá")+SUMIFS($A$2:$A$121,$H$2:$H$121,"Davi de Oliveira Lacerda",$E$2:$E$121,"Cuiabá")</f>
        <v>0</v>
      </c>
      <c r="AM12">
        <f>SUMIFS($A$2:$A$121,$H$2:$H$121,"Davi de Oliveira Lacerda",$B$2:$B$121,"Flamengo")+SUMIFS($A$2:$A$121,$H$2:$H$121,"Davi de Oliveira Lacerda",$E$2:$E$121,"Flamengo")</f>
        <v>0</v>
      </c>
      <c r="AN12">
        <f>SUMIFS($A$2:$A$121,$H$2:$H$121,"Davi de Oliveira Lacerda",$B$2:$B$121,"Fluminense")+SUMIFS($A$2:$A$121,$H$2:$H$121,"Davi de Oliveira Lacerda",$E$2:$E$121,"Fluminense")</f>
        <v>0</v>
      </c>
      <c r="AO12">
        <f>SUMIFS($A$2:$A$121,$H$2:$H$121,"Davi de Oliveira Lacerda",$B$2:$B$121,"Fortaleza")+SUMIFS($A$2:$A$121,$H$2:$H$121,"Davi de Oliveira Lacerda",$E$2:$E$121,"Fortaleza")</f>
        <v>1</v>
      </c>
      <c r="AP12">
        <f>SUMIFS($A$2:$A$121,$H$2:$H$121,"Davi de Oliveira Lacerda",$B$2:$B$121,"Grêmio")+SUMIFS($A$2:$A$121,$H$2:$H$121,"Davi de Oliveira Lacerda",$E$2:$E$121,"Grêmio")</f>
        <v>0</v>
      </c>
      <c r="AQ12">
        <f>SUMIFS($A$2:$A$121,$H$2:$H$121,"Davi de Oliveira Lacerda",$B$2:$B$121,"Internacional")+SUMIFS($A$2:$A$121,$H$2:$H$121,"Davi de Oliveira Lacerda",$E$2:$E$121,"Internacional")</f>
        <v>0</v>
      </c>
      <c r="AR12">
        <f>SUMIFS($A$2:$A$121,$H$2:$H$121,"Davi de Oliveira Lacerda",$B$2:$B$121,"Juventude")+SUMIFS($A$2:$A$121,$H$2:$H$121,"Davi de Oliveira Lacerda",$E$2:$E$121,"Juventude")</f>
        <v>1</v>
      </c>
      <c r="AS12">
        <f>SUMIFS($A$2:$A$121,$H$2:$H$121,"Davi de Oliveira Lacerda",$B$2:$B$121,"Palmeiras")+SUMIFS($A$2:$A$121,$H$2:$H$121,"Davi de Oliveira Lacerda",$E$2:$E$121,"Palmeiras")</f>
        <v>1</v>
      </c>
      <c r="AT12">
        <f>SUMIFS($A$2:$A$121,$H$2:$H$121,"Davi de Oliveira Lacerda",$B$2:$B$121,"Red Bull")+SUMIFS($A$2:$A$121,$H$2:$H$121,"Davi de Oliveira Lacerda",$E$2:$E$121,"Red Bull")</f>
        <v>1</v>
      </c>
      <c r="AU12">
        <f>SUMIFS($A$2:$A$121,$H$2:$H$121,"Davi de Oliveira Lacerda",$B$2:$B$121,"São Paulo")+SUMIFS($A$2:$A$121,$H$2:$H$121,"Davi de Oliveira Lacerda",$E$2:$E$121,"São Paulo")</f>
        <v>0</v>
      </c>
      <c r="AV12">
        <f>SUMIFS($A$2:$A$121,$H$2:$H$121,"Davi de Oliveira Lacerda",$B$2:$B$121,"Vasco")+SUMIFS($A$2:$A$121,$H$2:$H$121,"Davi de Oliveira Lacerda",$E$2:$E$121,"Vasco")</f>
        <v>0</v>
      </c>
      <c r="AW12">
        <f>SUMIFS($A$2:$A$121,$H$2:$H$121,"Davi de Oliveira Lacerda",$B$2:$B$121,"Vitória")+SUMIFS($A$2:$A$121,$H$2:$H$121,"Davi de Oliveira Lacerda",$E$2:$E$121,"Vitória")</f>
        <v>0</v>
      </c>
      <c r="AX12" s="30">
        <f t="shared" si="3"/>
        <v>6</v>
      </c>
      <c r="AZ12" s="7" t="s">
        <v>120</v>
      </c>
      <c r="BA12">
        <f>SUMIFS($A$2:$A$121,$K$2:$K$121,"Marco Aurelio Augusto Fazekas Ferreira",$B$2:$B$121,"Athletico")+SUMIFS($A$2:$A$121,$K$2:$K$121,"Marco Aurelio Augusto Fazekas Ferreira",$E$2:$E$121,"Athletico")</f>
        <v>3</v>
      </c>
      <c r="BB12">
        <f>SUMIFS($A$2:$A$121,$K$2:$K$121,"Marco Aurelio Augusto Fazekas Ferreira",$B$2:$B$121,"Atlético GO")+SUMIFS($A$2:$A$121,$K$2:$K$121,"Marco Aurelio Augusto Fazekas Ferreira",$E$2:$E$121,"Atlético GO")</f>
        <v>1</v>
      </c>
      <c r="BC12">
        <f>SUMIFS($A$2:$A$121,$K$2:$K$121,"Marco Aurelio Augusto Fazekas Ferreira",$B$2:$B$121,"Atlético MG")+SUMIFS($A$2:$A$121,$K$2:$K$121,"Marco Aurelio Augusto Fazekas Ferreira",$E$2:$E$121,"Atlético MG")</f>
        <v>0</v>
      </c>
      <c r="BD12">
        <f>SUMIFS($A$2:$A$121,$K$2:$K$121,"Marco Aurelio Augusto Fazekas Ferreira",$B$2:$B$121,"Bahia")+SUMIFS($A$2:$A$121,$K$2:$K$121,"Marco Aurelio Augusto Fazekas Ferreira",$E$2:$E$121,"Bahia")</f>
        <v>0</v>
      </c>
      <c r="BE12">
        <f>SUMIFS($A$2:$A$121,$K$2:$K$121,"Marco Aurelio Augusto Fazekas Ferreira",$B$2:$B$121,"Botafogo")+SUMIFS($A$2:$A$121,$K$2:$K$121,"Marco Aurelio Augusto Fazekas Ferreira",$E$2:$E$121,"Botafogo")</f>
        <v>0</v>
      </c>
      <c r="BF12">
        <f>SUMIFS($A$2:$A$121,$K$2:$K$121,"Marco Aurelio Augusto Fazekas Ferreira",$B$2:$B$121,"Corinthians")+SUMIFS($A$2:$A$121,$K$2:$K$121,"Marco Aurelio Augusto Fazekas Ferreira",$E$2:$E$121,"Corinthians")</f>
        <v>1</v>
      </c>
      <c r="BG12">
        <f>SUMIFS($A$2:$A$121,$K$2:$K$121,"Marco Aurelio Augusto Fazekas Ferreira",$B$2:$B$121,"Criciúma")+SUMIFS($A$2:$A$121,$K$2:$K$121,"Marco Aurelio Augusto Fazekas Ferreira",$E$2:$E$121,"Criciúma")</f>
        <v>0</v>
      </c>
      <c r="BH12">
        <f>SUMIFS($A$2:$A$121,$K$2:$K$121,"Marco Aurelio Augusto Fazekas Ferreira",$B$2:$B$121,"Cruzeiro")+SUMIFS($A$2:$A$121,$K$2:$K$121,"Marco Aurelio Augusto Fazekas Ferreira",$E$2:$E$121,"Cruzeiro")</f>
        <v>0</v>
      </c>
      <c r="BI12">
        <f>SUMIFS($A$2:$A$121,$K$2:$K$121,"Marco Aurelio Augusto Fazekas Ferreira",$B$2:$B$121,"Cuiabá")+SUMIFS($A$2:$A$121,$K$2:$K$121,"Marco Aurelio Augusto Fazekas Ferreira",$E$2:$E$121,"Cuiabá")</f>
        <v>1</v>
      </c>
      <c r="BJ12">
        <f>SUMIFS($A$2:$A$121,$K$2:$K$121,"Marco Aurelio Augusto Fazekas Ferreira",$B$2:$B$121,"Flamengo")+SUMIFS($A$2:$A$121,$K$2:$K$121,"Marco Aurelio Augusto Fazekas Ferreira",$E$2:$E$121,"Flamengo")</f>
        <v>0</v>
      </c>
      <c r="BK12">
        <f>SUMIFS($A$2:$A$121,$K$2:$K$121,"Marco Aurelio Augusto Fazekas Ferreira",$B$2:$B$121,"Fluminense")+SUMIFS($A$2:$A$121,$K$2:$K$121,"Marco Aurelio Augusto Fazekas Ferreira",$E$2:$E$121,"Fluminense")</f>
        <v>1</v>
      </c>
      <c r="BL12">
        <f>SUMIFS($A$2:$A$121,$K$2:$K$121,"Marco Aurelio Augusto Fazekas Ferreira",$B$2:$B$121,"Fortaleza")+SUMIFS($A$2:$A$121,$K$2:$K$121,"Marco Aurelio Augusto Fazekas Ferreira",$E$2:$E$121,"Fortaleza")</f>
        <v>1</v>
      </c>
      <c r="BM12">
        <f>SUMIFS($A$2:$A$121,$K$2:$K$121,"Marco Aurelio Augusto Fazekas Ferreira",$B$2:$B$121,"Grêmio")+SUMIFS($A$2:$A$121,$K$2:$K$121,"Marco Aurelio Augusto Fazekas Ferreira",$E$2:$E$121,"Grêmio")</f>
        <v>1</v>
      </c>
      <c r="BN12">
        <f>SUMIFS($A$2:$A$121,$K$2:$K$121,"Marco Aurelio Augusto Fazekas Ferreira",$B$2:$B$121,"Internacional")+SUMIFS($A$2:$A$121,$K$2:$K$121,"Marco Aurelio Augusto Fazekas Ferreira",$E$2:$E$121,"Internacional")</f>
        <v>0</v>
      </c>
      <c r="BO12">
        <f>SUMIFS($A$2:$A$121,$K$2:$K$121,"Marco Aurelio Augusto Fazekas Ferreira",$B$2:$B$121,"Juventude")+SUMIFS($A$2:$A$121,$K$2:$K$121,"Marco Aurelio Augusto Fazekas Ferreira",$E$2:$E$121,"Juventude")</f>
        <v>0</v>
      </c>
      <c r="BP12">
        <f>SUMIFS($A$2:$A$121,$K$2:$K$121,"Marco Aurelio Augusto Fazekas Ferreira",$B$2:$B$121,"Palmeiras")+SUMIFS($A$2:$A$121,$K$2:$K$121,"Marco Aurelio Augusto Fazekas Ferreira",$E$2:$E$121,"Palmeiras")</f>
        <v>0</v>
      </c>
      <c r="BQ12">
        <f>SUMIFS($A$2:$A$121,$K$2:$K$121,"Marco Aurelio Augusto Fazekas Ferreira",$B$2:$B$121,"Red Bull")+SUMIFS($A$2:$A$121,$K$2:$K$121,"Marco Aurelio Augusto Fazekas Ferreira",$E$2:$E$121,"Red Bull")</f>
        <v>0</v>
      </c>
      <c r="BR12">
        <f>SUMIFS($A$2:$A$121,$K$2:$K$121,"Marco Aurelio Augusto Fazekas Ferreira",$B$2:$B$121,"São Paulo")+SUMIFS($A$2:$A$121,$K$2:$K$121,"Marco Aurelio Augusto Fazekas Ferreira",$E$2:$E$121,"São Paulo")</f>
        <v>1</v>
      </c>
      <c r="BS12">
        <f>SUMIFS($A$2:$A$121,$K$2:$K$121,"Marco Aurelio Augusto Fazekas Ferreira",$B$2:$B$121,"Vasco")+SUMIFS($A$2:$A$121,$K$2:$K$121,"Marco Aurelio Augusto Fazekas Ferreira",$E$2:$E$121,"Vasco")</f>
        <v>0</v>
      </c>
      <c r="BT12">
        <f>SUMIFS($A$2:$A$121,$K$2:$K$121,"Marco Aurelio Augusto Fazekas Ferreira",$B$2:$B$121,"Vitória")+SUMIFS($A$2:$A$121,$K$2:$K$121,"Marco Aurelio Augusto Fazekas Ferreira",$E$2:$E$121,"Vitória")</f>
        <v>0</v>
      </c>
      <c r="BU12" s="30">
        <f t="shared" si="4"/>
        <v>10</v>
      </c>
    </row>
    <row r="13" spans="1:80" ht="15.6" x14ac:dyDescent="0.3">
      <c r="A13">
        <v>1</v>
      </c>
      <c r="B13" s="7" t="s">
        <v>34</v>
      </c>
      <c r="C13" s="9" t="s">
        <v>15</v>
      </c>
      <c r="D13" s="9">
        <v>2</v>
      </c>
      <c r="E13" s="7" t="s">
        <v>28</v>
      </c>
      <c r="F13" s="9" t="s">
        <v>29</v>
      </c>
      <c r="G13" s="9">
        <v>0</v>
      </c>
      <c r="H13" s="7" t="s">
        <v>70</v>
      </c>
      <c r="I13" s="7" t="s">
        <v>24</v>
      </c>
      <c r="J13" s="7" t="s">
        <v>43</v>
      </c>
      <c r="K13" s="7" t="s">
        <v>120</v>
      </c>
      <c r="L13" s="7" t="s">
        <v>32</v>
      </c>
      <c r="M13" s="7" t="s">
        <v>43</v>
      </c>
      <c r="N13" s="14"/>
      <c r="O13" s="18">
        <f t="shared" si="0"/>
        <v>0</v>
      </c>
      <c r="P13" s="18">
        <f t="shared" si="1"/>
        <v>0</v>
      </c>
      <c r="Q13" s="18">
        <f t="shared" si="2"/>
        <v>1</v>
      </c>
      <c r="S13" s="7" t="s">
        <v>28</v>
      </c>
      <c r="T13" s="15">
        <f>COUNTIFS($B$2:$B$121,"Athletico",$J$2:$J$121,"=FIFA")+COUNTIFS($E$2:$E$121,"Athletico",$J$2:$J$121,"=FIFA")</f>
        <v>4</v>
      </c>
      <c r="U13" s="15">
        <f>COUNTIFS($B$2:$B$121,"Athletico",$J$2:$J$121,"=CBF")+COUNTIFS($E$2:$E$121,"Athletico",$J$2:$J$121,"=CBF")</f>
        <v>8</v>
      </c>
      <c r="V13" s="15">
        <f>COUNTIFS($B$2:$B$121,"Athletico",$M$2:$M$121,"=FIFA")+COUNTIFS($E$2:$E$121,"Athletico",$M$2:$M$121,"=FIFA")</f>
        <v>7</v>
      </c>
      <c r="W13" s="15">
        <f>COUNTIFS($B$2:$B$121,"Athletico",$M$2:$M$121,"=CBF")+COUNTIFS($E$2:$E$121,"Athletico",$M$2:$M$121,"=CBF")</f>
        <v>5</v>
      </c>
      <c r="X13" s="15">
        <f>SUMIFS($O$2:$O$121,$B$2:$B$121,"Athletico")+SUMIFS($O$2:$O$121,$E$2:$E$121,"Athletico")</f>
        <v>4</v>
      </c>
      <c r="Y13" s="15">
        <f>SUMIFS($P$2:$P$121,$B$2:$B$121,"Athletico")+SUMIFS($P$2:$P$121,$E$2:$E$121,"Athletico")</f>
        <v>3</v>
      </c>
      <c r="Z13" s="15">
        <f>SUMIFS($Q$2:$Q$121,$B$2:$B$121,"Athletico")+SUMIFS($Q$2:$Q$121,$E$2:$E$121,"Athletico")</f>
        <v>5</v>
      </c>
      <c r="AC13" s="7" t="s">
        <v>136</v>
      </c>
      <c r="AD13">
        <f>SUMIFS($A$2:$A$121,$H$2:$H$121,"Edina Alves Batista",$B$2:$B$121,"Athletico")+SUMIFS($A$2:$A$121,$H$2:$H$121,"Edina Alves Batista",$E$2:$E$121,"Athletico")</f>
        <v>0</v>
      </c>
      <c r="AE13">
        <f>SUMIFS($A$2:$A$121,$H$2:$H$121,"Edina Alves Batista",$B$2:$B$121,"Atlético GO")+SUMIFS($A$2:$A$121,$H$2:$H$121,"Edina Alves Batista",$E$2:$E$121,"Atlético GO")</f>
        <v>1</v>
      </c>
      <c r="AF13">
        <f>SUMIFS($A$2:$A$121,$H$2:$H$121,"Edina Alves Batista",$B$2:$B$121,"Atlético MG")+SUMIFS($A$2:$A$121,$H$2:$H$121,"Edina Alves Batista",$E$2:$E$121,"Atlético MG")</f>
        <v>0</v>
      </c>
      <c r="AG13">
        <f>SUMIFS($A$2:$A$121,$H$2:$H$121,"Edina Alves Batista",$B$2:$B$121,"Bahia")+SUMIFS($A$2:$A$121,$H$2:$H$121,"Edina Alves Batista",$E$2:$E$121,"Bahia")</f>
        <v>0</v>
      </c>
      <c r="AH13">
        <f>SUMIFS($A$2:$A$121,$H$2:$H$121,"Edina Alves Batista",$B$2:$B$121,"Botafogo")+SUMIFS($A$2:$A$121,$H$2:$H$121,"Edina Alves Batista",$E$2:$E$121,"Botafogo")</f>
        <v>0</v>
      </c>
      <c r="AI13">
        <f>SUMIFS($A$2:$A$121,$H$2:$H$121,"Edina Alves Batista",$B$2:$B$121,"Corinthians")+SUMIFS($A$2:$A$121,$H$2:$H$121,"Edina Alves Batista",$E$2:$E$121,"Corinthians")</f>
        <v>0</v>
      </c>
      <c r="AJ13">
        <f>SUMIFS($A$2:$A$121,$H$2:$H$121,"Edina Alves Batista",$B$2:$B$121,"Criciúma")+SUMIFS($A$2:$A$121,$H$2:$H$121,"Edina Alves Batista",$E$2:$E$121,"Criciúma")</f>
        <v>0</v>
      </c>
      <c r="AK13">
        <f>SUMIFS($A$2:$A$121,$H$2:$H$121,"Edina Alves Batista",$B$2:$B$121,"Cruzeiro")+SUMIFS($A$2:$A$121,$H$2:$H$121,"Edina Alves Batista",$E$2:$E$121,"Cruzeiro")</f>
        <v>0</v>
      </c>
      <c r="AL13">
        <f>SUMIFS($A$2:$A$121,$H$2:$H$121,"Edina Alves Batista",$B$2:$B$121,"Cuiabá")+SUMIFS($A$2:$A$121,$H$2:$H$121,"Edina Alves Batista",$E$2:$E$121,"Cuiabá")</f>
        <v>0</v>
      </c>
      <c r="AM13">
        <f>SUMIFS($A$2:$A$121,$H$2:$H$121,"Edina Alves Batista",$B$2:$B$121,"Flamengo")+SUMIFS($A$2:$A$121,$H$2:$H$121,"Edina Alves Batista",$E$2:$E$121,"Flamengo")</f>
        <v>0</v>
      </c>
      <c r="AN13">
        <f>SUMIFS($A$2:$A$121,$H$2:$H$121,"Edina Alves Batista",$B$2:$B$121,"Fluminense")+SUMIFS($A$2:$A$121,$H$2:$H$121,"Edina Alves Batista",$E$2:$E$121,"Fluminense")</f>
        <v>0</v>
      </c>
      <c r="AO13">
        <f>SUMIFS($A$2:$A$121,$H$2:$H$121,"Edina Alves Batista",$B$2:$B$121,"Fortaleza")+SUMIFS($A$2:$A$121,$H$2:$H$121,"Edina Alves Batista",$E$2:$E$121,"Fortaleza")</f>
        <v>0</v>
      </c>
      <c r="AP13">
        <f>SUMIFS($A$2:$A$121,$H$2:$H$121,"Edina Alves Batista",$B$2:$B$121,"Grêmio")+SUMIFS($A$2:$A$121,$H$2:$H$121,"Edina Alves Batista",$E$2:$E$121,"Grêmio")</f>
        <v>0</v>
      </c>
      <c r="AQ13">
        <f>SUMIFS($A$2:$A$121,$H$2:$H$121,"Edina Alves Batista",$B$2:$B$121,"Internacional")+SUMIFS($A$2:$A$121,$H$2:$H$121,"Edina Alves Batista",$E$2:$E$121,"Internacional")</f>
        <v>1</v>
      </c>
      <c r="AR13">
        <f>SUMIFS($A$2:$A$121,$H$2:$H$121,"Edina Alves Batista",$B$2:$B$121,"Juventude")+SUMIFS($A$2:$A$121,$H$2:$H$121,"Edina Alves Batista",$E$2:$E$121,"Juventude")</f>
        <v>0</v>
      </c>
      <c r="AS13">
        <f>SUMIFS($A$2:$A$121,$H$2:$H$121,"Edina Alves Batista",$B$2:$B$121,"Palmeiras")+SUMIFS($A$2:$A$121,$H$2:$H$121,"Edina Alves Batista",$E$2:$E$121,"Palmeiras")</f>
        <v>0</v>
      </c>
      <c r="AT13">
        <f>SUMIFS($A$2:$A$121,$H$2:$H$121,"Edina Alves Batista",$B$2:$B$121,"Red Bull")+SUMIFS($A$2:$A$121,$H$2:$H$121,"Edina Alves Batista",$E$2:$E$121,"Red Bull")</f>
        <v>0</v>
      </c>
      <c r="AU13">
        <f>SUMIFS($A$2:$A$121,$H$2:$H$121,"Edina Alves Batista",$B$2:$B$121,"São Paulo")+SUMIFS($A$2:$A$121,$H$2:$H$121,"Edina Alves Batista",$E$2:$E$121,"São Paulo")</f>
        <v>0</v>
      </c>
      <c r="AV13">
        <f>SUMIFS($A$2:$A$121,$H$2:$H$121,"Edina Alves Batista",$B$2:$B$121,"Vasco")+SUMIFS($A$2:$A$121,$H$2:$H$121,"Edina Alves Batista",$E$2:$E$121,"Vasco")</f>
        <v>0</v>
      </c>
      <c r="AW13">
        <f>SUMIFS($A$2:$A$121,$H$2:$H$121,"Edina Alves Batista",$B$2:$B$121,"Vitória")+SUMIFS($A$2:$A$121,$H$2:$H$121,"Edina Alves Batista",$E$2:$E$121,"Vitória")</f>
        <v>0</v>
      </c>
      <c r="AX13" s="30">
        <f t="shared" si="3"/>
        <v>2</v>
      </c>
      <c r="AZ13" s="7" t="s">
        <v>53</v>
      </c>
      <c r="BA13">
        <f>SUMIFS($A$2:$A$121,$K$2:$K$121,"Pablo Ramon Goncalves Pinheiro",$B$2:$B$121,"Athletico")+SUMIFS($A$2:$A$121,$K$2:$K$121,"Pablo Ramon Goncalves Pinheiro",$E$2:$E$121,"Athletico")</f>
        <v>1</v>
      </c>
      <c r="BB13">
        <f>SUMIFS($A$2:$A$121,$K$2:$K$121,"Pablo Ramon Goncalves Pinheiro",$B$2:$B$121,"Atlético GO")+SUMIFS($A$2:$A$121,$K$2:$K$121,"Pablo Ramon Goncalves Pinheiro",$E$2:$E$121,"Atlético GO")</f>
        <v>0</v>
      </c>
      <c r="BC13">
        <f>SUMIFS($A$2:$A$121,$K$2:$K$121,"Pablo Ramon Goncalves Pinheiro",$B$2:$B$121,"Atlético MG")+SUMIFS($A$2:$A$121,$K$2:$K$121,"Pablo Ramon Goncalves Pinheiro",$E$2:$E$121,"Atlético MG")</f>
        <v>0</v>
      </c>
      <c r="BD13">
        <f>SUMIFS($A$2:$A$121,$K$2:$K$121,"Pablo Ramon Goncalves Pinheiro",$B$2:$B$121,"Bahia")+SUMIFS($A$2:$A$121,$K$2:$K$121,"Pablo Ramon Goncalves Pinheiro",$E$2:$E$121,"Bahia")</f>
        <v>1</v>
      </c>
      <c r="BE13">
        <f>SUMIFS($A$2:$A$121,$K$2:$K$121,"Pablo Ramon Goncalves Pinheiro",$B$2:$B$121,"Botafogo")+SUMIFS($A$2:$A$121,$K$2:$K$121,"Pablo Ramon Goncalves Pinheiro",$E$2:$E$121,"Botafogo")</f>
        <v>1</v>
      </c>
      <c r="BF13">
        <f>SUMIFS($A$2:$A$121,$K$2:$K$121,"Pablo Ramon Goncalves Pinheiro",$B$2:$B$121,"Corinthians")+SUMIFS($A$2:$A$121,$K$2:$K$121,"Pablo Ramon Goncalves Pinheiro",$E$2:$E$121,"Corinthians")</f>
        <v>2</v>
      </c>
      <c r="BG13">
        <f>SUMIFS($A$2:$A$121,$K$2:$K$121,"Pablo Ramon Goncalves Pinheiro",$B$2:$B$121,"Criciúma")+SUMIFS($A$2:$A$121,$K$2:$K$121,"Pablo Ramon Goncalves Pinheiro",$E$2:$E$121,"Criciúma")</f>
        <v>0</v>
      </c>
      <c r="BH13">
        <f>SUMIFS($A$2:$A$121,$K$2:$K$121,"Pablo Ramon Goncalves Pinheiro",$B$2:$B$121,"Cruzeiro")+SUMIFS($A$2:$A$121,$K$2:$K$121,"Pablo Ramon Goncalves Pinheiro",$E$2:$E$121,"Cruzeiro")</f>
        <v>0</v>
      </c>
      <c r="BI13">
        <f>SUMIFS($A$2:$A$121,$K$2:$K$121,"Pablo Ramon Goncalves Pinheiro",$B$2:$B$121,"Cuiabá")+SUMIFS($A$2:$A$121,$K$2:$K$121,"Pablo Ramon Goncalves Pinheiro",$E$2:$E$121,"Cuiabá")</f>
        <v>0</v>
      </c>
      <c r="BJ13">
        <f>SUMIFS($A$2:$A$121,$K$2:$K$121,"Pablo Ramon Goncalves Pinheiro",$B$2:$B$121,"Flamengo")+SUMIFS($A$2:$A$121,$K$2:$K$121,"Pablo Ramon Goncalves Pinheiro",$E$2:$E$121,"Flamengo")</f>
        <v>0</v>
      </c>
      <c r="BK13">
        <f>SUMIFS($A$2:$A$121,$K$2:$K$121,"Pablo Ramon Goncalves Pinheiro",$B$2:$B$121,"Fluminense")+SUMIFS($A$2:$A$121,$K$2:$K$121,"Pablo Ramon Goncalves Pinheiro",$E$2:$E$121,"Fluminense")</f>
        <v>1</v>
      </c>
      <c r="BL13">
        <f>SUMIFS($A$2:$A$121,$K$2:$K$121,"Pablo Ramon Goncalves Pinheiro",$B$2:$B$121,"Fortaleza")+SUMIFS($A$2:$A$121,$K$2:$K$121,"Pablo Ramon Goncalves Pinheiro",$E$2:$E$121,"Fortaleza")</f>
        <v>1</v>
      </c>
      <c r="BM13">
        <f>SUMIFS($A$2:$A$121,$K$2:$K$121,"Pablo Ramon Goncalves Pinheiro",$B$2:$B$121,"Grêmio")+SUMIFS($A$2:$A$121,$K$2:$K$121,"Pablo Ramon Goncalves Pinheiro",$E$2:$E$121,"Grêmio")</f>
        <v>1</v>
      </c>
      <c r="BN13">
        <f>SUMIFS($A$2:$A$121,$K$2:$K$121,"Pablo Ramon Goncalves Pinheiro",$B$2:$B$121,"Internacional")+SUMIFS($A$2:$A$121,$K$2:$K$121,"Pablo Ramon Goncalves Pinheiro",$E$2:$E$121,"Internacional")</f>
        <v>0</v>
      </c>
      <c r="BO13">
        <f>SUMIFS($A$2:$A$121,$K$2:$K$121,"Pablo Ramon Goncalves Pinheiro",$B$2:$B$121,"Juventude")+SUMIFS($A$2:$A$121,$K$2:$K$121,"Pablo Ramon Goncalves Pinheiro",$E$2:$E$121,"Juventude")</f>
        <v>0</v>
      </c>
      <c r="BP13">
        <f>SUMIFS($A$2:$A$121,$K$2:$K$121,"Pablo Ramon Goncalves Pinheiro",$B$2:$B$121,"Palmeiras")+SUMIFS($A$2:$A$121,$K$2:$K$121,"Pablo Ramon Goncalves Pinheiro",$E$2:$E$121,"Palmeiras")</f>
        <v>0</v>
      </c>
      <c r="BQ13">
        <f>SUMIFS($A$2:$A$121,$K$2:$K$121,"Pablo Ramon Goncalves Pinheiro",$B$2:$B$121,"Red Bull")+SUMIFS($A$2:$A$121,$K$2:$K$121,"Pablo Ramon Goncalves Pinheiro",$E$2:$E$121,"Red Bull")</f>
        <v>1</v>
      </c>
      <c r="BR13">
        <f>SUMIFS($A$2:$A$121,$K$2:$K$121,"Pablo Ramon Goncalves Pinheiro",$B$2:$B$121,"São Paulo")+SUMIFS($A$2:$A$121,$K$2:$K$121,"Pablo Ramon Goncalves Pinheiro",$E$2:$E$121,"São Paulo")</f>
        <v>2</v>
      </c>
      <c r="BS13">
        <f>SUMIFS($A$2:$A$121,$K$2:$K$121,"Pablo Ramon Goncalves Pinheiro",$B$2:$B$121,"Vasco")+SUMIFS($A$2:$A$121,$K$2:$K$121,"Pablo Ramon Goncalves Pinheiro",$E$2:$E$121,"Vasco")</f>
        <v>1</v>
      </c>
      <c r="BT13">
        <f>SUMIFS($A$2:$A$121,$K$2:$K$121,"Pablo Ramon Goncalves Pinheiro",$B$2:$B$121,"Vitória")+SUMIFS($A$2:$A$121,$K$2:$K$121,"Pablo Ramon Goncalves Pinheiro",$E$2:$E$121,"Vitória")</f>
        <v>0</v>
      </c>
      <c r="BU13" s="30">
        <f t="shared" si="4"/>
        <v>12</v>
      </c>
    </row>
    <row r="14" spans="1:80" ht="15.6" x14ac:dyDescent="0.3">
      <c r="A14">
        <v>1</v>
      </c>
      <c r="B14" s="7" t="s">
        <v>18</v>
      </c>
      <c r="C14" s="9" t="s">
        <v>19</v>
      </c>
      <c r="D14" s="9">
        <v>2</v>
      </c>
      <c r="E14" s="7" t="s">
        <v>33</v>
      </c>
      <c r="F14" s="9" t="s">
        <v>21</v>
      </c>
      <c r="G14" s="9">
        <v>1</v>
      </c>
      <c r="H14" s="7" t="s">
        <v>72</v>
      </c>
      <c r="I14" s="7" t="s">
        <v>32</v>
      </c>
      <c r="J14" s="7" t="s">
        <v>47</v>
      </c>
      <c r="K14" s="7" t="s">
        <v>109</v>
      </c>
      <c r="L14" s="7" t="s">
        <v>13</v>
      </c>
      <c r="M14" s="7" t="s">
        <v>47</v>
      </c>
      <c r="N14" s="14"/>
      <c r="O14" s="18">
        <f t="shared" si="0"/>
        <v>1</v>
      </c>
      <c r="P14" s="18">
        <f t="shared" si="1"/>
        <v>0</v>
      </c>
      <c r="Q14" s="18">
        <f t="shared" si="2"/>
        <v>0</v>
      </c>
      <c r="S14" s="7" t="s">
        <v>34</v>
      </c>
      <c r="T14" s="15">
        <f>COUNTIFS($B$2:$B$121,"Grêmio",$J$2:$J$121,"=FIFA")+COUNTIFS($E$2:$E$121,"Grêmio",$J$2:$J$121,"=FIFA")</f>
        <v>6</v>
      </c>
      <c r="U14" s="15">
        <f>COUNTIFS($B$2:$B$121,"Grêmio",$J$2:$J$121,"=CBF")+COUNTIFS($E$2:$E$121,"Grêmio",$J$2:$J$121,"=CBF")</f>
        <v>4</v>
      </c>
      <c r="V14" s="15">
        <f>COUNTIFS($B$2:$B$121,"Grêmio",$M$2:$M$121,"=FIFA")+COUNTIFS($E$2:$E$121,"Grêmio",$M$2:$M$121,"=FIFA")</f>
        <v>6</v>
      </c>
      <c r="W14" s="15">
        <f>COUNTIFS($B$2:$B$121,"Grêmio",$M$2:$M$121,"=CBF")+COUNTIFS($E$2:$E$121,"Grêmio",$M$2:$M$121,"=CBF")</f>
        <v>4</v>
      </c>
      <c r="X14" s="15">
        <f>SUMIFS($O$2:$O$121,$B$2:$B$121,"Grêmio")+SUMIFS($O$2:$O$121,$E$2:$E$121,"Grêmio")</f>
        <v>4</v>
      </c>
      <c r="Y14" s="15">
        <f>SUMIFS($P$2:$P$121,$B$2:$B$121,"Grêmio")+SUMIFS($P$2:$P$121,$E$2:$E$121,"Grêmio")</f>
        <v>4</v>
      </c>
      <c r="Z14" s="15">
        <f>SUMIFS($Q$2:$Q$121,$B$2:$B$121,"Grêmio")+SUMIFS($Q$2:$Q$121,$E$2:$E$121,"Grêmio")</f>
        <v>2</v>
      </c>
      <c r="AC14" s="7" t="s">
        <v>125</v>
      </c>
      <c r="AD14">
        <f>SUMIFS($A$2:$A$121,$H$2:$H$121,"Emerson Ricardo de Almeida Andrade",$B$2:$B$121,"Athletico")+SUMIFS($A$2:$A$121,$H$2:$H$121,"Emerson Ricardo de Almeida Andrade",$E$2:$E$121,"Athletico")</f>
        <v>0</v>
      </c>
      <c r="AE14">
        <f>SUMIFS($A$2:$A$121,$H$2:$H$121,"Emerson Ricardo de Almeida Andrade",$B$2:$B$121,"Atlético GO")+SUMIFS($A$2:$A$121,$H$2:$H$121,"Emerson Ricardo de Almeida Andrade",$E$2:$E$121,"Atlético GO")</f>
        <v>0</v>
      </c>
      <c r="AF14">
        <f>SUMIFS($A$2:$A$121,$H$2:$H$121,"Emerson Ricardo de Almeida Andrade",$B$2:$B$121,"Atlético MG")+SUMIFS($A$2:$A$121,$H$2:$H$121,"Emerson Ricardo de Almeida Andrade",$E$2:$E$121,"Atlético MG")</f>
        <v>0</v>
      </c>
      <c r="AG14">
        <f>SUMIFS($A$2:$A$121,$H$2:$H$121,"Emerson Ricardo de Almeida Andrade",$B$2:$B$121,"Bahia")+SUMIFS($A$2:$A$121,$H$2:$H$121,"Emerson Ricardo de Almeida Andrade",$E$2:$E$121,"Bahia")</f>
        <v>0</v>
      </c>
      <c r="AH14">
        <f>SUMIFS($A$2:$A$121,$H$2:$H$121,"Emerson Ricardo de Almeida Andrade",$B$2:$B$121,"Botafogo")+SUMIFS($A$2:$A$121,$H$2:$H$121,"Emerson Ricardo de Almeida Andrade",$E$2:$E$121,"Botafogo")</f>
        <v>0</v>
      </c>
      <c r="AI14">
        <f>SUMIFS($A$2:$A$121,$H$2:$H$121,"Emerson Ricardo de Almeida Andrade",$B$2:$B$121,"Corinthians")+SUMIFS($A$2:$A$121,$H$2:$H$121,"Emerson Ricardo de Almeida Andrade",$E$2:$E$121,"Corinthians")</f>
        <v>0</v>
      </c>
      <c r="AJ14">
        <f>SUMIFS($A$2:$A$121,$H$2:$H$121,"Emerson Ricardo de Almeida Andrade",$B$2:$B$121,"Criciúma")+SUMIFS($A$2:$A$121,$H$2:$H$121,"Emerson Ricardo de Almeida Andrade",$E$2:$E$121,"Criciúma")</f>
        <v>0</v>
      </c>
      <c r="AK14">
        <f>SUMIFS($A$2:$A$121,$H$2:$H$121,"Emerson Ricardo de Almeida Andrade",$B$2:$B$121,"Cruzeiro")+SUMIFS($A$2:$A$121,$H$2:$H$121,"Emerson Ricardo de Almeida Andrade",$E$2:$E$121,"Cruzeiro")</f>
        <v>0</v>
      </c>
      <c r="AL14">
        <f>SUMIFS($A$2:$A$121,$H$2:$H$121,"Emerson Ricardo de Almeida Andrade",$B$2:$B$121,"Cuiabá")+SUMIFS($A$2:$A$121,$H$2:$H$121,"Emerson Ricardo de Almeida Andrade",$E$2:$E$121,"Cuiabá")</f>
        <v>0</v>
      </c>
      <c r="AM14">
        <f>SUMIFS($A$2:$A$121,$H$2:$H$121,"Emerson Ricardo de Almeida Andrade",$B$2:$B$121,"Flamengo")+SUMIFS($A$2:$A$121,$H$2:$H$121,"Emerson Ricardo de Almeida Andrade",$E$2:$E$121,"Flamengo")</f>
        <v>0</v>
      </c>
      <c r="AN14">
        <f>SUMIFS($A$2:$A$121,$H$2:$H$121,"Emerson Ricardo de Almeida Andrade",$B$2:$B$121,"Fluminense")+SUMIFS($A$2:$A$121,$H$2:$H$121,"Emerson Ricardo de Almeida Andrade",$E$2:$E$121,"Fluminense")</f>
        <v>0</v>
      </c>
      <c r="AO14">
        <f>SUMIFS($A$2:$A$121,$H$2:$H$121,"Emerson Ricardo de Almeida Andrade",$B$2:$B$121,"Fortaleza")+SUMIFS($A$2:$A$121,$H$2:$H$121,"Emerson Ricardo de Almeida Andrade",$E$2:$E$121,"Fortaleza")</f>
        <v>0</v>
      </c>
      <c r="AP14">
        <f>SUMIFS($A$2:$A$121,$H$2:$H$121,"Emerson Ricardo de Almeida Andrade",$B$2:$B$121,"Grêmio")+SUMIFS($A$2:$A$121,$H$2:$H$121,"Emerson Ricardo de Almeida Andrade",$E$2:$E$121,"Grêmio")</f>
        <v>0</v>
      </c>
      <c r="AQ14">
        <f>SUMIFS($A$2:$A$121,$H$2:$H$121,"Emerson Ricardo de Almeida Andrade",$B$2:$B$121,"Internacional")+SUMIFS($A$2:$A$121,$H$2:$H$121,"Emerson Ricardo de Almeida Andrade",$E$2:$E$121,"Internacional")</f>
        <v>0</v>
      </c>
      <c r="AR14">
        <f>SUMIFS($A$2:$A$121,$H$2:$H$121,"Emerson Ricardo de Almeida Andrade",$B$2:$B$121,"Juventude")+SUMIFS($A$2:$A$121,$H$2:$H$121,"Emerson Ricardo de Almeida Andrade",$E$2:$E$121,"Juventude")</f>
        <v>1</v>
      </c>
      <c r="AS14">
        <f>SUMIFS($A$2:$A$121,$H$2:$H$121,"Emerson Ricardo de Almeida Andrade",$B$2:$B$121,"Palmeiras")+SUMIFS($A$2:$A$121,$H$2:$H$121,"Emerson Ricardo de Almeida Andrade",$E$2:$E$121,"Palmeiras")</f>
        <v>0</v>
      </c>
      <c r="AT14">
        <f>SUMIFS($A$2:$A$121,$H$2:$H$121,"Emerson Ricardo de Almeida Andrade",$B$2:$B$121,"Red Bull")+SUMIFS($A$2:$A$121,$H$2:$H$121,"Emerson Ricardo de Almeida Andrade",$E$2:$E$121,"Red Bull")</f>
        <v>1</v>
      </c>
      <c r="AU14">
        <f>SUMIFS($A$2:$A$121,$H$2:$H$121,"Emerson Ricardo de Almeida Andrade",$B$2:$B$121,"São Paulo")+SUMIFS($A$2:$A$121,$H$2:$H$121,"Emerson Ricardo de Almeida Andrade",$E$2:$E$121,"São Paulo")</f>
        <v>0</v>
      </c>
      <c r="AV14">
        <f>SUMIFS($A$2:$A$121,$H$2:$H$121,"Emerson Ricardo de Almeida Andrade",$B$2:$B$121,"Vasco")+SUMIFS($A$2:$A$121,$H$2:$H$121,"Emerson Ricardo de Almeida Andrade",$E$2:$E$121,"Vasco")</f>
        <v>0</v>
      </c>
      <c r="AW14">
        <f>SUMIFS($A$2:$A$121,$H$2:$H$121,"Emerson Ricardo de Almeida Andrade",$B$2:$B$121,"Vitória")+SUMIFS($A$2:$A$121,$H$2:$H$121,"Emerson Ricardo de Almeida Andrade",$E$2:$E$121,"Vitória")</f>
        <v>0</v>
      </c>
      <c r="AX14" s="30">
        <f t="shared" si="3"/>
        <v>2</v>
      </c>
      <c r="AZ14" s="7" t="s">
        <v>75</v>
      </c>
      <c r="BA14">
        <f>SUMIFS($A$2:$A$121,$K$2:$K$121,"Paulo Renato Moreira da Silva Coelho",$B$2:$B$121,"Athletico")+SUMIFS($A$2:$A$121,$K$2:$K$121,"Paulo Renato Moreira da Silva Coelho",$E$2:$E$121,"Athletico")</f>
        <v>1</v>
      </c>
      <c r="BB14">
        <f>SUMIFS($A$2:$A$121,$K$2:$K$121,"Paulo Renato Moreira da Silva Coelho",$B$2:$B$121,"Atlético GO")+SUMIFS($A$2:$A$121,$K$2:$K$121,"Paulo Renato Moreira da Silva Coelho",$E$2:$E$121,"Atlético GO")</f>
        <v>1</v>
      </c>
      <c r="BC14">
        <f>SUMIFS($A$2:$A$121,$K$2:$K$121,"Paulo Renato Moreira da Silva Coelho",$B$2:$B$121,"Atlético MG")+SUMIFS($A$2:$A$121,$K$2:$K$121,"Paulo Renato Moreira da Silva Coelho",$E$2:$E$121,"Atlético MG")</f>
        <v>0</v>
      </c>
      <c r="BD14">
        <f>SUMIFS($A$2:$A$121,$K$2:$K$121,"Paulo Renato Moreira da Silva Coelho",$B$2:$B$121,"Bahia")+SUMIFS($A$2:$A$121,$K$2:$K$121,"Paulo Renato Moreira da Silva Coelho",$E$2:$E$121,"Bahia")</f>
        <v>0</v>
      </c>
      <c r="BE14">
        <f>SUMIFS($A$2:$A$121,$K$2:$K$121,"Paulo Renato Moreira da Silva Coelho",$B$2:$B$121,"Botafogo")+SUMIFS($A$2:$A$121,$K$2:$K$121,"Paulo Renato Moreira da Silva Coelho",$E$2:$E$121,"Botafogo")</f>
        <v>0</v>
      </c>
      <c r="BF14">
        <f>SUMIFS($A$2:$A$121,$K$2:$K$121,"Paulo Renato Moreira da Silva Coelho",$B$2:$B$121,"Corinthians")+SUMIFS($A$2:$A$121,$K$2:$K$121,"Paulo Renato Moreira da Silva Coelho",$E$2:$E$121,"Corinthians")</f>
        <v>1</v>
      </c>
      <c r="BG14">
        <f>SUMIFS($A$2:$A$121,$K$2:$K$121,"Paulo Renato Moreira da Silva Coelho",$B$2:$B$121,"Criciúma")+SUMIFS($A$2:$A$121,$K$2:$K$121,"Paulo Renato Moreira da Silva Coelho",$E$2:$E$121,"Criciúma")</f>
        <v>2</v>
      </c>
      <c r="BH14">
        <f>SUMIFS($A$2:$A$121,$K$2:$K$121,"Paulo Renato Moreira da Silva Coelho",$B$2:$B$121,"Cruzeiro")+SUMIFS($A$2:$A$121,$K$2:$K$121,"Paulo Renato Moreira da Silva Coelho",$E$2:$E$121,"Cruzeiro")</f>
        <v>1</v>
      </c>
      <c r="BI14">
        <f>SUMIFS($A$2:$A$121,$K$2:$K$121,"Paulo Renato Moreira da Silva Coelho",$B$2:$B$121,"Cuiabá")+SUMIFS($A$2:$A$121,$K$2:$K$121,"Paulo Renato Moreira da Silva Coelho",$E$2:$E$121,"Cuiabá")</f>
        <v>1</v>
      </c>
      <c r="BJ14">
        <f>SUMIFS($A$2:$A$121,$K$2:$K$121,"Paulo Renato Moreira da Silva Coelho",$B$2:$B$121,"Flamengo")+SUMIFS($A$2:$A$121,$K$2:$K$121,"Paulo Renato Moreira da Silva Coelho",$E$2:$E$121,"Flamengo")</f>
        <v>0</v>
      </c>
      <c r="BK14">
        <f>SUMIFS($A$2:$A$121,$K$2:$K$121,"Paulo Renato Moreira da Silva Coelho",$B$2:$B$121,"Fluminense")+SUMIFS($A$2:$A$121,$K$2:$K$121,"Paulo Renato Moreira da Silva Coelho",$E$2:$E$121,"Fluminense")</f>
        <v>0</v>
      </c>
      <c r="BL14">
        <f>SUMIFS($A$2:$A$121,$K$2:$K$121,"Paulo Renato Moreira da Silva Coelho",$B$2:$B$121,"Fortaleza")+SUMIFS($A$2:$A$121,$K$2:$K$121,"Paulo Renato Moreira da Silva Coelho",$E$2:$E$121,"Fortaleza")</f>
        <v>0</v>
      </c>
      <c r="BM14">
        <f>SUMIFS($A$2:$A$121,$K$2:$K$121,"Paulo Renato Moreira da Silva Coelho",$B$2:$B$121,"Grêmio")+SUMIFS($A$2:$A$121,$K$2:$K$121,"Paulo Renato Moreira da Silva Coelho",$E$2:$E$121,"Grêmio")</f>
        <v>1</v>
      </c>
      <c r="BN14">
        <f>SUMIFS($A$2:$A$121,$K$2:$K$121,"Paulo Renato Moreira da Silva Coelho",$B$2:$B$121,"Internacional")+SUMIFS($A$2:$A$121,$K$2:$K$121,"Paulo Renato Moreira da Silva Coelho",$E$2:$E$121,"Internacional")</f>
        <v>0</v>
      </c>
      <c r="BO14">
        <f>SUMIFS($A$2:$A$121,$K$2:$K$121,"Paulo Renato Moreira da Silva Coelho",$B$2:$B$121,"Juventude")+SUMIFS($A$2:$A$121,$K$2:$K$121,"Paulo Renato Moreira da Silva Coelho",$E$2:$E$121,"Juventude")</f>
        <v>2</v>
      </c>
      <c r="BP14">
        <f>SUMIFS($A$2:$A$121,$K$2:$K$121,"Paulo Renato Moreira da Silva Coelho",$B$2:$B$121,"Palmeiras")+SUMIFS($A$2:$A$121,$K$2:$K$121,"Paulo Renato Moreira da Silva Coelho",$E$2:$E$121,"Palmeiras")</f>
        <v>1</v>
      </c>
      <c r="BQ14">
        <f>SUMIFS($A$2:$A$121,$K$2:$K$121,"Paulo Renato Moreira da Silva Coelho",$B$2:$B$121,"Red Bull")+SUMIFS($A$2:$A$121,$K$2:$K$121,"Paulo Renato Moreira da Silva Coelho",$E$2:$E$121,"Red Bull")</f>
        <v>1</v>
      </c>
      <c r="BR14">
        <f>SUMIFS($A$2:$A$121,$K$2:$K$121,"Paulo Renato Moreira da Silva Coelho",$B$2:$B$121,"São Paulo")+SUMIFS($A$2:$A$121,$K$2:$K$121,"Paulo Renato Moreira da Silva Coelho",$E$2:$E$121,"São Paulo")</f>
        <v>0</v>
      </c>
      <c r="BS14">
        <f>SUMIFS($A$2:$A$121,$K$2:$K$121,"Paulo Renato Moreira da Silva Coelho",$B$2:$B$121,"Vasco")+SUMIFS($A$2:$A$121,$K$2:$K$121,"Paulo Renato Moreira da Silva Coelho",$E$2:$E$121,"Vasco")</f>
        <v>0</v>
      </c>
      <c r="BT14">
        <f>SUMIFS($A$2:$A$121,$K$2:$K$121,"Paulo Renato Moreira da Silva Coelho",$B$2:$B$121,"Vitória")+SUMIFS($A$2:$A$121,$K$2:$K$121,"Paulo Renato Moreira da Silva Coelho",$E$2:$E$121,"Vitória")</f>
        <v>0</v>
      </c>
      <c r="BU14" s="30">
        <f t="shared" si="4"/>
        <v>12</v>
      </c>
    </row>
    <row r="15" spans="1:80" ht="15.6" x14ac:dyDescent="0.3">
      <c r="A15">
        <v>1</v>
      </c>
      <c r="B15" s="7" t="s">
        <v>14</v>
      </c>
      <c r="C15" s="9" t="s">
        <v>15</v>
      </c>
      <c r="D15" s="9">
        <v>2</v>
      </c>
      <c r="E15" s="7" t="s">
        <v>31</v>
      </c>
      <c r="F15" s="9" t="s">
        <v>19</v>
      </c>
      <c r="G15" s="9">
        <v>0</v>
      </c>
      <c r="H15" s="7" t="s">
        <v>74</v>
      </c>
      <c r="I15" s="7" t="s">
        <v>21</v>
      </c>
      <c r="J15" s="7" t="s">
        <v>47</v>
      </c>
      <c r="K15" s="7" t="s">
        <v>75</v>
      </c>
      <c r="L15" s="7" t="s">
        <v>21</v>
      </c>
      <c r="M15" s="7" t="s">
        <v>43</v>
      </c>
      <c r="N15" s="14"/>
      <c r="O15" s="18">
        <f t="shared" si="0"/>
        <v>0</v>
      </c>
      <c r="P15" s="18">
        <f t="shared" si="1"/>
        <v>1</v>
      </c>
      <c r="Q15" s="18">
        <f t="shared" si="2"/>
        <v>0</v>
      </c>
      <c r="S15" s="7" t="s">
        <v>16</v>
      </c>
      <c r="T15" s="15">
        <f>COUNTIFS($B$2:$B$121,"Internacional",$J$2:$J$121,"=FIFA")+COUNTIFS($E$2:$E$121,"Internacional",$J$2:$J$121,"=FIFA")</f>
        <v>5</v>
      </c>
      <c r="U15" s="15">
        <f>COUNTIFS($B$2:$B$121,"Internacional",$J$2:$J$121,"=CBF")+COUNTIFS($E$2:$E$121,"Internacional",$J$2:$J$121,"=CBF")</f>
        <v>5</v>
      </c>
      <c r="V15" s="15">
        <f>COUNTIFS($B$2:$B$121,"Internacional",$M$2:$M$121,"=FIFA")+COUNTIFS($E$2:$E$121,"Internacional",$M$2:$M$121,"=FIFA")</f>
        <v>7</v>
      </c>
      <c r="W15" s="15">
        <f>COUNTIFS($B$2:$B$121,"Internacional",$M$2:$M$121,"=CBF")+COUNTIFS($E$2:$E$121,"Internacional",$M$2:$M$121,"=CBF")</f>
        <v>3</v>
      </c>
      <c r="X15" s="15">
        <f>SUMIFS($O$2:$O$121,$B$2:$B$121,"Internacional")+SUMIFS($O$2:$O$121,$E$2:$E$121,"Internacional")</f>
        <v>3</v>
      </c>
      <c r="Y15" s="15">
        <f>SUMIFS($P$2:$P$121,$B$2:$B$121,"Internacional")+SUMIFS($P$2:$P$121,$E$2:$E$121,"Internacional")</f>
        <v>6</v>
      </c>
      <c r="Z15" s="15">
        <f>SUMIFS($Q$2:$Q$121,$B$2:$B$121,"Internacional")+SUMIFS($Q$2:$Q$121,$E$2:$E$121,"Internacional")</f>
        <v>1</v>
      </c>
      <c r="AC15" s="7" t="s">
        <v>101</v>
      </c>
      <c r="AD15">
        <f>SUMIFS($A$2:$A$121,$H$2:$H$121,"Fabio Augusto Santos Sa Junior",$B$2:$B$121,"Athletico")+SUMIFS($A$2:$A$121,$H$2:$H$121,"Fabio Augusto Santos Sa Junior",$E$2:$E$121,"Athletico")</f>
        <v>0</v>
      </c>
      <c r="AE15">
        <f>SUMIFS($A$2:$A$121,$H$2:$H$121,"Fabio Augusto Santos Sa Junior",$B$2:$B$121,"Atlético GO")+SUMIFS($A$2:$A$121,$H$2:$H$121,"Fabio Augusto Santos Sa Junior",$E$2:$E$121,"Atlético GO")</f>
        <v>0</v>
      </c>
      <c r="AF15">
        <f>SUMIFS($A$2:$A$121,$H$2:$H$121,"Fabio Augusto Santos Sa Junior",$B$2:$B$121,"Atlético MG")+SUMIFS($A$2:$A$121,$H$2:$H$121,"Fabio Augusto Santos Sa Junior",$E$2:$E$121,"Atlético MG")</f>
        <v>0</v>
      </c>
      <c r="AG15">
        <f>SUMIFS($A$2:$A$121,$H$2:$H$121,"Fabio Augusto Santos Sa Junior",$B$2:$B$121,"Bahia")+SUMIFS($A$2:$A$121,$H$2:$H$121,"Fabio Augusto Santos Sa Junior",$E$2:$E$121,"Bahia")</f>
        <v>0</v>
      </c>
      <c r="AH15">
        <f>SUMIFS($A$2:$A$121,$H$2:$H$121,"Fabio Augusto Santos Sa Junior",$B$2:$B$121,"Botafogo")+SUMIFS($A$2:$A$121,$H$2:$H$121,"Fabio Augusto Santos Sa Junior",$E$2:$E$121,"Botafogo")</f>
        <v>0</v>
      </c>
      <c r="AI15">
        <f>SUMIFS($A$2:$A$121,$H$2:$H$121,"Fabio Augusto Santos Sa Junior",$B$2:$B$121,"Corinthians")+SUMIFS($A$2:$A$121,$H$2:$H$121,"Fabio Augusto Santos Sa Junior",$E$2:$E$121,"Corinthians")</f>
        <v>1</v>
      </c>
      <c r="AJ15">
        <f>SUMIFS($A$2:$A$121,$H$2:$H$121,"Fabio Augusto Santos Sa Junior",$B$2:$B$121,"Criciúma")+SUMIFS($A$2:$A$121,$H$2:$H$121,"Fabio Augusto Santos Sa Junior",$E$2:$E$121,"Criciúma")</f>
        <v>0</v>
      </c>
      <c r="AK15">
        <f>SUMIFS($A$2:$A$121,$H$2:$H$121,"Fabio Augusto Santos Sa Junior",$B$2:$B$121,"Cruzeiro")+SUMIFS($A$2:$A$121,$H$2:$H$121,"Fabio Augusto Santos Sa Junior",$E$2:$E$121,"Cruzeiro")</f>
        <v>1</v>
      </c>
      <c r="AL15">
        <f>SUMIFS($A$2:$A$121,$H$2:$H$121,"Fabio Augusto Santos Sa Junior",$B$2:$B$121,"Cuiabá")+SUMIFS($A$2:$A$121,$H$2:$H$121,"Fabio Augusto Santos Sa Junior",$E$2:$E$121,"Cuiabá")</f>
        <v>1</v>
      </c>
      <c r="AM15">
        <f>SUMIFS($A$2:$A$121,$H$2:$H$121,"Fabio Augusto Santos Sa Junior",$B$2:$B$121,"Flamengo")+SUMIFS($A$2:$A$121,$H$2:$H$121,"Fabio Augusto Santos Sa Junior",$E$2:$E$121,"Flamengo")</f>
        <v>0</v>
      </c>
      <c r="AN15">
        <f>SUMIFS($A$2:$A$121,$H$2:$H$121,"Fabio Augusto Santos Sa Junior",$B$2:$B$121,"Fluminense")+SUMIFS($A$2:$A$121,$H$2:$H$121,"Fabio Augusto Santos Sa Junior",$E$2:$E$121,"Fluminense")</f>
        <v>0</v>
      </c>
      <c r="AO15">
        <f>SUMIFS($A$2:$A$121,$H$2:$H$121,"Fabio Augusto Santos Sa Junior",$B$2:$B$121,"Fortaleza")+SUMIFS($A$2:$A$121,$H$2:$H$121,"Fabio Augusto Santos Sa Junior",$E$2:$E$121,"Fortaleza")</f>
        <v>0</v>
      </c>
      <c r="AP15">
        <f>SUMIFS($A$2:$A$121,$H$2:$H$121,"Fabio Augusto Santos Sa Junior",$B$2:$B$121,"Grêmio")+SUMIFS($A$2:$A$121,$H$2:$H$121,"Fabio Augusto Santos Sa Junior",$E$2:$E$121,"Grêmio")</f>
        <v>0</v>
      </c>
      <c r="AQ15">
        <f>SUMIFS($A$2:$A$121,$H$2:$H$121,"Fabio Augusto Santos Sa Junior",$B$2:$B$121,"Internacional")+SUMIFS($A$2:$A$121,$H$2:$H$121,"Fabio Augusto Santos Sa Junior",$E$2:$E$121,"Internacional")</f>
        <v>0</v>
      </c>
      <c r="AR15">
        <f>SUMIFS($A$2:$A$121,$H$2:$H$121,"Fabio Augusto Santos Sa Junior",$B$2:$B$121,"Juventude")+SUMIFS($A$2:$A$121,$H$2:$H$121,"Fabio Augusto Santos Sa Junior",$E$2:$E$121,"Juventude")</f>
        <v>0</v>
      </c>
      <c r="AS15">
        <f>SUMIFS($A$2:$A$121,$H$2:$H$121,"Fabio Augusto Santos Sa Junior",$B$2:$B$121,"Palmeiras")+SUMIFS($A$2:$A$121,$H$2:$H$121,"Fabio Augusto Santos Sa Junior",$E$2:$E$121,"Palmeiras")</f>
        <v>0</v>
      </c>
      <c r="AT15">
        <f>SUMIFS($A$2:$A$121,$H$2:$H$121,"Fabio Augusto Santos Sa Junior",$B$2:$B$121,"Red Bull")+SUMIFS($A$2:$A$121,$H$2:$H$121,"Fabio Augusto Santos Sa Junior",$E$2:$E$121,"Red Bull")</f>
        <v>0</v>
      </c>
      <c r="AU15">
        <f>SUMIFS($A$2:$A$121,$H$2:$H$121,"Fabio Augusto Santos Sa Junior",$B$2:$B$121,"São Paulo")+SUMIFS($A$2:$A$121,$H$2:$H$121,"Fabio Augusto Santos Sa Junior",$E$2:$E$121,"São Paulo")</f>
        <v>0</v>
      </c>
      <c r="AV15">
        <f>SUMIFS($A$2:$A$121,$H$2:$H$121,"Fabio Augusto Santos Sa Junior",$B$2:$B$121,"Vasco")+SUMIFS($A$2:$A$121,$H$2:$H$121,"Fabio Augusto Santos Sa Junior",$E$2:$E$121,"Vasco")</f>
        <v>0</v>
      </c>
      <c r="AW15">
        <f>SUMIFS($A$2:$A$121,$H$2:$H$121,"Fabio Augusto Santos Sa Junior",$B$2:$B$121,"Vitória")+SUMIFS($A$2:$A$121,$H$2:$H$121,"Fabio Augusto Santos Sa Junior",$E$2:$E$121,"Vitória")</f>
        <v>1</v>
      </c>
      <c r="AX15" s="30">
        <f t="shared" si="3"/>
        <v>4</v>
      </c>
      <c r="AZ15" s="7" t="s">
        <v>111</v>
      </c>
      <c r="BA15">
        <f>SUMIFS($A$2:$A$121,$K$2:$K$121,"Rafael Traci",$B$2:$B$121,"Athletico")+SUMIFS($A$2:$A$121,$K$2:$K$121,"Rafael Traci",$E$2:$E$121,"Athletico")</f>
        <v>0</v>
      </c>
      <c r="BB15">
        <f>SUMIFS($A$2:$A$121,$K$2:$K$121,"Rafael Traci",$B$2:$B$121,"Atlético GO")+SUMIFS($A$2:$A$121,$K$2:$K$121,"Rafael Traci",$E$2:$E$121,"Atlético GO")</f>
        <v>2</v>
      </c>
      <c r="BC15">
        <f>SUMIFS($A$2:$A$121,$K$2:$K$121,"Rafael Traci",$B$2:$B$121,"Atlético MG")+SUMIFS($A$2:$A$121,$K$2:$K$121,"Rafael Traci",$E$2:$E$121,"Atlético MG")</f>
        <v>0</v>
      </c>
      <c r="BD15">
        <f>SUMIFS($A$2:$A$121,$K$2:$K$121,"Rafael Traci",$B$2:$B$121,"Bahia")+SUMIFS($A$2:$A$121,$K$2:$K$121,"Rafael Traci",$E$2:$E$121,"Bahia")</f>
        <v>1</v>
      </c>
      <c r="BE15">
        <f>SUMIFS($A$2:$A$121,$K$2:$K$121,"Rafael Traci",$B$2:$B$121,"Botafogo")+SUMIFS($A$2:$A$121,$K$2:$K$121,"Rafael Traci",$E$2:$E$121,"Botafogo")</f>
        <v>0</v>
      </c>
      <c r="BF15">
        <f>SUMIFS($A$2:$A$121,$K$2:$K$121,"Rafael Traci",$B$2:$B$121,"Corinthians")+SUMIFS($A$2:$A$121,$K$2:$K$121,"Rafael Traci",$E$2:$E$121,"Corinthians")</f>
        <v>0</v>
      </c>
      <c r="BG15">
        <f>SUMIFS($A$2:$A$121,$K$2:$K$121,"Rafael Traci",$B$2:$B$121,"Criciúma")+SUMIFS($A$2:$A$121,$K$2:$K$121,"Rafael Traci",$E$2:$E$121,"Criciúma")</f>
        <v>0</v>
      </c>
      <c r="BH15">
        <f>SUMIFS($A$2:$A$121,$K$2:$K$121,"Rafael Traci",$B$2:$B$121,"Cruzeiro")+SUMIFS($A$2:$A$121,$K$2:$K$121,"Rafael Traci",$E$2:$E$121,"Cruzeiro")</f>
        <v>2</v>
      </c>
      <c r="BI15">
        <f>SUMIFS($A$2:$A$121,$K$2:$K$121,"Rafael Traci",$B$2:$B$121,"Cuiabá")+SUMIFS($A$2:$A$121,$K$2:$K$121,"Rafael Traci",$E$2:$E$121,"Cuiabá")</f>
        <v>0</v>
      </c>
      <c r="BJ15">
        <f>SUMIFS($A$2:$A$121,$K$2:$K$121,"Rafael Traci",$B$2:$B$121,"Flamengo")+SUMIFS($A$2:$A$121,$K$2:$K$121,"Rafael Traci",$E$2:$E$121,"Flamengo")</f>
        <v>2</v>
      </c>
      <c r="BK15">
        <f>SUMIFS($A$2:$A$121,$K$2:$K$121,"Rafael Traci",$B$2:$B$121,"Fluminense")+SUMIFS($A$2:$A$121,$K$2:$K$121,"Rafael Traci",$E$2:$E$121,"Fluminense")</f>
        <v>0</v>
      </c>
      <c r="BL15">
        <f>SUMIFS($A$2:$A$121,$K$2:$K$121,"Rafael Traci",$B$2:$B$121,"Fortaleza")+SUMIFS($A$2:$A$121,$K$2:$K$121,"Rafael Traci",$E$2:$E$121,"Fortaleza")</f>
        <v>0</v>
      </c>
      <c r="BM15">
        <f>SUMIFS($A$2:$A$121,$K$2:$K$121,"Rafael Traci",$B$2:$B$121,"Grêmio")+SUMIFS($A$2:$A$121,$K$2:$K$121,"Rafael Traci",$E$2:$E$121,"Grêmio")</f>
        <v>1</v>
      </c>
      <c r="BN15">
        <f>SUMIFS($A$2:$A$121,$K$2:$K$121,"Rafael Traci",$B$2:$B$121,"Internacional")+SUMIFS($A$2:$A$121,$K$2:$K$121,"Rafael Traci",$E$2:$E$121,"Internacional")</f>
        <v>0</v>
      </c>
      <c r="BO15">
        <f>SUMIFS($A$2:$A$121,$K$2:$K$121,"Rafael Traci",$B$2:$B$121,"Juventude")+SUMIFS($A$2:$A$121,$K$2:$K$121,"Rafael Traci",$E$2:$E$121,"Juventude")</f>
        <v>1</v>
      </c>
      <c r="BP15">
        <f>SUMIFS($A$2:$A$121,$K$2:$K$121,"Rafael Traci",$B$2:$B$121,"Palmeiras")+SUMIFS($A$2:$A$121,$K$2:$K$121,"Rafael Traci",$E$2:$E$121,"Palmeiras")</f>
        <v>0</v>
      </c>
      <c r="BQ15">
        <f>SUMIFS($A$2:$A$121,$K$2:$K$121,"Rafael Traci",$B$2:$B$121,"Red Bull")+SUMIFS($A$2:$A$121,$K$2:$K$121,"Rafael Traci",$E$2:$E$121,"Red Bull")</f>
        <v>1</v>
      </c>
      <c r="BR15">
        <f>SUMIFS($A$2:$A$121,$K$2:$K$121,"Rafael Traci",$B$2:$B$121,"São Paulo")+SUMIFS($A$2:$A$121,$K$2:$K$121,"Rafael Traci",$E$2:$E$121,"São Paulo")</f>
        <v>0</v>
      </c>
      <c r="BS15">
        <f>SUMIFS($A$2:$A$121,$K$2:$K$121,"Rafael Traci",$B$2:$B$121,"Vasco")+SUMIFS($A$2:$A$121,$K$2:$K$121,"Rafael Traci",$E$2:$E$121,"Vasco")</f>
        <v>2</v>
      </c>
      <c r="BT15">
        <f>SUMIFS($A$2:$A$121,$K$2:$K$121,"Rafael Traci",$B$2:$B$121,"Vitória")+SUMIFS($A$2:$A$121,$K$2:$K$121,"Rafael Traci",$E$2:$E$121,"Vitória")</f>
        <v>2</v>
      </c>
      <c r="BU15" s="30">
        <f t="shared" ref="BU15" si="6">SUM(BA15:BT15)</f>
        <v>14</v>
      </c>
    </row>
    <row r="16" spans="1:80" ht="15.6" x14ac:dyDescent="0.3">
      <c r="A16">
        <v>1</v>
      </c>
      <c r="B16" s="7" t="s">
        <v>40</v>
      </c>
      <c r="C16" s="9" t="s">
        <v>32</v>
      </c>
      <c r="D16" s="9">
        <v>1</v>
      </c>
      <c r="E16" s="7" t="s">
        <v>12</v>
      </c>
      <c r="F16" s="9" t="s">
        <v>13</v>
      </c>
      <c r="G16" s="9">
        <v>1</v>
      </c>
      <c r="H16" s="7" t="s">
        <v>76</v>
      </c>
      <c r="I16" s="7" t="s">
        <v>46</v>
      </c>
      <c r="J16" s="7" t="s">
        <v>43</v>
      </c>
      <c r="K16" s="7" t="s">
        <v>122</v>
      </c>
      <c r="L16" s="7" t="s">
        <v>21</v>
      </c>
      <c r="M16" s="7" t="s">
        <v>43</v>
      </c>
      <c r="N16" s="14"/>
      <c r="O16" s="18">
        <f t="shared" si="0"/>
        <v>0</v>
      </c>
      <c r="P16" s="18">
        <f t="shared" si="1"/>
        <v>0</v>
      </c>
      <c r="Q16" s="18">
        <f t="shared" si="2"/>
        <v>1</v>
      </c>
      <c r="S16" s="7" t="s">
        <v>30</v>
      </c>
      <c r="T16" s="15">
        <f>COUNTIFS($B$2:$B$121,"Cuiabá",$J$2:$J$121,"=FIFA")+COUNTIFS($E$2:$E$121,"Cuiabá",$J$2:$J$121,"=FIFA")</f>
        <v>3</v>
      </c>
      <c r="U16" s="15">
        <f>COUNTIFS($B$2:$B$121,"Cuiabá",$J$2:$J$121,"=CBF")+COUNTIFS($E$2:$E$121,"Cuiabá",$J$2:$J$121,"=CBF")</f>
        <v>9</v>
      </c>
      <c r="V16" s="15">
        <f>COUNTIFS($B$2:$B$121,"Cuiabá",$M$2:$M$121,"=FIFA")+COUNTIFS($E$2:$E$121,"Cuiabá",$M$2:$M$121,"=FIFA")</f>
        <v>8</v>
      </c>
      <c r="W16" s="15">
        <f>COUNTIFS($B$2:$B$121,"Cuiabá",$M$2:$M$121,"=CBF")+COUNTIFS($E$2:$E$121,"Cuiabá",$M$2:$M$121,"=CBF")</f>
        <v>4</v>
      </c>
      <c r="X16" s="15">
        <f>SUMIFS($O$2:$O$121,$B$2:$B$121,"Cuiabá")+SUMIFS($O$2:$O$121,$E$2:$E$121,"Cuiabá")</f>
        <v>2</v>
      </c>
      <c r="Y16" s="15">
        <f>SUMIFS($P$2:$P$121,$B$2:$B$121,"Cuiabá")+SUMIFS($P$2:$P$121,$E$2:$E$121,"Cuiabá")</f>
        <v>7</v>
      </c>
      <c r="Z16" s="15">
        <f>SUMIFS($Q$2:$Q$121,$B$2:$B$121,"Cuiabá")+SUMIFS($Q$2:$Q$121,$E$2:$E$121,"Cuiabá")</f>
        <v>3</v>
      </c>
      <c r="AC16" s="7" t="s">
        <v>130</v>
      </c>
      <c r="AD16">
        <f>SUMIFS($A$2:$A$121,$H$2:$H$121,"Felipe Fernandes de Lima",$B$2:$B$121,"Athletico")+SUMIFS($A$2:$A$121,$H$2:$H$121,"Felipe Fernandes de Lima",$E$2:$E$121,"Athletico")</f>
        <v>2</v>
      </c>
      <c r="AE16">
        <f>SUMIFS($A$2:$A$121,$H$2:$H$121,"Felipe Fernandes de Lima",$B$2:$B$121,"Atlético GO")+SUMIFS($A$2:$A$121,$H$2:$H$121,"Felipe Fernandes de Lima",$E$2:$E$121,"Atlético GO")</f>
        <v>0</v>
      </c>
      <c r="AF16">
        <f>SUMIFS($A$2:$A$121,$H$2:$H$121,"Felipe Fernandes de Lima",$B$2:$B$121,"Atlético MG")+SUMIFS($A$2:$A$121,$H$2:$H$121,"Felipe Fernandes de Lima",$E$2:$E$121,"Atlético MG")</f>
        <v>0</v>
      </c>
      <c r="AG16">
        <f>SUMIFS($A$2:$A$121,$H$2:$H$121,"Felipe Fernandes de Lima",$B$2:$B$121,"Bahia")+SUMIFS($A$2:$A$121,$H$2:$H$121,"Felipe Fernandes de Lima",$E$2:$E$121,"Bahia")</f>
        <v>1</v>
      </c>
      <c r="AH16">
        <f>SUMIFS($A$2:$A$121,$H$2:$H$121,"Felipe Fernandes de Lima",$B$2:$B$121,"Botafogo")+SUMIFS($A$2:$A$121,$H$2:$H$121,"Felipe Fernandes de Lima",$E$2:$E$121,"Botafogo")</f>
        <v>0</v>
      </c>
      <c r="AI16">
        <f>SUMIFS($A$2:$A$121,$H$2:$H$121,"Felipe Fernandes de Lima",$B$2:$B$121,"Corinthians")+SUMIFS($A$2:$A$121,$H$2:$H$121,"Felipe Fernandes de Lima",$E$2:$E$121,"Corinthians")</f>
        <v>2</v>
      </c>
      <c r="AJ16">
        <f>SUMIFS($A$2:$A$121,$H$2:$H$121,"Felipe Fernandes de Lima",$B$2:$B$121,"Criciúma")+SUMIFS($A$2:$A$121,$H$2:$H$121,"Felipe Fernandes de Lima",$E$2:$E$121,"Criciúma")</f>
        <v>0</v>
      </c>
      <c r="AK16">
        <f>SUMIFS($A$2:$A$121,$H$2:$H$121,"Felipe Fernandes de Lima",$B$2:$B$121,"Cruzeiro")+SUMIFS($A$2:$A$121,$H$2:$H$121,"Felipe Fernandes de Lima",$E$2:$E$121,"Cruzeiro")</f>
        <v>0</v>
      </c>
      <c r="AL16">
        <f>SUMIFS($A$2:$A$121,$H$2:$H$121,"Felipe Fernandes de Lima",$B$2:$B$121,"Cuiabá")+SUMIFS($A$2:$A$121,$H$2:$H$121,"Felipe Fernandes de Lima",$E$2:$E$121,"Cuiabá")</f>
        <v>0</v>
      </c>
      <c r="AM16">
        <f>SUMIFS($A$2:$A$121,$H$2:$H$121,"Felipe Fernandes de Lima",$B$2:$B$121,"Flamengo")+SUMIFS($A$2:$A$121,$H$2:$H$121,"Felipe Fernandes de Lima",$E$2:$E$121,"Flamengo")</f>
        <v>0</v>
      </c>
      <c r="AN16">
        <f>SUMIFS($A$2:$A$121,$H$2:$H$121,"Felipe Fernandes de Lima",$B$2:$B$121,"Fluminense")+SUMIFS($A$2:$A$121,$H$2:$H$121,"Felipe Fernandes de Lima",$E$2:$E$121,"Fluminense")</f>
        <v>0</v>
      </c>
      <c r="AO16">
        <f>SUMIFS($A$2:$A$121,$H$2:$H$121,"Felipe Fernandes de Lima",$B$2:$B$121,"Fortaleza")+SUMIFS($A$2:$A$121,$H$2:$H$121,"Felipe Fernandes de Lima",$E$2:$E$121,"Fortaleza")</f>
        <v>2</v>
      </c>
      <c r="AP16">
        <f>SUMIFS($A$2:$A$121,$H$2:$H$121,"Felipe Fernandes de Lima",$B$2:$B$121,"Grêmio")+SUMIFS($A$2:$A$121,$H$2:$H$121,"Felipe Fernandes de Lima",$E$2:$E$121,"Grêmio")</f>
        <v>0</v>
      </c>
      <c r="AQ16">
        <f>SUMIFS($A$2:$A$121,$H$2:$H$121,"Felipe Fernandes de Lima",$B$2:$B$121,"Internacional")+SUMIFS($A$2:$A$121,$H$2:$H$121,"Felipe Fernandes de Lima",$E$2:$E$121,"Internacional")</f>
        <v>1</v>
      </c>
      <c r="AR16">
        <f>SUMIFS($A$2:$A$121,$H$2:$H$121,"Felipe Fernandes de Lima",$B$2:$B$121,"Juventude")+SUMIFS($A$2:$A$121,$H$2:$H$121,"Felipe Fernandes de Lima",$E$2:$E$121,"Juventude")</f>
        <v>0</v>
      </c>
      <c r="AS16">
        <f>SUMIFS($A$2:$A$121,$H$2:$H$121,"Felipe Fernandes de Lima",$B$2:$B$121,"Palmeiras")+SUMIFS($A$2:$A$121,$H$2:$H$121,"Felipe Fernandes de Lima",$E$2:$E$121,"Palmeiras")</f>
        <v>0</v>
      </c>
      <c r="AT16">
        <f>SUMIFS($A$2:$A$121,$H$2:$H$121,"Felipe Fernandes de Lima",$B$2:$B$121,"Red Bull")+SUMIFS($A$2:$A$121,$H$2:$H$121,"Felipe Fernandes de Lima",$E$2:$E$121,"Red Bull")</f>
        <v>0</v>
      </c>
      <c r="AU16">
        <f>SUMIFS($A$2:$A$121,$H$2:$H$121,"Felipe Fernandes de Lima",$B$2:$B$121,"São Paulo")+SUMIFS($A$2:$A$121,$H$2:$H$121,"Felipe Fernandes de Lima",$E$2:$E$121,"São Paulo")</f>
        <v>0</v>
      </c>
      <c r="AV16">
        <f>SUMIFS($A$2:$A$121,$H$2:$H$121,"Felipe Fernandes de Lima",$B$2:$B$121,"Vasco")+SUMIFS($A$2:$A$121,$H$2:$H$121,"Felipe Fernandes de Lima",$E$2:$E$121,"Vasco")</f>
        <v>0</v>
      </c>
      <c r="AW16">
        <f>SUMIFS($A$2:$A$121,$H$2:$H$121,"Felipe Fernandes de Lima",$B$2:$B$121,"Vitória")+SUMIFS($A$2:$A$121,$H$2:$H$121,"Felipe Fernandes de Lima",$E$2:$E$121,"Vitória")</f>
        <v>0</v>
      </c>
      <c r="AX16" s="30">
        <f t="shared" si="3"/>
        <v>8</v>
      </c>
      <c r="AZ16" s="7" t="s">
        <v>100</v>
      </c>
      <c r="BA16">
        <f>SUMIFS($A$2:$A$121,$K$2:$K$121,"Rodolpho Toski Marques",$B$2:$B$121,"Athletico")+SUMIFS($A$2:$A$121,$K$2:$K$121,"Rodolpho Toski Marques",$E$2:$E$121,"Athletico")</f>
        <v>0</v>
      </c>
      <c r="BB16">
        <f>SUMIFS($A$2:$A$121,$K$2:$K$121,"Rodolpho Toski Marques",$B$2:$B$121,"Atlético GO")+SUMIFS($A$2:$A$121,$K$2:$K$121,"Rodolpho Toski Marques",$E$2:$E$121,"Atlético GO")</f>
        <v>1</v>
      </c>
      <c r="BC16">
        <f>SUMIFS($A$2:$A$121,$K$2:$K$121,"Rodolpho Toski Marques",$B$2:$B$121,"Atlético MG")+SUMIFS($A$2:$A$121,$K$2:$K$121,"Rodolpho Toski Marques",$E$2:$E$121,"Atlético MG")</f>
        <v>0</v>
      </c>
      <c r="BD16">
        <f>SUMIFS($A$2:$A$121,$K$2:$K$121,"Rodolpho Toski Marques",$B$2:$B$121,"Bahia")+SUMIFS($A$2:$A$121,$K$2:$K$121,"Rodolpho Toski Marques",$E$2:$E$121,"Bahia")</f>
        <v>0</v>
      </c>
      <c r="BE16">
        <f>SUMIFS($A$2:$A$121,$K$2:$K$121,"Rodolpho Toski Marques",$B$2:$B$121,"Botafogo")+SUMIFS($A$2:$A$121,$K$2:$K$121,"Rodolpho Toski Marques",$E$2:$E$121,"Botafogo")</f>
        <v>1</v>
      </c>
      <c r="BF16">
        <f>SUMIFS($A$2:$A$121,$K$2:$K$121,"Rodolpho Toski Marques",$B$2:$B$121,"Corinthians")+SUMIFS($A$2:$A$121,$K$2:$K$121,"Rodolpho Toski Marques",$E$2:$E$121,"Corinthians")</f>
        <v>1</v>
      </c>
      <c r="BG16">
        <f>SUMIFS($A$2:$A$121,$K$2:$K$121,"Rodolpho Toski Marques",$B$2:$B$121,"Criciúma")+SUMIFS($A$2:$A$121,$K$2:$K$121,"Rodolpho Toski Marques",$E$2:$E$121,"Criciúma")</f>
        <v>0</v>
      </c>
      <c r="BH16">
        <f>SUMIFS($A$2:$A$121,$K$2:$K$121,"Rodolpho Toski Marques",$B$2:$B$121,"Cruzeiro")+SUMIFS($A$2:$A$121,$K$2:$K$121,"Rodolpho Toski Marques",$E$2:$E$121,"Cruzeiro")</f>
        <v>0</v>
      </c>
      <c r="BI16">
        <f>SUMIFS($A$2:$A$121,$K$2:$K$121,"Rodolpho Toski Marques",$B$2:$B$121,"Cuiabá")+SUMIFS($A$2:$A$121,$K$2:$K$121,"Rodolpho Toski Marques",$E$2:$E$121,"Cuiabá")</f>
        <v>0</v>
      </c>
      <c r="BJ16">
        <f>SUMIFS($A$2:$A$121,$K$2:$K$121,"Rodolpho Toski Marques",$B$2:$B$121,"Flamengo")+SUMIFS($A$2:$A$121,$K$2:$K$121,"Rodolpho Toski Marques",$E$2:$E$121,"Flamengo")</f>
        <v>2</v>
      </c>
      <c r="BK16">
        <f>SUMIFS($A$2:$A$121,$K$2:$K$121,"Rodolpho Toski Marques",$B$2:$B$121,"Fluminense")+SUMIFS($A$2:$A$121,$K$2:$K$121,"Rodolpho Toski Marques",$E$2:$E$121,"Fluminense")</f>
        <v>1</v>
      </c>
      <c r="BL16">
        <f>SUMIFS($A$2:$A$121,$K$2:$K$121,"Rodolpho Toski Marques",$B$2:$B$121,"Fortaleza")+SUMIFS($A$2:$A$121,$K$2:$K$121,"Rodolpho Toski Marques",$E$2:$E$121,"Fortaleza")</f>
        <v>0</v>
      </c>
      <c r="BM16">
        <f>SUMIFS($A$2:$A$121,$K$2:$K$121,"Rodolpho Toski Marques",$B$2:$B$121,"Grêmio")+SUMIFS($A$2:$A$121,$K$2:$K$121,"Rodolpho Toski Marques",$E$2:$E$121,"Grêmio")</f>
        <v>0</v>
      </c>
      <c r="BN16">
        <f>SUMIFS($A$2:$A$121,$K$2:$K$121,"Rodolpho Toski Marques",$B$2:$B$121,"Internacional")+SUMIFS($A$2:$A$121,$K$2:$K$121,"Rodolpho Toski Marques",$E$2:$E$121,"Internacional")</f>
        <v>0</v>
      </c>
      <c r="BO16">
        <f>SUMIFS($A$2:$A$121,$K$2:$K$121,"Rodolpho Toski Marques",$B$2:$B$121,"Juventude")+SUMIFS($A$2:$A$121,$K$2:$K$121,"Rodolpho Toski Marques",$E$2:$E$121,"Juventude")</f>
        <v>0</v>
      </c>
      <c r="BP16">
        <f>SUMIFS($A$2:$A$121,$K$2:$K$121,"Rodolpho Toski Marques",$B$2:$B$121,"Palmeiras")+SUMIFS($A$2:$A$121,$K$2:$K$121,"Rodolpho Toski Marques",$E$2:$E$121,"Palmeiras")</f>
        <v>1</v>
      </c>
      <c r="BQ16">
        <f>SUMIFS($A$2:$A$121,$K$2:$K$121,"Rodolpho Toski Marques",$B$2:$B$121,"Red Bull")+SUMIFS($A$2:$A$121,$K$2:$K$121,"Rodolpho Toski Marques",$E$2:$E$121,"Red Bull")</f>
        <v>0</v>
      </c>
      <c r="BR16">
        <f>SUMIFS($A$2:$A$121,$K$2:$K$121,"Rodolpho Toski Marques",$B$2:$B$121,"São Paulo")+SUMIFS($A$2:$A$121,$K$2:$K$121,"Rodolpho Toski Marques",$E$2:$E$121,"São Paulo")</f>
        <v>2</v>
      </c>
      <c r="BS16">
        <f>SUMIFS($A$2:$A$121,$K$2:$K$121,"Rodolpho Toski Marques",$B$2:$B$121,"Vasco")+SUMIFS($A$2:$A$121,$K$2:$K$121,"Rodolpho Toski Marques",$E$2:$E$121,"Vasco")</f>
        <v>1</v>
      </c>
      <c r="BT16">
        <f>SUMIFS($A$2:$A$121,$K$2:$K$121,"Rodolpho Toski Marques",$B$2:$B$121,"Vitória")+SUMIFS($A$2:$A$121,$K$2:$K$121,"Rodolpho Toski Marques",$E$2:$E$121,"Vitória")</f>
        <v>2</v>
      </c>
      <c r="BU16" s="30">
        <f t="shared" si="4"/>
        <v>12</v>
      </c>
    </row>
    <row r="17" spans="1:73" ht="15.6" x14ac:dyDescent="0.3">
      <c r="A17">
        <v>1</v>
      </c>
      <c r="B17" s="7" t="s">
        <v>39</v>
      </c>
      <c r="C17" s="9" t="s">
        <v>19</v>
      </c>
      <c r="D17" s="9">
        <v>0</v>
      </c>
      <c r="E17" s="7" t="s">
        <v>16</v>
      </c>
      <c r="F17" s="9" t="s">
        <v>15</v>
      </c>
      <c r="G17" s="9">
        <v>1</v>
      </c>
      <c r="H17" s="7" t="s">
        <v>118</v>
      </c>
      <c r="I17" s="7" t="s">
        <v>29</v>
      </c>
      <c r="J17" s="7" t="s">
        <v>43</v>
      </c>
      <c r="K17" s="7" t="s">
        <v>56</v>
      </c>
      <c r="L17" s="7" t="s">
        <v>57</v>
      </c>
      <c r="M17" s="7" t="s">
        <v>47</v>
      </c>
      <c r="N17" s="14"/>
      <c r="O17" s="18">
        <f t="shared" si="0"/>
        <v>0</v>
      </c>
      <c r="P17" s="18">
        <f t="shared" si="1"/>
        <v>1</v>
      </c>
      <c r="Q17" s="18">
        <f t="shared" si="2"/>
        <v>0</v>
      </c>
      <c r="S17" s="7" t="s">
        <v>25</v>
      </c>
      <c r="T17" s="15">
        <f>COUNTIFS($B$2:$B$121,"Atlético GO",$J$2:$J$121,"=FIFA")+COUNTIFS($E$2:$E$121,"Atlético GO",$J$2:$J$121,"=FIFA")</f>
        <v>6</v>
      </c>
      <c r="U17" s="15">
        <f>COUNTIFS($B$2:$B$121,"Atlético GO",$J$2:$J$121,"=CBF")+COUNTIFS($E$2:$E$121,"Atlético GO",$J$2:$J$121,"=CBF")</f>
        <v>6</v>
      </c>
      <c r="V17" s="15">
        <f>COUNTIFS($B$2:$B$121,"Atlético GO",$M$2:$M$121,"=FIFA")+COUNTIFS($E$2:$E$121,"Atlético GO",$M$2:$M$121,"=FIFA")</f>
        <v>5</v>
      </c>
      <c r="W17" s="15">
        <f>COUNTIFS($B$2:$B$121,"Atlético GO",$M$2:$M$121,"=CBF")+COUNTIFS($E$2:$E$121,"Atlético GO",$M$2:$M$121,"=CBF")</f>
        <v>7</v>
      </c>
      <c r="X17" s="15">
        <f>SUMIFS($O$2:$O$121,$B$2:$B$121,"Atlético GO")+SUMIFS($O$2:$O$121,$E$2:$E$121,"Atlético GO")</f>
        <v>2</v>
      </c>
      <c r="Y17" s="15">
        <f>SUMIFS($P$2:$P$121,$B$2:$B$121,"Atlético GO")+SUMIFS($P$2:$P$121,$E$2:$E$121,"Atlético GO")</f>
        <v>7</v>
      </c>
      <c r="Z17" s="15">
        <f>SUMIFS($Q$2:$Q$121,$B$2:$B$121,"Atlético GO")+SUMIFS($Q$2:$Q$121,$E$2:$E$121,"Atlético GO")</f>
        <v>3</v>
      </c>
      <c r="AC17" s="7" t="s">
        <v>62</v>
      </c>
      <c r="AD17">
        <f>SUMIFS($A$2:$A$121,$H$2:$H$121,"Flavio Rodrigues de Souza",$B$2:$B$121,"Athletico")+SUMIFS($A$2:$A$121,$H$2:$H$121,"Flavio Rodrigues de Souza",$E$2:$E$121,"Athletico")</f>
        <v>0</v>
      </c>
      <c r="AE17">
        <f>SUMIFS($A$2:$A$121,$H$2:$H$121,"Flavio Rodrigues de Souza",$B$2:$B$121,"Atlético GO")+SUMIFS($A$2:$A$121,$H$2:$H$121,"Flavio Rodrigues de Souza",$E$2:$E$121,"Atlético GO")</f>
        <v>0</v>
      </c>
      <c r="AF17">
        <f>SUMIFS($A$2:$A$121,$H$2:$H$121,"Flavio Rodrigues de Souza",$B$2:$B$121,"Atlético MG")+SUMIFS($A$2:$A$121,$H$2:$H$121,"Flavio Rodrigues de Souza",$E$2:$E$121,"Atlético MG")</f>
        <v>1</v>
      </c>
      <c r="AG17">
        <f>SUMIFS($A$2:$A$121,$H$2:$H$121,"Flavio Rodrigues de Souza",$B$2:$B$121,"Bahia")+SUMIFS($A$2:$A$121,$H$2:$H$121,"Flavio Rodrigues de Souza",$E$2:$E$121,"Bahia")</f>
        <v>1</v>
      </c>
      <c r="AH17">
        <f>SUMIFS($A$2:$A$121,$H$2:$H$121,"Flavio Rodrigues de Souza",$B$2:$B$121,"Botafogo")+SUMIFS($A$2:$A$121,$H$2:$H$121,"Flavio Rodrigues de Souza",$E$2:$E$121,"Botafogo")</f>
        <v>1</v>
      </c>
      <c r="AI17">
        <f>SUMIFS($A$2:$A$121,$H$2:$H$121,"Flavio Rodrigues de Souza",$B$2:$B$121,"Corinthians")+SUMIFS($A$2:$A$121,$H$2:$H$121,"Flavio Rodrigues de Souza",$E$2:$E$121,"Corinthians")</f>
        <v>0</v>
      </c>
      <c r="AJ17">
        <f>SUMIFS($A$2:$A$121,$H$2:$H$121,"Flavio Rodrigues de Souza",$B$2:$B$121,"Criciúma")+SUMIFS($A$2:$A$121,$H$2:$H$121,"Flavio Rodrigues de Souza",$E$2:$E$121,"Criciúma")</f>
        <v>1</v>
      </c>
      <c r="AK17">
        <f>SUMIFS($A$2:$A$121,$H$2:$H$121,"Flavio Rodrigues de Souza",$B$2:$B$121,"Cruzeiro")+SUMIFS($A$2:$A$121,$H$2:$H$121,"Flavio Rodrigues de Souza",$E$2:$E$121,"Cruzeiro")</f>
        <v>0</v>
      </c>
      <c r="AL17">
        <f>SUMIFS($A$2:$A$121,$H$2:$H$121,"Flavio Rodrigues de Souza",$B$2:$B$121,"Cuiabá")+SUMIFS($A$2:$A$121,$H$2:$H$121,"Flavio Rodrigues de Souza",$E$2:$E$121,"Cuiabá")</f>
        <v>0</v>
      </c>
      <c r="AM17">
        <f>SUMIFS($A$2:$A$121,$H$2:$H$121,"Flavio Rodrigues de Souza",$B$2:$B$121,"Flamengo")+SUMIFS($A$2:$A$121,$H$2:$H$121,"Flavio Rodrigues de Souza",$E$2:$E$121,"Flamengo")</f>
        <v>0</v>
      </c>
      <c r="AN17">
        <f>SUMIFS($A$2:$A$121,$H$2:$H$121,"Flavio Rodrigues de Souza",$B$2:$B$121,"Fluminense")+SUMIFS($A$2:$A$121,$H$2:$H$121,"Flavio Rodrigues de Souza",$E$2:$E$121,"Fluminense")</f>
        <v>2</v>
      </c>
      <c r="AO17">
        <f>SUMIFS($A$2:$A$121,$H$2:$H$121,"Flavio Rodrigues de Souza",$B$2:$B$121,"Fortaleza")+SUMIFS($A$2:$A$121,$H$2:$H$121,"Flavio Rodrigues de Souza",$E$2:$E$121,"Fortaleza")</f>
        <v>1</v>
      </c>
      <c r="AP17">
        <f>SUMIFS($A$2:$A$121,$H$2:$H$121,"Flavio Rodrigues de Souza",$B$2:$B$121,"Grêmio")+SUMIFS($A$2:$A$121,$H$2:$H$121,"Flavio Rodrigues de Souza",$E$2:$E$121,"Grêmio")</f>
        <v>1</v>
      </c>
      <c r="AQ17">
        <f>SUMIFS($A$2:$A$121,$H$2:$H$121,"Flavio Rodrigues de Souza",$B$2:$B$121,"Internacional")+SUMIFS($A$2:$A$121,$H$2:$H$121,"Flavio Rodrigues de Souza",$E$2:$E$121,"Internacional")</f>
        <v>0</v>
      </c>
      <c r="AR17">
        <f>SUMIFS($A$2:$A$121,$H$2:$H$121,"Flavio Rodrigues de Souza",$B$2:$B$121,"Juventude")+SUMIFS($A$2:$A$121,$H$2:$H$121,"Flavio Rodrigues de Souza",$E$2:$E$121,"Juventude")</f>
        <v>0</v>
      </c>
      <c r="AS17">
        <f>SUMIFS($A$2:$A$121,$H$2:$H$121,"Flavio Rodrigues de Souza",$B$2:$B$121,"Palmeiras")+SUMIFS($A$2:$A$121,$H$2:$H$121,"Flavio Rodrigues de Souza",$E$2:$E$121,"Palmeiras")</f>
        <v>0</v>
      </c>
      <c r="AT17">
        <f>SUMIFS($A$2:$A$121,$H$2:$H$121,"Flavio Rodrigues de Souza",$B$2:$B$121,"Red Bull")+SUMIFS($A$2:$A$121,$H$2:$H$121,"Flavio Rodrigues de Souza",$E$2:$E$121,"Red Bull")</f>
        <v>0</v>
      </c>
      <c r="AU17">
        <f>SUMIFS($A$2:$A$121,$H$2:$H$121,"Flavio Rodrigues de Souza",$B$2:$B$121,"São Paulo")+SUMIFS($A$2:$A$121,$H$2:$H$121,"Flavio Rodrigues de Souza",$E$2:$E$121,"São Paulo")</f>
        <v>0</v>
      </c>
      <c r="AV17">
        <f>SUMIFS($A$2:$A$121,$H$2:$H$121,"Flavio Rodrigues de Souza",$B$2:$B$121,"Vasco")+SUMIFS($A$2:$A$121,$H$2:$H$121,"Flavio Rodrigues de Souza",$E$2:$E$121,"Vasco")</f>
        <v>1</v>
      </c>
      <c r="AW17">
        <f>SUMIFS($A$2:$A$121,$H$2:$H$121,"Flavio Rodrigues de Souza",$B$2:$B$121,"Vitória")+SUMIFS($A$2:$A$121,$H$2:$H$121,"Flavio Rodrigues de Souza",$E$2:$E$121,"Vitória")</f>
        <v>1</v>
      </c>
      <c r="AX17" s="30">
        <f t="shared" ref="AX17" si="7">SUM(AD17:AW17)</f>
        <v>10</v>
      </c>
      <c r="AZ17" s="7" t="s">
        <v>87</v>
      </c>
      <c r="BA17">
        <f>SUMIFS($A$2:$A$121,$K$2:$K$121,"Rodrigo D Alonso Ferreira",$B$2:$B$121,"Athletico")+SUMIFS($A$2:$A$121,$K$2:$K$121,"Rodrigo D Alonso Ferreira",$E$2:$E$121,"Athletico")</f>
        <v>0</v>
      </c>
      <c r="BB17">
        <f>SUMIFS($A$2:$A$121,$K$2:$K$121,"Rodrigo D Alonso Ferreira",$B$2:$B$121,"Atlético GO")+SUMIFS($A$2:$A$121,$K$2:$K$121,"Rodrigo D Alonso Ferreira",$E$2:$E$121,"Atlético GO")</f>
        <v>1</v>
      </c>
      <c r="BC17">
        <f>SUMIFS($A$2:$A$121,$K$2:$K$121,"Rodrigo D Alonso Ferreira",$B$2:$B$121,"Atlético MG")+SUMIFS($A$2:$A$121,$K$2:$K$121,"Rodrigo D Alonso Ferreira",$E$2:$E$121,"Atlético MG")</f>
        <v>1</v>
      </c>
      <c r="BD17">
        <f>SUMIFS($A$2:$A$121,$K$2:$K$121,"Rodrigo D Alonso Ferreira",$B$2:$B$121,"Bahia")+SUMIFS($A$2:$A$121,$K$2:$K$121,"Rodrigo D Alonso Ferreira",$E$2:$E$121,"Bahia")</f>
        <v>1</v>
      </c>
      <c r="BE17">
        <f>SUMIFS($A$2:$A$121,$K$2:$K$121,"Rodrigo D Alonso Ferreira",$B$2:$B$121,"Botafogo")+SUMIFS($A$2:$A$121,$K$2:$K$121,"Rodrigo D Alonso Ferreira",$E$2:$E$121,"Botafogo")</f>
        <v>3</v>
      </c>
      <c r="BF17">
        <f>SUMIFS($A$2:$A$121,$K$2:$K$121,"Rodrigo D Alonso Ferreira",$B$2:$B$121,"Corinthians")+SUMIFS($A$2:$A$121,$K$2:$K$121,"Rodrigo D Alonso Ferreira",$E$2:$E$121,"Corinthians")</f>
        <v>0</v>
      </c>
      <c r="BG17">
        <f>SUMIFS($A$2:$A$121,$K$2:$K$121,"Rodrigo D Alonso Ferreira",$B$2:$B$121,"Criciúma")+SUMIFS($A$2:$A$121,$K$2:$K$121,"Rodrigo D Alonso Ferreira",$E$2:$E$121,"Criciúma")</f>
        <v>0</v>
      </c>
      <c r="BH17">
        <f>SUMIFS($A$2:$A$121,$K$2:$K$121,"Rodrigo D Alonso Ferreira",$B$2:$B$121,"Cruzeiro")+SUMIFS($A$2:$A$121,$K$2:$K$121,"Rodrigo D Alonso Ferreira",$E$2:$E$121,"Cruzeiro")</f>
        <v>1</v>
      </c>
      <c r="BI17">
        <f>SUMIFS($A$2:$A$121,$K$2:$K$121,"Rodrigo D Alonso Ferreira",$B$2:$B$121,"Cuiabá")+SUMIFS($A$2:$A$121,$K$2:$K$121,"Rodrigo D Alonso Ferreira",$E$2:$E$121,"Cuiabá")</f>
        <v>1</v>
      </c>
      <c r="BJ17">
        <f>SUMIFS($A$2:$A$121,$K$2:$K$121,"Rodrigo D Alonso Ferreira",$B$2:$B$121,"Flamengo")+SUMIFS($A$2:$A$121,$K$2:$K$121,"Rodrigo D Alonso Ferreira",$E$2:$E$121,"Flamengo")</f>
        <v>1</v>
      </c>
      <c r="BK17">
        <f>SUMIFS($A$2:$A$121,$K$2:$K$121,"Rodrigo D Alonso Ferreira",$B$2:$B$121,"Fluminense")+SUMIFS($A$2:$A$121,$K$2:$K$121,"Rodrigo D Alonso Ferreira",$E$2:$E$121,"Fluminense")</f>
        <v>1</v>
      </c>
      <c r="BL17">
        <f>SUMIFS($A$2:$A$121,$K$2:$K$121,"Rodrigo D Alonso Ferreira",$B$2:$B$121,"Fortaleza")+SUMIFS($A$2:$A$121,$K$2:$K$121,"Rodrigo D Alonso Ferreira",$E$2:$E$121,"Fortaleza")</f>
        <v>1</v>
      </c>
      <c r="BM17">
        <f>SUMIFS($A$2:$A$121,$K$2:$K$121,"Rodrigo D Alonso Ferreira",$B$2:$B$121,"Grêmio")+SUMIFS($A$2:$A$121,$K$2:$K$121,"Rodrigo D Alonso Ferreira",$E$2:$E$121,"Grêmio")</f>
        <v>1</v>
      </c>
      <c r="BN17">
        <f>SUMIFS($A$2:$A$121,$K$2:$K$121,"Rodrigo D Alonso Ferreira",$B$2:$B$121,"Internacional")+SUMIFS($A$2:$A$121,$K$2:$K$121,"Rodrigo D Alonso Ferreira",$E$2:$E$121,"Internacional")</f>
        <v>0</v>
      </c>
      <c r="BO17">
        <f>SUMIFS($A$2:$A$121,$K$2:$K$121,"Rodrigo D Alonso Ferreira",$B$2:$B$121,"Juventude")+SUMIFS($A$2:$A$121,$K$2:$K$121,"Rodrigo D Alonso Ferreira",$E$2:$E$121,"Juventude")</f>
        <v>1</v>
      </c>
      <c r="BP17">
        <f>SUMIFS($A$2:$A$121,$K$2:$K$121,"Rodrigo D Alonso Ferreira",$B$2:$B$121,"Palmeiras")+SUMIFS($A$2:$A$121,$K$2:$K$121,"Rodrigo D Alonso Ferreira",$E$2:$E$121,"Palmeiras")</f>
        <v>0</v>
      </c>
      <c r="BQ17">
        <f>SUMIFS($A$2:$A$121,$K$2:$K$121,"Rodrigo D Alonso Ferreira",$B$2:$B$121,"Red Bull")+SUMIFS($A$2:$A$121,$K$2:$K$121,"Rodrigo D Alonso Ferreira",$E$2:$E$121,"Red Bull")</f>
        <v>0</v>
      </c>
      <c r="BR17">
        <f>SUMIFS($A$2:$A$121,$K$2:$K$121,"Rodrigo D Alonso Ferreira",$B$2:$B$121,"São Paulo")+SUMIFS($A$2:$A$121,$K$2:$K$121,"Rodrigo D Alonso Ferreira",$E$2:$E$121,"São Paulo")</f>
        <v>1</v>
      </c>
      <c r="BS17">
        <f>SUMIFS($A$2:$A$121,$K$2:$K$121,"Rodrigo D Alonso Ferreira",$B$2:$B$121,"Vasco")+SUMIFS($A$2:$A$121,$K$2:$K$121,"Rodrigo D Alonso Ferreira",$E$2:$E$121,"Vasco")</f>
        <v>0</v>
      </c>
      <c r="BT17">
        <f>SUMIFS($A$2:$A$121,$K$2:$K$121,"Rodrigo D Alonso Ferreira",$B$2:$B$121,"Vitória")+SUMIFS($A$2:$A$121,$K$2:$K$121,"Rodrigo D Alonso Ferreira",$E$2:$E$121,"Vitória")</f>
        <v>0</v>
      </c>
      <c r="BU17" s="30">
        <f t="shared" si="4"/>
        <v>14</v>
      </c>
    </row>
    <row r="18" spans="1:73" ht="15.6" x14ac:dyDescent="0.3">
      <c r="A18">
        <v>1</v>
      </c>
      <c r="B18" s="7" t="s">
        <v>23</v>
      </c>
      <c r="C18" s="9" t="s">
        <v>24</v>
      </c>
      <c r="D18" s="9">
        <v>1</v>
      </c>
      <c r="E18" s="7" t="s">
        <v>35</v>
      </c>
      <c r="F18" s="9" t="s">
        <v>32</v>
      </c>
      <c r="G18" s="9">
        <v>1</v>
      </c>
      <c r="H18" s="7" t="s">
        <v>134</v>
      </c>
      <c r="I18" s="7" t="s">
        <v>21</v>
      </c>
      <c r="J18" s="7" t="s">
        <v>43</v>
      </c>
      <c r="K18" s="7" t="s">
        <v>117</v>
      </c>
      <c r="L18" s="7" t="s">
        <v>21</v>
      </c>
      <c r="M18" s="7" t="s">
        <v>47</v>
      </c>
      <c r="N18" s="14"/>
      <c r="O18" s="18">
        <f t="shared" si="0"/>
        <v>0</v>
      </c>
      <c r="P18" s="18">
        <f t="shared" si="1"/>
        <v>1</v>
      </c>
      <c r="Q18" s="18">
        <f t="shared" si="2"/>
        <v>0</v>
      </c>
      <c r="S18" s="7" t="s">
        <v>12</v>
      </c>
      <c r="T18" s="15">
        <f>COUNTIFS($B$2:$B$121,"Criciúma",$J$2:$J$121,"=FIFA")+COUNTIFS($E$2:$E$121,"Criciúma",$J$2:$J$121,"=FIFA")</f>
        <v>3</v>
      </c>
      <c r="U18" s="15">
        <f>COUNTIFS($B$2:$B$121,"Criciúma",$J$2:$J$121,"=CBF")+COUNTIFS($E$2:$E$121,"Criciúma",$J$2:$J$121,"=CBF")</f>
        <v>7</v>
      </c>
      <c r="V18" s="15">
        <f>COUNTIFS($B$2:$B$121,"Criciúma",$M$2:$M$121,"=FIFA")+COUNTIFS($E$2:$E$121,"Criciúma",$M$2:$M$121,"=FIFA")</f>
        <v>5</v>
      </c>
      <c r="W18" s="15">
        <f>COUNTIFS($B$2:$B$121,"Criciúma",$M$2:$M$121,"=CBF")+COUNTIFS($E$2:$E$121,"Criciúma",$M$2:$M$121,"=CBF")</f>
        <v>5</v>
      </c>
      <c r="X18" s="15">
        <f>SUMIFS($O$2:$O$121,$B$2:$B$121,"Criciúma")+SUMIFS($O$2:$O$121,$E$2:$E$121,"Criciúma")</f>
        <v>2</v>
      </c>
      <c r="Y18" s="15">
        <f>SUMIFS($P$2:$P$121,$B$2:$B$121,"Criciúma")+SUMIFS($P$2:$P$121,$E$2:$E$121,"Criciúma")</f>
        <v>4</v>
      </c>
      <c r="Z18" s="15">
        <f>SUMIFS($Q$2:$Q$121,$B$2:$B$121,"Criciúma")+SUMIFS($Q$2:$Q$121,$E$2:$E$121,"Criciúma")</f>
        <v>4</v>
      </c>
      <c r="AC18" s="7" t="s">
        <v>112</v>
      </c>
      <c r="AD18">
        <f>SUMIFS($A$2:$A$121,$H$2:$H$121,"Gustavo Ervino Bauermann",$B$2:$B$121,"Athletico")+SUMIFS($A$2:$A$121,$H$2:$H$121,"Gustavo Ervino Bauermann",$E$2:$E$121,"Athletico")</f>
        <v>0</v>
      </c>
      <c r="AE18">
        <f>SUMIFS($A$2:$A$121,$H$2:$H$121,"Gustavo Ervino Bauermann",$B$2:$B$121,"Atlético GO")+SUMIFS($A$2:$A$121,$H$2:$H$121,"Gustavo Ervino Bauermann",$E$2:$E$121,"Atlético GO")</f>
        <v>1</v>
      </c>
      <c r="AF18">
        <f>SUMIFS($A$2:$A$121,$H$2:$H$121,"Gustavo Ervino Bauermann",$B$2:$B$121,"Atlético MG")+SUMIFS($A$2:$A$121,$H$2:$H$121,"Gustavo Ervino Bauermann",$E$2:$E$121,"Atlético MG")</f>
        <v>0</v>
      </c>
      <c r="AG18">
        <f>SUMIFS($A$2:$A$121,$H$2:$H$121,"Gustavo Ervino Bauermann",$B$2:$B$121,"Bahia")+SUMIFS($A$2:$A$121,$H$2:$H$121,"Gustavo Ervino Bauermann",$E$2:$E$121,"Bahia")</f>
        <v>1</v>
      </c>
      <c r="AH18">
        <f>SUMIFS($A$2:$A$121,$H$2:$H$121,"Gustavo Ervino Bauermann",$B$2:$B$121,"Botafogo")+SUMIFS($A$2:$A$121,$H$2:$H$121,"Gustavo Ervino Bauermann",$E$2:$E$121,"Botafogo")</f>
        <v>1</v>
      </c>
      <c r="AI18">
        <f>SUMIFS($A$2:$A$121,$H$2:$H$121,"Gustavo Ervino Bauermann",$B$2:$B$121,"Corinthians")+SUMIFS($A$2:$A$121,$H$2:$H$121,"Gustavo Ervino Bauermann",$E$2:$E$121,"Corinthians")</f>
        <v>0</v>
      </c>
      <c r="AJ18">
        <f>SUMIFS($A$2:$A$121,$H$2:$H$121,"Gustavo Ervino Bauermann",$B$2:$B$121,"Criciúma")+SUMIFS($A$2:$A$121,$H$2:$H$121,"Gustavo Ervino Bauermann",$E$2:$E$121,"Criciúma")</f>
        <v>0</v>
      </c>
      <c r="AK18">
        <f>SUMIFS($A$2:$A$121,$H$2:$H$121,"Gustavo Ervino Bauermann",$B$2:$B$121,"Cruzeiro")+SUMIFS($A$2:$A$121,$H$2:$H$121,"Gustavo Ervino Bauermann",$E$2:$E$121,"Cruzeiro")</f>
        <v>0</v>
      </c>
      <c r="AL18">
        <f>SUMIFS($A$2:$A$121,$H$2:$H$121,"Gustavo Ervino Bauermann",$B$2:$B$121,"Cuiabá")+SUMIFS($A$2:$A$121,$H$2:$H$121,"Gustavo Ervino Bauermann",$E$2:$E$121,"Cuiabá")</f>
        <v>1</v>
      </c>
      <c r="AM18">
        <f>SUMIFS($A$2:$A$121,$H$2:$H$121,"Gustavo Ervino Bauermann",$B$2:$B$121,"Flamengo")+SUMIFS($A$2:$A$121,$H$2:$H$121,"Gustavo Ervino Bauermann",$E$2:$E$121,"Flamengo")</f>
        <v>0</v>
      </c>
      <c r="AN18">
        <f>SUMIFS($A$2:$A$121,$H$2:$H$121,"Gustavo Ervino Bauermann",$B$2:$B$121,"Fluminense")+SUMIFS($A$2:$A$121,$H$2:$H$121,"Gustavo Ervino Bauermann",$E$2:$E$121,"Fluminense")</f>
        <v>1</v>
      </c>
      <c r="AO18">
        <f>SUMIFS($A$2:$A$121,$H$2:$H$121,"Gustavo Ervino Bauermann",$B$2:$B$121,"Fortaleza")+SUMIFS($A$2:$A$121,$H$2:$H$121,"Gustavo Ervino Bauermann",$E$2:$E$121,"Fortaleza")</f>
        <v>0</v>
      </c>
      <c r="AP18">
        <f>SUMIFS($A$2:$A$121,$H$2:$H$121,"Gustavo Ervino Bauermann",$B$2:$B$121,"Grêmio")+SUMIFS($A$2:$A$121,$H$2:$H$121,"Gustavo Ervino Bauermann",$E$2:$E$121,"Grêmio")</f>
        <v>0</v>
      </c>
      <c r="AQ18">
        <f>SUMIFS($A$2:$A$121,$H$2:$H$121,"Gustavo Ervino Bauermann",$B$2:$B$121,"Internacional")+SUMIFS($A$2:$A$121,$H$2:$H$121,"Gustavo Ervino Bauermann",$E$2:$E$121,"Internacional")</f>
        <v>0</v>
      </c>
      <c r="AR18">
        <f>SUMIFS($A$2:$A$121,$H$2:$H$121,"Gustavo Ervino Bauermann",$B$2:$B$121,"Juventude")+SUMIFS($A$2:$A$121,$H$2:$H$121,"Gustavo Ervino Bauermann",$E$2:$E$121,"Juventude")</f>
        <v>0</v>
      </c>
      <c r="AS18">
        <f>SUMIFS($A$2:$A$121,$H$2:$H$121,"Gustavo Ervino Bauermann",$B$2:$B$121,"Palmeiras")+SUMIFS($A$2:$A$121,$H$2:$H$121,"Gustavo Ervino Bauermann",$E$2:$E$121,"Palmeiras")</f>
        <v>0</v>
      </c>
      <c r="AT18">
        <f>SUMIFS($A$2:$A$121,$H$2:$H$121,"Gustavo Ervino Bauermann",$B$2:$B$121,"Red Bull")+SUMIFS($A$2:$A$121,$H$2:$H$121,"Gustavo Ervino Bauermann",$E$2:$E$121,"Red Bull")</f>
        <v>2</v>
      </c>
      <c r="AU18">
        <f>SUMIFS($A$2:$A$121,$H$2:$H$121,"Gustavo Ervino Bauermann",$B$2:$B$121,"São Paulo")+SUMIFS($A$2:$A$121,$H$2:$H$121,"Gustavo Ervino Bauermann",$E$2:$E$121,"São Paulo")</f>
        <v>1</v>
      </c>
      <c r="AV18">
        <f>SUMIFS($A$2:$A$121,$H$2:$H$121,"Gustavo Ervino Bauermann",$B$2:$B$121,"Vasco")+SUMIFS($A$2:$A$121,$H$2:$H$121,"Gustavo Ervino Bauermann",$E$2:$E$121,"Vasco")</f>
        <v>0</v>
      </c>
      <c r="AW18">
        <f>SUMIFS($A$2:$A$121,$H$2:$H$121,"Gustavo Ervino Bauermann",$B$2:$B$121,"Vitória")+SUMIFS($A$2:$A$121,$H$2:$H$121,"Gustavo Ervino Bauermann",$E$2:$E$121,"Vitória")</f>
        <v>0</v>
      </c>
      <c r="AX18" s="30">
        <f t="shared" si="3"/>
        <v>8</v>
      </c>
      <c r="AZ18" s="7" t="s">
        <v>97</v>
      </c>
      <c r="BA18">
        <f>SUMIFS($A$2:$A$121,$K$2:$K$121,"Rodrigo Guarizo Ferreira do Amaral",$B$2:$B$121,"Athletico")+SUMIFS($A$2:$A$121,$K$2:$K$121,"Rodrigo Guarizo Ferreira do Amaral",$E$2:$E$121,"Athletico")</f>
        <v>1</v>
      </c>
      <c r="BB18">
        <f>SUMIFS($A$2:$A$121,$K$2:$K$121,"Rodrigo Guarizo Ferreira do Amaral",$B$2:$B$121,"Atlético GO")+SUMIFS($A$2:$A$121,$K$2:$K$121,"Rodrigo Guarizo Ferreira do Amaral",$E$2:$E$121,"Atlético GO")</f>
        <v>0</v>
      </c>
      <c r="BC18">
        <f>SUMIFS($A$2:$A$121,$K$2:$K$121,"Rodrigo Guarizo Ferreira do Amaral",$B$2:$B$121,"Atlético MG")+SUMIFS($A$2:$A$121,$K$2:$K$121,"Rodrigo Guarizo Ferreira do Amaral",$E$2:$E$121,"Atlético MG")</f>
        <v>3</v>
      </c>
      <c r="BD18">
        <f>SUMIFS($A$2:$A$121,$K$2:$K$121,"Rodrigo Guarizo Ferreira do Amaral",$B$2:$B$121,"Bahia")+SUMIFS($A$2:$A$121,$K$2:$K$121,"Rodrigo Guarizo Ferreira do Amaral",$E$2:$E$121,"Bahia")</f>
        <v>2</v>
      </c>
      <c r="BE18">
        <f>SUMIFS($A$2:$A$121,$K$2:$K$121,"Rodrigo Guarizo Ferreira do Amaral",$B$2:$B$121,"Botafogo")+SUMIFS($A$2:$A$121,$K$2:$K$121,"Rodrigo Guarizo Ferreira do Amaral",$E$2:$E$121,"Botafogo")</f>
        <v>0</v>
      </c>
      <c r="BF18">
        <f>SUMIFS($A$2:$A$121,$K$2:$K$121,"Rodrigo Guarizo Ferreira do Amaral",$B$2:$B$121,"Corinthians")+SUMIFS($A$2:$A$121,$K$2:$K$121,"Rodrigo Guarizo Ferreira do Amaral",$E$2:$E$121,"Corinthians")</f>
        <v>0</v>
      </c>
      <c r="BG18">
        <f>SUMIFS($A$2:$A$121,$K$2:$K$121,"Rodrigo Guarizo Ferreira do Amaral",$B$2:$B$121,"Criciúma")+SUMIFS($A$2:$A$121,$K$2:$K$121,"Rodrigo Guarizo Ferreira do Amaral",$E$2:$E$121,"Criciúma")</f>
        <v>2</v>
      </c>
      <c r="BH18">
        <f>SUMIFS($A$2:$A$121,$K$2:$K$121,"Rodrigo Guarizo Ferreira do Amaral",$B$2:$B$121,"Cruzeiro")+SUMIFS($A$2:$A$121,$K$2:$K$121,"Rodrigo Guarizo Ferreira do Amaral",$E$2:$E$121,"Cruzeiro")</f>
        <v>0</v>
      </c>
      <c r="BI18">
        <f>SUMIFS($A$2:$A$121,$K$2:$K$121,"Rodrigo Guarizo Ferreira do Amaral",$B$2:$B$121,"Cuiabá")+SUMIFS($A$2:$A$121,$K$2:$K$121,"Rodrigo Guarizo Ferreira do Amaral",$E$2:$E$121,"Cuiabá")</f>
        <v>1</v>
      </c>
      <c r="BJ18">
        <f>SUMIFS($A$2:$A$121,$K$2:$K$121,"Rodrigo Guarizo Ferreira do Amaral",$B$2:$B$121,"Flamengo")+SUMIFS($A$2:$A$121,$K$2:$K$121,"Rodrigo Guarizo Ferreira do Amaral",$E$2:$E$121,"Flamengo")</f>
        <v>1</v>
      </c>
      <c r="BK18">
        <f>SUMIFS($A$2:$A$121,$K$2:$K$121,"Rodrigo Guarizo Ferreira do Amaral",$B$2:$B$121,"Fluminense")+SUMIFS($A$2:$A$121,$K$2:$K$121,"Rodrigo Guarizo Ferreira do Amaral",$E$2:$E$121,"Fluminense")</f>
        <v>2</v>
      </c>
      <c r="BL18">
        <f>SUMIFS($A$2:$A$121,$K$2:$K$121,"Rodrigo Guarizo Ferreira do Amaral",$B$2:$B$121,"Fortaleza")+SUMIFS($A$2:$A$121,$K$2:$K$121,"Rodrigo Guarizo Ferreira do Amaral",$E$2:$E$121,"Fortaleza")</f>
        <v>1</v>
      </c>
      <c r="BM18">
        <f>SUMIFS($A$2:$A$121,$K$2:$K$121,"Rodrigo Guarizo Ferreira do Amaral",$B$2:$B$121,"Grêmio")+SUMIFS($A$2:$A$121,$K$2:$K$121,"Rodrigo Guarizo Ferreira do Amaral",$E$2:$E$121,"Grêmio")</f>
        <v>0</v>
      </c>
      <c r="BN18">
        <f>SUMIFS($A$2:$A$121,$K$2:$K$121,"Rodrigo Guarizo Ferreira do Amaral",$B$2:$B$121,"Internacional")+SUMIFS($A$2:$A$121,$K$2:$K$121,"Rodrigo Guarizo Ferreira do Amaral",$E$2:$E$121,"Internacional")</f>
        <v>2</v>
      </c>
      <c r="BO18">
        <f>SUMIFS($A$2:$A$121,$K$2:$K$121,"Rodrigo Guarizo Ferreira do Amaral",$B$2:$B$121,"Juventude")+SUMIFS($A$2:$A$121,$K$2:$K$121,"Rodrigo Guarizo Ferreira do Amaral",$E$2:$E$121,"Juventude")</f>
        <v>0</v>
      </c>
      <c r="BP18">
        <f>SUMIFS($A$2:$A$121,$K$2:$K$121,"Rodrigo Guarizo Ferreira do Amaral",$B$2:$B$121,"Palmeiras")+SUMIFS($A$2:$A$121,$K$2:$K$121,"Rodrigo Guarizo Ferreira do Amaral",$E$2:$E$121,"Palmeiras")</f>
        <v>0</v>
      </c>
      <c r="BQ18">
        <f>SUMIFS($A$2:$A$121,$K$2:$K$121,"Rodrigo Guarizo Ferreira do Amaral",$B$2:$B$121,"Red Bull")+SUMIFS($A$2:$A$121,$K$2:$K$121,"Rodrigo Guarizo Ferreira do Amaral",$E$2:$E$121,"Red Bull")</f>
        <v>0</v>
      </c>
      <c r="BR18">
        <f>SUMIFS($A$2:$A$121,$K$2:$K$121,"Rodrigo Guarizo Ferreira do Amaral",$B$2:$B$121,"São Paulo")+SUMIFS($A$2:$A$121,$K$2:$K$121,"Rodrigo Guarizo Ferreira do Amaral",$E$2:$E$121,"São Paulo")</f>
        <v>0</v>
      </c>
      <c r="BS18">
        <f>SUMIFS($A$2:$A$121,$K$2:$K$121,"Rodrigo Guarizo Ferreira do Amaral",$B$2:$B$121,"Vasco")+SUMIFS($A$2:$A$121,$K$2:$K$121,"Rodrigo Guarizo Ferreira do Amaral",$E$2:$E$121,"Vasco")</f>
        <v>2</v>
      </c>
      <c r="BT18">
        <f>SUMIFS($A$2:$A$121,$K$2:$K$121,"Rodrigo Guarizo Ferreira do Amaral",$B$2:$B$121,"Vitória")+SUMIFS($A$2:$A$121,$K$2:$K$121,"Rodrigo Guarizo Ferreira do Amaral",$E$2:$E$121,"Vitória")</f>
        <v>3</v>
      </c>
      <c r="BU18" s="30">
        <f t="shared" si="4"/>
        <v>20</v>
      </c>
    </row>
    <row r="19" spans="1:73" ht="15.6" x14ac:dyDescent="0.3">
      <c r="A19">
        <v>1</v>
      </c>
      <c r="B19" s="7" t="s">
        <v>27</v>
      </c>
      <c r="C19" s="9" t="s">
        <v>21</v>
      </c>
      <c r="D19" s="9">
        <v>2</v>
      </c>
      <c r="E19" s="7" t="s">
        <v>22</v>
      </c>
      <c r="F19" s="9" t="s">
        <v>19</v>
      </c>
      <c r="G19" s="9">
        <v>1</v>
      </c>
      <c r="H19" s="7" t="s">
        <v>107</v>
      </c>
      <c r="I19" s="7" t="s">
        <v>15</v>
      </c>
      <c r="J19" s="7" t="s">
        <v>47</v>
      </c>
      <c r="K19" s="7" t="s">
        <v>87</v>
      </c>
      <c r="L19" s="7" t="s">
        <v>13</v>
      </c>
      <c r="M19" s="7" t="s">
        <v>43</v>
      </c>
      <c r="N19" s="14"/>
      <c r="O19" s="18">
        <f t="shared" si="0"/>
        <v>0</v>
      </c>
      <c r="P19" s="18">
        <f t="shared" si="1"/>
        <v>1</v>
      </c>
      <c r="Q19" s="18">
        <f t="shared" si="2"/>
        <v>0</v>
      </c>
      <c r="S19" s="7" t="s">
        <v>35</v>
      </c>
      <c r="T19" s="15">
        <f>COUNTIFS($B$2:$B$121,"Cruzeiro",$J$2:$J$121,"=FIFA")+COUNTIFS($E$2:$E$121,"Cruzeiro",$J$2:$J$121,"=FIFA")</f>
        <v>3</v>
      </c>
      <c r="U19" s="15">
        <f>COUNTIFS($B$2:$B$121,"Cruzeiro",$J$2:$J$121,"=CBF")+COUNTIFS($E$2:$E$121,"Cruzeiro",$J$2:$J$121,"=CBF")</f>
        <v>8</v>
      </c>
      <c r="V19" s="15">
        <f>COUNTIFS($B$2:$B$121,"Cruzeiro",$M$2:$M$121,"=FIFA")+COUNTIFS($E$2:$E$121,"Cruzeiro",$M$2:$M$121,"=FIFA")</f>
        <v>7</v>
      </c>
      <c r="W19" s="15">
        <f>COUNTIFS($B$2:$B$121,"Cruzeiro",$M$2:$M$121,"=CBF")+COUNTIFS($E$2:$E$121,"Cruzeiro",$M$2:$M$121,"=CBF")</f>
        <v>4</v>
      </c>
      <c r="X19" s="15">
        <f>SUMIFS($O$2:$O$121,$B$2:$B$121,"Cruzeiro")+SUMIFS($O$2:$O$121,$E$2:$E$121,"Cruzeiro")</f>
        <v>1</v>
      </c>
      <c r="Y19" s="15">
        <f>SUMIFS($P$2:$P$121,$B$2:$B$121,"Cruzeiro")+SUMIFS($P$2:$P$121,$E$2:$E$121,"Cruzeiro")</f>
        <v>8</v>
      </c>
      <c r="Z19" s="15">
        <f>SUMIFS($Q$2:$Q$121,$B$2:$B$121,"Cruzeiro")+SUMIFS($Q$2:$Q$121,$E$2:$E$121,"Cruzeiro")</f>
        <v>2</v>
      </c>
      <c r="AC19" s="7" t="s">
        <v>137</v>
      </c>
      <c r="AD19">
        <f>SUMIFS($A$2:$A$121,$H$2:$H$121,"Jefferson Ferreira de Moraes",$B$2:$B$121,"Athletico")+SUMIFS($A$2:$A$121,$H$2:$H$121,"Jefferson Ferreira de Moraes",$E$2:$E$121,"Athletico")</f>
        <v>0</v>
      </c>
      <c r="AE19">
        <f>SUMIFS($A$2:$A$121,$H$2:$H$121,"Jefferson Ferreira de Moraes",$B$2:$B$121,"Atlético GO")+SUMIFS($A$2:$A$121,$H$2:$H$121,"Jefferson Ferreira de Moraes",$E$2:$E$121,"Atlético GO")</f>
        <v>0</v>
      </c>
      <c r="AF19">
        <f>SUMIFS($A$2:$A$121,$H$2:$H$121,"Jefferson Ferreira de Moraes",$B$2:$B$121,"Atlético MG")+SUMIFS($A$2:$A$121,$H$2:$H$121,"Jefferson Ferreira de Moraes",$E$2:$E$121,"Atlético MG")</f>
        <v>0</v>
      </c>
      <c r="AG19">
        <f>SUMIFS($A$2:$A$121,$H$2:$H$121,"Jefferson Ferreira de Moraes",$B$2:$B$121,"Bahia")+SUMIFS($A$2:$A$121,$H$2:$H$121,"Jefferson Ferreira de Moraes",$E$2:$E$121,"Bahia")</f>
        <v>0</v>
      </c>
      <c r="AH19">
        <f>SUMIFS($A$2:$A$121,$H$2:$H$121,"Jefferson Ferreira de Moraes",$B$2:$B$121,"Botafogo")+SUMIFS($A$2:$A$121,$H$2:$H$121,"Jefferson Ferreira de Moraes",$E$2:$E$121,"Botafogo")</f>
        <v>0</v>
      </c>
      <c r="AI19">
        <f>SUMIFS($A$2:$A$121,$H$2:$H$121,"Jefferson Ferreira de Moraes",$B$2:$B$121,"Corinthians")+SUMIFS($A$2:$A$121,$H$2:$H$121,"Jefferson Ferreira de Moraes",$E$2:$E$121,"Corinthians")</f>
        <v>0</v>
      </c>
      <c r="AJ19">
        <f>SUMIFS($A$2:$A$121,$H$2:$H$121,"Jefferson Ferreira de Moraes",$B$2:$B$121,"Criciúma")+SUMIFS($A$2:$A$121,$H$2:$H$121,"Jefferson Ferreira de Moraes",$E$2:$E$121,"Criciúma")</f>
        <v>0</v>
      </c>
      <c r="AK19">
        <f>SUMIFS($A$2:$A$121,$H$2:$H$121,"Jefferson Ferreira de Moraes",$B$2:$B$121,"Cruzeiro")+SUMIFS($A$2:$A$121,$H$2:$H$121,"Jefferson Ferreira de Moraes",$E$2:$E$121,"Cruzeiro")</f>
        <v>0</v>
      </c>
      <c r="AL19">
        <f>SUMIFS($A$2:$A$121,$H$2:$H$121,"Jefferson Ferreira de Moraes",$B$2:$B$121,"Cuiabá")+SUMIFS($A$2:$A$121,$H$2:$H$121,"Jefferson Ferreira de Moraes",$E$2:$E$121,"Cuiabá")</f>
        <v>1</v>
      </c>
      <c r="AM19">
        <f>SUMIFS($A$2:$A$121,$H$2:$H$121,"Jefferson Ferreira de Moraes",$B$2:$B$121,"Flamengo")+SUMIFS($A$2:$A$121,$H$2:$H$121,"Jefferson Ferreira de Moraes",$E$2:$E$121,"Flamengo")</f>
        <v>0</v>
      </c>
      <c r="AN19">
        <f>SUMIFS($A$2:$A$121,$H$2:$H$121,"Jefferson Ferreira de Moraes",$B$2:$B$121,"Fluminense")+SUMIFS($A$2:$A$121,$H$2:$H$121,"Jefferson Ferreira de Moraes",$E$2:$E$121,"Fluminense")</f>
        <v>0</v>
      </c>
      <c r="AO19">
        <f>SUMIFS($A$2:$A$121,$H$2:$H$121,"Jefferson Ferreira de Moraes",$B$2:$B$121,"Fortaleza")+SUMIFS($A$2:$A$121,$H$2:$H$121,"Jefferson Ferreira de Moraes",$E$2:$E$121,"Fortaleza")</f>
        <v>1</v>
      </c>
      <c r="AP19">
        <f>SUMIFS($A$2:$A$121,$H$2:$H$121,"Jefferson Ferreira de Moraes",$B$2:$B$121,"Grêmio")+SUMIFS($A$2:$A$121,$H$2:$H$121,"Jefferson Ferreira de Moraes",$E$2:$E$121,"Grêmio")</f>
        <v>0</v>
      </c>
      <c r="AQ19">
        <f>SUMIFS($A$2:$A$121,$H$2:$H$121,"Jefferson Ferreira de Moraes",$B$2:$B$121,"Internacional")+SUMIFS($A$2:$A$121,$H$2:$H$121,"Jefferson Ferreira de Moraes",$E$2:$E$121,"Internacional")</f>
        <v>0</v>
      </c>
      <c r="AR19">
        <f>SUMIFS($A$2:$A$121,$H$2:$H$121,"Jefferson Ferreira de Moraes",$B$2:$B$121,"Juventude")+SUMIFS($A$2:$A$121,$H$2:$H$121,"Jefferson Ferreira de Moraes",$E$2:$E$121,"Juventude")</f>
        <v>0</v>
      </c>
      <c r="AS19">
        <f>SUMIFS($A$2:$A$121,$H$2:$H$121,"Jefferson Ferreira de Moraes",$B$2:$B$121,"Palmeiras")+SUMIFS($A$2:$A$121,$H$2:$H$121,"Jefferson Ferreira de Moraes",$E$2:$E$121,"Palmeiras")</f>
        <v>0</v>
      </c>
      <c r="AT19">
        <f>SUMIFS($A$2:$A$121,$H$2:$H$121,"Jefferson Ferreira de Moraes",$B$2:$B$121,"Red Bull")+SUMIFS($A$2:$A$121,$H$2:$H$121,"Jefferson Ferreira de Moraes",$E$2:$E$121,"Red Bull")</f>
        <v>0</v>
      </c>
      <c r="AU19">
        <f>SUMIFS($A$2:$A$121,$H$2:$H$121,"Jefferson Ferreira de Moraes",$B$2:$B$121,"São Paulo")+SUMIFS($A$2:$A$121,$H$2:$H$121,"Jefferson Ferreira de Moraes",$E$2:$E$121,"São Paulo")</f>
        <v>0</v>
      </c>
      <c r="AV19">
        <f>SUMIFS($A$2:$A$121,$H$2:$H$121,"Jefferson Ferreira de Moraes",$B$2:$B$121,"Vasco")+SUMIFS($A$2:$A$121,$H$2:$H$121,"Jefferson Ferreira de Moraes",$E$2:$E$121,"Vasco")</f>
        <v>0</v>
      </c>
      <c r="AW19">
        <f>SUMIFS($A$2:$A$121,$H$2:$H$121,"Jefferson Ferreira de Moraes",$B$2:$B$121,"Vitória")+SUMIFS($A$2:$A$121,$H$2:$H$121,"Jefferson Ferreira de Moraes",$E$2:$E$121,"Vitória")</f>
        <v>0</v>
      </c>
      <c r="AX19" s="30">
        <f t="shared" si="3"/>
        <v>2</v>
      </c>
      <c r="AZ19" s="7" t="s">
        <v>117</v>
      </c>
      <c r="BA19">
        <f>SUMIFS($A$2:$A$121,$K$2:$K$121,"Rodrigo Nunes de Sá",$B$2:$B$121,"Athletico")+SUMIFS($A$2:$A$121,$K$2:$K$121,"Rodrigo Nunes de Sá",$E$2:$E$121,"Athletico")</f>
        <v>0</v>
      </c>
      <c r="BB19">
        <f>SUMIFS($A$2:$A$121,$K$2:$K$121,"Rodrigo Nunes de Sá",$B$2:$B$121,"Atlético GO")+SUMIFS($A$2:$A$121,$K$2:$K$121,"Rodrigo Nunes de Sá",$E$2:$E$121,"Atlético GO")</f>
        <v>0</v>
      </c>
      <c r="BC19">
        <f>SUMIFS($A$2:$A$121,$K$2:$K$121,"Rodrigo Nunes de Sá",$B$2:$B$121,"Atlético MG")+SUMIFS($A$2:$A$121,$K$2:$K$121,"Rodrigo Nunes de Sá",$E$2:$E$121,"Atlético MG")</f>
        <v>1</v>
      </c>
      <c r="BD19">
        <f>SUMIFS($A$2:$A$121,$K$2:$K$121,"Rodrigo Nunes de Sá",$B$2:$B$121,"Bahia")+SUMIFS($A$2:$A$121,$K$2:$K$121,"Rodrigo Nunes de Sá",$E$2:$E$121,"Bahia")</f>
        <v>1</v>
      </c>
      <c r="BE19">
        <f>SUMIFS($A$2:$A$121,$K$2:$K$121,"Rodrigo Nunes de Sá",$B$2:$B$121,"Botafogo")+SUMIFS($A$2:$A$121,$K$2:$K$121,"Rodrigo Nunes de Sá",$E$2:$E$121,"Botafogo")</f>
        <v>0</v>
      </c>
      <c r="BF19">
        <f>SUMIFS($A$2:$A$121,$K$2:$K$121,"Rodrigo Nunes de Sá",$B$2:$B$121,"Corinthians")+SUMIFS($A$2:$A$121,$K$2:$K$121,"Rodrigo Nunes de Sá",$E$2:$E$121,"Corinthians")</f>
        <v>1</v>
      </c>
      <c r="BG19">
        <f>SUMIFS($A$2:$A$121,$K$2:$K$121,"Rodrigo Nunes de Sá",$B$2:$B$121,"Criciúma")+SUMIFS($A$2:$A$121,$K$2:$K$121,"Rodrigo Nunes de Sá",$E$2:$E$121,"Criciúma")</f>
        <v>0</v>
      </c>
      <c r="BH19">
        <f>SUMIFS($A$2:$A$121,$K$2:$K$121,"Rodrigo Nunes de Sá",$B$2:$B$121,"Cruzeiro")+SUMIFS($A$2:$A$121,$K$2:$K$121,"Rodrigo Nunes de Sá",$E$2:$E$121,"Cruzeiro")</f>
        <v>2</v>
      </c>
      <c r="BI19">
        <f>SUMIFS($A$2:$A$121,$K$2:$K$121,"Rodrigo Nunes de Sá",$B$2:$B$121,"Cuiabá")+SUMIFS($A$2:$A$121,$K$2:$K$121,"Rodrigo Nunes de Sá",$E$2:$E$121,"Cuiabá")</f>
        <v>2</v>
      </c>
      <c r="BJ19">
        <f>SUMIFS($A$2:$A$121,$K$2:$K$121,"Rodrigo Nunes de Sá",$B$2:$B$121,"Flamengo")+SUMIFS($A$2:$A$121,$K$2:$K$121,"Rodrigo Nunes de Sá",$E$2:$E$121,"Flamengo")</f>
        <v>0</v>
      </c>
      <c r="BK19">
        <f>SUMIFS($A$2:$A$121,$K$2:$K$121,"Rodrigo Nunes de Sá",$B$2:$B$121,"Fluminense")+SUMIFS($A$2:$A$121,$K$2:$K$121,"Rodrigo Nunes de Sá",$E$2:$E$121,"Fluminense")</f>
        <v>0</v>
      </c>
      <c r="BL19">
        <f>SUMIFS($A$2:$A$121,$K$2:$K$121,"Rodrigo Nunes de Sá",$B$2:$B$121,"Fortaleza")+SUMIFS($A$2:$A$121,$K$2:$K$121,"Rodrigo Nunes de Sá",$E$2:$E$121,"Fortaleza")</f>
        <v>3</v>
      </c>
      <c r="BM19">
        <f>SUMIFS($A$2:$A$121,$K$2:$K$121,"Rodrigo Nunes de Sá",$B$2:$B$121,"Grêmio")+SUMIFS($A$2:$A$121,$K$2:$K$121,"Rodrigo Nunes de Sá",$E$2:$E$121,"Grêmio")</f>
        <v>1</v>
      </c>
      <c r="BN19">
        <f>SUMIFS($A$2:$A$121,$K$2:$K$121,"Rodrigo Nunes de Sá",$B$2:$B$121,"Internacional")+SUMIFS($A$2:$A$121,$K$2:$K$121,"Rodrigo Nunes de Sá",$E$2:$E$121,"Internacional")</f>
        <v>1</v>
      </c>
      <c r="BO19">
        <f>SUMIFS($A$2:$A$121,$K$2:$K$121,"Rodrigo Nunes de Sá",$B$2:$B$121,"Juventude")+SUMIFS($A$2:$A$121,$K$2:$K$121,"Rodrigo Nunes de Sá",$E$2:$E$121,"Juventude")</f>
        <v>0</v>
      </c>
      <c r="BP19">
        <f>SUMIFS($A$2:$A$121,$K$2:$K$121,"Rodrigo Nunes de Sá",$B$2:$B$121,"Palmeiras")+SUMIFS($A$2:$A$121,$K$2:$K$121,"Rodrigo Nunes de Sá",$E$2:$E$121,"Palmeiras")</f>
        <v>0</v>
      </c>
      <c r="BQ19">
        <f>SUMIFS($A$2:$A$121,$K$2:$K$121,"Rodrigo Nunes de Sá",$B$2:$B$121,"Red Bull")+SUMIFS($A$2:$A$121,$K$2:$K$121,"Rodrigo Nunes de Sá",$E$2:$E$121,"Red Bull")</f>
        <v>2</v>
      </c>
      <c r="BR19">
        <f>SUMIFS($A$2:$A$121,$K$2:$K$121,"Rodrigo Nunes de Sá",$B$2:$B$121,"São Paulo")+SUMIFS($A$2:$A$121,$K$2:$K$121,"Rodrigo Nunes de Sá",$E$2:$E$121,"São Paulo")</f>
        <v>0</v>
      </c>
      <c r="BS19">
        <f>SUMIFS($A$2:$A$121,$K$2:$K$121,"Rodrigo Nunes de Sá",$B$2:$B$121,"Vasco")+SUMIFS($A$2:$A$121,$K$2:$K$121,"Rodrigo Nunes de Sá",$E$2:$E$121,"Vasco")</f>
        <v>0</v>
      </c>
      <c r="BT19">
        <f>SUMIFS($A$2:$A$121,$K$2:$K$121,"Rodrigo Nunes de Sá",$B$2:$B$121,"Vitória")+SUMIFS($A$2:$A$121,$K$2:$K$121,"Rodrigo Nunes de Sá",$E$2:$E$121,"Vitória")</f>
        <v>0</v>
      </c>
      <c r="BU19" s="30">
        <f t="shared" si="4"/>
        <v>14</v>
      </c>
    </row>
    <row r="20" spans="1:73" ht="15.6" x14ac:dyDescent="0.3">
      <c r="A20">
        <v>1</v>
      </c>
      <c r="B20" s="7" t="s">
        <v>36</v>
      </c>
      <c r="C20" s="9" t="s">
        <v>21</v>
      </c>
      <c r="D20" s="9">
        <v>1</v>
      </c>
      <c r="E20" s="7" t="s">
        <v>25</v>
      </c>
      <c r="F20" s="9" t="s">
        <v>26</v>
      </c>
      <c r="G20" s="9">
        <v>0</v>
      </c>
      <c r="H20" s="7" t="s">
        <v>123</v>
      </c>
      <c r="I20" s="7" t="s">
        <v>19</v>
      </c>
      <c r="J20" s="7" t="s">
        <v>43</v>
      </c>
      <c r="K20" s="7" t="s">
        <v>126</v>
      </c>
      <c r="L20" s="7" t="s">
        <v>19</v>
      </c>
      <c r="M20" s="7" t="s">
        <v>47</v>
      </c>
      <c r="N20" s="14"/>
      <c r="O20" s="18">
        <f t="shared" si="0"/>
        <v>0</v>
      </c>
      <c r="P20" s="18">
        <f t="shared" si="1"/>
        <v>1</v>
      </c>
      <c r="Q20" s="18">
        <f t="shared" si="2"/>
        <v>0</v>
      </c>
      <c r="S20" s="7" t="s">
        <v>23</v>
      </c>
      <c r="T20" s="15">
        <f>COUNTIFS($B$2:$B$121,"Fortaleza",$J$2:$J$121,"=FIFA")+COUNTIFS($E$2:$E$121,"Fortaleza",$J$2:$J$121,"=FIFA")</f>
        <v>2</v>
      </c>
      <c r="U20" s="15">
        <f>COUNTIFS($B$2:$B$121,"Fortaleza",$J$2:$J$121,"=CBF")+COUNTIFS($E$2:$E$121,"Fortaleza",$J$2:$J$121,"=CBF")</f>
        <v>9</v>
      </c>
      <c r="V20" s="15">
        <f>COUNTIFS($B$2:$B$121,"Fortaleza",$M$2:$M$121,"=FIFA")+COUNTIFS($E$2:$E$121,"Fortaleza",$M$2:$M$121,"=FIFA")</f>
        <v>7</v>
      </c>
      <c r="W20" s="15">
        <f>COUNTIFS($B$2:$B$121,"Fortaleza",$M$2:$M$121,"=CBF")+COUNTIFS($E$2:$E$121,"Fortaleza",$M$2:$M$121,"=CBF")</f>
        <v>4</v>
      </c>
      <c r="X20" s="15">
        <f>SUMIFS($O$2:$O$121,$B$2:$B$121,"Fortaleza")+SUMIFS($O$2:$O$121,$E$2:$E$121,"Fortaleza")</f>
        <v>1</v>
      </c>
      <c r="Y20" s="15">
        <f>SUMIFS($P$2:$P$121,$B$2:$B$121,"Fortaleza")+SUMIFS($P$2:$P$121,$E$2:$E$121,"Fortaleza")</f>
        <v>7</v>
      </c>
      <c r="Z20" s="15">
        <f>SUMIFS($Q$2:$Q$121,$B$2:$B$121,"Fortaleza")+SUMIFS($Q$2:$Q$121,$E$2:$E$121,"Fortaleza")</f>
        <v>3</v>
      </c>
      <c r="AC20" s="7" t="s">
        <v>119</v>
      </c>
      <c r="AD20">
        <f>SUMIFS($A$2:$A$121,$H$2:$H$121,"Joao Vitor Gobi",$B$2:$B$121,"Athletico")+SUMIFS($A$2:$A$121,$H$2:$H$121,"Joao Vitor Gobi",$E$2:$E$121,"Athletico")</f>
        <v>1</v>
      </c>
      <c r="AE20">
        <f>SUMIFS($A$2:$A$121,$H$2:$H$121,"Joao Vitor Gobi",$B$2:$B$121,"Atlético GO")+SUMIFS($A$2:$A$121,$H$2:$H$121,"Joao Vitor Gobi",$E$2:$E$121,"Atlético GO")</f>
        <v>0</v>
      </c>
      <c r="AF20">
        <f>SUMIFS($A$2:$A$121,$H$2:$H$121,"Joao Vitor Gobi",$B$2:$B$121,"Atlético MG")+SUMIFS($A$2:$A$121,$H$2:$H$121,"Joao Vitor Gobi",$E$2:$E$121,"Atlético MG")</f>
        <v>0</v>
      </c>
      <c r="AG20">
        <f>SUMIFS($A$2:$A$121,$H$2:$H$121,"Joao Vitor Gobi",$B$2:$B$121,"Bahia")+SUMIFS($A$2:$A$121,$H$2:$H$121,"Joao Vitor Gobi",$E$2:$E$121,"Bahia")</f>
        <v>2</v>
      </c>
      <c r="AH20">
        <f>SUMIFS($A$2:$A$121,$H$2:$H$121,"Joao Vitor Gobi",$B$2:$B$121,"Botafogo")+SUMIFS($A$2:$A$121,$H$2:$H$121,"Joao Vitor Gobi",$E$2:$E$121,"Botafogo")</f>
        <v>0</v>
      </c>
      <c r="AI20">
        <f>SUMIFS($A$2:$A$121,$H$2:$H$121,"Joao Vitor Gobi",$B$2:$B$121,"Corinthians")+SUMIFS($A$2:$A$121,$H$2:$H$121,"Joao Vitor Gobi",$E$2:$E$121,"Corinthians")</f>
        <v>0</v>
      </c>
      <c r="AJ20">
        <f>SUMIFS($A$2:$A$121,$H$2:$H$121,"Joao Vitor Gobi",$B$2:$B$121,"Criciúma")+SUMIFS($A$2:$A$121,$H$2:$H$121,"Joao Vitor Gobi",$E$2:$E$121,"Criciúma")</f>
        <v>0</v>
      </c>
      <c r="AK20">
        <f>SUMIFS($A$2:$A$121,$H$2:$H$121,"Joao Vitor Gobi",$B$2:$B$121,"Cruzeiro")+SUMIFS($A$2:$A$121,$H$2:$H$121,"Joao Vitor Gobi",$E$2:$E$121,"Cruzeiro")</f>
        <v>0</v>
      </c>
      <c r="AL20">
        <f>SUMIFS($A$2:$A$121,$H$2:$H$121,"Joao Vitor Gobi",$B$2:$B$121,"Cuiabá")+SUMIFS($A$2:$A$121,$H$2:$H$121,"Joao Vitor Gobi",$E$2:$E$121,"Cuiabá")</f>
        <v>0</v>
      </c>
      <c r="AM20">
        <f>SUMIFS($A$2:$A$121,$H$2:$H$121,"Joao Vitor Gobi",$B$2:$B$121,"Flamengo")+SUMIFS($A$2:$A$121,$H$2:$H$121,"Joao Vitor Gobi",$E$2:$E$121,"Flamengo")</f>
        <v>0</v>
      </c>
      <c r="AN20">
        <f>SUMIFS($A$2:$A$121,$H$2:$H$121,"Joao Vitor Gobi",$B$2:$B$121,"Fluminense")+SUMIFS($A$2:$A$121,$H$2:$H$121,"Joao Vitor Gobi",$E$2:$E$121,"Fluminense")</f>
        <v>1</v>
      </c>
      <c r="AO20">
        <f>SUMIFS($A$2:$A$121,$H$2:$H$121,"Joao Vitor Gobi",$B$2:$B$121,"Fortaleza")+SUMIFS($A$2:$A$121,$H$2:$H$121,"Joao Vitor Gobi",$E$2:$E$121,"Fortaleza")</f>
        <v>2</v>
      </c>
      <c r="AP20">
        <f>SUMIFS($A$2:$A$121,$H$2:$H$121,"Joao Vitor Gobi",$B$2:$B$121,"Grêmio")+SUMIFS($A$2:$A$121,$H$2:$H$121,"Joao Vitor Gobi",$E$2:$E$121,"Grêmio")</f>
        <v>1</v>
      </c>
      <c r="AQ20">
        <f>SUMIFS($A$2:$A$121,$H$2:$H$121,"Joao Vitor Gobi",$B$2:$B$121,"Internacional")+SUMIFS($A$2:$A$121,$H$2:$H$121,"Joao Vitor Gobi",$E$2:$E$121,"Internacional")</f>
        <v>0</v>
      </c>
      <c r="AR20">
        <f>SUMIFS($A$2:$A$121,$H$2:$H$121,"Joao Vitor Gobi",$B$2:$B$121,"Juventude")+SUMIFS($A$2:$A$121,$H$2:$H$121,"Joao Vitor Gobi",$E$2:$E$121,"Juventude")</f>
        <v>0</v>
      </c>
      <c r="AS20">
        <f>SUMIFS($A$2:$A$121,$H$2:$H$121,"Joao Vitor Gobi",$B$2:$B$121,"Palmeiras")+SUMIFS($A$2:$A$121,$H$2:$H$121,"Joao Vitor Gobi",$E$2:$E$121,"Palmeiras")</f>
        <v>0</v>
      </c>
      <c r="AT20">
        <f>SUMIFS($A$2:$A$121,$H$2:$H$121,"Joao Vitor Gobi",$B$2:$B$121,"Red Bull")+SUMIFS($A$2:$A$121,$H$2:$H$121,"Joao Vitor Gobi",$E$2:$E$121,"Red Bull")</f>
        <v>0</v>
      </c>
      <c r="AU20">
        <f>SUMIFS($A$2:$A$121,$H$2:$H$121,"Joao Vitor Gobi",$B$2:$B$121,"São Paulo")+SUMIFS($A$2:$A$121,$H$2:$H$121,"Joao Vitor Gobi",$E$2:$E$121,"São Paulo")</f>
        <v>0</v>
      </c>
      <c r="AV20">
        <f>SUMIFS($A$2:$A$121,$H$2:$H$121,"Joao Vitor Gobi",$B$2:$B$121,"Vasco")+SUMIFS($A$2:$A$121,$H$2:$H$121,"Joao Vitor Gobi",$E$2:$E$121,"Vasco")</f>
        <v>1</v>
      </c>
      <c r="AW20">
        <f>SUMIFS($A$2:$A$121,$H$2:$H$121,"Joao Vitor Gobi",$B$2:$B$121,"Vitória")+SUMIFS($A$2:$A$121,$H$2:$H$121,"Joao Vitor Gobi",$E$2:$E$121,"Vitória")</f>
        <v>0</v>
      </c>
      <c r="AX20" s="30">
        <f t="shared" si="3"/>
        <v>8</v>
      </c>
      <c r="AZ20" s="21" t="s">
        <v>56</v>
      </c>
      <c r="BA20" s="22">
        <f>SUMIFS($A$2:$A$121,$K$2:$K$121,"Wagner Reway",$B$2:$B$121,"Athletico")+SUMIFS($A$2:$A$121,$K$2:$K$121,"Wagner Reway",$E$2:$E$121,"Athletico")</f>
        <v>1</v>
      </c>
      <c r="BB20" s="22">
        <f>SUMIFS($A$2:$A$121,$K$2:$K$121,"Wagner Reway",$B$2:$B$121,"Atlético GO")+SUMIFS($A$2:$A$121,$K$2:$K$121,"Wagner Reway",$E$2:$E$121,"Atlético GO")</f>
        <v>1</v>
      </c>
      <c r="BC20" s="22">
        <f>SUMIFS($A$2:$A$121,$K$2:$K$121,"Wagner Reway",$B$2:$B$121,"Atlético MG")+SUMIFS($A$2:$A$121,$K$2:$K$121,"Wagner Reway",$E$2:$E$121,"Atlético MG")</f>
        <v>1</v>
      </c>
      <c r="BD20" s="22">
        <f>SUMIFS($A$2:$A$121,$K$2:$K$121,"Wagner Reway",$B$2:$B$121,"Bahia")+SUMIFS($A$2:$A$121,$K$2:$K$121,"Wagner Reway",$E$2:$E$121,"Bahia")</f>
        <v>0</v>
      </c>
      <c r="BE20" s="22">
        <f>SUMIFS($A$2:$A$121,$K$2:$K$121,"Wagner Reway",$B$2:$B$121,"Botafogo")+SUMIFS($A$2:$A$121,$K$2:$K$121,"Wagner Reway",$E$2:$E$121,"Botafogo")</f>
        <v>2</v>
      </c>
      <c r="BF20" s="22">
        <f>SUMIFS($A$2:$A$121,$K$2:$K$121,"Wagner Reway",$B$2:$B$121,"Corinthians")+SUMIFS($A$2:$A$121,$K$2:$K$121,"Wagner Reway",$E$2:$E$121,"Corinthians")</f>
        <v>1</v>
      </c>
      <c r="BG20" s="22">
        <f>SUMIFS($A$2:$A$121,$K$2:$K$121,"Wagner Reway",$B$2:$B$121,"Criciúma")+SUMIFS($A$2:$A$121,$K$2:$K$121,"Wagner Reway",$E$2:$E$121,"Criciúma")</f>
        <v>1</v>
      </c>
      <c r="BH20" s="22">
        <f>SUMIFS($A$2:$A$121,$K$2:$K$121,"Wagner Reway",$B$2:$B$121,"Cruzeiro")+SUMIFS($A$2:$A$121,$K$2:$K$121,"Wagner Reway",$E$2:$E$121,"Cruzeiro")</f>
        <v>2</v>
      </c>
      <c r="BI20" s="22">
        <f>SUMIFS($A$2:$A$121,$K$2:$K$121,"Wagner Reway",$B$2:$B$121,"Cuiabá")+SUMIFS($A$2:$A$121,$K$2:$K$121,"Wagner Reway",$E$2:$E$121,"Cuiabá")</f>
        <v>0</v>
      </c>
      <c r="BJ20" s="22">
        <f>SUMIFS($A$2:$A$121,$K$2:$K$121,"Wagner Reway",$B$2:$B$121,"Flamengo")+SUMIFS($A$2:$A$121,$K$2:$K$121,"Wagner Reway",$E$2:$E$121,"Flamengo")</f>
        <v>1</v>
      </c>
      <c r="BK20" s="22">
        <f>SUMIFS($A$2:$A$121,$K$2:$K$121,"Wagner Reway",$B$2:$B$121,"Fluminense")+SUMIFS($A$2:$A$121,$K$2:$K$121,"Wagner Reway",$E$2:$E$121,"Fluminense")</f>
        <v>2</v>
      </c>
      <c r="BL20" s="22">
        <f>SUMIFS($A$2:$A$121,$K$2:$K$121,"Wagner Reway",$B$2:$B$121,"Fortaleza")+SUMIFS($A$2:$A$121,$K$2:$K$121,"Wagner Reway",$E$2:$E$121,"Fortaleza")</f>
        <v>0</v>
      </c>
      <c r="BM20" s="22">
        <f>SUMIFS($A$2:$A$121,$K$2:$K$121,"Wagner Reway",$B$2:$B$121,"Grêmio")+SUMIFS($A$2:$A$121,$K$2:$K$121,"Wagner Reway",$E$2:$E$121,"Grêmio")</f>
        <v>1</v>
      </c>
      <c r="BN20" s="22">
        <f>SUMIFS($A$2:$A$121,$K$2:$K$121,"Wagner Reway",$B$2:$B$121,"Internacional")+SUMIFS($A$2:$A$121,$K$2:$K$121,"Wagner Reway",$E$2:$E$121,"Internacional")</f>
        <v>2</v>
      </c>
      <c r="BO20" s="22">
        <f>SUMIFS($A$2:$A$121,$K$2:$K$121,"Wagner Reway",$B$2:$B$121,"Juventude")+SUMIFS($A$2:$A$121,$K$2:$K$121,"Wagner Reway",$E$2:$E$121,"Juventude")</f>
        <v>1</v>
      </c>
      <c r="BP20" s="22">
        <f>SUMIFS($A$2:$A$121,$K$2:$K$121,"Wagner Reway",$B$2:$B$121,"Palmeiras")+SUMIFS($A$2:$A$121,$K$2:$K$121,"Wagner Reway",$E$2:$E$121,"Palmeiras")</f>
        <v>4</v>
      </c>
      <c r="BQ20" s="22">
        <f>SUMIFS($A$2:$A$121,$K$2:$K$121,"Wagner Reway",$B$2:$B$121,"Red Bull")+SUMIFS($A$2:$A$121,$K$2:$K$121,"Wagner Reway",$E$2:$E$121,"Red Bull")</f>
        <v>0</v>
      </c>
      <c r="BR20" s="22">
        <f>SUMIFS($A$2:$A$121,$K$2:$K$121,"Wagner Reway",$B$2:$B$121,"São Paulo")+SUMIFS($A$2:$A$121,$K$2:$K$121,"Wagner Reway",$E$2:$E$121,"São Paulo")</f>
        <v>2</v>
      </c>
      <c r="BS20" s="22">
        <f>SUMIFS($A$2:$A$121,$K$2:$K$121,"Wagner Reway",$B$2:$B$121,"Vasco")+SUMIFS($A$2:$A$121,$K$2:$K$121,"Wagner Reway",$E$2:$E$121,"Vasco")</f>
        <v>1</v>
      </c>
      <c r="BT20" s="22">
        <f>SUMIFS($A$2:$A$121,$K$2:$K$121,"Wagner Reway",$B$2:$B$121,"Vitória")+SUMIFS($A$2:$A$121,$K$2:$K$121,"Wagner Reway",$E$2:$E$121,"Vitória")</f>
        <v>1</v>
      </c>
      <c r="BU20" s="31">
        <f t="shared" si="4"/>
        <v>24</v>
      </c>
    </row>
    <row r="21" spans="1:73" ht="15.6" x14ac:dyDescent="0.3">
      <c r="A21">
        <v>1</v>
      </c>
      <c r="B21" s="7" t="s">
        <v>30</v>
      </c>
      <c r="C21" s="9" t="s">
        <v>41</v>
      </c>
      <c r="D21" s="9">
        <v>0</v>
      </c>
      <c r="E21" s="7" t="s">
        <v>37</v>
      </c>
      <c r="F21" s="9" t="s">
        <v>38</v>
      </c>
      <c r="G21" s="9">
        <v>0</v>
      </c>
      <c r="H21" s="7" t="s">
        <v>110</v>
      </c>
      <c r="I21" s="7" t="s">
        <v>26</v>
      </c>
      <c r="J21" s="7" t="s">
        <v>47</v>
      </c>
      <c r="K21" s="7" t="s">
        <v>124</v>
      </c>
      <c r="L21" s="7" t="s">
        <v>32</v>
      </c>
      <c r="M21" s="7" t="s">
        <v>47</v>
      </c>
      <c r="N21" s="14"/>
      <c r="O21" s="18">
        <f t="shared" si="0"/>
        <v>1</v>
      </c>
      <c r="P21" s="18">
        <f t="shared" si="1"/>
        <v>0</v>
      </c>
      <c r="Q21" s="18">
        <f t="shared" si="2"/>
        <v>0</v>
      </c>
      <c r="S21" s="7" t="s">
        <v>14</v>
      </c>
      <c r="T21" s="15">
        <f>COUNTIFS($B$2:$B$121,"Juventude",$J$2:$J$121,"=FIFA")+COUNTIFS($E$2:$E$121,"Juventude",$J$2:$J$121,"=FIFA")</f>
        <v>3</v>
      </c>
      <c r="U21" s="15">
        <f>COUNTIFS($B$2:$B$121,"Juventude",$J$2:$J$121,"=CBF")+COUNTIFS($E$2:$E$121,"Juventude",$J$2:$J$121,"=CBF")</f>
        <v>8</v>
      </c>
      <c r="V21" s="15">
        <f>COUNTIFS($B$2:$B$121,"Juventude",$M$2:$M$121,"=FIFA")+COUNTIFS($E$2:$E$121,"Juventude",$M$2:$M$121,"=FIFA")</f>
        <v>5</v>
      </c>
      <c r="W21" s="15">
        <f>COUNTIFS($B$2:$B$121,"Juventude",$M$2:$M$121,"=CBF")+COUNTIFS($E$2:$E$121,"Juventude",$M$2:$M$121,"=CBF")</f>
        <v>6</v>
      </c>
      <c r="X21" s="15">
        <f>SUMIFS($O$2:$O$121,$B$2:$B$121,"Juventude")+SUMIFS($O$2:$O$121,$E$2:$E$121,"Juventude")</f>
        <v>0</v>
      </c>
      <c r="Y21" s="15">
        <f>SUMIFS($P$2:$P$121,$B$2:$B$121,"Juventude")+SUMIFS($P$2:$P$121,$E$2:$E$121,"Juventude")</f>
        <v>8</v>
      </c>
      <c r="Z21" s="15">
        <f>SUMIFS($Q$2:$Q$121,$B$2:$B$121,"Juventude")+SUMIFS($Q$2:$Q$121,$E$2:$E$121,"Juventude")</f>
        <v>3</v>
      </c>
      <c r="AC21" s="7" t="s">
        <v>58</v>
      </c>
      <c r="AD21">
        <f>SUMIFS($A$2:$A$121,$H$2:$H$121,"Jonathan Benkenstein Pinheiro",$B$2:$B$121,"Athletico")+SUMIFS($A$2:$A$121,$H$2:$H$121,"Jonathan Benkenstein Pinheiro",$E$2:$E$121,"Athletico")</f>
        <v>2</v>
      </c>
      <c r="AE21">
        <f>SUMIFS($A$2:$A$121,$H$2:$H$121,"Jonathan Benkenstein Pinheiro",$B$2:$B$121,"Atlético GO")+SUMIFS($A$2:$A$121,$H$2:$H$121,"Jonathan Benkenstein Pinheiro",$E$2:$E$121,"Atlético GO")</f>
        <v>0</v>
      </c>
      <c r="AF21">
        <f>SUMIFS($A$2:$A$121,$H$2:$H$121,"Jonathan Benkenstein Pinheiro",$B$2:$B$121,"Atlético MG")+SUMIFS($A$2:$A$121,$H$2:$H$121,"Jonathan Benkenstein Pinheiro",$E$2:$E$121,"Atlético MG")</f>
        <v>0</v>
      </c>
      <c r="AG21">
        <f>SUMIFS($A$2:$A$121,$H$2:$H$121,"Jonathan Benkenstein Pinheiro",$B$2:$B$121,"Bahia")+SUMIFS($A$2:$A$121,$H$2:$H$121,"Jonathan Benkenstein Pinheiro",$E$2:$E$121,"Bahia")</f>
        <v>0</v>
      </c>
      <c r="AH21">
        <f>SUMIFS($A$2:$A$121,$H$2:$H$121,"Jonathan Benkenstein Pinheiro",$B$2:$B$121,"Botafogo")+SUMIFS($A$2:$A$121,$H$2:$H$121,"Jonathan Benkenstein Pinheiro",$E$2:$E$121,"Botafogo")</f>
        <v>0</v>
      </c>
      <c r="AI21">
        <f>SUMIFS($A$2:$A$121,$H$2:$H$121,"Jonathan Benkenstein Pinheiro",$B$2:$B$121,"Corinthians")+SUMIFS($A$2:$A$121,$H$2:$H$121,"Jonathan Benkenstein Pinheiro",$E$2:$E$121,"Corinthians")</f>
        <v>0</v>
      </c>
      <c r="AJ21">
        <f>SUMIFS($A$2:$A$121,$H$2:$H$121,"Jonathan Benkenstein Pinheiro",$B$2:$B$121,"Criciúma")+SUMIFS($A$2:$A$121,$H$2:$H$121,"Jonathan Benkenstein Pinheiro",$E$2:$E$121,"Criciúma")</f>
        <v>1</v>
      </c>
      <c r="AK21">
        <f>SUMIFS($A$2:$A$121,$H$2:$H$121,"Jonathan Benkenstein Pinheiro",$B$2:$B$121,"Cruzeiro")+SUMIFS($A$2:$A$121,$H$2:$H$121,"Jonathan Benkenstein Pinheiro",$E$2:$E$121,"Cruzeiro")</f>
        <v>0</v>
      </c>
      <c r="AL21">
        <f>SUMIFS($A$2:$A$121,$H$2:$H$121,"Jonathan Benkenstein Pinheiro",$B$2:$B$121,"Cuiabá")+SUMIFS($A$2:$A$121,$H$2:$H$121,"Jonathan Benkenstein Pinheiro",$E$2:$E$121,"Cuiabá")</f>
        <v>1</v>
      </c>
      <c r="AM21">
        <f>SUMIFS($A$2:$A$121,$H$2:$H$121,"Jonathan Benkenstein Pinheiro",$B$2:$B$121,"Flamengo")+SUMIFS($A$2:$A$121,$H$2:$H$121,"Jonathan Benkenstein Pinheiro",$E$2:$E$121,"Flamengo")</f>
        <v>0</v>
      </c>
      <c r="AN21">
        <f>SUMIFS($A$2:$A$121,$H$2:$H$121,"Jonathan Benkenstein Pinheiro",$B$2:$B$121,"Fluminense")+SUMIFS($A$2:$A$121,$H$2:$H$121,"Jonathan Benkenstein Pinheiro",$E$2:$E$121,"Fluminense")</f>
        <v>0</v>
      </c>
      <c r="AO21">
        <f>SUMIFS($A$2:$A$121,$H$2:$H$121,"Jonathan Benkenstein Pinheiro",$B$2:$B$121,"Fortaleza")+SUMIFS($A$2:$A$121,$H$2:$H$121,"Jonathan Benkenstein Pinheiro",$E$2:$E$121,"Fortaleza")</f>
        <v>0</v>
      </c>
      <c r="AP21">
        <f>SUMIFS($A$2:$A$121,$H$2:$H$121,"Jonathan Benkenstein Pinheiro",$B$2:$B$121,"Grêmio")+SUMIFS($A$2:$A$121,$H$2:$H$121,"Jonathan Benkenstein Pinheiro",$E$2:$E$121,"Grêmio")</f>
        <v>0</v>
      </c>
      <c r="AQ21">
        <f>SUMIFS($A$2:$A$121,$H$2:$H$121,"Jonathan Benkenstein Pinheiro",$B$2:$B$121,"Internacional")+SUMIFS($A$2:$A$121,$H$2:$H$121,"Jonathan Benkenstein Pinheiro",$E$2:$E$121,"Internacional")</f>
        <v>0</v>
      </c>
      <c r="AR21">
        <f>SUMIFS($A$2:$A$121,$H$2:$H$121,"Jonathan Benkenstein Pinheiro",$B$2:$B$121,"Juventude")+SUMIFS($A$2:$A$121,$H$2:$H$121,"Jonathan Benkenstein Pinheiro",$E$2:$E$121,"Juventude")</f>
        <v>0</v>
      </c>
      <c r="AS21">
        <f>SUMIFS($A$2:$A$121,$H$2:$H$121,"Jonathan Benkenstein Pinheiro",$B$2:$B$121,"Palmeiras")+SUMIFS($A$2:$A$121,$H$2:$H$121,"Jonathan Benkenstein Pinheiro",$E$2:$E$121,"Palmeiras")</f>
        <v>0</v>
      </c>
      <c r="AT21">
        <f>SUMIFS($A$2:$A$121,$H$2:$H$121,"Jonathan Benkenstein Pinheiro",$B$2:$B$121,"Red Bull")+SUMIFS($A$2:$A$121,$H$2:$H$121,"Jonathan Benkenstein Pinheiro",$E$2:$E$121,"Red Bull")</f>
        <v>1</v>
      </c>
      <c r="AU21">
        <f>SUMIFS($A$2:$A$121,$H$2:$H$121,"Jonathan Benkenstein Pinheiro",$B$2:$B$121,"São Paulo")+SUMIFS($A$2:$A$121,$H$2:$H$121,"Jonathan Benkenstein Pinheiro",$E$2:$E$121,"São Paulo")</f>
        <v>0</v>
      </c>
      <c r="AV21">
        <f>SUMIFS($A$2:$A$121,$H$2:$H$121,"Jonathan Benkenstein Pinheiro",$B$2:$B$121,"Vasco")+SUMIFS($A$2:$A$121,$H$2:$H$121,"Jonathan Benkenstein Pinheiro",$E$2:$E$121,"Vasco")</f>
        <v>0</v>
      </c>
      <c r="AW21">
        <f>SUMIFS($A$2:$A$121,$H$2:$H$121,"Jonathan Benkenstein Pinheiro",$B$2:$B$121,"Vitória")+SUMIFS($A$2:$A$121,$H$2:$H$121,"Jonathan Benkenstein Pinheiro",$E$2:$E$121,"Vitória")</f>
        <v>1</v>
      </c>
      <c r="AX21" s="30">
        <f t="shared" si="3"/>
        <v>6</v>
      </c>
      <c r="AZ21" s="2" t="s">
        <v>152</v>
      </c>
      <c r="BA21" s="1">
        <f>MAX(BA2:BA20)</f>
        <v>3</v>
      </c>
      <c r="BB21" s="1">
        <f>MAX(BB2:BB20)</f>
        <v>2</v>
      </c>
      <c r="BC21" s="1">
        <f>MAX(BC2:BC20)</f>
        <v>3</v>
      </c>
      <c r="BD21" s="1">
        <f>MAX(BD2:BD20)</f>
        <v>3</v>
      </c>
      <c r="BE21" s="1">
        <f>MAX(BE2:BE20)</f>
        <v>3</v>
      </c>
      <c r="BF21" s="1">
        <f>MAX(BF2:BF20)</f>
        <v>2</v>
      </c>
      <c r="BG21" s="1">
        <f>MAX(BG2:BG20)</f>
        <v>2</v>
      </c>
      <c r="BH21" s="1">
        <f>MAX(BH2:BH20)</f>
        <v>2</v>
      </c>
      <c r="BI21" s="1">
        <f>MAX(BI2:BI20)</f>
        <v>2</v>
      </c>
      <c r="BJ21" s="1">
        <f>MAX(BJ2:BJ20)</f>
        <v>2</v>
      </c>
      <c r="BK21" s="1">
        <f>MAX(BK2:BK20)</f>
        <v>2</v>
      </c>
      <c r="BL21" s="1">
        <f>MAX(BL2:BL20)</f>
        <v>3</v>
      </c>
      <c r="BM21" s="1">
        <f>MAX(BM2:BM20)</f>
        <v>2</v>
      </c>
      <c r="BN21" s="1">
        <f>MAX(BN2:BN20)</f>
        <v>2</v>
      </c>
      <c r="BO21" s="1">
        <f>MAX(BO2:BO20)</f>
        <v>2</v>
      </c>
      <c r="BP21" s="1">
        <f>MAX(BP2:BP20)</f>
        <v>4</v>
      </c>
      <c r="BQ21" s="1">
        <f>MAX(BQ2:BQ20)</f>
        <v>2</v>
      </c>
      <c r="BR21" s="1">
        <f>MAX(BR2:BR20)</f>
        <v>2</v>
      </c>
      <c r="BS21" s="1">
        <f>MAX(BS2:BS20)</f>
        <v>2</v>
      </c>
      <c r="BT21" s="1">
        <f>MAX(BT2:BT20)</f>
        <v>3</v>
      </c>
      <c r="BU21" s="30">
        <f>SUM(BU2:BU20)</f>
        <v>230</v>
      </c>
    </row>
    <row r="22" spans="1:73" ht="15.6" x14ac:dyDescent="0.3">
      <c r="A22">
        <v>1</v>
      </c>
      <c r="B22" s="13" t="s">
        <v>12</v>
      </c>
      <c r="C22" s="12" t="s">
        <v>13</v>
      </c>
      <c r="D22" s="12"/>
      <c r="E22" s="13" t="s">
        <v>23</v>
      </c>
      <c r="F22" s="12" t="s">
        <v>24</v>
      </c>
      <c r="G22" s="12"/>
      <c r="H22" s="13"/>
      <c r="I22" s="13"/>
      <c r="J22" s="13"/>
      <c r="K22" s="13"/>
      <c r="L22" s="13"/>
      <c r="M22" s="13"/>
      <c r="N22" s="14"/>
      <c r="O22" s="18">
        <f t="shared" si="0"/>
        <v>0</v>
      </c>
      <c r="P22" s="18">
        <f t="shared" si="1"/>
        <v>0</v>
      </c>
      <c r="Q22" s="18">
        <v>0</v>
      </c>
      <c r="AC22" s="7" t="s">
        <v>115</v>
      </c>
      <c r="AD22">
        <f>SUMIFS($A$2:$A$121,$H$2:$H$121,"Kleber Ariel Goncalves da Silva",$B$2:$B$121,"Athletico")+SUMIFS($A$2:$A$121,$H$2:$H$121,"Kleber Ariel Goncalves da Silva",$E$2:$E$121,"Athletico")</f>
        <v>0</v>
      </c>
      <c r="AE22">
        <f>SUMIFS($A$2:$A$121,$H$2:$H$121,"Kleber Ariel Goncalves da Silva",$B$2:$B$121,"Atlético GO")+SUMIFS($A$2:$A$121,$H$2:$H$121,"Kleber Ariel Goncalves da Silva",$E$2:$E$121,"Atlético GO")</f>
        <v>1</v>
      </c>
      <c r="AF22">
        <f>SUMIFS($A$2:$A$121,$H$2:$H$121,"Kleber Ariel Goncalves da Silva",$B$2:$B$121,"Atlético MG")+SUMIFS($A$2:$A$121,$H$2:$H$121,"Kleber Ariel Goncalves da Silva",$E$2:$E$121,"Atlético MG")</f>
        <v>0</v>
      </c>
      <c r="AG22">
        <f>SUMIFS($A$2:$A$121,$H$2:$H$121,"Kleber Ariel Goncalves da Silva",$B$2:$B$121,"Bahia")+SUMIFS($A$2:$A$121,$H$2:$H$121,"Kleber Ariel Goncalves da Silva",$E$2:$E$121,"Bahia")</f>
        <v>0</v>
      </c>
      <c r="AH22">
        <f>SUMIFS($A$2:$A$121,$H$2:$H$121,"Kleber Ariel Goncalves da Silva",$B$2:$B$121,"Botafogo")+SUMIFS($A$2:$A$121,$H$2:$H$121,"Kleber Ariel Goncalves da Silva",$E$2:$E$121,"Botafogo")</f>
        <v>0</v>
      </c>
      <c r="AI22">
        <f>SUMIFS($A$2:$A$121,$H$2:$H$121,"Kleber Ariel Goncalves da Silva",$B$2:$B$121,"Corinthians")+SUMIFS($A$2:$A$121,$H$2:$H$121,"Kleber Ariel Goncalves da Silva",$E$2:$E$121,"Corinthians")</f>
        <v>0</v>
      </c>
      <c r="AJ22">
        <f>SUMIFS($A$2:$A$121,$H$2:$H$121,"Kleber Ariel Goncalves da Silva",$B$2:$B$121,"Criciúma")+SUMIFS($A$2:$A$121,$H$2:$H$121,"Kleber Ariel Goncalves da Silva",$E$2:$E$121,"Criciúma")</f>
        <v>0</v>
      </c>
      <c r="AK22">
        <f>SUMIFS($A$2:$A$121,$H$2:$H$121,"Kleber Ariel Goncalves da Silva",$B$2:$B$121,"Cruzeiro")+SUMIFS($A$2:$A$121,$H$2:$H$121,"Kleber Ariel Goncalves da Silva",$E$2:$E$121,"Cruzeiro")</f>
        <v>0</v>
      </c>
      <c r="AL22">
        <f>SUMIFS($A$2:$A$121,$H$2:$H$121,"Kleber Ariel Goncalves da Silva",$B$2:$B$121,"Cuiabá")+SUMIFS($A$2:$A$121,$H$2:$H$121,"Kleber Ariel Goncalves da Silva",$E$2:$E$121,"Cuiabá")</f>
        <v>0</v>
      </c>
      <c r="AM22">
        <f>SUMIFS($A$2:$A$121,$H$2:$H$121,"Kleber Ariel Goncalves da Silva",$B$2:$B$121,"Flamengo")+SUMIFS($A$2:$A$121,$H$2:$H$121,"Kleber Ariel Goncalves da Silva",$E$2:$E$121,"Flamengo")</f>
        <v>0</v>
      </c>
      <c r="AN22">
        <f>SUMIFS($A$2:$A$121,$H$2:$H$121,"Kleber Ariel Goncalves da Silva",$B$2:$B$121,"Fluminense")+SUMIFS($A$2:$A$121,$H$2:$H$121,"Kleber Ariel Goncalves da Silva",$E$2:$E$121,"Fluminense")</f>
        <v>0</v>
      </c>
      <c r="AO22">
        <f>SUMIFS($A$2:$A$121,$H$2:$H$121,"Kleber Ariel Goncalves da Silva",$B$2:$B$121,"Fortaleza")+SUMIFS($A$2:$A$121,$H$2:$H$121,"Kleber Ariel Goncalves da Silva",$E$2:$E$121,"Fortaleza")</f>
        <v>0</v>
      </c>
      <c r="AP22">
        <f>SUMIFS($A$2:$A$121,$H$2:$H$121,"Kleber Ariel Goncalves da Silva",$B$2:$B$121,"Grêmio")+SUMIFS($A$2:$A$121,$H$2:$H$121,"Kleber Ariel Goncalves da Silva",$E$2:$E$121,"Grêmio")</f>
        <v>0</v>
      </c>
      <c r="AQ22">
        <f>SUMIFS($A$2:$A$121,$H$2:$H$121,"Kleber Ariel Goncalves da Silva",$B$2:$B$121,"Internacional")+SUMIFS($A$2:$A$121,$H$2:$H$121,"Kleber Ariel Goncalves da Silva",$E$2:$E$121,"Internacional")</f>
        <v>0</v>
      </c>
      <c r="AR22">
        <f>SUMIFS($A$2:$A$121,$H$2:$H$121,"Kleber Ariel Goncalves da Silva",$B$2:$B$121,"Juventude")+SUMIFS($A$2:$A$121,$H$2:$H$121,"Kleber Ariel Goncalves da Silva",$E$2:$E$121,"Juventude")</f>
        <v>0</v>
      </c>
      <c r="AS22">
        <f>SUMIFS($A$2:$A$121,$H$2:$H$121,"Kleber Ariel Goncalves da Silva",$B$2:$B$121,"Palmeiras")+SUMIFS($A$2:$A$121,$H$2:$H$121,"Kleber Ariel Goncalves da Silva",$E$2:$E$121,"Palmeiras")</f>
        <v>0</v>
      </c>
      <c r="AT22">
        <f>SUMIFS($A$2:$A$121,$H$2:$H$121,"Kleber Ariel Goncalves da Silva",$B$2:$B$121,"Red Bull")+SUMIFS($A$2:$A$121,$H$2:$H$121,"Kleber Ariel Goncalves da Silva",$E$2:$E$121,"Red Bull")</f>
        <v>0</v>
      </c>
      <c r="AU22">
        <f>SUMIFS($A$2:$A$121,$H$2:$H$121,"Kleber Ariel Goncalves da Silva",$B$2:$B$121,"São Paulo")+SUMIFS($A$2:$A$121,$H$2:$H$121,"Kleber Ariel Goncalves da Silva",$E$2:$E$121,"São Paulo")</f>
        <v>0</v>
      </c>
      <c r="AV22">
        <f>SUMIFS($A$2:$A$121,$H$2:$H$121,"Kleber Ariel Goncalves da Silva",$B$2:$B$121,"Vasco")+SUMIFS($A$2:$A$121,$H$2:$H$121,"Kleber Ariel Goncalves da Silva",$E$2:$E$121,"Vasco")</f>
        <v>0</v>
      </c>
      <c r="AW22">
        <f>SUMIFS($A$2:$A$121,$H$2:$H$121,"Kleber Ariel Goncalves da Silva",$B$2:$B$121,"Vitória")+SUMIFS($A$2:$A$121,$H$2:$H$121,"Kleber Ariel Goncalves da Silva",$E$2:$E$121,"Vitória")</f>
        <v>1</v>
      </c>
      <c r="AX22" s="30">
        <f t="shared" si="3"/>
        <v>2</v>
      </c>
    </row>
    <row r="23" spans="1:73" ht="15.6" x14ac:dyDescent="0.3">
      <c r="A23">
        <v>1</v>
      </c>
      <c r="B23" s="7" t="s">
        <v>20</v>
      </c>
      <c r="C23" s="9" t="s">
        <v>21</v>
      </c>
      <c r="D23" s="9">
        <v>2</v>
      </c>
      <c r="E23" s="7" t="s">
        <v>33</v>
      </c>
      <c r="F23" s="9" t="s">
        <v>21</v>
      </c>
      <c r="G23" s="9">
        <v>1</v>
      </c>
      <c r="H23" s="7" t="s">
        <v>110</v>
      </c>
      <c r="I23" s="7" t="s">
        <v>26</v>
      </c>
      <c r="J23" s="7" t="s">
        <v>47</v>
      </c>
      <c r="K23" s="7" t="s">
        <v>100</v>
      </c>
      <c r="L23" s="7" t="s">
        <v>29</v>
      </c>
      <c r="M23" s="7" t="s">
        <v>47</v>
      </c>
      <c r="N23" s="14"/>
      <c r="O23" s="18">
        <f t="shared" si="0"/>
        <v>1</v>
      </c>
      <c r="P23" s="18">
        <f t="shared" si="1"/>
        <v>0</v>
      </c>
      <c r="Q23" s="18">
        <f t="shared" si="2"/>
        <v>0</v>
      </c>
      <c r="AC23" s="7" t="s">
        <v>118</v>
      </c>
      <c r="AD23">
        <f>SUMIFS($A$2:$A$121,$H$2:$H$121,"Lucas Paulo Torezin",$B$2:$B$121,"Athletico")+SUMIFS($A$2:$A$121,$H$2:$H$121,"Lucas Paulo Torezin",$E$2:$E$121,"Athletico")</f>
        <v>0</v>
      </c>
      <c r="AE23">
        <f>SUMIFS($A$2:$A$121,$H$2:$H$121,"Lucas Paulo Torezin",$B$2:$B$121,"Atlético GO")+SUMIFS($A$2:$A$121,$H$2:$H$121,"Lucas Paulo Torezin",$E$2:$E$121,"Atlético GO")</f>
        <v>0</v>
      </c>
      <c r="AF23">
        <f>SUMIFS($A$2:$A$121,$H$2:$H$121,"Lucas Paulo Torezin",$B$2:$B$121,"Atlético MG")+SUMIFS($A$2:$A$121,$H$2:$H$121,"Lucas Paulo Torezin",$E$2:$E$121,"Atlético MG")</f>
        <v>0</v>
      </c>
      <c r="AG23">
        <f>SUMIFS($A$2:$A$121,$H$2:$H$121,"Lucas Paulo Torezin",$B$2:$B$121,"Bahia")+SUMIFS($A$2:$A$121,$H$2:$H$121,"Lucas Paulo Torezin",$E$2:$E$121,"Bahia")</f>
        <v>0</v>
      </c>
      <c r="AH23">
        <f>SUMIFS($A$2:$A$121,$H$2:$H$121,"Lucas Paulo Torezin",$B$2:$B$121,"Botafogo")+SUMIFS($A$2:$A$121,$H$2:$H$121,"Lucas Paulo Torezin",$E$2:$E$121,"Botafogo")</f>
        <v>0</v>
      </c>
      <c r="AI23">
        <f>SUMIFS($A$2:$A$121,$H$2:$H$121,"Lucas Paulo Torezin",$B$2:$B$121,"Corinthians")+SUMIFS($A$2:$A$121,$H$2:$H$121,"Lucas Paulo Torezin",$E$2:$E$121,"Corinthians")</f>
        <v>0</v>
      </c>
      <c r="AJ23">
        <f>SUMIFS($A$2:$A$121,$H$2:$H$121,"Lucas Paulo Torezin",$B$2:$B$121,"Criciúma")+SUMIFS($A$2:$A$121,$H$2:$H$121,"Lucas Paulo Torezin",$E$2:$E$121,"Criciúma")</f>
        <v>0</v>
      </c>
      <c r="AK23">
        <f>SUMIFS($A$2:$A$121,$H$2:$H$121,"Lucas Paulo Torezin",$B$2:$B$121,"Cruzeiro")+SUMIFS($A$2:$A$121,$H$2:$H$121,"Lucas Paulo Torezin",$E$2:$E$121,"Cruzeiro")</f>
        <v>1</v>
      </c>
      <c r="AL23">
        <f>SUMIFS($A$2:$A$121,$H$2:$H$121,"Lucas Paulo Torezin",$B$2:$B$121,"Cuiabá")+SUMIFS($A$2:$A$121,$H$2:$H$121,"Lucas Paulo Torezin",$E$2:$E$121,"Cuiabá")</f>
        <v>0</v>
      </c>
      <c r="AM23">
        <f>SUMIFS($A$2:$A$121,$H$2:$H$121,"Lucas Paulo Torezin",$B$2:$B$121,"Flamengo")+SUMIFS($A$2:$A$121,$H$2:$H$121,"Lucas Paulo Torezin",$E$2:$E$121,"Flamengo")</f>
        <v>0</v>
      </c>
      <c r="AN23">
        <f>SUMIFS($A$2:$A$121,$H$2:$H$121,"Lucas Paulo Torezin",$B$2:$B$121,"Fluminense")+SUMIFS($A$2:$A$121,$H$2:$H$121,"Lucas Paulo Torezin",$E$2:$E$121,"Fluminense")</f>
        <v>0</v>
      </c>
      <c r="AO23">
        <f>SUMIFS($A$2:$A$121,$H$2:$H$121,"Lucas Paulo Torezin",$B$2:$B$121,"Fortaleza")+SUMIFS($A$2:$A$121,$H$2:$H$121,"Lucas Paulo Torezin",$E$2:$E$121,"Fortaleza")</f>
        <v>0</v>
      </c>
      <c r="AP23">
        <f>SUMIFS($A$2:$A$121,$H$2:$H$121,"Lucas Paulo Torezin",$B$2:$B$121,"Grêmio")+SUMIFS($A$2:$A$121,$H$2:$H$121,"Lucas Paulo Torezin",$E$2:$E$121,"Grêmio")</f>
        <v>0</v>
      </c>
      <c r="AQ23">
        <f>SUMIFS($A$2:$A$121,$H$2:$H$121,"Lucas Paulo Torezin",$B$2:$B$121,"Internacional")+SUMIFS($A$2:$A$121,$H$2:$H$121,"Lucas Paulo Torezin",$E$2:$E$121,"Internacional")</f>
        <v>1</v>
      </c>
      <c r="AR23">
        <f>SUMIFS($A$2:$A$121,$H$2:$H$121,"Lucas Paulo Torezin",$B$2:$B$121,"Juventude")+SUMIFS($A$2:$A$121,$H$2:$H$121,"Lucas Paulo Torezin",$E$2:$E$121,"Juventude")</f>
        <v>0</v>
      </c>
      <c r="AS23">
        <f>SUMIFS($A$2:$A$121,$H$2:$H$121,"Lucas Paulo Torezin",$B$2:$B$121,"Palmeiras")+SUMIFS($A$2:$A$121,$H$2:$H$121,"Lucas Paulo Torezin",$E$2:$E$121,"Palmeiras")</f>
        <v>1</v>
      </c>
      <c r="AT23">
        <f>SUMIFS($A$2:$A$121,$H$2:$H$121,"Lucas Paulo Torezin",$B$2:$B$121,"Red Bull")+SUMIFS($A$2:$A$121,$H$2:$H$121,"Lucas Paulo Torezin",$E$2:$E$121,"Red Bull")</f>
        <v>0</v>
      </c>
      <c r="AU23">
        <f>SUMIFS($A$2:$A$121,$H$2:$H$121,"Lucas Paulo Torezin",$B$2:$B$121,"São Paulo")+SUMIFS($A$2:$A$121,$H$2:$H$121,"Lucas Paulo Torezin",$E$2:$E$121,"São Paulo")</f>
        <v>1</v>
      </c>
      <c r="AV23">
        <f>SUMIFS($A$2:$A$121,$H$2:$H$121,"Lucas Paulo Torezin",$B$2:$B$121,"Vasco")+SUMIFS($A$2:$A$121,$H$2:$H$121,"Lucas Paulo Torezin",$E$2:$E$121,"Vasco")</f>
        <v>0</v>
      </c>
      <c r="AW23">
        <f>SUMIFS($A$2:$A$121,$H$2:$H$121,"Lucas Paulo Torezin",$B$2:$B$121,"Vitória")+SUMIFS($A$2:$A$121,$H$2:$H$121,"Lucas Paulo Torezin",$E$2:$E$121,"Vitória")</f>
        <v>0</v>
      </c>
      <c r="AX23" s="30">
        <f t="shared" si="3"/>
        <v>4</v>
      </c>
    </row>
    <row r="24" spans="1:73" ht="15.6" x14ac:dyDescent="0.3">
      <c r="A24">
        <v>1</v>
      </c>
      <c r="B24" s="7" t="s">
        <v>18</v>
      </c>
      <c r="C24" s="9" t="s">
        <v>19</v>
      </c>
      <c r="D24" s="9">
        <v>1</v>
      </c>
      <c r="E24" s="7" t="s">
        <v>31</v>
      </c>
      <c r="F24" s="9" t="s">
        <v>19</v>
      </c>
      <c r="G24" s="9">
        <v>0</v>
      </c>
      <c r="H24" s="7" t="s">
        <v>86</v>
      </c>
      <c r="I24" s="7" t="s">
        <v>15</v>
      </c>
      <c r="J24" s="7" t="s">
        <v>47</v>
      </c>
      <c r="K24" s="7" t="s">
        <v>53</v>
      </c>
      <c r="L24" s="7" t="s">
        <v>54</v>
      </c>
      <c r="M24" s="7" t="s">
        <v>47</v>
      </c>
      <c r="N24" s="14"/>
      <c r="O24" s="18">
        <f t="shared" si="0"/>
        <v>1</v>
      </c>
      <c r="P24" s="18">
        <f t="shared" si="1"/>
        <v>0</v>
      </c>
      <c r="Q24" s="18">
        <f t="shared" si="2"/>
        <v>0</v>
      </c>
      <c r="AC24" s="7" t="s">
        <v>123</v>
      </c>
      <c r="AD24">
        <f>SUMIFS($A$2:$A$121,$H$2:$H$121,"Luiz Flavio de Oliveira",$B$2:$B$121,"Athletico")+SUMIFS($A$2:$A$121,$H$2:$H$121,"Luiz Flavio de Oliveira",$E$2:$E$121,"Athletico")</f>
        <v>0</v>
      </c>
      <c r="AE24">
        <f>SUMIFS($A$2:$A$121,$H$2:$H$121,"Luiz Flavio de Oliveira",$B$2:$B$121,"Atlético GO")+SUMIFS($A$2:$A$121,$H$2:$H$121,"Luiz Flavio de Oliveira",$E$2:$E$121,"Atlético GO")</f>
        <v>1</v>
      </c>
      <c r="AF24">
        <f>SUMIFS($A$2:$A$121,$H$2:$H$121,"Luiz Flavio de Oliveira",$B$2:$B$121,"Atlético MG")+SUMIFS($A$2:$A$121,$H$2:$H$121,"Luiz Flavio de Oliveira",$E$2:$E$121,"Atlético MG")</f>
        <v>1</v>
      </c>
      <c r="AG24">
        <f>SUMIFS($A$2:$A$121,$H$2:$H$121,"Luiz Flavio de Oliveira",$B$2:$B$121,"Bahia")+SUMIFS($A$2:$A$121,$H$2:$H$121,"Luiz Flavio de Oliveira",$E$2:$E$121,"Bahia")</f>
        <v>0</v>
      </c>
      <c r="AH24">
        <f>SUMIFS($A$2:$A$121,$H$2:$H$121,"Luiz Flavio de Oliveira",$B$2:$B$121,"Botafogo")+SUMIFS($A$2:$A$121,$H$2:$H$121,"Luiz Flavio de Oliveira",$E$2:$E$121,"Botafogo")</f>
        <v>2</v>
      </c>
      <c r="AI24">
        <f>SUMIFS($A$2:$A$121,$H$2:$H$121,"Luiz Flavio de Oliveira",$B$2:$B$121,"Corinthians")+SUMIFS($A$2:$A$121,$H$2:$H$121,"Luiz Flavio de Oliveira",$E$2:$E$121,"Corinthians")</f>
        <v>0</v>
      </c>
      <c r="AJ24">
        <f>SUMIFS($A$2:$A$121,$H$2:$H$121,"Luiz Flavio de Oliveira",$B$2:$B$121,"Criciúma")+SUMIFS($A$2:$A$121,$H$2:$H$121,"Luiz Flavio de Oliveira",$E$2:$E$121,"Criciúma")</f>
        <v>1</v>
      </c>
      <c r="AK24">
        <f>SUMIFS($A$2:$A$121,$H$2:$H$121,"Luiz Flavio de Oliveira",$B$2:$B$121,"Cruzeiro")+SUMIFS($A$2:$A$121,$H$2:$H$121,"Luiz Flavio de Oliveira",$E$2:$E$121,"Cruzeiro")</f>
        <v>0</v>
      </c>
      <c r="AL24">
        <f>SUMIFS($A$2:$A$121,$H$2:$H$121,"Luiz Flavio de Oliveira",$B$2:$B$121,"Cuiabá")+SUMIFS($A$2:$A$121,$H$2:$H$121,"Luiz Flavio de Oliveira",$E$2:$E$121,"Cuiabá")</f>
        <v>0</v>
      </c>
      <c r="AM24">
        <f>SUMIFS($A$2:$A$121,$H$2:$H$121,"Luiz Flavio de Oliveira",$B$2:$B$121,"Flamengo")+SUMIFS($A$2:$A$121,$H$2:$H$121,"Luiz Flavio de Oliveira",$E$2:$E$121,"Flamengo")</f>
        <v>1</v>
      </c>
      <c r="AN24">
        <f>SUMIFS($A$2:$A$121,$H$2:$H$121,"Luiz Flavio de Oliveira",$B$2:$B$121,"Fluminense")+SUMIFS($A$2:$A$121,$H$2:$H$121,"Luiz Flavio de Oliveira",$E$2:$E$121,"Fluminense")</f>
        <v>0</v>
      </c>
      <c r="AO24">
        <f>SUMIFS($A$2:$A$121,$H$2:$H$121,"Luiz Flavio de Oliveira",$B$2:$B$121,"Fortaleza")+SUMIFS($A$2:$A$121,$H$2:$H$121,"Luiz Flavio de Oliveira",$E$2:$E$121,"Fortaleza")</f>
        <v>0</v>
      </c>
      <c r="AP24">
        <f>SUMIFS($A$2:$A$121,$H$2:$H$121,"Luiz Flavio de Oliveira",$B$2:$B$121,"Grêmio")+SUMIFS($A$2:$A$121,$H$2:$H$121,"Luiz Flavio de Oliveira",$E$2:$E$121,"Grêmio")</f>
        <v>1</v>
      </c>
      <c r="AQ24">
        <f>SUMIFS($A$2:$A$121,$H$2:$H$121,"Luiz Flavio de Oliveira",$B$2:$B$121,"Internacional")+SUMIFS($A$2:$A$121,$H$2:$H$121,"Luiz Flavio de Oliveira",$E$2:$E$121,"Internacional")</f>
        <v>1</v>
      </c>
      <c r="AR24">
        <f>SUMIFS($A$2:$A$121,$H$2:$H$121,"Luiz Flavio de Oliveira",$B$2:$B$121,"Juventude")+SUMIFS($A$2:$A$121,$H$2:$H$121,"Luiz Flavio de Oliveira",$E$2:$E$121,"Juventude")</f>
        <v>0</v>
      </c>
      <c r="AS24">
        <f>SUMIFS($A$2:$A$121,$H$2:$H$121,"Luiz Flavio de Oliveira",$B$2:$B$121,"Palmeiras")+SUMIFS($A$2:$A$121,$H$2:$H$121,"Luiz Flavio de Oliveira",$E$2:$E$121,"Palmeiras")</f>
        <v>0</v>
      </c>
      <c r="AT24">
        <f>SUMIFS($A$2:$A$121,$H$2:$H$121,"Luiz Flavio de Oliveira",$B$2:$B$121,"Red Bull")+SUMIFS($A$2:$A$121,$H$2:$H$121,"Luiz Flavio de Oliveira",$E$2:$E$121,"Red Bull")</f>
        <v>0</v>
      </c>
      <c r="AU24">
        <f>SUMIFS($A$2:$A$121,$H$2:$H$121,"Luiz Flavio de Oliveira",$B$2:$B$121,"São Paulo")+SUMIFS($A$2:$A$121,$H$2:$H$121,"Luiz Flavio de Oliveira",$E$2:$E$121,"São Paulo")</f>
        <v>0</v>
      </c>
      <c r="AV24">
        <f>SUMIFS($A$2:$A$121,$H$2:$H$121,"Luiz Flavio de Oliveira",$B$2:$B$121,"Vasco")+SUMIFS($A$2:$A$121,$H$2:$H$121,"Luiz Flavio de Oliveira",$E$2:$E$121,"Vasco")</f>
        <v>0</v>
      </c>
      <c r="AW24">
        <f>SUMIFS($A$2:$A$121,$H$2:$H$121,"Luiz Flavio de Oliveira",$B$2:$B$121,"Vitória")+SUMIFS($A$2:$A$121,$H$2:$H$121,"Luiz Flavio de Oliveira",$E$2:$E$121,"Vitória")</f>
        <v>0</v>
      </c>
      <c r="AX24" s="30">
        <f t="shared" si="3"/>
        <v>8</v>
      </c>
    </row>
    <row r="25" spans="1:73" ht="15.6" x14ac:dyDescent="0.3">
      <c r="A25">
        <v>1</v>
      </c>
      <c r="B25" s="7" t="s">
        <v>34</v>
      </c>
      <c r="C25" s="9" t="s">
        <v>15</v>
      </c>
      <c r="D25" s="9">
        <v>1</v>
      </c>
      <c r="E25" s="7" t="s">
        <v>30</v>
      </c>
      <c r="F25" s="9" t="s">
        <v>41</v>
      </c>
      <c r="G25" s="9">
        <v>0</v>
      </c>
      <c r="H25" s="7" t="s">
        <v>42</v>
      </c>
      <c r="I25" s="7" t="s">
        <v>38</v>
      </c>
      <c r="J25" s="7" t="s">
        <v>43</v>
      </c>
      <c r="K25" s="7" t="s">
        <v>87</v>
      </c>
      <c r="L25" s="7" t="s">
        <v>13</v>
      </c>
      <c r="M25" s="7" t="s">
        <v>43</v>
      </c>
      <c r="N25" s="14"/>
      <c r="O25" s="18">
        <f t="shared" si="0"/>
        <v>0</v>
      </c>
      <c r="P25" s="18">
        <f t="shared" si="1"/>
        <v>0</v>
      </c>
      <c r="Q25" s="18">
        <f t="shared" si="2"/>
        <v>1</v>
      </c>
      <c r="AC25" s="7" t="s">
        <v>49</v>
      </c>
      <c r="AD25">
        <f>SUMIFS($A$2:$A$121,$H$2:$H$121,"Maguielson Lima Barbosa",$B$2:$B$121,"Athletico")+SUMIFS($A$2:$A$121,$H$2:$H$121,"Maguielson Lima Barbosa",$E$2:$E$121,"Athletico")</f>
        <v>0</v>
      </c>
      <c r="AE25">
        <f>SUMIFS($A$2:$A$121,$H$2:$H$121,"Maguielson Lima Barbosa",$B$2:$B$121,"Atlético GO")+SUMIFS($A$2:$A$121,$H$2:$H$121,"Maguielson Lima Barbosa",$E$2:$E$121,"Atlético GO")</f>
        <v>0</v>
      </c>
      <c r="AF25">
        <f>SUMIFS($A$2:$A$121,$H$2:$H$121,"Maguielson Lima Barbosa",$B$2:$B$121,"Atlético MG")+SUMIFS($A$2:$A$121,$H$2:$H$121,"Maguielson Lima Barbosa",$E$2:$E$121,"Atlético MG")</f>
        <v>0</v>
      </c>
      <c r="AG25">
        <f>SUMIFS($A$2:$A$121,$H$2:$H$121,"Maguielson Lima Barbosa",$B$2:$B$121,"Bahia")+SUMIFS($A$2:$A$121,$H$2:$H$121,"Maguielson Lima Barbosa",$E$2:$E$121,"Bahia")</f>
        <v>0</v>
      </c>
      <c r="AH25">
        <f>SUMIFS($A$2:$A$121,$H$2:$H$121,"Maguielson Lima Barbosa",$B$2:$B$121,"Botafogo")+SUMIFS($A$2:$A$121,$H$2:$H$121,"Maguielson Lima Barbosa",$E$2:$E$121,"Botafogo")</f>
        <v>0</v>
      </c>
      <c r="AI25">
        <f>SUMIFS($A$2:$A$121,$H$2:$H$121,"Maguielson Lima Barbosa",$B$2:$B$121,"Corinthians")+SUMIFS($A$2:$A$121,$H$2:$H$121,"Maguielson Lima Barbosa",$E$2:$E$121,"Corinthians")</f>
        <v>0</v>
      </c>
      <c r="AJ25">
        <f>SUMIFS($A$2:$A$121,$H$2:$H$121,"Maguielson Lima Barbosa",$B$2:$B$121,"Criciúma")+SUMIFS($A$2:$A$121,$H$2:$H$121,"Maguielson Lima Barbosa",$E$2:$E$121,"Criciúma")</f>
        <v>0</v>
      </c>
      <c r="AK25">
        <f>SUMIFS($A$2:$A$121,$H$2:$H$121,"Maguielson Lima Barbosa",$B$2:$B$121,"Cruzeiro")+SUMIFS($A$2:$A$121,$H$2:$H$121,"Maguielson Lima Barbosa",$E$2:$E$121,"Cruzeiro")</f>
        <v>0</v>
      </c>
      <c r="AL25">
        <f>SUMIFS($A$2:$A$121,$H$2:$H$121,"Maguielson Lima Barbosa",$B$2:$B$121,"Cuiabá")+SUMIFS($A$2:$A$121,$H$2:$H$121,"Maguielson Lima Barbosa",$E$2:$E$121,"Cuiabá")</f>
        <v>0</v>
      </c>
      <c r="AM25">
        <f>SUMIFS($A$2:$A$121,$H$2:$H$121,"Maguielson Lima Barbosa",$B$2:$B$121,"Flamengo")+SUMIFS($A$2:$A$121,$H$2:$H$121,"Maguielson Lima Barbosa",$E$2:$E$121,"Flamengo")</f>
        <v>0</v>
      </c>
      <c r="AN25">
        <f>SUMIFS($A$2:$A$121,$H$2:$H$121,"Maguielson Lima Barbosa",$B$2:$B$121,"Fluminense")+SUMIFS($A$2:$A$121,$H$2:$H$121,"Maguielson Lima Barbosa",$E$2:$E$121,"Fluminense")</f>
        <v>1</v>
      </c>
      <c r="AO25">
        <f>SUMIFS($A$2:$A$121,$H$2:$H$121,"Maguielson Lima Barbosa",$B$2:$B$121,"Fortaleza")+SUMIFS($A$2:$A$121,$H$2:$H$121,"Maguielson Lima Barbosa",$E$2:$E$121,"Fortaleza")</f>
        <v>0</v>
      </c>
      <c r="AP25">
        <f>SUMIFS($A$2:$A$121,$H$2:$H$121,"Maguielson Lima Barbosa",$B$2:$B$121,"Grêmio")+SUMIFS($A$2:$A$121,$H$2:$H$121,"Maguielson Lima Barbosa",$E$2:$E$121,"Grêmio")</f>
        <v>0</v>
      </c>
      <c r="AQ25">
        <f>SUMIFS($A$2:$A$121,$H$2:$H$121,"Maguielson Lima Barbosa",$B$2:$B$121,"Internacional")+SUMIFS($A$2:$A$121,$H$2:$H$121,"Maguielson Lima Barbosa",$E$2:$E$121,"Internacional")</f>
        <v>0</v>
      </c>
      <c r="AR25">
        <f>SUMIFS($A$2:$A$121,$H$2:$H$121,"Maguielson Lima Barbosa",$B$2:$B$121,"Juventude")+SUMIFS($A$2:$A$121,$H$2:$H$121,"Maguielson Lima Barbosa",$E$2:$E$121,"Juventude")</f>
        <v>0</v>
      </c>
      <c r="AS25">
        <f>SUMIFS($A$2:$A$121,$H$2:$H$121,"Maguielson Lima Barbosa",$B$2:$B$121,"Palmeiras")+SUMIFS($A$2:$A$121,$H$2:$H$121,"Maguielson Lima Barbosa",$E$2:$E$121,"Palmeiras")</f>
        <v>0</v>
      </c>
      <c r="AT25">
        <f>SUMIFS($A$2:$A$121,$H$2:$H$121,"Maguielson Lima Barbosa",$B$2:$B$121,"Red Bull")+SUMIFS($A$2:$A$121,$H$2:$H$121,"Maguielson Lima Barbosa",$E$2:$E$121,"Red Bull")</f>
        <v>1</v>
      </c>
      <c r="AU25">
        <f>SUMIFS($A$2:$A$121,$H$2:$H$121,"Maguielson Lima Barbosa",$B$2:$B$121,"São Paulo")+SUMIFS($A$2:$A$121,$H$2:$H$121,"Maguielson Lima Barbosa",$E$2:$E$121,"São Paulo")</f>
        <v>0</v>
      </c>
      <c r="AV25">
        <f>SUMIFS($A$2:$A$121,$H$2:$H$121,"Maguielson Lima Barbosa",$B$2:$B$121,"Vasco")+SUMIFS($A$2:$A$121,$H$2:$H$121,"Maguielson Lima Barbosa",$E$2:$E$121,"Vasco")</f>
        <v>0</v>
      </c>
      <c r="AW25">
        <f>SUMIFS($A$2:$A$121,$H$2:$H$121,"Maguielson Lima Barbosa",$B$2:$B$121,"Vitória")+SUMIFS($A$2:$A$121,$H$2:$H$121,"Maguielson Lima Barbosa",$E$2:$E$121,"Vitória")</f>
        <v>0</v>
      </c>
      <c r="AX25" s="30">
        <f t="shared" si="3"/>
        <v>2</v>
      </c>
    </row>
    <row r="26" spans="1:73" ht="15.6" x14ac:dyDescent="0.3">
      <c r="A26">
        <v>1</v>
      </c>
      <c r="B26" s="7" t="s">
        <v>40</v>
      </c>
      <c r="C26" s="9" t="s">
        <v>32</v>
      </c>
      <c r="D26" s="9">
        <v>3</v>
      </c>
      <c r="E26" s="7" t="s">
        <v>35</v>
      </c>
      <c r="F26" s="9" t="s">
        <v>32</v>
      </c>
      <c r="G26" s="9">
        <v>0</v>
      </c>
      <c r="H26" s="7" t="s">
        <v>88</v>
      </c>
      <c r="I26" s="7" t="s">
        <v>13</v>
      </c>
      <c r="J26" s="7" t="s">
        <v>47</v>
      </c>
      <c r="K26" s="7" t="s">
        <v>56</v>
      </c>
      <c r="L26" s="7" t="s">
        <v>57</v>
      </c>
      <c r="M26" s="7" t="s">
        <v>47</v>
      </c>
      <c r="N26" s="14"/>
      <c r="O26" s="18">
        <f t="shared" si="0"/>
        <v>1</v>
      </c>
      <c r="P26" s="18">
        <f t="shared" si="1"/>
        <v>0</v>
      </c>
      <c r="Q26" s="18">
        <f t="shared" si="2"/>
        <v>0</v>
      </c>
      <c r="AC26" s="7" t="s">
        <v>70</v>
      </c>
      <c r="AD26">
        <f>SUMIFS($A$2:$A$121,$H$2:$H$121,"Marcelo de Lima Henrique",$B$2:$B$121,"Athletico")+SUMIFS($A$2:$A$121,$H$2:$H$121,"Marcelo de Lima Henrique",$E$2:$E$121,"Athletico")</f>
        <v>1</v>
      </c>
      <c r="AE26">
        <f>SUMIFS($A$2:$A$121,$H$2:$H$121,"Marcelo de Lima Henrique",$B$2:$B$121,"Atlético GO")+SUMIFS($A$2:$A$121,$H$2:$H$121,"Marcelo de Lima Henrique",$E$2:$E$121,"Atlético GO")</f>
        <v>0</v>
      </c>
      <c r="AF26">
        <f>SUMIFS($A$2:$A$121,$H$2:$H$121,"Marcelo de Lima Henrique",$B$2:$B$121,"Atlético MG")+SUMIFS($A$2:$A$121,$H$2:$H$121,"Marcelo de Lima Henrique",$E$2:$E$121,"Atlético MG")</f>
        <v>1</v>
      </c>
      <c r="AG26">
        <f>SUMIFS($A$2:$A$121,$H$2:$H$121,"Marcelo de Lima Henrique",$B$2:$B$121,"Bahia")+SUMIFS($A$2:$A$121,$H$2:$H$121,"Marcelo de Lima Henrique",$E$2:$E$121,"Bahia")</f>
        <v>0</v>
      </c>
      <c r="AH26">
        <f>SUMIFS($A$2:$A$121,$H$2:$H$121,"Marcelo de Lima Henrique",$B$2:$B$121,"Botafogo")+SUMIFS($A$2:$A$121,$H$2:$H$121,"Marcelo de Lima Henrique",$E$2:$E$121,"Botafogo")</f>
        <v>0</v>
      </c>
      <c r="AI26">
        <f>SUMIFS($A$2:$A$121,$H$2:$H$121,"Marcelo de Lima Henrique",$B$2:$B$121,"Corinthians")+SUMIFS($A$2:$A$121,$H$2:$H$121,"Marcelo de Lima Henrique",$E$2:$E$121,"Corinthians")</f>
        <v>0</v>
      </c>
      <c r="AJ26">
        <f>SUMIFS($A$2:$A$121,$H$2:$H$121,"Marcelo de Lima Henrique",$B$2:$B$121,"Criciúma")+SUMIFS($A$2:$A$121,$H$2:$H$121,"Marcelo de Lima Henrique",$E$2:$E$121,"Criciúma")</f>
        <v>0</v>
      </c>
      <c r="AK26">
        <f>SUMIFS($A$2:$A$121,$H$2:$H$121,"Marcelo de Lima Henrique",$B$2:$B$121,"Cruzeiro")+SUMIFS($A$2:$A$121,$H$2:$H$121,"Marcelo de Lima Henrique",$E$2:$E$121,"Cruzeiro")</f>
        <v>1</v>
      </c>
      <c r="AL26">
        <f>SUMIFS($A$2:$A$121,$H$2:$H$121,"Marcelo de Lima Henrique",$B$2:$B$121,"Cuiabá")+SUMIFS($A$2:$A$121,$H$2:$H$121,"Marcelo de Lima Henrique",$E$2:$E$121,"Cuiabá")</f>
        <v>1</v>
      </c>
      <c r="AM26">
        <f>SUMIFS($A$2:$A$121,$H$2:$H$121,"Marcelo de Lima Henrique",$B$2:$B$121,"Flamengo")+SUMIFS($A$2:$A$121,$H$2:$H$121,"Marcelo de Lima Henrique",$E$2:$E$121,"Flamengo")</f>
        <v>0</v>
      </c>
      <c r="AN26">
        <f>SUMIFS($A$2:$A$121,$H$2:$H$121,"Marcelo de Lima Henrique",$B$2:$B$121,"Fluminense")+SUMIFS($A$2:$A$121,$H$2:$H$121,"Marcelo de Lima Henrique",$E$2:$E$121,"Fluminense")</f>
        <v>0</v>
      </c>
      <c r="AO26">
        <f>SUMIFS($A$2:$A$121,$H$2:$H$121,"Marcelo de Lima Henrique",$B$2:$B$121,"Fortaleza")+SUMIFS($A$2:$A$121,$H$2:$H$121,"Marcelo de Lima Henrique",$E$2:$E$121,"Fortaleza")</f>
        <v>0</v>
      </c>
      <c r="AP26">
        <f>SUMIFS($A$2:$A$121,$H$2:$H$121,"Marcelo de Lima Henrique",$B$2:$B$121,"Grêmio")+SUMIFS($A$2:$A$121,$H$2:$H$121,"Marcelo de Lima Henrique",$E$2:$E$121,"Grêmio")</f>
        <v>1</v>
      </c>
      <c r="AQ26">
        <f>SUMIFS($A$2:$A$121,$H$2:$H$121,"Marcelo de Lima Henrique",$B$2:$B$121,"Internacional")+SUMIFS($A$2:$A$121,$H$2:$H$121,"Marcelo de Lima Henrique",$E$2:$E$121,"Internacional")</f>
        <v>0</v>
      </c>
      <c r="AR26">
        <f>SUMIFS($A$2:$A$121,$H$2:$H$121,"Marcelo de Lima Henrique",$B$2:$B$121,"Juventude")+SUMIFS($A$2:$A$121,$H$2:$H$121,"Marcelo de Lima Henrique",$E$2:$E$121,"Juventude")</f>
        <v>0</v>
      </c>
      <c r="AS26">
        <f>SUMIFS($A$2:$A$121,$H$2:$H$121,"Marcelo de Lima Henrique",$B$2:$B$121,"Palmeiras")+SUMIFS($A$2:$A$121,$H$2:$H$121,"Marcelo de Lima Henrique",$E$2:$E$121,"Palmeiras")</f>
        <v>0</v>
      </c>
      <c r="AT26">
        <f>SUMIFS($A$2:$A$121,$H$2:$H$121,"Marcelo de Lima Henrique",$B$2:$B$121,"Red Bull")+SUMIFS($A$2:$A$121,$H$2:$H$121,"Marcelo de Lima Henrique",$E$2:$E$121,"Red Bull")</f>
        <v>0</v>
      </c>
      <c r="AU26">
        <f>SUMIFS($A$2:$A$121,$H$2:$H$121,"Marcelo de Lima Henrique",$B$2:$B$121,"São Paulo")+SUMIFS($A$2:$A$121,$H$2:$H$121,"Marcelo de Lima Henrique",$E$2:$E$121,"São Paulo")</f>
        <v>0</v>
      </c>
      <c r="AV26">
        <f>SUMIFS($A$2:$A$121,$H$2:$H$121,"Marcelo de Lima Henrique",$B$2:$B$121,"Vasco")+SUMIFS($A$2:$A$121,$H$2:$H$121,"Marcelo de Lima Henrique",$E$2:$E$121,"Vasco")</f>
        <v>0</v>
      </c>
      <c r="AW26">
        <f>SUMIFS($A$2:$A$121,$H$2:$H$121,"Marcelo de Lima Henrique",$B$2:$B$121,"Vitória")+SUMIFS($A$2:$A$121,$H$2:$H$121,"Marcelo de Lima Henrique",$E$2:$E$121,"Vitória")</f>
        <v>1</v>
      </c>
      <c r="AX26" s="30">
        <f t="shared" si="3"/>
        <v>6</v>
      </c>
    </row>
    <row r="27" spans="1:73" ht="15.6" x14ac:dyDescent="0.3">
      <c r="A27">
        <v>1</v>
      </c>
      <c r="B27" s="7" t="s">
        <v>39</v>
      </c>
      <c r="C27" s="9" t="s">
        <v>19</v>
      </c>
      <c r="D27" s="9">
        <v>0</v>
      </c>
      <c r="E27" s="7" t="s">
        <v>27</v>
      </c>
      <c r="F27" s="9" t="s">
        <v>21</v>
      </c>
      <c r="G27" s="9">
        <v>0</v>
      </c>
      <c r="H27" s="7" t="s">
        <v>45</v>
      </c>
      <c r="I27" s="7" t="s">
        <v>46</v>
      </c>
      <c r="J27" s="7" t="s">
        <v>47</v>
      </c>
      <c r="K27" s="7" t="s">
        <v>91</v>
      </c>
      <c r="L27" s="7" t="s">
        <v>15</v>
      </c>
      <c r="M27" s="7" t="s">
        <v>47</v>
      </c>
      <c r="N27" s="14"/>
      <c r="O27" s="18">
        <f t="shared" si="0"/>
        <v>1</v>
      </c>
      <c r="P27" s="18">
        <f t="shared" si="1"/>
        <v>0</v>
      </c>
      <c r="Q27" s="18">
        <f t="shared" si="2"/>
        <v>0</v>
      </c>
      <c r="AC27" s="7" t="s">
        <v>64</v>
      </c>
      <c r="AD27">
        <f>SUMIFS($A$2:$A$121,$H$2:$H$121,"Matheus Delgado Candançan",$B$2:$B$121,"Athletico")+SUMIFS($A$2:$A$121,$H$2:$H$121,"Matheus Delgado Candançan",$E$2:$E$121,"Athletico")</f>
        <v>0</v>
      </c>
      <c r="AE27">
        <f>SUMIFS($A$2:$A$121,$H$2:$H$121,"Matheus Delgado Candançan",$B$2:$B$121,"Atlético GO")+SUMIFS($A$2:$A$121,$H$2:$H$121,"Matheus Delgado Candançan",$E$2:$E$121,"Atlético GO")</f>
        <v>0</v>
      </c>
      <c r="AF27">
        <f>SUMIFS($A$2:$A$121,$H$2:$H$121,"Matheus Delgado Candançan",$B$2:$B$121,"Atlético MG")+SUMIFS($A$2:$A$121,$H$2:$H$121,"Matheus Delgado Candançan",$E$2:$E$121,"Atlético MG")</f>
        <v>0</v>
      </c>
      <c r="AG27">
        <f>SUMIFS($A$2:$A$121,$H$2:$H$121,"Matheus Delgado Candançan",$B$2:$B$121,"Bahia")+SUMIFS($A$2:$A$121,$H$2:$H$121,"Matheus Delgado Candançan",$E$2:$E$121,"Bahia")</f>
        <v>0</v>
      </c>
      <c r="AH27">
        <f>SUMIFS($A$2:$A$121,$H$2:$H$121,"Matheus Delgado Candançan",$B$2:$B$121,"Botafogo")+SUMIFS($A$2:$A$121,$H$2:$H$121,"Matheus Delgado Candançan",$E$2:$E$121,"Botafogo")</f>
        <v>1</v>
      </c>
      <c r="AI27">
        <f>SUMIFS($A$2:$A$121,$H$2:$H$121,"Matheus Delgado Candançan",$B$2:$B$121,"Corinthians")+SUMIFS($A$2:$A$121,$H$2:$H$121,"Matheus Delgado Candançan",$E$2:$E$121,"Corinthians")</f>
        <v>0</v>
      </c>
      <c r="AJ27">
        <f>SUMIFS($A$2:$A$121,$H$2:$H$121,"Matheus Delgado Candançan",$B$2:$B$121,"Criciúma")+SUMIFS($A$2:$A$121,$H$2:$H$121,"Matheus Delgado Candançan",$E$2:$E$121,"Criciúma")</f>
        <v>0</v>
      </c>
      <c r="AK27">
        <f>SUMIFS($A$2:$A$121,$H$2:$H$121,"Matheus Delgado Candançan",$B$2:$B$121,"Cruzeiro")+SUMIFS($A$2:$A$121,$H$2:$H$121,"Matheus Delgado Candançan",$E$2:$E$121,"Cruzeiro")</f>
        <v>2</v>
      </c>
      <c r="AL27">
        <f>SUMIFS($A$2:$A$121,$H$2:$H$121,"Matheus Delgado Candançan",$B$2:$B$121,"Cuiabá")+SUMIFS($A$2:$A$121,$H$2:$H$121,"Matheus Delgado Candançan",$E$2:$E$121,"Cuiabá")</f>
        <v>0</v>
      </c>
      <c r="AM27">
        <f>SUMIFS($A$2:$A$121,$H$2:$H$121,"Matheus Delgado Candançan",$B$2:$B$121,"Flamengo")+SUMIFS($A$2:$A$121,$H$2:$H$121,"Matheus Delgado Candançan",$E$2:$E$121,"Flamengo")</f>
        <v>1</v>
      </c>
      <c r="AN27">
        <f>SUMIFS($A$2:$A$121,$H$2:$H$121,"Matheus Delgado Candançan",$B$2:$B$121,"Fluminense")+SUMIFS($A$2:$A$121,$H$2:$H$121,"Matheus Delgado Candançan",$E$2:$E$121,"Fluminense")</f>
        <v>2</v>
      </c>
      <c r="AO27">
        <f>SUMIFS($A$2:$A$121,$H$2:$H$121,"Matheus Delgado Candançan",$B$2:$B$121,"Fortaleza")+SUMIFS($A$2:$A$121,$H$2:$H$121,"Matheus Delgado Candançan",$E$2:$E$121,"Fortaleza")</f>
        <v>0</v>
      </c>
      <c r="AP27">
        <f>SUMIFS($A$2:$A$121,$H$2:$H$121,"Matheus Delgado Candançan",$B$2:$B$121,"Grêmio")+SUMIFS($A$2:$A$121,$H$2:$H$121,"Matheus Delgado Candançan",$E$2:$E$121,"Grêmio")</f>
        <v>0</v>
      </c>
      <c r="AQ27">
        <f>SUMIFS($A$2:$A$121,$H$2:$H$121,"Matheus Delgado Candançan",$B$2:$B$121,"Internacional")+SUMIFS($A$2:$A$121,$H$2:$H$121,"Matheus Delgado Candançan",$E$2:$E$121,"Internacional")</f>
        <v>0</v>
      </c>
      <c r="AR27">
        <f>SUMIFS($A$2:$A$121,$H$2:$H$121,"Matheus Delgado Candançan",$B$2:$B$121,"Juventude")+SUMIFS($A$2:$A$121,$H$2:$H$121,"Matheus Delgado Candançan",$E$2:$E$121,"Juventude")</f>
        <v>2</v>
      </c>
      <c r="AS27">
        <f>SUMIFS($A$2:$A$121,$H$2:$H$121,"Matheus Delgado Candançan",$B$2:$B$121,"Palmeiras")+SUMIFS($A$2:$A$121,$H$2:$H$121,"Matheus Delgado Candançan",$E$2:$E$121,"Palmeiras")</f>
        <v>0</v>
      </c>
      <c r="AT27">
        <f>SUMIFS($A$2:$A$121,$H$2:$H$121,"Matheus Delgado Candançan",$B$2:$B$121,"Red Bull")+SUMIFS($A$2:$A$121,$H$2:$H$121,"Matheus Delgado Candançan",$E$2:$E$121,"Red Bull")</f>
        <v>0</v>
      </c>
      <c r="AU27">
        <f>SUMIFS($A$2:$A$121,$H$2:$H$121,"Matheus Delgado Candançan",$B$2:$B$121,"São Paulo")+SUMIFS($A$2:$A$121,$H$2:$H$121,"Matheus Delgado Candançan",$E$2:$E$121,"São Paulo")</f>
        <v>0</v>
      </c>
      <c r="AV27">
        <f>SUMIFS($A$2:$A$121,$H$2:$H$121,"Matheus Delgado Candançan",$B$2:$B$121,"Vasco")+SUMIFS($A$2:$A$121,$H$2:$H$121,"Matheus Delgado Candançan",$E$2:$E$121,"Vasco")</f>
        <v>0</v>
      </c>
      <c r="AW27">
        <f>SUMIFS($A$2:$A$121,$H$2:$H$121,"Matheus Delgado Candançan",$B$2:$B$121,"Vitória")+SUMIFS($A$2:$A$121,$H$2:$H$121,"Matheus Delgado Candançan",$E$2:$E$121,"Vitória")</f>
        <v>0</v>
      </c>
      <c r="AX27" s="30">
        <f t="shared" si="3"/>
        <v>8</v>
      </c>
    </row>
    <row r="28" spans="1:73" ht="15.6" x14ac:dyDescent="0.3">
      <c r="A28">
        <v>1</v>
      </c>
      <c r="B28" s="7" t="s">
        <v>28</v>
      </c>
      <c r="C28" s="9" t="s">
        <v>29</v>
      </c>
      <c r="D28" s="9">
        <v>1</v>
      </c>
      <c r="E28" s="7" t="s">
        <v>16</v>
      </c>
      <c r="F28" s="9" t="s">
        <v>15</v>
      </c>
      <c r="G28" s="9">
        <v>0</v>
      </c>
      <c r="H28" s="7" t="s">
        <v>130</v>
      </c>
      <c r="I28" s="7" t="s">
        <v>32</v>
      </c>
      <c r="J28" s="7" t="s">
        <v>43</v>
      </c>
      <c r="K28" s="7" t="s">
        <v>93</v>
      </c>
      <c r="L28" s="7" t="s">
        <v>19</v>
      </c>
      <c r="M28" s="7" t="s">
        <v>43</v>
      </c>
      <c r="N28" s="14"/>
      <c r="O28" s="18">
        <f t="shared" si="0"/>
        <v>0</v>
      </c>
      <c r="P28" s="18">
        <f t="shared" si="1"/>
        <v>0</v>
      </c>
      <c r="Q28" s="18">
        <f t="shared" si="2"/>
        <v>1</v>
      </c>
      <c r="AC28" s="7" t="s">
        <v>76</v>
      </c>
      <c r="AD28">
        <f>SUMIFS($A$2:$A$121,$H$2:$H$121,"Paulo Belence Alves dos Prazeres Filho",$B$2:$B$121,"Athletico")+SUMIFS($A$2:$A$121,$H$2:$H$121,"Paulo Belence Alves dos Prazeres Filho",$E$2:$E$121,"Athletico")</f>
        <v>0</v>
      </c>
      <c r="AE28">
        <f>SUMIFS($A$2:$A$121,$H$2:$H$121,"Paulo Belence Alves dos Prazeres Filho",$B$2:$B$121,"Atlético GO")+SUMIFS($A$2:$A$121,$H$2:$H$121,"Paulo Belence Alves dos Prazeres Filho",$E$2:$E$121,"Atlético GO")</f>
        <v>0</v>
      </c>
      <c r="AF28">
        <f>SUMIFS($A$2:$A$121,$H$2:$H$121,"Paulo Belence Alves dos Prazeres Filho",$B$2:$B$121,"Atlético MG")+SUMIFS($A$2:$A$121,$H$2:$H$121,"Paulo Belence Alves dos Prazeres Filho",$E$2:$E$121,"Atlético MG")</f>
        <v>1</v>
      </c>
      <c r="AG28">
        <f>SUMIFS($A$2:$A$121,$H$2:$H$121,"Paulo Belence Alves dos Prazeres Filho",$B$2:$B$121,"Bahia")+SUMIFS($A$2:$A$121,$H$2:$H$121,"Paulo Belence Alves dos Prazeres Filho",$E$2:$E$121,"Bahia")</f>
        <v>1</v>
      </c>
      <c r="AH28">
        <f>SUMIFS($A$2:$A$121,$H$2:$H$121,"Paulo Belence Alves dos Prazeres Filho",$B$2:$B$121,"Botafogo")+SUMIFS($A$2:$A$121,$H$2:$H$121,"Paulo Belence Alves dos Prazeres Filho",$E$2:$E$121,"Botafogo")</f>
        <v>0</v>
      </c>
      <c r="AI28">
        <f>SUMIFS($A$2:$A$121,$H$2:$H$121,"Paulo Belence Alves dos Prazeres Filho",$B$2:$B$121,"Corinthians")+SUMIFS($A$2:$A$121,$H$2:$H$121,"Paulo Belence Alves dos Prazeres Filho",$E$2:$E$121,"Corinthians")</f>
        <v>0</v>
      </c>
      <c r="AJ28">
        <f>SUMIFS($A$2:$A$121,$H$2:$H$121,"Paulo Belence Alves dos Prazeres Filho",$B$2:$B$121,"Criciúma")+SUMIFS($A$2:$A$121,$H$2:$H$121,"Paulo Belence Alves dos Prazeres Filho",$E$2:$E$121,"Criciúma")</f>
        <v>1</v>
      </c>
      <c r="AK28">
        <f>SUMIFS($A$2:$A$121,$H$2:$H$121,"Paulo Belence Alves dos Prazeres Filho",$B$2:$B$121,"Cruzeiro")+SUMIFS($A$2:$A$121,$H$2:$H$121,"Paulo Belence Alves dos Prazeres Filho",$E$2:$E$121,"Cruzeiro")</f>
        <v>1</v>
      </c>
      <c r="AL28">
        <f>SUMIFS($A$2:$A$121,$H$2:$H$121,"Paulo Belence Alves dos Prazeres Filho",$B$2:$B$121,"Cuiabá")+SUMIFS($A$2:$A$121,$H$2:$H$121,"Paulo Belence Alves dos Prazeres Filho",$E$2:$E$121,"Cuiabá")</f>
        <v>0</v>
      </c>
      <c r="AM28">
        <f>SUMIFS($A$2:$A$121,$H$2:$H$121,"Paulo Belence Alves dos Prazeres Filho",$B$2:$B$121,"Flamengo")+SUMIFS($A$2:$A$121,$H$2:$H$121,"Paulo Belence Alves dos Prazeres Filho",$E$2:$E$121,"Flamengo")</f>
        <v>0</v>
      </c>
      <c r="AN28">
        <f>SUMIFS($A$2:$A$121,$H$2:$H$121,"Paulo Belence Alves dos Prazeres Filho",$B$2:$B$121,"Fluminense")+SUMIFS($A$2:$A$121,$H$2:$H$121,"Paulo Belence Alves dos Prazeres Filho",$E$2:$E$121,"Fluminense")</f>
        <v>0</v>
      </c>
      <c r="AO28">
        <f>SUMIFS($A$2:$A$121,$H$2:$H$121,"Paulo Belence Alves dos Prazeres Filho",$B$2:$B$121,"Fortaleza")+SUMIFS($A$2:$A$121,$H$2:$H$121,"Paulo Belence Alves dos Prazeres Filho",$E$2:$E$121,"Fortaleza")</f>
        <v>0</v>
      </c>
      <c r="AP28">
        <f>SUMIFS($A$2:$A$121,$H$2:$H$121,"Paulo Belence Alves dos Prazeres Filho",$B$2:$B$121,"Grêmio")+SUMIFS($A$2:$A$121,$H$2:$H$121,"Paulo Belence Alves dos Prazeres Filho",$E$2:$E$121,"Grêmio")</f>
        <v>0</v>
      </c>
      <c r="AQ28">
        <f>SUMIFS($A$2:$A$121,$H$2:$H$121,"Paulo Belence Alves dos Prazeres Filho",$B$2:$B$121,"Internacional")+SUMIFS($A$2:$A$121,$H$2:$H$121,"Paulo Belence Alves dos Prazeres Filho",$E$2:$E$121,"Internacional")</f>
        <v>0</v>
      </c>
      <c r="AR28">
        <f>SUMIFS($A$2:$A$121,$H$2:$H$121,"Paulo Belence Alves dos Prazeres Filho",$B$2:$B$121,"Juventude")+SUMIFS($A$2:$A$121,$H$2:$H$121,"Paulo Belence Alves dos Prazeres Filho",$E$2:$E$121,"Juventude")</f>
        <v>0</v>
      </c>
      <c r="AS28">
        <f>SUMIFS($A$2:$A$121,$H$2:$H$121,"Paulo Belence Alves dos Prazeres Filho",$B$2:$B$121,"Palmeiras")+SUMIFS($A$2:$A$121,$H$2:$H$121,"Paulo Belence Alves dos Prazeres Filho",$E$2:$E$121,"Palmeiras")</f>
        <v>0</v>
      </c>
      <c r="AT28">
        <f>SUMIFS($A$2:$A$121,$H$2:$H$121,"Paulo Belence Alves dos Prazeres Filho",$B$2:$B$121,"Red Bull")+SUMIFS($A$2:$A$121,$H$2:$H$121,"Paulo Belence Alves dos Prazeres Filho",$E$2:$E$121,"Red Bull")</f>
        <v>0</v>
      </c>
      <c r="AU28">
        <f>SUMIFS($A$2:$A$121,$H$2:$H$121,"Paulo Belence Alves dos Prazeres Filho",$B$2:$B$121,"São Paulo")+SUMIFS($A$2:$A$121,$H$2:$H$121,"Paulo Belence Alves dos Prazeres Filho",$E$2:$E$121,"São Paulo")</f>
        <v>0</v>
      </c>
      <c r="AV28">
        <f>SUMIFS($A$2:$A$121,$H$2:$H$121,"Paulo Belence Alves dos Prazeres Filho",$B$2:$B$121,"Vasco")+SUMIFS($A$2:$A$121,$H$2:$H$121,"Paulo Belence Alves dos Prazeres Filho",$E$2:$E$121,"Vasco")</f>
        <v>0</v>
      </c>
      <c r="AW28">
        <f>SUMIFS($A$2:$A$121,$H$2:$H$121,"Paulo Belence Alves dos Prazeres Filho",$B$2:$B$121,"Vitória")+SUMIFS($A$2:$A$121,$H$2:$H$121,"Paulo Belence Alves dos Prazeres Filho",$E$2:$E$121,"Vitória")</f>
        <v>0</v>
      </c>
      <c r="AX28" s="30">
        <f t="shared" si="3"/>
        <v>4</v>
      </c>
    </row>
    <row r="29" spans="1:73" ht="15.6" x14ac:dyDescent="0.3">
      <c r="A29">
        <v>1</v>
      </c>
      <c r="B29" s="7" t="s">
        <v>37</v>
      </c>
      <c r="C29" s="9" t="s">
        <v>38</v>
      </c>
      <c r="D29" s="9">
        <v>2</v>
      </c>
      <c r="E29" s="7" t="s">
        <v>17</v>
      </c>
      <c r="F29" s="9" t="s">
        <v>38</v>
      </c>
      <c r="G29" s="9">
        <v>2</v>
      </c>
      <c r="H29" s="7" t="s">
        <v>99</v>
      </c>
      <c r="I29" s="7" t="s">
        <v>19</v>
      </c>
      <c r="J29" s="7" t="s">
        <v>47</v>
      </c>
      <c r="K29" s="7" t="s">
        <v>97</v>
      </c>
      <c r="L29" s="7" t="s">
        <v>19</v>
      </c>
      <c r="M29" s="7" t="s">
        <v>47</v>
      </c>
      <c r="N29" s="14"/>
      <c r="O29" s="18">
        <f t="shared" si="0"/>
        <v>1</v>
      </c>
      <c r="P29" s="18">
        <f t="shared" si="1"/>
        <v>0</v>
      </c>
      <c r="Q29" s="18">
        <f t="shared" si="2"/>
        <v>0</v>
      </c>
      <c r="AC29" s="7" t="s">
        <v>72</v>
      </c>
      <c r="AD29">
        <f>SUMIFS($A$2:$A$121,$H$2:$H$121,"Paulo Cesar Zanovelli da Silva",$B$2:$B$121,"Athletico")+SUMIFS($A$2:$A$121,$H$2:$H$121,"Paulo Cesar Zanovelli da Silva",$E$2:$E$121,"Athletico")</f>
        <v>0</v>
      </c>
      <c r="AE29">
        <f>SUMIFS($A$2:$A$121,$H$2:$H$121,"Paulo Cesar Zanovelli da Silva",$B$2:$B$121,"Atlético GO")+SUMIFS($A$2:$A$121,$H$2:$H$121,"Paulo Cesar Zanovelli da Silva",$E$2:$E$121,"Atlético GO")</f>
        <v>1</v>
      </c>
      <c r="AF29">
        <f>SUMIFS($A$2:$A$121,$H$2:$H$121,"Paulo Cesar Zanovelli da Silva",$B$2:$B$121,"Atlético MG")+SUMIFS($A$2:$A$121,$H$2:$H$121,"Paulo Cesar Zanovelli da Silva",$E$2:$E$121,"Atlético MG")</f>
        <v>0</v>
      </c>
      <c r="AG29">
        <f>SUMIFS($A$2:$A$121,$H$2:$H$121,"Paulo Cesar Zanovelli da Silva",$B$2:$B$121,"Bahia")+SUMIFS($A$2:$A$121,$H$2:$H$121,"Paulo Cesar Zanovelli da Silva",$E$2:$E$121,"Bahia")</f>
        <v>0</v>
      </c>
      <c r="AH29">
        <f>SUMIFS($A$2:$A$121,$H$2:$H$121,"Paulo Cesar Zanovelli da Silva",$B$2:$B$121,"Botafogo")+SUMIFS($A$2:$A$121,$H$2:$H$121,"Paulo Cesar Zanovelli da Silva",$E$2:$E$121,"Botafogo")</f>
        <v>1</v>
      </c>
      <c r="AI29">
        <f>SUMIFS($A$2:$A$121,$H$2:$H$121,"Paulo Cesar Zanovelli da Silva",$B$2:$B$121,"Corinthians")+SUMIFS($A$2:$A$121,$H$2:$H$121,"Paulo Cesar Zanovelli da Silva",$E$2:$E$121,"Corinthians")</f>
        <v>1</v>
      </c>
      <c r="AJ29">
        <f>SUMIFS($A$2:$A$121,$H$2:$H$121,"Paulo Cesar Zanovelli da Silva",$B$2:$B$121,"Criciúma")+SUMIFS($A$2:$A$121,$H$2:$H$121,"Paulo Cesar Zanovelli da Silva",$E$2:$E$121,"Criciúma")</f>
        <v>0</v>
      </c>
      <c r="AK29">
        <f>SUMIFS($A$2:$A$121,$H$2:$H$121,"Paulo Cesar Zanovelli da Silva",$B$2:$B$121,"Cruzeiro")+SUMIFS($A$2:$A$121,$H$2:$H$121,"Paulo Cesar Zanovelli da Silva",$E$2:$E$121,"Cruzeiro")</f>
        <v>0</v>
      </c>
      <c r="AL29">
        <f>SUMIFS($A$2:$A$121,$H$2:$H$121,"Paulo Cesar Zanovelli da Silva",$B$2:$B$121,"Cuiabá")+SUMIFS($A$2:$A$121,$H$2:$H$121,"Paulo Cesar Zanovelli da Silva",$E$2:$E$121,"Cuiabá")</f>
        <v>0</v>
      </c>
      <c r="AM29">
        <f>SUMIFS($A$2:$A$121,$H$2:$H$121,"Paulo Cesar Zanovelli da Silva",$B$2:$B$121,"Flamengo")+SUMIFS($A$2:$A$121,$H$2:$H$121,"Paulo Cesar Zanovelli da Silva",$E$2:$E$121,"Flamengo")</f>
        <v>1</v>
      </c>
      <c r="AN29">
        <f>SUMIFS($A$2:$A$121,$H$2:$H$121,"Paulo Cesar Zanovelli da Silva",$B$2:$B$121,"Fluminense")+SUMIFS($A$2:$A$121,$H$2:$H$121,"Paulo Cesar Zanovelli da Silva",$E$2:$E$121,"Fluminense")</f>
        <v>0</v>
      </c>
      <c r="AO29">
        <f>SUMIFS($A$2:$A$121,$H$2:$H$121,"Paulo Cesar Zanovelli da Silva",$B$2:$B$121,"Fortaleza")+SUMIFS($A$2:$A$121,$H$2:$H$121,"Paulo Cesar Zanovelli da Silva",$E$2:$E$121,"Fortaleza")</f>
        <v>0</v>
      </c>
      <c r="AP29">
        <f>SUMIFS($A$2:$A$121,$H$2:$H$121,"Paulo Cesar Zanovelli da Silva",$B$2:$B$121,"Grêmio")+SUMIFS($A$2:$A$121,$H$2:$H$121,"Paulo Cesar Zanovelli da Silva",$E$2:$E$121,"Grêmio")</f>
        <v>1</v>
      </c>
      <c r="AQ29">
        <f>SUMIFS($A$2:$A$121,$H$2:$H$121,"Paulo Cesar Zanovelli da Silva",$B$2:$B$121,"Internacional")+SUMIFS($A$2:$A$121,$H$2:$H$121,"Paulo Cesar Zanovelli da Silva",$E$2:$E$121,"Internacional")</f>
        <v>0</v>
      </c>
      <c r="AR29">
        <f>SUMIFS($A$2:$A$121,$H$2:$H$121,"Paulo Cesar Zanovelli da Silva",$B$2:$B$121,"Juventude")+SUMIFS($A$2:$A$121,$H$2:$H$121,"Paulo Cesar Zanovelli da Silva",$E$2:$E$121,"Juventude")</f>
        <v>1</v>
      </c>
      <c r="AS29">
        <f>SUMIFS($A$2:$A$121,$H$2:$H$121,"Paulo Cesar Zanovelli da Silva",$B$2:$B$121,"Palmeiras")+SUMIFS($A$2:$A$121,$H$2:$H$121,"Paulo Cesar Zanovelli da Silva",$E$2:$E$121,"Palmeiras")</f>
        <v>0</v>
      </c>
      <c r="AT29">
        <f>SUMIFS($A$2:$A$121,$H$2:$H$121,"Paulo Cesar Zanovelli da Silva",$B$2:$B$121,"Red Bull")+SUMIFS($A$2:$A$121,$H$2:$H$121,"Paulo Cesar Zanovelli da Silva",$E$2:$E$121,"Red Bull")</f>
        <v>2</v>
      </c>
      <c r="AU29">
        <f>SUMIFS($A$2:$A$121,$H$2:$H$121,"Paulo Cesar Zanovelli da Silva",$B$2:$B$121,"São Paulo")+SUMIFS($A$2:$A$121,$H$2:$H$121,"Paulo Cesar Zanovelli da Silva",$E$2:$E$121,"São Paulo")</f>
        <v>0</v>
      </c>
      <c r="AV29">
        <f>SUMIFS($A$2:$A$121,$H$2:$H$121,"Paulo Cesar Zanovelli da Silva",$B$2:$B$121,"Vasco")+SUMIFS($A$2:$A$121,$H$2:$H$121,"Paulo Cesar Zanovelli da Silva",$E$2:$E$121,"Vasco")</f>
        <v>2</v>
      </c>
      <c r="AW29">
        <f>SUMIFS($A$2:$A$121,$H$2:$H$121,"Paulo Cesar Zanovelli da Silva",$B$2:$B$121,"Vitória")+SUMIFS($A$2:$A$121,$H$2:$H$121,"Paulo Cesar Zanovelli da Silva",$E$2:$E$121,"Vitória")</f>
        <v>0</v>
      </c>
      <c r="AX29" s="30">
        <f t="shared" si="3"/>
        <v>10</v>
      </c>
    </row>
    <row r="30" spans="1:73" ht="15.6" x14ac:dyDescent="0.3">
      <c r="A30">
        <v>1</v>
      </c>
      <c r="B30" s="7" t="s">
        <v>36</v>
      </c>
      <c r="C30" s="9" t="s">
        <v>21</v>
      </c>
      <c r="D30" s="9">
        <v>5</v>
      </c>
      <c r="E30" s="7" t="s">
        <v>14</v>
      </c>
      <c r="F30" s="9" t="s">
        <v>15</v>
      </c>
      <c r="G30" s="9">
        <v>1</v>
      </c>
      <c r="H30" s="7" t="s">
        <v>132</v>
      </c>
      <c r="I30" s="7" t="s">
        <v>57</v>
      </c>
      <c r="J30" s="7" t="s">
        <v>43</v>
      </c>
      <c r="K30" s="7" t="s">
        <v>63</v>
      </c>
      <c r="L30" s="7" t="s">
        <v>19</v>
      </c>
      <c r="M30" s="7" t="s">
        <v>47</v>
      </c>
      <c r="N30" s="14"/>
      <c r="O30" s="18">
        <f t="shared" si="0"/>
        <v>0</v>
      </c>
      <c r="P30" s="18">
        <f t="shared" si="1"/>
        <v>1</v>
      </c>
      <c r="Q30" s="18">
        <f t="shared" si="2"/>
        <v>0</v>
      </c>
      <c r="AC30" s="7" t="s">
        <v>86</v>
      </c>
      <c r="AD30">
        <f>SUMIFS($A$2:$A$121,$H$2:$H$121,"Rafael Rodrigo Klein ",$B$2:$B$121,"Athletico")+SUMIFS($A$2:$A$121,$H$2:$H$121,"Rafael Rodrigo Klein ",$E$2:$E$121,"Athletico")</f>
        <v>0</v>
      </c>
      <c r="AE30">
        <f>SUMIFS($A$2:$A$121,$H$2:$H$121,"Rafael Rodrigo Klein ",$B$2:$B$121,"Atlético GO")+SUMIFS($A$2:$A$121,$H$2:$H$121,"Rafael Rodrigo Klein ",$E$2:$E$121,"Atlético GO")</f>
        <v>0</v>
      </c>
      <c r="AF30">
        <f>SUMIFS($A$2:$A$121,$H$2:$H$121,"Rafael Rodrigo Klein ",$B$2:$B$121,"Atlético MG")+SUMIFS($A$2:$A$121,$H$2:$H$121,"Rafael Rodrigo Klein ",$E$2:$E$121,"Atlético MG")</f>
        <v>1</v>
      </c>
      <c r="AG30">
        <f>SUMIFS($A$2:$A$121,$H$2:$H$121,"Rafael Rodrigo Klein ",$B$2:$B$121,"Bahia")+SUMIFS($A$2:$A$121,$H$2:$H$121,"Rafael Rodrigo Klein ",$E$2:$E$121,"Bahia")</f>
        <v>1</v>
      </c>
      <c r="AH30">
        <f>SUMIFS($A$2:$A$121,$H$2:$H$121,"Rafael Rodrigo Klein ",$B$2:$B$121,"Botafogo")+SUMIFS($A$2:$A$121,$H$2:$H$121,"Rafael Rodrigo Klein ",$E$2:$E$121,"Botafogo")</f>
        <v>1</v>
      </c>
      <c r="AI30">
        <f>SUMIFS($A$2:$A$121,$H$2:$H$121,"Rafael Rodrigo Klein ",$B$2:$B$121,"Corinthians")+SUMIFS($A$2:$A$121,$H$2:$H$121,"Rafael Rodrigo Klein ",$E$2:$E$121,"Corinthians")</f>
        <v>1</v>
      </c>
      <c r="AJ30">
        <f>SUMIFS($A$2:$A$121,$H$2:$H$121,"Rafael Rodrigo Klein ",$B$2:$B$121,"Criciúma")+SUMIFS($A$2:$A$121,$H$2:$H$121,"Rafael Rodrigo Klein ",$E$2:$E$121,"Criciúma")</f>
        <v>1</v>
      </c>
      <c r="AK30">
        <f>SUMIFS($A$2:$A$121,$H$2:$H$121,"Rafael Rodrigo Klein ",$B$2:$B$121,"Cruzeiro")+SUMIFS($A$2:$A$121,$H$2:$H$121,"Rafael Rodrigo Klein ",$E$2:$E$121,"Cruzeiro")</f>
        <v>1</v>
      </c>
      <c r="AL30">
        <f>SUMIFS($A$2:$A$121,$H$2:$H$121,"Rafael Rodrigo Klein ",$B$2:$B$121,"Cuiabá")+SUMIFS($A$2:$A$121,$H$2:$H$121,"Rafael Rodrigo Klein ",$E$2:$E$121,"Cuiabá")</f>
        <v>0</v>
      </c>
      <c r="AM30">
        <f>SUMIFS($A$2:$A$121,$H$2:$H$121,"Rafael Rodrigo Klein ",$B$2:$B$121,"Flamengo")+SUMIFS($A$2:$A$121,$H$2:$H$121,"Rafael Rodrigo Klein ",$E$2:$E$121,"Flamengo")</f>
        <v>1</v>
      </c>
      <c r="AN30">
        <f>SUMIFS($A$2:$A$121,$H$2:$H$121,"Rafael Rodrigo Klein ",$B$2:$B$121,"Fluminense")+SUMIFS($A$2:$A$121,$H$2:$H$121,"Rafael Rodrigo Klein ",$E$2:$E$121,"Fluminense")</f>
        <v>1</v>
      </c>
      <c r="AO30">
        <f>SUMIFS($A$2:$A$121,$H$2:$H$121,"Rafael Rodrigo Klein ",$B$2:$B$121,"Fortaleza")+SUMIFS($A$2:$A$121,$H$2:$H$121,"Rafael Rodrigo Klein ",$E$2:$E$121,"Fortaleza")</f>
        <v>0</v>
      </c>
      <c r="AP30">
        <f>SUMIFS($A$2:$A$121,$H$2:$H$121,"Rafael Rodrigo Klein ",$B$2:$B$121,"Grêmio")+SUMIFS($A$2:$A$121,$H$2:$H$121,"Rafael Rodrigo Klein ",$E$2:$E$121,"Grêmio")</f>
        <v>0</v>
      </c>
      <c r="AQ30">
        <f>SUMIFS($A$2:$A$121,$H$2:$H$121,"Rafael Rodrigo Klein ",$B$2:$B$121,"Internacional")+SUMIFS($A$2:$A$121,$H$2:$H$121,"Rafael Rodrigo Klein ",$E$2:$E$121,"Internacional")</f>
        <v>0</v>
      </c>
      <c r="AR30">
        <f>SUMIFS($A$2:$A$121,$H$2:$H$121,"Rafael Rodrigo Klein ",$B$2:$B$121,"Juventude")+SUMIFS($A$2:$A$121,$H$2:$H$121,"Rafael Rodrigo Klein ",$E$2:$E$121,"Juventude")</f>
        <v>0</v>
      </c>
      <c r="AS30">
        <f>SUMIFS($A$2:$A$121,$H$2:$H$121,"Rafael Rodrigo Klein ",$B$2:$B$121,"Palmeiras")+SUMIFS($A$2:$A$121,$H$2:$H$121,"Rafael Rodrigo Klein ",$E$2:$E$121,"Palmeiras")</f>
        <v>1</v>
      </c>
      <c r="AT30">
        <f>SUMIFS($A$2:$A$121,$H$2:$H$121,"Rafael Rodrigo Klein ",$B$2:$B$121,"Red Bull")+SUMIFS($A$2:$A$121,$H$2:$H$121,"Rafael Rodrigo Klein ",$E$2:$E$121,"Red Bull")</f>
        <v>2</v>
      </c>
      <c r="AU30">
        <f>SUMIFS($A$2:$A$121,$H$2:$H$121,"Rafael Rodrigo Klein ",$B$2:$B$121,"São Paulo")+SUMIFS($A$2:$A$121,$H$2:$H$121,"Rafael Rodrigo Klein ",$E$2:$E$121,"São Paulo")</f>
        <v>0</v>
      </c>
      <c r="AV30">
        <f>SUMIFS($A$2:$A$121,$H$2:$H$121,"Rafael Rodrigo Klein ",$B$2:$B$121,"Vasco")+SUMIFS($A$2:$A$121,$H$2:$H$121,"Rafael Rodrigo Klein ",$E$2:$E$121,"Vasco")</f>
        <v>1</v>
      </c>
      <c r="AW30">
        <f>SUMIFS($A$2:$A$121,$H$2:$H$121,"Rafael Rodrigo Klein ",$B$2:$B$121,"Vitória")+SUMIFS($A$2:$A$121,$H$2:$H$121,"Rafael Rodrigo Klein ",$E$2:$E$121,"Vitória")</f>
        <v>0</v>
      </c>
      <c r="AX30" s="30">
        <f t="shared" si="3"/>
        <v>12</v>
      </c>
    </row>
    <row r="31" spans="1:73" ht="15.6" x14ac:dyDescent="0.3">
      <c r="A31">
        <v>1</v>
      </c>
      <c r="B31" s="7" t="s">
        <v>25</v>
      </c>
      <c r="C31" s="9" t="s">
        <v>26</v>
      </c>
      <c r="D31" s="9">
        <v>0</v>
      </c>
      <c r="E31" s="7" t="s">
        <v>22</v>
      </c>
      <c r="F31" s="9" t="s">
        <v>19</v>
      </c>
      <c r="G31" s="9">
        <v>3</v>
      </c>
      <c r="H31" s="7" t="s">
        <v>67</v>
      </c>
      <c r="I31" s="7" t="s">
        <v>13</v>
      </c>
      <c r="J31" s="7" t="s">
        <v>47</v>
      </c>
      <c r="K31" s="7" t="s">
        <v>100</v>
      </c>
      <c r="L31" s="7" t="s">
        <v>29</v>
      </c>
      <c r="M31" s="7" t="s">
        <v>47</v>
      </c>
      <c r="N31" s="14"/>
      <c r="O31" s="18">
        <f t="shared" si="0"/>
        <v>1</v>
      </c>
      <c r="P31" s="18">
        <f t="shared" si="1"/>
        <v>0</v>
      </c>
      <c r="Q31" s="18">
        <f t="shared" si="2"/>
        <v>0</v>
      </c>
      <c r="AC31" s="7" t="s">
        <v>88</v>
      </c>
      <c r="AD31">
        <f>SUMIFS($A$2:$A$121,$H$2:$H$121,"Ramon Abatti Abel",$B$2:$B$121,"Athletico")+SUMIFS($A$2:$A$121,$H$2:$H$121,"Ramon Abatti Abel",$E$2:$E$121,"Athletico")</f>
        <v>1</v>
      </c>
      <c r="AE31">
        <f>SUMIFS($A$2:$A$121,$H$2:$H$121,"Ramon Abatti Abel",$B$2:$B$121,"Atlético GO")+SUMIFS($A$2:$A$121,$H$2:$H$121,"Ramon Abatti Abel",$E$2:$E$121,"Atlético GO")</f>
        <v>0</v>
      </c>
      <c r="AF31">
        <f>SUMIFS($A$2:$A$121,$H$2:$H$121,"Ramon Abatti Abel",$B$2:$B$121,"Atlético MG")+SUMIFS($A$2:$A$121,$H$2:$H$121,"Ramon Abatti Abel",$E$2:$E$121,"Atlético MG")</f>
        <v>1</v>
      </c>
      <c r="AG31">
        <f>SUMIFS($A$2:$A$121,$H$2:$H$121,"Ramon Abatti Abel",$B$2:$B$121,"Bahia")+SUMIFS($A$2:$A$121,$H$2:$H$121,"Ramon Abatti Abel",$E$2:$E$121,"Bahia")</f>
        <v>0</v>
      </c>
      <c r="AH31">
        <f>SUMIFS($A$2:$A$121,$H$2:$H$121,"Ramon Abatti Abel",$B$2:$B$121,"Botafogo")+SUMIFS($A$2:$A$121,$H$2:$H$121,"Ramon Abatti Abel",$E$2:$E$121,"Botafogo")</f>
        <v>1</v>
      </c>
      <c r="AI31">
        <f>SUMIFS($A$2:$A$121,$H$2:$H$121,"Ramon Abatti Abel",$B$2:$B$121,"Corinthians")+SUMIFS($A$2:$A$121,$H$2:$H$121,"Ramon Abatti Abel",$E$2:$E$121,"Corinthians")</f>
        <v>3</v>
      </c>
      <c r="AJ31">
        <f>SUMIFS($A$2:$A$121,$H$2:$H$121,"Ramon Abatti Abel",$B$2:$B$121,"Criciúma")+SUMIFS($A$2:$A$121,$H$2:$H$121,"Ramon Abatti Abel",$E$2:$E$121,"Criciúma")</f>
        <v>0</v>
      </c>
      <c r="AK31">
        <f>SUMIFS($A$2:$A$121,$H$2:$H$121,"Ramon Abatti Abel",$B$2:$B$121,"Cruzeiro")+SUMIFS($A$2:$A$121,$H$2:$H$121,"Ramon Abatti Abel",$E$2:$E$121,"Cruzeiro")</f>
        <v>1</v>
      </c>
      <c r="AL31">
        <f>SUMIFS($A$2:$A$121,$H$2:$H$121,"Ramon Abatti Abel",$B$2:$B$121,"Cuiabá")+SUMIFS($A$2:$A$121,$H$2:$H$121,"Ramon Abatti Abel",$E$2:$E$121,"Cuiabá")</f>
        <v>0</v>
      </c>
      <c r="AM31">
        <f>SUMIFS($A$2:$A$121,$H$2:$H$121,"Ramon Abatti Abel",$B$2:$B$121,"Flamengo")+SUMIFS($A$2:$A$121,$H$2:$H$121,"Ramon Abatti Abel",$E$2:$E$121,"Flamengo")</f>
        <v>1</v>
      </c>
      <c r="AN31">
        <f>SUMIFS($A$2:$A$121,$H$2:$H$121,"Ramon Abatti Abel",$B$2:$B$121,"Fluminense")+SUMIFS($A$2:$A$121,$H$2:$H$121,"Ramon Abatti Abel",$E$2:$E$121,"Fluminense")</f>
        <v>1</v>
      </c>
      <c r="AO31">
        <f>SUMIFS($A$2:$A$121,$H$2:$H$121,"Ramon Abatti Abel",$B$2:$B$121,"Fortaleza")+SUMIFS($A$2:$A$121,$H$2:$H$121,"Ramon Abatti Abel",$E$2:$E$121,"Fortaleza")</f>
        <v>0</v>
      </c>
      <c r="AP31">
        <f>SUMIFS($A$2:$A$121,$H$2:$H$121,"Ramon Abatti Abel",$B$2:$B$121,"Grêmio")+SUMIFS($A$2:$A$121,$H$2:$H$121,"Ramon Abatti Abel",$E$2:$E$121,"Grêmio")</f>
        <v>2</v>
      </c>
      <c r="AQ31">
        <f>SUMIFS($A$2:$A$121,$H$2:$H$121,"Ramon Abatti Abel",$B$2:$B$121,"Internacional")+SUMIFS($A$2:$A$121,$H$2:$H$121,"Ramon Abatti Abel",$E$2:$E$121,"Internacional")</f>
        <v>1</v>
      </c>
      <c r="AR31">
        <f>SUMIFS($A$2:$A$121,$H$2:$H$121,"Ramon Abatti Abel",$B$2:$B$121,"Juventude")+SUMIFS($A$2:$A$121,$H$2:$H$121,"Ramon Abatti Abel",$E$2:$E$121,"Juventude")</f>
        <v>0</v>
      </c>
      <c r="AS31">
        <f>SUMIFS($A$2:$A$121,$H$2:$H$121,"Ramon Abatti Abel",$B$2:$B$121,"Palmeiras")+SUMIFS($A$2:$A$121,$H$2:$H$121,"Ramon Abatti Abel",$E$2:$E$121,"Palmeiras")</f>
        <v>1</v>
      </c>
      <c r="AT31">
        <f>SUMIFS($A$2:$A$121,$H$2:$H$121,"Ramon Abatti Abel",$B$2:$B$121,"Red Bull")+SUMIFS($A$2:$A$121,$H$2:$H$121,"Ramon Abatti Abel",$E$2:$E$121,"Red Bull")</f>
        <v>1</v>
      </c>
      <c r="AU31">
        <f>SUMIFS($A$2:$A$121,$H$2:$H$121,"Ramon Abatti Abel",$B$2:$B$121,"São Paulo")+SUMIFS($A$2:$A$121,$H$2:$H$121,"Ramon Abatti Abel",$E$2:$E$121,"São Paulo")</f>
        <v>2</v>
      </c>
      <c r="AV31">
        <f>SUMIFS($A$2:$A$121,$H$2:$H$121,"Ramon Abatti Abel",$B$2:$B$121,"Vasco")+SUMIFS($A$2:$A$121,$H$2:$H$121,"Ramon Abatti Abel",$E$2:$E$121,"Vasco")</f>
        <v>1</v>
      </c>
      <c r="AW31">
        <f>SUMIFS($A$2:$A$121,$H$2:$H$121,"Ramon Abatti Abel",$B$2:$B$121,"Vitória")+SUMIFS($A$2:$A$121,$H$2:$H$121,"Ramon Abatti Abel",$E$2:$E$121,"Vitória")</f>
        <v>1</v>
      </c>
      <c r="AX31" s="30">
        <f t="shared" si="3"/>
        <v>18</v>
      </c>
    </row>
    <row r="32" spans="1:73" ht="15.6" x14ac:dyDescent="0.3">
      <c r="A32">
        <v>1</v>
      </c>
      <c r="B32" s="7" t="s">
        <v>33</v>
      </c>
      <c r="C32" s="9" t="s">
        <v>21</v>
      </c>
      <c r="D32" s="9">
        <v>0</v>
      </c>
      <c r="E32" s="7" t="s">
        <v>12</v>
      </c>
      <c r="F32" s="9" t="s">
        <v>13</v>
      </c>
      <c r="G32" s="9">
        <v>4</v>
      </c>
      <c r="H32" s="7" t="s">
        <v>96</v>
      </c>
      <c r="I32" s="7" t="s">
        <v>54</v>
      </c>
      <c r="J32" s="7" t="s">
        <v>43</v>
      </c>
      <c r="K32" s="7" t="s">
        <v>97</v>
      </c>
      <c r="L32" s="7" t="s">
        <v>19</v>
      </c>
      <c r="M32" s="7" t="s">
        <v>47</v>
      </c>
      <c r="N32" s="14"/>
      <c r="O32" s="18">
        <f t="shared" si="0"/>
        <v>0</v>
      </c>
      <c r="P32" s="18">
        <f t="shared" si="1"/>
        <v>1</v>
      </c>
      <c r="Q32" s="18">
        <f t="shared" si="2"/>
        <v>0</v>
      </c>
      <c r="AC32" s="7" t="s">
        <v>99</v>
      </c>
      <c r="AD32">
        <f>SUMIFS($A$2:$A$121,$H$2:$H$121,"Raphael Claus",$B$2:$B$121,"Athletico")+SUMIFS($A$2:$A$121,$H$2:$H$121,"Raphael Claus",$E$2:$E$121,"Athletico")</f>
        <v>0</v>
      </c>
      <c r="AE32">
        <f>SUMIFS($A$2:$A$121,$H$2:$H$121,"Raphael Claus",$B$2:$B$121,"Atlético GO")+SUMIFS($A$2:$A$121,$H$2:$H$121,"Raphael Claus",$E$2:$E$121,"Atlético GO")</f>
        <v>1</v>
      </c>
      <c r="AF32">
        <f>SUMIFS($A$2:$A$121,$H$2:$H$121,"Raphael Claus",$B$2:$B$121,"Atlético MG")+SUMIFS($A$2:$A$121,$H$2:$H$121,"Raphael Claus",$E$2:$E$121,"Atlético MG")</f>
        <v>1</v>
      </c>
      <c r="AG32">
        <f>SUMIFS($A$2:$A$121,$H$2:$H$121,"Raphael Claus",$B$2:$B$121,"Bahia")+SUMIFS($A$2:$A$121,$H$2:$H$121,"Raphael Claus",$E$2:$E$121,"Bahia")</f>
        <v>1</v>
      </c>
      <c r="AH32">
        <f>SUMIFS($A$2:$A$121,$H$2:$H$121,"Raphael Claus",$B$2:$B$121,"Botafogo")+SUMIFS($A$2:$A$121,$H$2:$H$121,"Raphael Claus",$E$2:$E$121,"Botafogo")</f>
        <v>1</v>
      </c>
      <c r="AI32">
        <f>SUMIFS($A$2:$A$121,$H$2:$H$121,"Raphael Claus",$B$2:$B$121,"Corinthians")+SUMIFS($A$2:$A$121,$H$2:$H$121,"Raphael Claus",$E$2:$E$121,"Corinthians")</f>
        <v>0</v>
      </c>
      <c r="AJ32">
        <f>SUMIFS($A$2:$A$121,$H$2:$H$121,"Raphael Claus",$B$2:$B$121,"Criciúma")+SUMIFS($A$2:$A$121,$H$2:$H$121,"Raphael Claus",$E$2:$E$121,"Criciúma")</f>
        <v>0</v>
      </c>
      <c r="AK32">
        <f>SUMIFS($A$2:$A$121,$H$2:$H$121,"Raphael Claus",$B$2:$B$121,"Cruzeiro")+SUMIFS($A$2:$A$121,$H$2:$H$121,"Raphael Claus",$E$2:$E$121,"Cruzeiro")</f>
        <v>0</v>
      </c>
      <c r="AL32">
        <f>SUMIFS($A$2:$A$121,$H$2:$H$121,"Raphael Claus",$B$2:$B$121,"Cuiabá")+SUMIFS($A$2:$A$121,$H$2:$H$121,"Raphael Claus",$E$2:$E$121,"Cuiabá")</f>
        <v>0</v>
      </c>
      <c r="AM32">
        <f>SUMIFS($A$2:$A$121,$H$2:$H$121,"Raphael Claus",$B$2:$B$121,"Flamengo")+SUMIFS($A$2:$A$121,$H$2:$H$121,"Raphael Claus",$E$2:$E$121,"Flamengo")</f>
        <v>1</v>
      </c>
      <c r="AN32">
        <f>SUMIFS($A$2:$A$121,$H$2:$H$121,"Raphael Claus",$B$2:$B$121,"Fluminense")+SUMIFS($A$2:$A$121,$H$2:$H$121,"Raphael Claus",$E$2:$E$121,"Fluminense")</f>
        <v>1</v>
      </c>
      <c r="AO32">
        <f>SUMIFS($A$2:$A$121,$H$2:$H$121,"Raphael Claus",$B$2:$B$121,"Fortaleza")+SUMIFS($A$2:$A$121,$H$2:$H$121,"Raphael Claus",$E$2:$E$121,"Fortaleza")</f>
        <v>0</v>
      </c>
      <c r="AP32">
        <f>SUMIFS($A$2:$A$121,$H$2:$H$121,"Raphael Claus",$B$2:$B$121,"Grêmio")+SUMIFS($A$2:$A$121,$H$2:$H$121,"Raphael Claus",$E$2:$E$121,"Grêmio")</f>
        <v>0</v>
      </c>
      <c r="AQ32">
        <f>SUMIFS($A$2:$A$121,$H$2:$H$121,"Raphael Claus",$B$2:$B$121,"Internacional")+SUMIFS($A$2:$A$121,$H$2:$H$121,"Raphael Claus",$E$2:$E$121,"Internacional")</f>
        <v>0</v>
      </c>
      <c r="AR32">
        <f>SUMIFS($A$2:$A$121,$H$2:$H$121,"Raphael Claus",$B$2:$B$121,"Juventude")+SUMIFS($A$2:$A$121,$H$2:$H$121,"Raphael Claus",$E$2:$E$121,"Juventude")</f>
        <v>1</v>
      </c>
      <c r="AS32">
        <f>SUMIFS($A$2:$A$121,$H$2:$H$121,"Raphael Claus",$B$2:$B$121,"Palmeiras")+SUMIFS($A$2:$A$121,$H$2:$H$121,"Raphael Claus",$E$2:$E$121,"Palmeiras")</f>
        <v>0</v>
      </c>
      <c r="AT32">
        <f>SUMIFS($A$2:$A$121,$H$2:$H$121,"Raphael Claus",$B$2:$B$121,"Red Bull")+SUMIFS($A$2:$A$121,$H$2:$H$121,"Raphael Claus",$E$2:$E$121,"Red Bull")</f>
        <v>0</v>
      </c>
      <c r="AU32">
        <f>SUMIFS($A$2:$A$121,$H$2:$H$121,"Raphael Claus",$B$2:$B$121,"São Paulo")+SUMIFS($A$2:$A$121,$H$2:$H$121,"Raphael Claus",$E$2:$E$121,"São Paulo")</f>
        <v>0</v>
      </c>
      <c r="AV32">
        <f>SUMIFS($A$2:$A$121,$H$2:$H$121,"Raphael Claus",$B$2:$B$121,"Vasco")+SUMIFS($A$2:$A$121,$H$2:$H$121,"Raphael Claus",$E$2:$E$121,"Vasco")</f>
        <v>1</v>
      </c>
      <c r="AW32">
        <f>SUMIFS($A$2:$A$121,$H$2:$H$121,"Raphael Claus",$B$2:$B$121,"Vitória")+SUMIFS($A$2:$A$121,$H$2:$H$121,"Raphael Claus",$E$2:$E$121,"Vitória")</f>
        <v>2</v>
      </c>
      <c r="AX32" s="30">
        <f t="shared" si="3"/>
        <v>10</v>
      </c>
    </row>
    <row r="33" spans="1:50" ht="15.6" x14ac:dyDescent="0.3">
      <c r="A33">
        <v>1</v>
      </c>
      <c r="B33" s="7" t="s">
        <v>30</v>
      </c>
      <c r="C33" s="9" t="s">
        <v>41</v>
      </c>
      <c r="D33" s="9">
        <v>0</v>
      </c>
      <c r="E33" s="7" t="s">
        <v>40</v>
      </c>
      <c r="F33" s="9" t="s">
        <v>32</v>
      </c>
      <c r="G33" s="9">
        <v>3</v>
      </c>
      <c r="H33" s="7" t="s">
        <v>98</v>
      </c>
      <c r="I33" s="7" t="s">
        <v>50</v>
      </c>
      <c r="J33" s="7" t="s">
        <v>43</v>
      </c>
      <c r="K33" s="7" t="s">
        <v>126</v>
      </c>
      <c r="L33" s="7" t="s">
        <v>19</v>
      </c>
      <c r="M33" s="7" t="s">
        <v>47</v>
      </c>
      <c r="N33" s="14"/>
      <c r="O33" s="18">
        <f t="shared" si="0"/>
        <v>0</v>
      </c>
      <c r="P33" s="18">
        <f t="shared" si="1"/>
        <v>1</v>
      </c>
      <c r="Q33" s="18">
        <f t="shared" si="2"/>
        <v>0</v>
      </c>
      <c r="AC33" s="7" t="s">
        <v>45</v>
      </c>
      <c r="AD33">
        <f>SUMIFS($A$2:$A$121,$H$2:$H$121,"Rodrigo Jose Pereira de Lima",$B$2:$B$121,"Athletico")+SUMIFS($A$2:$A$121,$H$2:$H$121,"Rodrigo Jose Pereira de Lima",$E$2:$E$121,"Athletico")</f>
        <v>0</v>
      </c>
      <c r="AE33">
        <f>SUMIFS($A$2:$A$121,$H$2:$H$121,"Rodrigo Jose Pereira de Lima",$B$2:$B$121,"Atlético GO")+SUMIFS($A$2:$A$121,$H$2:$H$121,"Rodrigo Jose Pereira de Lima",$E$2:$E$121,"Atlético GO")</f>
        <v>1</v>
      </c>
      <c r="AF33">
        <f>SUMIFS($A$2:$A$121,$H$2:$H$121,"Rodrigo Jose Pereira de Lima",$B$2:$B$121,"Atlético MG")+SUMIFS($A$2:$A$121,$H$2:$H$121,"Rodrigo Jose Pereira de Lima",$E$2:$E$121,"Atlético MG")</f>
        <v>1</v>
      </c>
      <c r="AG33">
        <f>SUMIFS($A$2:$A$121,$H$2:$H$121,"Rodrigo Jose Pereira de Lima",$B$2:$B$121,"Bahia")+SUMIFS($A$2:$A$121,$H$2:$H$121,"Rodrigo Jose Pereira de Lima",$E$2:$E$121,"Bahia")</f>
        <v>1</v>
      </c>
      <c r="AH33">
        <f>SUMIFS($A$2:$A$121,$H$2:$H$121,"Rodrigo Jose Pereira de Lima",$B$2:$B$121,"Botafogo")+SUMIFS($A$2:$A$121,$H$2:$H$121,"Rodrigo Jose Pereira de Lima",$E$2:$E$121,"Botafogo")</f>
        <v>0</v>
      </c>
      <c r="AI33">
        <f>SUMIFS($A$2:$A$121,$H$2:$H$121,"Rodrigo Jose Pereira de Lima",$B$2:$B$121,"Corinthians")+SUMIFS($A$2:$A$121,$H$2:$H$121,"Rodrigo Jose Pereira de Lima",$E$2:$E$121,"Corinthians")</f>
        <v>0</v>
      </c>
      <c r="AJ33">
        <f>SUMIFS($A$2:$A$121,$H$2:$H$121,"Rodrigo Jose Pereira de Lima",$B$2:$B$121,"Criciúma")+SUMIFS($A$2:$A$121,$H$2:$H$121,"Rodrigo Jose Pereira de Lima",$E$2:$E$121,"Criciúma")</f>
        <v>0</v>
      </c>
      <c r="AK33">
        <f>SUMIFS($A$2:$A$121,$H$2:$H$121,"Rodrigo Jose Pereira de Lima",$B$2:$B$121,"Cruzeiro")+SUMIFS($A$2:$A$121,$H$2:$H$121,"Rodrigo Jose Pereira de Lima",$E$2:$E$121,"Cruzeiro")</f>
        <v>1</v>
      </c>
      <c r="AL33">
        <f>SUMIFS($A$2:$A$121,$H$2:$H$121,"Rodrigo Jose Pereira de Lima",$B$2:$B$121,"Cuiabá")+SUMIFS($A$2:$A$121,$H$2:$H$121,"Rodrigo Jose Pereira de Lima",$E$2:$E$121,"Cuiabá")</f>
        <v>0</v>
      </c>
      <c r="AM33">
        <f>SUMIFS($A$2:$A$121,$H$2:$H$121,"Rodrigo Jose Pereira de Lima",$B$2:$B$121,"Flamengo")+SUMIFS($A$2:$A$121,$H$2:$H$121,"Rodrigo Jose Pereira de Lima",$E$2:$E$121,"Flamengo")</f>
        <v>1</v>
      </c>
      <c r="AN33">
        <f>SUMIFS($A$2:$A$121,$H$2:$H$121,"Rodrigo Jose Pereira de Lima",$B$2:$B$121,"Fluminense")+SUMIFS($A$2:$A$121,$H$2:$H$121,"Rodrigo Jose Pereira de Lima",$E$2:$E$121,"Fluminense")</f>
        <v>0</v>
      </c>
      <c r="AO33">
        <f>SUMIFS($A$2:$A$121,$H$2:$H$121,"Rodrigo Jose Pereira de Lima",$B$2:$B$121,"Fortaleza")+SUMIFS($A$2:$A$121,$H$2:$H$121,"Rodrigo Jose Pereira de Lima",$E$2:$E$121,"Fortaleza")</f>
        <v>0</v>
      </c>
      <c r="AP33">
        <f>SUMIFS($A$2:$A$121,$H$2:$H$121,"Rodrigo Jose Pereira de Lima",$B$2:$B$121,"Grêmio")+SUMIFS($A$2:$A$121,$H$2:$H$121,"Rodrigo Jose Pereira de Lima",$E$2:$E$121,"Grêmio")</f>
        <v>0</v>
      </c>
      <c r="AQ33">
        <f>SUMIFS($A$2:$A$121,$H$2:$H$121,"Rodrigo Jose Pereira de Lima",$B$2:$B$121,"Internacional")+SUMIFS($A$2:$A$121,$H$2:$H$121,"Rodrigo Jose Pereira de Lima",$E$2:$E$121,"Internacional")</f>
        <v>1</v>
      </c>
      <c r="AR33">
        <f>SUMIFS($A$2:$A$121,$H$2:$H$121,"Rodrigo Jose Pereira de Lima",$B$2:$B$121,"Juventude")+SUMIFS($A$2:$A$121,$H$2:$H$121,"Rodrigo Jose Pereira de Lima",$E$2:$E$121,"Juventude")</f>
        <v>0</v>
      </c>
      <c r="AS33">
        <f>SUMIFS($A$2:$A$121,$H$2:$H$121,"Rodrigo Jose Pereira de Lima",$B$2:$B$121,"Palmeiras")+SUMIFS($A$2:$A$121,$H$2:$H$121,"Rodrigo Jose Pereira de Lima",$E$2:$E$121,"Palmeiras")</f>
        <v>2</v>
      </c>
      <c r="AT33">
        <f>SUMIFS($A$2:$A$121,$H$2:$H$121,"Rodrigo Jose Pereira de Lima",$B$2:$B$121,"Red Bull")+SUMIFS($A$2:$A$121,$H$2:$H$121,"Rodrigo Jose Pereira de Lima",$E$2:$E$121,"Red Bull")</f>
        <v>0</v>
      </c>
      <c r="AU33">
        <f>SUMIFS($A$2:$A$121,$H$2:$H$121,"Rodrigo Jose Pereira de Lima",$B$2:$B$121,"São Paulo")+SUMIFS($A$2:$A$121,$H$2:$H$121,"Rodrigo Jose Pereira de Lima",$E$2:$E$121,"São Paulo")</f>
        <v>0</v>
      </c>
      <c r="AV33">
        <f>SUMIFS($A$2:$A$121,$H$2:$H$121,"Rodrigo Jose Pereira de Lima",$B$2:$B$121,"Vasco")+SUMIFS($A$2:$A$121,$H$2:$H$121,"Rodrigo Jose Pereira de Lima",$E$2:$E$121,"Vasco")</f>
        <v>0</v>
      </c>
      <c r="AW33">
        <f>SUMIFS($A$2:$A$121,$H$2:$H$121,"Rodrigo Jose Pereira de Lima",$B$2:$B$121,"Vitória")+SUMIFS($A$2:$A$121,$H$2:$H$121,"Rodrigo Jose Pereira de Lima",$E$2:$E$121,"Vitória")</f>
        <v>0</v>
      </c>
      <c r="AX33" s="30">
        <f t="shared" si="3"/>
        <v>8</v>
      </c>
    </row>
    <row r="34" spans="1:50" ht="15.6" x14ac:dyDescent="0.3">
      <c r="A34">
        <v>1</v>
      </c>
      <c r="B34" s="7" t="s">
        <v>17</v>
      </c>
      <c r="C34" s="9" t="s">
        <v>38</v>
      </c>
      <c r="D34" s="9">
        <v>1</v>
      </c>
      <c r="E34" s="7" t="s">
        <v>34</v>
      </c>
      <c r="F34" s="9" t="s">
        <v>15</v>
      </c>
      <c r="G34" s="9">
        <v>0</v>
      </c>
      <c r="H34" s="7" t="s">
        <v>67</v>
      </c>
      <c r="I34" s="7" t="s">
        <v>13</v>
      </c>
      <c r="J34" s="7" t="s">
        <v>47</v>
      </c>
      <c r="K34" s="7" t="s">
        <v>53</v>
      </c>
      <c r="L34" s="7" t="s">
        <v>54</v>
      </c>
      <c r="M34" s="7" t="s">
        <v>47</v>
      </c>
      <c r="N34" s="14"/>
      <c r="O34" s="18">
        <f t="shared" si="0"/>
        <v>1</v>
      </c>
      <c r="P34" s="18">
        <f t="shared" si="1"/>
        <v>0</v>
      </c>
      <c r="Q34" s="18">
        <f t="shared" si="2"/>
        <v>0</v>
      </c>
      <c r="AC34" s="7" t="s">
        <v>98</v>
      </c>
      <c r="AD34">
        <f>SUMIFS($A$2:$A$121,$H$2:$H$121,"Savio Pereira Sampaio",$B$2:$B$121,"Athletico")+SUMIFS($A$2:$A$121,$H$2:$H$121,"Savio Pereira Sampaio",$E$2:$E$121,"Athletico")</f>
        <v>0</v>
      </c>
      <c r="AE34">
        <f>SUMIFS($A$2:$A$121,$H$2:$H$121,"Savio Pereira Sampaio",$B$2:$B$121,"Atlético GO")+SUMIFS($A$2:$A$121,$H$2:$H$121,"Savio Pereira Sampaio",$E$2:$E$121,"Atlético GO")</f>
        <v>0</v>
      </c>
      <c r="AF34">
        <f>SUMIFS($A$2:$A$121,$H$2:$H$121,"Savio Pereira Sampaio",$B$2:$B$121,"Atlético MG")+SUMIFS($A$2:$A$121,$H$2:$H$121,"Savio Pereira Sampaio",$E$2:$E$121,"Atlético MG")</f>
        <v>1</v>
      </c>
      <c r="AG34">
        <f>SUMIFS($A$2:$A$121,$H$2:$H$121,"Savio Pereira Sampaio",$B$2:$B$121,"Bahia")+SUMIFS($A$2:$A$121,$H$2:$H$121,"Savio Pereira Sampaio",$E$2:$E$121,"Bahia")</f>
        <v>0</v>
      </c>
      <c r="AH34">
        <f>SUMIFS($A$2:$A$121,$H$2:$H$121,"Savio Pereira Sampaio",$B$2:$B$121,"Botafogo")+SUMIFS($A$2:$A$121,$H$2:$H$121,"Savio Pereira Sampaio",$E$2:$E$121,"Botafogo")</f>
        <v>0</v>
      </c>
      <c r="AI34">
        <f>SUMIFS($A$2:$A$121,$H$2:$H$121,"Savio Pereira Sampaio",$B$2:$B$121,"Corinthians")+SUMIFS($A$2:$A$121,$H$2:$H$121,"Savio Pereira Sampaio",$E$2:$E$121,"Corinthians")</f>
        <v>0</v>
      </c>
      <c r="AJ34">
        <f>SUMIFS($A$2:$A$121,$H$2:$H$121,"Savio Pereira Sampaio",$B$2:$B$121,"Criciúma")+SUMIFS($A$2:$A$121,$H$2:$H$121,"Savio Pereira Sampaio",$E$2:$E$121,"Criciúma")</f>
        <v>0</v>
      </c>
      <c r="AK34">
        <f>SUMIFS($A$2:$A$121,$H$2:$H$121,"Savio Pereira Sampaio",$B$2:$B$121,"Cruzeiro")+SUMIFS($A$2:$A$121,$H$2:$H$121,"Savio Pereira Sampaio",$E$2:$E$121,"Cruzeiro")</f>
        <v>0</v>
      </c>
      <c r="AL34">
        <f>SUMIFS($A$2:$A$121,$H$2:$H$121,"Savio Pereira Sampaio",$B$2:$B$121,"Cuiabá")+SUMIFS($A$2:$A$121,$H$2:$H$121,"Savio Pereira Sampaio",$E$2:$E$121,"Cuiabá")</f>
        <v>1</v>
      </c>
      <c r="AM34">
        <f>SUMIFS($A$2:$A$121,$H$2:$H$121,"Savio Pereira Sampaio",$B$2:$B$121,"Flamengo")+SUMIFS($A$2:$A$121,$H$2:$H$121,"Savio Pereira Sampaio",$E$2:$E$121,"Flamengo")</f>
        <v>0</v>
      </c>
      <c r="AN34">
        <f>SUMIFS($A$2:$A$121,$H$2:$H$121,"Savio Pereira Sampaio",$B$2:$B$121,"Fluminense")+SUMIFS($A$2:$A$121,$H$2:$H$121,"Savio Pereira Sampaio",$E$2:$E$121,"Fluminense")</f>
        <v>0</v>
      </c>
      <c r="AO34">
        <f>SUMIFS($A$2:$A$121,$H$2:$H$121,"Savio Pereira Sampaio",$B$2:$B$121,"Fortaleza")+SUMIFS($A$2:$A$121,$H$2:$H$121,"Savio Pereira Sampaio",$E$2:$E$121,"Fortaleza")</f>
        <v>0</v>
      </c>
      <c r="AP34">
        <f>SUMIFS($A$2:$A$121,$H$2:$H$121,"Savio Pereira Sampaio",$B$2:$B$121,"Grêmio")+SUMIFS($A$2:$A$121,$H$2:$H$121,"Savio Pereira Sampaio",$E$2:$E$121,"Grêmio")</f>
        <v>0</v>
      </c>
      <c r="AQ34">
        <f>SUMIFS($A$2:$A$121,$H$2:$H$121,"Savio Pereira Sampaio",$B$2:$B$121,"Internacional")+SUMIFS($A$2:$A$121,$H$2:$H$121,"Savio Pereira Sampaio",$E$2:$E$121,"Internacional")</f>
        <v>0</v>
      </c>
      <c r="AR34">
        <f>SUMIFS($A$2:$A$121,$H$2:$H$121,"Savio Pereira Sampaio",$B$2:$B$121,"Juventude")+SUMIFS($A$2:$A$121,$H$2:$H$121,"Savio Pereira Sampaio",$E$2:$E$121,"Juventude")</f>
        <v>0</v>
      </c>
      <c r="AS34">
        <f>SUMIFS($A$2:$A$121,$H$2:$H$121,"Savio Pereira Sampaio",$B$2:$B$121,"Palmeiras")+SUMIFS($A$2:$A$121,$H$2:$H$121,"Savio Pereira Sampaio",$E$2:$E$121,"Palmeiras")</f>
        <v>0</v>
      </c>
      <c r="AT34">
        <f>SUMIFS($A$2:$A$121,$H$2:$H$121,"Savio Pereira Sampaio",$B$2:$B$121,"Red Bull")+SUMIFS($A$2:$A$121,$H$2:$H$121,"Savio Pereira Sampaio",$E$2:$E$121,"Red Bull")</f>
        <v>0</v>
      </c>
      <c r="AU34">
        <f>SUMIFS($A$2:$A$121,$H$2:$H$121,"Savio Pereira Sampaio",$B$2:$B$121,"São Paulo")+SUMIFS($A$2:$A$121,$H$2:$H$121,"Savio Pereira Sampaio",$E$2:$E$121,"São Paulo")</f>
        <v>0</v>
      </c>
      <c r="AV34">
        <f>SUMIFS($A$2:$A$121,$H$2:$H$121,"Savio Pereira Sampaio",$B$2:$B$121,"Vasco")+SUMIFS($A$2:$A$121,$H$2:$H$121,"Savio Pereira Sampaio",$E$2:$E$121,"Vasco")</f>
        <v>0</v>
      </c>
      <c r="AW34">
        <f>SUMIFS($A$2:$A$121,$H$2:$H$121,"Savio Pereira Sampaio",$B$2:$B$121,"Vitória")+SUMIFS($A$2:$A$121,$H$2:$H$121,"Savio Pereira Sampaio",$E$2:$E$121,"Vitória")</f>
        <v>0</v>
      </c>
      <c r="AX34" s="30">
        <f t="shared" si="3"/>
        <v>2</v>
      </c>
    </row>
    <row r="35" spans="1:50" ht="15.6" x14ac:dyDescent="0.3">
      <c r="A35">
        <v>1</v>
      </c>
      <c r="B35" s="7" t="s">
        <v>27</v>
      </c>
      <c r="C35" s="9" t="s">
        <v>21</v>
      </c>
      <c r="D35" s="9">
        <v>0</v>
      </c>
      <c r="E35" s="7" t="s">
        <v>36</v>
      </c>
      <c r="F35" s="9" t="s">
        <v>21</v>
      </c>
      <c r="G35" s="9">
        <v>2</v>
      </c>
      <c r="H35" s="7" t="s">
        <v>99</v>
      </c>
      <c r="I35" s="7" t="s">
        <v>19</v>
      </c>
      <c r="J35" s="7" t="s">
        <v>47</v>
      </c>
      <c r="K35" s="7" t="s">
        <v>100</v>
      </c>
      <c r="L35" s="7" t="s">
        <v>29</v>
      </c>
      <c r="M35" s="7" t="s">
        <v>47</v>
      </c>
      <c r="N35" s="14"/>
      <c r="O35" s="18">
        <f t="shared" si="0"/>
        <v>1</v>
      </c>
      <c r="P35" s="18">
        <f t="shared" si="1"/>
        <v>0</v>
      </c>
      <c r="Q35" s="18">
        <f t="shared" si="2"/>
        <v>0</v>
      </c>
      <c r="AC35" s="7" t="s">
        <v>138</v>
      </c>
      <c r="AD35">
        <f>SUMIFS($A$2:$A$121,$H$2:$H$121,"Wagner do Nascimento Magalhaes",$B$2:$B$121,"Athletico")+SUMIFS($A$2:$A$121,$H$2:$H$121,"Wagner do Nascimento Magalhaes",$E$2:$E$121,"Athletico")</f>
        <v>0</v>
      </c>
      <c r="AE35">
        <f>SUMIFS($A$2:$A$121,$H$2:$H$121,"Wagner do Nascimento Magalhaes",$B$2:$B$121,"Atlético GO")+SUMIFS($A$2:$A$121,$H$2:$H$121,"Wagner do Nascimento Magalhaes",$E$2:$E$121,"Atlético GO")</f>
        <v>0</v>
      </c>
      <c r="AF35">
        <f>SUMIFS($A$2:$A$121,$H$2:$H$121,"Wagner do Nascimento Magalhaes",$B$2:$B$121,"Atlético MG")+SUMIFS($A$2:$A$121,$H$2:$H$121,"Wagner do Nascimento Magalhaes",$E$2:$E$121,"Atlético MG")</f>
        <v>0</v>
      </c>
      <c r="AG35">
        <f>SUMIFS($A$2:$A$121,$H$2:$H$121,"Wagner do Nascimento Magalhaes",$B$2:$B$121,"Bahia")+SUMIFS($A$2:$A$121,$H$2:$H$121,"Wagner do Nascimento Magalhaes",$E$2:$E$121,"Bahia")</f>
        <v>0</v>
      </c>
      <c r="AH35">
        <f>SUMIFS($A$2:$A$121,$H$2:$H$121,"Wagner do Nascimento Magalhaes",$B$2:$B$121,"Botafogo")+SUMIFS($A$2:$A$121,$H$2:$H$121,"Wagner do Nascimento Magalhaes",$E$2:$E$121,"Botafogo")</f>
        <v>0</v>
      </c>
      <c r="AI35">
        <f>SUMIFS($A$2:$A$121,$H$2:$H$121,"Wagner do Nascimento Magalhaes",$B$2:$B$121,"Corinthians")+SUMIFS($A$2:$A$121,$H$2:$H$121,"Wagner do Nascimento Magalhaes",$E$2:$E$121,"Corinthians")</f>
        <v>1</v>
      </c>
      <c r="AJ35">
        <f>SUMIFS($A$2:$A$121,$H$2:$H$121,"Wagner do Nascimento Magalhaes",$B$2:$B$121,"Criciúma")+SUMIFS($A$2:$A$121,$H$2:$H$121,"Wagner do Nascimento Magalhaes",$E$2:$E$121,"Criciúma")</f>
        <v>0</v>
      </c>
      <c r="AK35">
        <f>SUMIFS($A$2:$A$121,$H$2:$H$121,"Wagner do Nascimento Magalhaes",$B$2:$B$121,"Cruzeiro")+SUMIFS($A$2:$A$121,$H$2:$H$121,"Wagner do Nascimento Magalhaes",$E$2:$E$121,"Cruzeiro")</f>
        <v>0</v>
      </c>
      <c r="AL35">
        <f>SUMIFS($A$2:$A$121,$H$2:$H$121,"Wagner do Nascimento Magalhaes",$B$2:$B$121,"Cuiabá")+SUMIFS($A$2:$A$121,$H$2:$H$121,"Wagner do Nascimento Magalhaes",$E$2:$E$121,"Cuiabá")</f>
        <v>0</v>
      </c>
      <c r="AM35">
        <f>SUMIFS($A$2:$A$121,$H$2:$H$121,"Wagner do Nascimento Magalhaes",$B$2:$B$121,"Flamengo")+SUMIFS($A$2:$A$121,$H$2:$H$121,"Wagner do Nascimento Magalhaes",$E$2:$E$121,"Flamengo")</f>
        <v>0</v>
      </c>
      <c r="AN35">
        <f>SUMIFS($A$2:$A$121,$H$2:$H$121,"Wagner do Nascimento Magalhaes",$B$2:$B$121,"Fluminense")+SUMIFS($A$2:$A$121,$H$2:$H$121,"Wagner do Nascimento Magalhaes",$E$2:$E$121,"Fluminense")</f>
        <v>0</v>
      </c>
      <c r="AO35">
        <f>SUMIFS($A$2:$A$121,$H$2:$H$121,"Wagner do Nascimento Magalhaes",$B$2:$B$121,"Fortaleza")+SUMIFS($A$2:$A$121,$H$2:$H$121,"Wagner do Nascimento Magalhaes",$E$2:$E$121,"Fortaleza")</f>
        <v>0</v>
      </c>
      <c r="AP35">
        <f>SUMIFS($A$2:$A$121,$H$2:$H$121,"Wagner do Nascimento Magalhaes",$B$2:$B$121,"Grêmio")+SUMIFS($A$2:$A$121,$H$2:$H$121,"Wagner do Nascimento Magalhaes",$E$2:$E$121,"Grêmio")</f>
        <v>0</v>
      </c>
      <c r="AQ35">
        <f>SUMIFS($A$2:$A$121,$H$2:$H$121,"Wagner do Nascimento Magalhaes",$B$2:$B$121,"Internacional")+SUMIFS($A$2:$A$121,$H$2:$H$121,"Wagner do Nascimento Magalhaes",$E$2:$E$121,"Internacional")</f>
        <v>1</v>
      </c>
      <c r="AR35">
        <f>SUMIFS($A$2:$A$121,$H$2:$H$121,"Wagner do Nascimento Magalhaes",$B$2:$B$121,"Juventude")+SUMIFS($A$2:$A$121,$H$2:$H$121,"Wagner do Nascimento Magalhaes",$E$2:$E$121,"Juventude")</f>
        <v>1</v>
      </c>
      <c r="AS35">
        <f>SUMIFS($A$2:$A$121,$H$2:$H$121,"Wagner do Nascimento Magalhaes",$B$2:$B$121,"Palmeiras")+SUMIFS($A$2:$A$121,$H$2:$H$121,"Wagner do Nascimento Magalhaes",$E$2:$E$121,"Palmeiras")</f>
        <v>0</v>
      </c>
      <c r="AT35">
        <f>SUMIFS($A$2:$A$121,$H$2:$H$121,"Wagner do Nascimento Magalhaes",$B$2:$B$121,"Red Bull")+SUMIFS($A$2:$A$121,$H$2:$H$121,"Wagner do Nascimento Magalhaes",$E$2:$E$121,"Red Bull")</f>
        <v>0</v>
      </c>
      <c r="AU35">
        <f>SUMIFS($A$2:$A$121,$H$2:$H$121,"Wagner do Nascimento Magalhaes",$B$2:$B$121,"São Paulo")+SUMIFS($A$2:$A$121,$H$2:$H$121,"Wagner do Nascimento Magalhaes",$E$2:$E$121,"São Paulo")</f>
        <v>0</v>
      </c>
      <c r="AV35">
        <f>SUMIFS($A$2:$A$121,$H$2:$H$121,"Wagner do Nascimento Magalhaes",$B$2:$B$121,"Vasco")+SUMIFS($A$2:$A$121,$H$2:$H$121,"Wagner do Nascimento Magalhaes",$E$2:$E$121,"Vasco")</f>
        <v>0</v>
      </c>
      <c r="AW35">
        <f>SUMIFS($A$2:$A$121,$H$2:$H$121,"Wagner do Nascimento Magalhaes",$B$2:$B$121,"Vitória")+SUMIFS($A$2:$A$121,$H$2:$H$121,"Wagner do Nascimento Magalhaes",$E$2:$E$121,"Vitória")</f>
        <v>1</v>
      </c>
      <c r="AX35" s="30">
        <f t="shared" si="3"/>
        <v>4</v>
      </c>
    </row>
    <row r="36" spans="1:50" ht="15.6" x14ac:dyDescent="0.3">
      <c r="A36">
        <v>1</v>
      </c>
      <c r="B36" s="7" t="s">
        <v>31</v>
      </c>
      <c r="C36" s="9" t="s">
        <v>19</v>
      </c>
      <c r="D36" s="9">
        <v>3</v>
      </c>
      <c r="E36" s="7" t="s">
        <v>20</v>
      </c>
      <c r="F36" s="9" t="s">
        <v>21</v>
      </c>
      <c r="G36" s="9">
        <v>0</v>
      </c>
      <c r="H36" s="7" t="s">
        <v>88</v>
      </c>
      <c r="I36" s="7" t="s">
        <v>13</v>
      </c>
      <c r="J36" s="7" t="s">
        <v>47</v>
      </c>
      <c r="K36" s="7" t="s">
        <v>124</v>
      </c>
      <c r="L36" s="7" t="s">
        <v>32</v>
      </c>
      <c r="M36" s="7" t="s">
        <v>47</v>
      </c>
      <c r="N36" s="14"/>
      <c r="O36" s="18">
        <f t="shared" si="0"/>
        <v>1</v>
      </c>
      <c r="P36" s="18">
        <f t="shared" si="1"/>
        <v>0</v>
      </c>
      <c r="Q36" s="18">
        <f t="shared" si="2"/>
        <v>0</v>
      </c>
      <c r="AC36" s="7" t="s">
        <v>110</v>
      </c>
      <c r="AD36">
        <f>SUMIFS($A$2:$A$121,$H$2:$H$121,"Wilton Pereira Sampaio",$B$2:$B$121,"Athletico")+SUMIFS($A$2:$A$121,$H$2:$H$121,"Wilton Pereira Sampaio",$E$2:$E$121,"Athletico")</f>
        <v>0</v>
      </c>
      <c r="AE36">
        <f>SUMIFS($A$2:$A$121,$H$2:$H$121,"Wilton Pereira Sampaio",$B$2:$B$121,"Atlético GO")+SUMIFS($A$2:$A$121,$H$2:$H$121,"Wilton Pereira Sampaio",$E$2:$E$121,"Atlético GO")</f>
        <v>0</v>
      </c>
      <c r="AF36">
        <f>SUMIFS($A$2:$A$121,$H$2:$H$121,"Wilton Pereira Sampaio",$B$2:$B$121,"Atlético MG")+SUMIFS($A$2:$A$121,$H$2:$H$121,"Wilton Pereira Sampaio",$E$2:$E$121,"Atlético MG")</f>
        <v>0</v>
      </c>
      <c r="AG36">
        <f>SUMIFS($A$2:$A$121,$H$2:$H$121,"Wilton Pereira Sampaio",$B$2:$B$121,"Bahia")+SUMIFS($A$2:$A$121,$H$2:$H$121,"Wilton Pereira Sampaio",$E$2:$E$121,"Bahia")</f>
        <v>0</v>
      </c>
      <c r="AH36">
        <f>SUMIFS($A$2:$A$121,$H$2:$H$121,"Wilton Pereira Sampaio",$B$2:$B$121,"Botafogo")+SUMIFS($A$2:$A$121,$H$2:$H$121,"Wilton Pereira Sampaio",$E$2:$E$121,"Botafogo")</f>
        <v>1</v>
      </c>
      <c r="AI36">
        <f>SUMIFS($A$2:$A$121,$H$2:$H$121,"Wilton Pereira Sampaio",$B$2:$B$121,"Corinthians")+SUMIFS($A$2:$A$121,$H$2:$H$121,"Wilton Pereira Sampaio",$E$2:$E$121,"Corinthians")</f>
        <v>0</v>
      </c>
      <c r="AJ36">
        <f>SUMIFS($A$2:$A$121,$H$2:$H$121,"Wilton Pereira Sampaio",$B$2:$B$121,"Criciúma")+SUMIFS($A$2:$A$121,$H$2:$H$121,"Wilton Pereira Sampaio",$E$2:$E$121,"Criciúma")</f>
        <v>0</v>
      </c>
      <c r="AK36">
        <f>SUMIFS($A$2:$A$121,$H$2:$H$121,"Wilton Pereira Sampaio",$B$2:$B$121,"Cruzeiro")+SUMIFS($A$2:$A$121,$H$2:$H$121,"Wilton Pereira Sampaio",$E$2:$E$121,"Cruzeiro")</f>
        <v>0</v>
      </c>
      <c r="AL36">
        <f>SUMIFS($A$2:$A$121,$H$2:$H$121,"Wilton Pereira Sampaio",$B$2:$B$121,"Cuiabá")+SUMIFS($A$2:$A$121,$H$2:$H$121,"Wilton Pereira Sampaio",$E$2:$E$121,"Cuiabá")</f>
        <v>1</v>
      </c>
      <c r="AM36">
        <f>SUMIFS($A$2:$A$121,$H$2:$H$121,"Wilton Pereira Sampaio",$B$2:$B$121,"Flamengo")+SUMIFS($A$2:$A$121,$H$2:$H$121,"Wilton Pereira Sampaio",$E$2:$E$121,"Flamengo")</f>
        <v>0</v>
      </c>
      <c r="AN36">
        <f>SUMIFS($A$2:$A$121,$H$2:$H$121,"Wilton Pereira Sampaio",$B$2:$B$121,"Fluminense")+SUMIFS($A$2:$A$121,$H$2:$H$121,"Wilton Pereira Sampaio",$E$2:$E$121,"Fluminense")</f>
        <v>1</v>
      </c>
      <c r="AO36">
        <f>SUMIFS($A$2:$A$121,$H$2:$H$121,"Wilton Pereira Sampaio",$B$2:$B$121,"Fortaleza")+SUMIFS($A$2:$A$121,$H$2:$H$121,"Wilton Pereira Sampaio",$E$2:$E$121,"Fortaleza")</f>
        <v>1</v>
      </c>
      <c r="AP36">
        <f>SUMIFS($A$2:$A$121,$H$2:$H$121,"Wilton Pereira Sampaio",$B$2:$B$121,"Grêmio")+SUMIFS($A$2:$A$121,$H$2:$H$121,"Wilton Pereira Sampaio",$E$2:$E$121,"Grêmio")</f>
        <v>0</v>
      </c>
      <c r="AQ36">
        <f>SUMIFS($A$2:$A$121,$H$2:$H$121,"Wilton Pereira Sampaio",$B$2:$B$121,"Internacional")+SUMIFS($A$2:$A$121,$H$2:$H$121,"Wilton Pereira Sampaio",$E$2:$E$121,"Internacional")</f>
        <v>0</v>
      </c>
      <c r="AR36">
        <f>SUMIFS($A$2:$A$121,$H$2:$H$121,"Wilton Pereira Sampaio",$B$2:$B$121,"Juventude")+SUMIFS($A$2:$A$121,$H$2:$H$121,"Wilton Pereira Sampaio",$E$2:$E$121,"Juventude")</f>
        <v>0</v>
      </c>
      <c r="AS36">
        <f>SUMIFS($A$2:$A$121,$H$2:$H$121,"Wilton Pereira Sampaio",$B$2:$B$121,"Palmeiras")+SUMIFS($A$2:$A$121,$H$2:$H$121,"Wilton Pereira Sampaio",$E$2:$E$121,"Palmeiras")</f>
        <v>1</v>
      </c>
      <c r="AT36">
        <f>SUMIFS($A$2:$A$121,$H$2:$H$121,"Wilton Pereira Sampaio",$B$2:$B$121,"Red Bull")+SUMIFS($A$2:$A$121,$H$2:$H$121,"Wilton Pereira Sampaio",$E$2:$E$121,"Red Bull")</f>
        <v>0</v>
      </c>
      <c r="AU36">
        <f>SUMIFS($A$2:$A$121,$H$2:$H$121,"Wilton Pereira Sampaio",$B$2:$B$121,"São Paulo")+SUMIFS($A$2:$A$121,$H$2:$H$121,"Wilton Pereira Sampaio",$E$2:$E$121,"São Paulo")</f>
        <v>1</v>
      </c>
      <c r="AV36">
        <f>SUMIFS($A$2:$A$121,$H$2:$H$121,"Wilton Pereira Sampaio",$B$2:$B$121,"Vasco")+SUMIFS($A$2:$A$121,$H$2:$H$121,"Wilton Pereira Sampaio",$E$2:$E$121,"Vasco")</f>
        <v>1</v>
      </c>
      <c r="AW36">
        <f>SUMIFS($A$2:$A$121,$H$2:$H$121,"Wilton Pereira Sampaio",$B$2:$B$121,"Vitória")+SUMIFS($A$2:$A$121,$H$2:$H$121,"Wilton Pereira Sampaio",$E$2:$E$121,"Vitória")</f>
        <v>1</v>
      </c>
      <c r="AX36" s="30">
        <f t="shared" si="3"/>
        <v>8</v>
      </c>
    </row>
    <row r="37" spans="1:50" ht="15.6" x14ac:dyDescent="0.3">
      <c r="A37">
        <v>1</v>
      </c>
      <c r="B37" s="7" t="s">
        <v>35</v>
      </c>
      <c r="C37" s="9" t="s">
        <v>32</v>
      </c>
      <c r="D37" s="9">
        <v>3</v>
      </c>
      <c r="E37" s="7" t="s">
        <v>37</v>
      </c>
      <c r="F37" s="9" t="s">
        <v>38</v>
      </c>
      <c r="G37" s="9">
        <v>1</v>
      </c>
      <c r="H37" s="7" t="s">
        <v>101</v>
      </c>
      <c r="I37" s="7" t="s">
        <v>102</v>
      </c>
      <c r="J37" s="7" t="s">
        <v>43</v>
      </c>
      <c r="K37" s="7" t="s">
        <v>91</v>
      </c>
      <c r="L37" s="7" t="s">
        <v>15</v>
      </c>
      <c r="M37" s="7" t="s">
        <v>47</v>
      </c>
      <c r="N37" s="14"/>
      <c r="O37" s="18">
        <f t="shared" si="0"/>
        <v>0</v>
      </c>
      <c r="P37" s="18">
        <f t="shared" si="1"/>
        <v>1</v>
      </c>
      <c r="Q37" s="18">
        <f t="shared" si="2"/>
        <v>0</v>
      </c>
      <c r="AC37" s="21" t="s">
        <v>60</v>
      </c>
      <c r="AD37" s="22">
        <f>SUMIFS($A$2:$A$121,$H$2:$H$121,"Yuri Elino Ferreira da Cruz",$B$2:$B$121,"Athletico")+SUMIFS($A$2:$A$121,$H$2:$H$121,"Yuri Elino Ferreira da Cruz",$E$2:$E$121,"Athletico")</f>
        <v>0</v>
      </c>
      <c r="AE37" s="22">
        <f>SUMIFS($A$2:$A$121,$H$2:$H$121,"Yuri Elino Ferreira da Cruz",$B$2:$B$121,"Atlético GO")+SUMIFS($A$2:$A$121,$H$2:$H$121,"Yuri Elino Ferreira da Cruz",$E$2:$E$121,"Atlético GO")</f>
        <v>0</v>
      </c>
      <c r="AF37" s="22">
        <f>SUMIFS($A$2:$A$121,$H$2:$H$121,"Yuri Elino Ferreira da Cruz",$B$2:$B$121,"Atlético MG")+SUMIFS($A$2:$A$121,$H$2:$H$121,"Yuri Elino Ferreira da Cruz",$E$2:$E$121,"Atlético MG")</f>
        <v>1</v>
      </c>
      <c r="AG37" s="22">
        <f>SUMIFS($A$2:$A$121,$H$2:$H$121,"Yuri Elino Ferreira da Cruz",$B$2:$B$121,"Bahia")+SUMIFS($A$2:$A$121,$H$2:$H$121,"Yuri Elino Ferreira da Cruz",$E$2:$E$121,"Bahia")</f>
        <v>0</v>
      </c>
      <c r="AH37" s="22">
        <f>SUMIFS($A$2:$A$121,$H$2:$H$121,"Yuri Elino Ferreira da Cruz",$B$2:$B$121,"Botafogo")+SUMIFS($A$2:$A$121,$H$2:$H$121,"Yuri Elino Ferreira da Cruz",$E$2:$E$121,"Botafogo")</f>
        <v>0</v>
      </c>
      <c r="AI37" s="22">
        <f>SUMIFS($A$2:$A$121,$H$2:$H$121,"Yuri Elino Ferreira da Cruz",$B$2:$B$121,"Corinthians")+SUMIFS($A$2:$A$121,$H$2:$H$121,"Yuri Elino Ferreira da Cruz",$E$2:$E$121,"Corinthians")</f>
        <v>1</v>
      </c>
      <c r="AJ37" s="22">
        <f>SUMIFS($A$2:$A$121,$H$2:$H$121,"Yuri Elino Ferreira da Cruz",$B$2:$B$121,"Criciúma")+SUMIFS($A$2:$A$121,$H$2:$H$121,"Yuri Elino Ferreira da Cruz",$E$2:$E$121,"Criciúma")</f>
        <v>0</v>
      </c>
      <c r="AK37" s="22">
        <f>SUMIFS($A$2:$A$121,$H$2:$H$121,"Yuri Elino Ferreira da Cruz",$B$2:$B$121,"Cruzeiro")+SUMIFS($A$2:$A$121,$H$2:$H$121,"Yuri Elino Ferreira da Cruz",$E$2:$E$121,"Cruzeiro")</f>
        <v>0</v>
      </c>
      <c r="AL37" s="22">
        <f>SUMIFS($A$2:$A$121,$H$2:$H$121,"Yuri Elino Ferreira da Cruz",$B$2:$B$121,"Cuiabá")+SUMIFS($A$2:$A$121,$H$2:$H$121,"Yuri Elino Ferreira da Cruz",$E$2:$E$121,"Cuiabá")</f>
        <v>0</v>
      </c>
      <c r="AM37" s="22">
        <f>SUMIFS($A$2:$A$121,$H$2:$H$121,"Yuri Elino Ferreira da Cruz",$B$2:$B$121,"Flamengo")+SUMIFS($A$2:$A$121,$H$2:$H$121,"Yuri Elino Ferreira da Cruz",$E$2:$E$121,"Flamengo")</f>
        <v>0</v>
      </c>
      <c r="AN37" s="22">
        <f>SUMIFS($A$2:$A$121,$H$2:$H$121,"Yuri Elino Ferreira da Cruz",$B$2:$B$121,"Fluminense")+SUMIFS($A$2:$A$121,$H$2:$H$121,"Yuri Elino Ferreira da Cruz",$E$2:$E$121,"Fluminense")</f>
        <v>0</v>
      </c>
      <c r="AO37" s="22">
        <f>SUMIFS($A$2:$A$121,$H$2:$H$121,"Yuri Elino Ferreira da Cruz",$B$2:$B$121,"Fortaleza")+SUMIFS($A$2:$A$121,$H$2:$H$121,"Yuri Elino Ferreira da Cruz",$E$2:$E$121,"Fortaleza")</f>
        <v>0</v>
      </c>
      <c r="AP37" s="22">
        <f>SUMIFS($A$2:$A$121,$H$2:$H$121,"Yuri Elino Ferreira da Cruz",$B$2:$B$121,"Grêmio")+SUMIFS($A$2:$A$121,$H$2:$H$121,"Yuri Elino Ferreira da Cruz",$E$2:$E$121,"Grêmio")</f>
        <v>0</v>
      </c>
      <c r="AQ37" s="22">
        <f>SUMIFS($A$2:$A$121,$H$2:$H$121,"Yuri Elino Ferreira da Cruz",$B$2:$B$121,"Internacional")+SUMIFS($A$2:$A$121,$H$2:$H$121,"Yuri Elino Ferreira da Cruz",$E$2:$E$121,"Internacional")</f>
        <v>0</v>
      </c>
      <c r="AR37" s="22">
        <f>SUMIFS($A$2:$A$121,$H$2:$H$121,"Yuri Elino Ferreira da Cruz",$B$2:$B$121,"Juventude")+SUMIFS($A$2:$A$121,$H$2:$H$121,"Yuri Elino Ferreira da Cruz",$E$2:$E$121,"Juventude")</f>
        <v>0</v>
      </c>
      <c r="AS37" s="22">
        <f>SUMIFS($A$2:$A$121,$H$2:$H$121,"Yuri Elino Ferreira da Cruz",$B$2:$B$121,"Palmeiras")+SUMIFS($A$2:$A$121,$H$2:$H$121,"Yuri Elino Ferreira da Cruz",$E$2:$E$121,"Palmeiras")</f>
        <v>0</v>
      </c>
      <c r="AT37" s="22">
        <f>SUMIFS($A$2:$A$121,$H$2:$H$121,"Yuri Elino Ferreira da Cruz",$B$2:$B$121,"Red Bull")+SUMIFS($A$2:$A$121,$H$2:$H$121,"Yuri Elino Ferreira da Cruz",$E$2:$E$121,"Red Bull")</f>
        <v>0</v>
      </c>
      <c r="AU37" s="22">
        <f>SUMIFS($A$2:$A$121,$H$2:$H$121,"Yuri Elino Ferreira da Cruz",$B$2:$B$121,"São Paulo")+SUMIFS($A$2:$A$121,$H$2:$H$121,"Yuri Elino Ferreira da Cruz",$E$2:$E$121,"São Paulo")</f>
        <v>0</v>
      </c>
      <c r="AV37" s="22">
        <f>SUMIFS($A$2:$A$121,$H$2:$H$121,"Yuri Elino Ferreira da Cruz",$B$2:$B$121,"Vasco")+SUMIFS($A$2:$A$121,$H$2:$H$121,"Yuri Elino Ferreira da Cruz",$E$2:$E$121,"Vasco")</f>
        <v>0</v>
      </c>
      <c r="AW37" s="22">
        <f>SUMIFS($A$2:$A$121,$H$2:$H$121,"Yuri Elino Ferreira da Cruz",$B$2:$B$121,"Vitória")+SUMIFS($A$2:$A$121,$H$2:$H$121,"Yuri Elino Ferreira da Cruz",$E$2:$E$121,"Vitória")</f>
        <v>0</v>
      </c>
      <c r="AX37" s="31">
        <f t="shared" si="3"/>
        <v>2</v>
      </c>
    </row>
    <row r="38" spans="1:50" ht="15.6" x14ac:dyDescent="0.3">
      <c r="A38">
        <v>1</v>
      </c>
      <c r="B38" s="7" t="s">
        <v>14</v>
      </c>
      <c r="C38" s="9" t="s">
        <v>15</v>
      </c>
      <c r="D38" s="9">
        <v>1</v>
      </c>
      <c r="E38" s="7" t="s">
        <v>28</v>
      </c>
      <c r="F38" s="9" t="s">
        <v>29</v>
      </c>
      <c r="G38" s="9">
        <v>1</v>
      </c>
      <c r="H38" s="7" t="s">
        <v>52</v>
      </c>
      <c r="I38" s="7" t="s">
        <v>21</v>
      </c>
      <c r="J38" s="7" t="s">
        <v>43</v>
      </c>
      <c r="K38" s="7" t="s">
        <v>59</v>
      </c>
      <c r="L38" s="7" t="s">
        <v>38</v>
      </c>
      <c r="M38" s="7" t="s">
        <v>47</v>
      </c>
      <c r="N38" s="14"/>
      <c r="O38" s="18">
        <f t="shared" si="0"/>
        <v>0</v>
      </c>
      <c r="P38" s="18">
        <f t="shared" si="1"/>
        <v>1</v>
      </c>
      <c r="Q38" s="18">
        <f t="shared" si="2"/>
        <v>0</v>
      </c>
      <c r="AC38" s="2" t="s">
        <v>152</v>
      </c>
      <c r="AD38" s="1">
        <f>MAX(AD2:AD37)</f>
        <v>2</v>
      </c>
      <c r="AE38" s="1">
        <f>MAX(AE2:AE37)</f>
        <v>1</v>
      </c>
      <c r="AF38" s="1">
        <f>MAX(AF2:AF37)</f>
        <v>1</v>
      </c>
      <c r="AG38" s="1">
        <f>MAX(AG2:AG37)</f>
        <v>2</v>
      </c>
      <c r="AH38" s="1">
        <f>MAX(AH2:AH37)</f>
        <v>2</v>
      </c>
      <c r="AI38" s="1">
        <f>MAX(AI2:AI37)</f>
        <v>3</v>
      </c>
      <c r="AJ38" s="1">
        <f>MAX(AJ2:AJ37)</f>
        <v>2</v>
      </c>
      <c r="AK38" s="1">
        <f>MAX(AK2:AK37)</f>
        <v>2</v>
      </c>
      <c r="AL38" s="1">
        <f>MAX(AL2:AL37)</f>
        <v>2</v>
      </c>
      <c r="AM38" s="1">
        <f>MAX(AM2:AM37)</f>
        <v>2</v>
      </c>
      <c r="AN38" s="1">
        <f>MAX(AN2:AN37)</f>
        <v>2</v>
      </c>
      <c r="AO38" s="1">
        <f>MAX(AO2:AO37)</f>
        <v>2</v>
      </c>
      <c r="AP38" s="1">
        <f>MAX(AP2:AP37)</f>
        <v>2</v>
      </c>
      <c r="AQ38" s="1">
        <f>MAX(AQ2:AQ37)</f>
        <v>1</v>
      </c>
      <c r="AR38" s="1">
        <f>MAX(AR2:AR37)</f>
        <v>2</v>
      </c>
      <c r="AS38" s="1">
        <f>MAX(AS2:AS37)</f>
        <v>2</v>
      </c>
      <c r="AT38" s="1">
        <f>MAX(AT2:AT37)</f>
        <v>2</v>
      </c>
      <c r="AU38" s="1">
        <f>MAX(AU2:AU37)</f>
        <v>2</v>
      </c>
      <c r="AV38" s="1">
        <f>MAX(AV2:AV37)</f>
        <v>2</v>
      </c>
      <c r="AW38" s="1">
        <f>MAX(AW2:AW37)</f>
        <v>2</v>
      </c>
      <c r="AX38" s="1">
        <f>SUM(AX2:AX37)</f>
        <v>230</v>
      </c>
    </row>
    <row r="39" spans="1:50" ht="15.6" x14ac:dyDescent="0.3">
      <c r="A39">
        <v>1</v>
      </c>
      <c r="B39" s="7" t="s">
        <v>23</v>
      </c>
      <c r="C39" s="9" t="s">
        <v>24</v>
      </c>
      <c r="D39" s="9">
        <v>1</v>
      </c>
      <c r="E39" s="7" t="s">
        <v>18</v>
      </c>
      <c r="F39" s="9" t="s">
        <v>19</v>
      </c>
      <c r="G39" s="9">
        <v>1</v>
      </c>
      <c r="H39" s="7" t="s">
        <v>135</v>
      </c>
      <c r="I39" s="7" t="s">
        <v>57</v>
      </c>
      <c r="J39" s="7" t="s">
        <v>43</v>
      </c>
      <c r="K39" s="7" t="s">
        <v>117</v>
      </c>
      <c r="L39" s="7" t="s">
        <v>21</v>
      </c>
      <c r="M39" s="7" t="s">
        <v>47</v>
      </c>
      <c r="N39" s="14"/>
      <c r="O39" s="18">
        <f t="shared" si="0"/>
        <v>0</v>
      </c>
      <c r="P39" s="18">
        <f t="shared" si="1"/>
        <v>1</v>
      </c>
      <c r="Q39" s="18">
        <f t="shared" si="2"/>
        <v>0</v>
      </c>
    </row>
    <row r="40" spans="1:50" ht="15.6" x14ac:dyDescent="0.3">
      <c r="A40">
        <v>1</v>
      </c>
      <c r="B40" s="7" t="s">
        <v>16</v>
      </c>
      <c r="C40" s="9" t="s">
        <v>15</v>
      </c>
      <c r="D40" s="9">
        <v>1</v>
      </c>
      <c r="E40" s="7" t="s">
        <v>25</v>
      </c>
      <c r="F40" s="9" t="s">
        <v>26</v>
      </c>
      <c r="G40" s="9">
        <v>1</v>
      </c>
      <c r="H40" s="7" t="s">
        <v>136</v>
      </c>
      <c r="I40" s="7" t="s">
        <v>19</v>
      </c>
      <c r="J40" s="7" t="s">
        <v>47</v>
      </c>
      <c r="K40" s="7" t="s">
        <v>63</v>
      </c>
      <c r="L40" s="7" t="s">
        <v>19</v>
      </c>
      <c r="M40" s="7" t="s">
        <v>47</v>
      </c>
      <c r="N40" s="14"/>
      <c r="O40" s="18">
        <f t="shared" si="0"/>
        <v>1</v>
      </c>
      <c r="P40" s="18">
        <f t="shared" si="1"/>
        <v>0</v>
      </c>
      <c r="Q40" s="18">
        <f t="shared" si="2"/>
        <v>0</v>
      </c>
    </row>
    <row r="41" spans="1:50" ht="15.6" x14ac:dyDescent="0.3">
      <c r="A41">
        <v>1</v>
      </c>
      <c r="B41" s="7" t="s">
        <v>22</v>
      </c>
      <c r="C41" s="9" t="s">
        <v>19</v>
      </c>
      <c r="D41" s="9">
        <v>0</v>
      </c>
      <c r="E41" s="7" t="s">
        <v>39</v>
      </c>
      <c r="F41" s="9" t="s">
        <v>19</v>
      </c>
      <c r="G41" s="9">
        <v>0</v>
      </c>
      <c r="H41" s="7" t="s">
        <v>110</v>
      </c>
      <c r="I41" s="7" t="s">
        <v>26</v>
      </c>
      <c r="J41" s="7" t="s">
        <v>47</v>
      </c>
      <c r="K41" s="7" t="s">
        <v>56</v>
      </c>
      <c r="L41" s="7" t="s">
        <v>57</v>
      </c>
      <c r="M41" s="7" t="s">
        <v>47</v>
      </c>
      <c r="N41" s="14"/>
      <c r="O41" s="18">
        <f t="shared" si="0"/>
        <v>1</v>
      </c>
      <c r="P41" s="18">
        <f t="shared" si="1"/>
        <v>0</v>
      </c>
      <c r="Q41" s="18">
        <f t="shared" si="2"/>
        <v>0</v>
      </c>
    </row>
    <row r="42" spans="1:50" ht="15.6" x14ac:dyDescent="0.3">
      <c r="A42">
        <v>1</v>
      </c>
      <c r="B42" s="7" t="s">
        <v>34</v>
      </c>
      <c r="C42" s="9" t="s">
        <v>15</v>
      </c>
      <c r="D42" s="9"/>
      <c r="E42" s="7" t="s">
        <v>12</v>
      </c>
      <c r="F42" s="9" t="s">
        <v>13</v>
      </c>
      <c r="G42" s="9"/>
      <c r="H42" s="7"/>
      <c r="I42" s="7"/>
      <c r="J42" s="7"/>
      <c r="K42" s="7"/>
      <c r="L42" s="7"/>
      <c r="M42" s="7"/>
      <c r="N42" s="14"/>
      <c r="O42" s="18">
        <f t="shared" si="0"/>
        <v>0</v>
      </c>
      <c r="P42" s="18">
        <f t="shared" si="1"/>
        <v>0</v>
      </c>
      <c r="Q42" s="18">
        <v>0</v>
      </c>
      <c r="AC42" s="7"/>
    </row>
    <row r="43" spans="1:50" ht="15.6" x14ac:dyDescent="0.3">
      <c r="A43">
        <v>1</v>
      </c>
      <c r="B43" s="7" t="s">
        <v>35</v>
      </c>
      <c r="C43" s="9" t="s">
        <v>32</v>
      </c>
      <c r="D43" s="9"/>
      <c r="E43" s="7" t="s">
        <v>16</v>
      </c>
      <c r="F43" s="9" t="s">
        <v>15</v>
      </c>
      <c r="G43" s="9"/>
      <c r="H43" s="7"/>
      <c r="I43" s="7"/>
      <c r="J43" s="7"/>
      <c r="K43" s="7"/>
      <c r="L43" s="7"/>
      <c r="M43" s="7"/>
      <c r="N43" s="14"/>
      <c r="O43" s="18">
        <f t="shared" si="0"/>
        <v>0</v>
      </c>
      <c r="P43" s="18">
        <f t="shared" si="1"/>
        <v>0</v>
      </c>
      <c r="Q43" s="18">
        <v>0</v>
      </c>
      <c r="AC43" s="7"/>
    </row>
    <row r="44" spans="1:50" ht="15.6" x14ac:dyDescent="0.3">
      <c r="A44">
        <v>1</v>
      </c>
      <c r="B44" s="7" t="s">
        <v>20</v>
      </c>
      <c r="C44" s="9" t="s">
        <v>21</v>
      </c>
      <c r="D44" s="9">
        <v>2</v>
      </c>
      <c r="E44" s="7" t="s">
        <v>40</v>
      </c>
      <c r="F44" s="9" t="s">
        <v>32</v>
      </c>
      <c r="G44" s="9">
        <v>2</v>
      </c>
      <c r="H44" s="7" t="s">
        <v>99</v>
      </c>
      <c r="I44" s="7" t="s">
        <v>19</v>
      </c>
      <c r="J44" s="7" t="s">
        <v>47</v>
      </c>
      <c r="K44" s="7" t="s">
        <v>97</v>
      </c>
      <c r="L44" s="7" t="s">
        <v>19</v>
      </c>
      <c r="M44" s="7" t="s">
        <v>47</v>
      </c>
      <c r="N44" s="14"/>
      <c r="O44" s="18">
        <f t="shared" si="0"/>
        <v>1</v>
      </c>
      <c r="P44" s="18">
        <f t="shared" si="1"/>
        <v>0</v>
      </c>
      <c r="Q44" s="18">
        <f t="shared" si="2"/>
        <v>0</v>
      </c>
      <c r="AC44" s="7"/>
    </row>
    <row r="45" spans="1:50" ht="15.6" x14ac:dyDescent="0.3">
      <c r="A45">
        <v>1</v>
      </c>
      <c r="B45" s="7" t="s">
        <v>18</v>
      </c>
      <c r="C45" s="9" t="s">
        <v>19</v>
      </c>
      <c r="D45" s="9">
        <v>1</v>
      </c>
      <c r="E45" s="7" t="s">
        <v>27</v>
      </c>
      <c r="F45" s="9" t="s">
        <v>21</v>
      </c>
      <c r="G45" s="9">
        <v>1</v>
      </c>
      <c r="H45" s="7" t="s">
        <v>72</v>
      </c>
      <c r="I45" s="7" t="s">
        <v>32</v>
      </c>
      <c r="J45" s="7" t="s">
        <v>47</v>
      </c>
      <c r="K45" s="7" t="s">
        <v>91</v>
      </c>
      <c r="L45" s="7" t="s">
        <v>15</v>
      </c>
      <c r="M45" s="7" t="s">
        <v>47</v>
      </c>
      <c r="N45" s="14"/>
      <c r="O45" s="18">
        <f t="shared" si="0"/>
        <v>1</v>
      </c>
      <c r="P45" s="18">
        <f t="shared" si="1"/>
        <v>0</v>
      </c>
      <c r="Q45" s="18">
        <f t="shared" si="2"/>
        <v>0</v>
      </c>
      <c r="AC45" s="7"/>
    </row>
    <row r="46" spans="1:50" ht="15.6" x14ac:dyDescent="0.3">
      <c r="A46">
        <v>1</v>
      </c>
      <c r="B46" s="7" t="s">
        <v>31</v>
      </c>
      <c r="C46" s="9" t="s">
        <v>19</v>
      </c>
      <c r="D46" s="9">
        <v>0</v>
      </c>
      <c r="E46" s="7" t="s">
        <v>23</v>
      </c>
      <c r="F46" s="9" t="s">
        <v>24</v>
      </c>
      <c r="G46" s="9">
        <v>0</v>
      </c>
      <c r="H46" s="7" t="s">
        <v>130</v>
      </c>
      <c r="I46" s="7" t="s">
        <v>32</v>
      </c>
      <c r="J46" s="7" t="s">
        <v>43</v>
      </c>
      <c r="K46" s="7" t="s">
        <v>51</v>
      </c>
      <c r="L46" s="7" t="s">
        <v>46</v>
      </c>
      <c r="M46" s="7" t="s">
        <v>43</v>
      </c>
      <c r="N46" s="14"/>
      <c r="O46" s="18">
        <f t="shared" si="0"/>
        <v>0</v>
      </c>
      <c r="P46" s="18">
        <f t="shared" si="1"/>
        <v>0</v>
      </c>
      <c r="Q46" s="18">
        <f t="shared" si="2"/>
        <v>1</v>
      </c>
      <c r="AC46" s="7"/>
    </row>
    <row r="47" spans="1:50" ht="15.6" x14ac:dyDescent="0.3">
      <c r="A47">
        <v>1</v>
      </c>
      <c r="B47" s="7" t="s">
        <v>37</v>
      </c>
      <c r="C47" s="9" t="s">
        <v>38</v>
      </c>
      <c r="D47" s="9">
        <v>1</v>
      </c>
      <c r="E47" s="7" t="s">
        <v>22</v>
      </c>
      <c r="F47" s="9" t="s">
        <v>19</v>
      </c>
      <c r="G47" s="9">
        <v>3</v>
      </c>
      <c r="H47" s="7" t="s">
        <v>88</v>
      </c>
      <c r="I47" s="7" t="s">
        <v>13</v>
      </c>
      <c r="J47" s="7" t="s">
        <v>47</v>
      </c>
      <c r="K47" s="7" t="s">
        <v>100</v>
      </c>
      <c r="L47" s="7" t="s">
        <v>29</v>
      </c>
      <c r="M47" s="7" t="s">
        <v>47</v>
      </c>
      <c r="N47" s="14"/>
      <c r="O47" s="18">
        <f t="shared" si="0"/>
        <v>1</v>
      </c>
      <c r="P47" s="18">
        <f t="shared" si="1"/>
        <v>0</v>
      </c>
      <c r="Q47" s="18">
        <f t="shared" si="2"/>
        <v>0</v>
      </c>
      <c r="AC47" s="7"/>
    </row>
    <row r="48" spans="1:50" ht="15.6" x14ac:dyDescent="0.3">
      <c r="A48">
        <v>1</v>
      </c>
      <c r="B48" s="7" t="s">
        <v>28</v>
      </c>
      <c r="C48" s="9" t="s">
        <v>29</v>
      </c>
      <c r="D48" s="9">
        <v>1</v>
      </c>
      <c r="E48" s="7" t="s">
        <v>33</v>
      </c>
      <c r="F48" s="9" t="s">
        <v>21</v>
      </c>
      <c r="G48" s="9">
        <v>0</v>
      </c>
      <c r="H48" s="7" t="s">
        <v>107</v>
      </c>
      <c r="I48" s="7" t="s">
        <v>15</v>
      </c>
      <c r="J48" s="7" t="s">
        <v>47</v>
      </c>
      <c r="K48" s="7" t="s">
        <v>53</v>
      </c>
      <c r="L48" s="7" t="s">
        <v>54</v>
      </c>
      <c r="M48" s="7" t="s">
        <v>47</v>
      </c>
      <c r="N48" s="14"/>
      <c r="O48" s="18">
        <f t="shared" si="0"/>
        <v>1</v>
      </c>
      <c r="P48" s="18">
        <f t="shared" si="1"/>
        <v>0</v>
      </c>
      <c r="Q48" s="18">
        <f t="shared" si="2"/>
        <v>0</v>
      </c>
      <c r="AC48" s="7"/>
    </row>
    <row r="49" spans="1:29" ht="15.6" x14ac:dyDescent="0.3">
      <c r="A49">
        <v>1</v>
      </c>
      <c r="B49" s="7" t="s">
        <v>30</v>
      </c>
      <c r="C49" s="9" t="s">
        <v>41</v>
      </c>
      <c r="D49" s="9">
        <v>0</v>
      </c>
      <c r="E49" s="7" t="s">
        <v>39</v>
      </c>
      <c r="F49" s="9" t="s">
        <v>19</v>
      </c>
      <c r="G49" s="9">
        <v>2</v>
      </c>
      <c r="H49" s="7" t="s">
        <v>74</v>
      </c>
      <c r="I49" s="7" t="s">
        <v>21</v>
      </c>
      <c r="J49" s="7" t="s">
        <v>47</v>
      </c>
      <c r="K49" s="7" t="s">
        <v>109</v>
      </c>
      <c r="L49" s="7" t="s">
        <v>13</v>
      </c>
      <c r="M49" s="7" t="s">
        <v>47</v>
      </c>
      <c r="N49" s="14"/>
      <c r="O49" s="18">
        <f t="shared" si="0"/>
        <v>1</v>
      </c>
      <c r="P49" s="18">
        <f t="shared" si="1"/>
        <v>0</v>
      </c>
      <c r="Q49" s="18">
        <f t="shared" si="2"/>
        <v>0</v>
      </c>
      <c r="AC49" s="7"/>
    </row>
    <row r="50" spans="1:29" ht="15.6" x14ac:dyDescent="0.3">
      <c r="A50">
        <v>1</v>
      </c>
      <c r="B50" s="7" t="s">
        <v>36</v>
      </c>
      <c r="C50" s="9" t="s">
        <v>21</v>
      </c>
      <c r="D50" s="9">
        <v>1</v>
      </c>
      <c r="E50" s="7" t="s">
        <v>17</v>
      </c>
      <c r="F50" s="9" t="s">
        <v>38</v>
      </c>
      <c r="G50" s="9">
        <v>2</v>
      </c>
      <c r="H50" s="7" t="s">
        <v>86</v>
      </c>
      <c r="I50" s="7" t="s">
        <v>15</v>
      </c>
      <c r="J50" s="7" t="s">
        <v>47</v>
      </c>
      <c r="K50" s="7" t="s">
        <v>124</v>
      </c>
      <c r="L50" s="7" t="s">
        <v>32</v>
      </c>
      <c r="M50" s="7" t="s">
        <v>47</v>
      </c>
      <c r="N50" s="14"/>
      <c r="O50" s="18">
        <f t="shared" si="0"/>
        <v>1</v>
      </c>
      <c r="P50" s="18">
        <f t="shared" si="1"/>
        <v>0</v>
      </c>
      <c r="Q50" s="18">
        <f t="shared" si="2"/>
        <v>0</v>
      </c>
      <c r="AC50" s="7"/>
    </row>
    <row r="51" spans="1:29" ht="15.6" x14ac:dyDescent="0.3">
      <c r="A51">
        <v>1</v>
      </c>
      <c r="B51" s="7" t="s">
        <v>14</v>
      </c>
      <c r="C51" s="9" t="s">
        <v>15</v>
      </c>
      <c r="D51" s="9">
        <v>1</v>
      </c>
      <c r="E51" s="7" t="s">
        <v>25</v>
      </c>
      <c r="F51" s="9" t="s">
        <v>26</v>
      </c>
      <c r="G51" s="9">
        <v>0</v>
      </c>
      <c r="H51" s="7" t="s">
        <v>99</v>
      </c>
      <c r="I51" s="7" t="s">
        <v>19</v>
      </c>
      <c r="J51" s="7" t="s">
        <v>47</v>
      </c>
      <c r="K51" s="7" t="s">
        <v>87</v>
      </c>
      <c r="L51" s="7" t="s">
        <v>13</v>
      </c>
      <c r="M51" s="7" t="s">
        <v>43</v>
      </c>
      <c r="N51" s="14"/>
      <c r="O51" s="18">
        <f t="shared" si="0"/>
        <v>0</v>
      </c>
      <c r="P51" s="18">
        <f t="shared" si="1"/>
        <v>1</v>
      </c>
      <c r="Q51" s="18">
        <f t="shared" si="2"/>
        <v>0</v>
      </c>
      <c r="AC51" s="7"/>
    </row>
    <row r="52" spans="1:29" ht="15.6" x14ac:dyDescent="0.3">
      <c r="A52">
        <v>1</v>
      </c>
      <c r="B52" s="7" t="s">
        <v>40</v>
      </c>
      <c r="C52" s="9" t="s">
        <v>32</v>
      </c>
      <c r="D52" s="9"/>
      <c r="E52" s="7" t="s">
        <v>34</v>
      </c>
      <c r="F52" s="9" t="s">
        <v>15</v>
      </c>
      <c r="G52" s="9"/>
      <c r="H52" s="7"/>
      <c r="I52" s="7"/>
      <c r="J52" s="7"/>
      <c r="K52" s="7"/>
      <c r="L52" s="7"/>
      <c r="M52" s="7"/>
      <c r="N52" s="14"/>
      <c r="O52" s="18">
        <f t="shared" si="0"/>
        <v>0</v>
      </c>
      <c r="P52" s="18">
        <f t="shared" si="1"/>
        <v>0</v>
      </c>
      <c r="Q52" s="18">
        <v>0</v>
      </c>
      <c r="AC52" s="7"/>
    </row>
    <row r="53" spans="1:29" ht="15.6" x14ac:dyDescent="0.3">
      <c r="A53">
        <v>1</v>
      </c>
      <c r="B53" s="7" t="s">
        <v>16</v>
      </c>
      <c r="C53" s="9" t="s">
        <v>15</v>
      </c>
      <c r="D53" s="9"/>
      <c r="E53" s="7" t="s">
        <v>14</v>
      </c>
      <c r="F53" s="9" t="s">
        <v>15</v>
      </c>
      <c r="G53" s="9"/>
      <c r="H53" s="7"/>
      <c r="I53" s="7"/>
      <c r="J53" s="7"/>
      <c r="K53" s="7"/>
      <c r="L53" s="7"/>
      <c r="M53" s="7"/>
      <c r="N53" s="14"/>
      <c r="O53" s="18">
        <f t="shared" si="0"/>
        <v>0</v>
      </c>
      <c r="P53" s="18">
        <f t="shared" si="1"/>
        <v>0</v>
      </c>
      <c r="Q53" s="18">
        <v>0</v>
      </c>
      <c r="AC53" s="7"/>
    </row>
    <row r="54" spans="1:29" ht="15.6" x14ac:dyDescent="0.3">
      <c r="A54">
        <v>1</v>
      </c>
      <c r="B54" s="7" t="s">
        <v>27</v>
      </c>
      <c r="C54" s="9" t="s">
        <v>21</v>
      </c>
      <c r="D54" s="9">
        <v>2</v>
      </c>
      <c r="E54" s="7" t="s">
        <v>31</v>
      </c>
      <c r="F54" s="9" t="s">
        <v>19</v>
      </c>
      <c r="G54" s="9">
        <v>0</v>
      </c>
      <c r="H54" s="7" t="s">
        <v>88</v>
      </c>
      <c r="I54" s="7" t="s">
        <v>13</v>
      </c>
      <c r="J54" s="7" t="s">
        <v>47</v>
      </c>
      <c r="K54" s="7" t="s">
        <v>100</v>
      </c>
      <c r="L54" s="7" t="s">
        <v>29</v>
      </c>
      <c r="M54" s="7" t="s">
        <v>47</v>
      </c>
      <c r="N54" s="14"/>
      <c r="O54" s="18">
        <f t="shared" si="0"/>
        <v>1</v>
      </c>
      <c r="P54" s="18">
        <f t="shared" si="1"/>
        <v>0</v>
      </c>
      <c r="Q54" s="18">
        <f t="shared" si="2"/>
        <v>0</v>
      </c>
    </row>
    <row r="55" spans="1:29" ht="15.6" x14ac:dyDescent="0.3">
      <c r="A55">
        <v>1</v>
      </c>
      <c r="B55" s="7" t="s">
        <v>23</v>
      </c>
      <c r="C55" s="9" t="s">
        <v>24</v>
      </c>
      <c r="D55" s="9">
        <v>1</v>
      </c>
      <c r="E55" s="7" t="s">
        <v>36</v>
      </c>
      <c r="F55" s="9" t="s">
        <v>21</v>
      </c>
      <c r="G55" s="9">
        <v>1</v>
      </c>
      <c r="H55" s="7" t="s">
        <v>110</v>
      </c>
      <c r="I55" s="7" t="s">
        <v>26</v>
      </c>
      <c r="J55" s="7" t="s">
        <v>47</v>
      </c>
      <c r="K55" s="7" t="s">
        <v>87</v>
      </c>
      <c r="L55" s="7" t="s">
        <v>13</v>
      </c>
      <c r="M55" s="7" t="s">
        <v>43</v>
      </c>
      <c r="N55" s="14"/>
      <c r="O55" s="18">
        <f t="shared" si="0"/>
        <v>0</v>
      </c>
      <c r="P55" s="18">
        <f t="shared" si="1"/>
        <v>1</v>
      </c>
      <c r="Q55" s="18">
        <f t="shared" si="2"/>
        <v>0</v>
      </c>
    </row>
    <row r="56" spans="1:29" ht="15.6" x14ac:dyDescent="0.3">
      <c r="A56">
        <v>1</v>
      </c>
      <c r="B56" s="7" t="s">
        <v>25</v>
      </c>
      <c r="C56" s="9" t="s">
        <v>26</v>
      </c>
      <c r="D56" s="9">
        <v>0</v>
      </c>
      <c r="E56" s="7" t="s">
        <v>35</v>
      </c>
      <c r="F56" s="9" t="s">
        <v>32</v>
      </c>
      <c r="G56" s="9">
        <v>1</v>
      </c>
      <c r="H56" s="7" t="s">
        <v>45</v>
      </c>
      <c r="I56" s="7" t="s">
        <v>46</v>
      </c>
      <c r="J56" s="7" t="s">
        <v>47</v>
      </c>
      <c r="K56" s="7" t="s">
        <v>111</v>
      </c>
      <c r="L56" s="7" t="s">
        <v>13</v>
      </c>
      <c r="M56" s="7" t="s">
        <v>43</v>
      </c>
      <c r="N56" s="14"/>
      <c r="O56" s="18">
        <f t="shared" si="0"/>
        <v>0</v>
      </c>
      <c r="P56" s="18">
        <f t="shared" si="1"/>
        <v>1</v>
      </c>
      <c r="Q56" s="18">
        <f t="shared" si="2"/>
        <v>0</v>
      </c>
    </row>
    <row r="57" spans="1:29" ht="15.6" x14ac:dyDescent="0.3">
      <c r="A57">
        <v>1</v>
      </c>
      <c r="B57" s="7" t="s">
        <v>39</v>
      </c>
      <c r="C57" s="9" t="s">
        <v>19</v>
      </c>
      <c r="D57" s="9">
        <v>0</v>
      </c>
      <c r="E57" s="7" t="s">
        <v>28</v>
      </c>
      <c r="F57" s="9" t="s">
        <v>29</v>
      </c>
      <c r="G57" s="9">
        <v>2</v>
      </c>
      <c r="H57" s="7" t="s">
        <v>67</v>
      </c>
      <c r="I57" s="7" t="s">
        <v>13</v>
      </c>
      <c r="J57" s="7" t="s">
        <v>47</v>
      </c>
      <c r="K57" s="7" t="s">
        <v>56</v>
      </c>
      <c r="L57" s="7" t="s">
        <v>57</v>
      </c>
      <c r="M57" s="7" t="s">
        <v>47</v>
      </c>
      <c r="N57" s="14"/>
      <c r="O57" s="18">
        <f t="shared" si="0"/>
        <v>1</v>
      </c>
      <c r="P57" s="18">
        <f t="shared" si="1"/>
        <v>0</v>
      </c>
      <c r="Q57" s="18">
        <f t="shared" si="2"/>
        <v>0</v>
      </c>
    </row>
    <row r="58" spans="1:29" ht="15.6" x14ac:dyDescent="0.3">
      <c r="A58">
        <v>1</v>
      </c>
      <c r="B58" s="7" t="s">
        <v>17</v>
      </c>
      <c r="C58" s="9" t="s">
        <v>38</v>
      </c>
      <c r="D58" s="9">
        <v>1</v>
      </c>
      <c r="E58" s="7" t="s">
        <v>18</v>
      </c>
      <c r="F58" s="9" t="s">
        <v>19</v>
      </c>
      <c r="G58" s="9">
        <v>0</v>
      </c>
      <c r="H58" s="7" t="s">
        <v>112</v>
      </c>
      <c r="I58" s="7" t="s">
        <v>13</v>
      </c>
      <c r="J58" s="7" t="s">
        <v>43</v>
      </c>
      <c r="K58" s="7" t="s">
        <v>51</v>
      </c>
      <c r="L58" s="7" t="s">
        <v>46</v>
      </c>
      <c r="M58" s="7" t="s">
        <v>43</v>
      </c>
      <c r="N58" s="14"/>
      <c r="O58" s="18">
        <f t="shared" si="0"/>
        <v>0</v>
      </c>
      <c r="P58" s="18">
        <f t="shared" si="1"/>
        <v>0</v>
      </c>
      <c r="Q58" s="18">
        <f t="shared" si="2"/>
        <v>1</v>
      </c>
    </row>
    <row r="59" spans="1:29" ht="15.6" x14ac:dyDescent="0.3">
      <c r="A59">
        <v>1</v>
      </c>
      <c r="B59" s="7" t="s">
        <v>33</v>
      </c>
      <c r="C59" s="9" t="s">
        <v>21</v>
      </c>
      <c r="D59" s="9">
        <v>2</v>
      </c>
      <c r="E59" s="7" t="s">
        <v>37</v>
      </c>
      <c r="F59" s="9" t="s">
        <v>38</v>
      </c>
      <c r="G59" s="9">
        <v>1</v>
      </c>
      <c r="H59" s="7" t="s">
        <v>99</v>
      </c>
      <c r="I59" s="7" t="s">
        <v>19</v>
      </c>
      <c r="J59" s="7" t="s">
        <v>47</v>
      </c>
      <c r="K59" s="7" t="s">
        <v>97</v>
      </c>
      <c r="L59" s="7" t="s">
        <v>19</v>
      </c>
      <c r="M59" s="7" t="s">
        <v>47</v>
      </c>
      <c r="N59" s="14"/>
      <c r="O59" s="18">
        <f t="shared" si="0"/>
        <v>1</v>
      </c>
      <c r="P59" s="18">
        <f t="shared" si="1"/>
        <v>0</v>
      </c>
      <c r="Q59" s="18">
        <f t="shared" si="2"/>
        <v>0</v>
      </c>
    </row>
    <row r="60" spans="1:29" ht="15.6" x14ac:dyDescent="0.3">
      <c r="A60">
        <v>1</v>
      </c>
      <c r="B60" s="7" t="s">
        <v>22</v>
      </c>
      <c r="C60" s="9" t="s">
        <v>19</v>
      </c>
      <c r="D60" s="9">
        <v>2</v>
      </c>
      <c r="E60" s="7" t="s">
        <v>20</v>
      </c>
      <c r="F60" s="9" t="s">
        <v>21</v>
      </c>
      <c r="G60" s="9">
        <v>1</v>
      </c>
      <c r="H60" s="7" t="s">
        <v>107</v>
      </c>
      <c r="I60" s="7" t="s">
        <v>15</v>
      </c>
      <c r="J60" s="7" t="s">
        <v>47</v>
      </c>
      <c r="K60" s="7" t="s">
        <v>53</v>
      </c>
      <c r="L60" s="7" t="s">
        <v>54</v>
      </c>
      <c r="M60" s="7" t="s">
        <v>47</v>
      </c>
      <c r="N60" s="14"/>
      <c r="O60" s="18">
        <f t="shared" si="0"/>
        <v>1</v>
      </c>
      <c r="P60" s="18">
        <f t="shared" si="1"/>
        <v>0</v>
      </c>
      <c r="Q60" s="18">
        <f t="shared" si="2"/>
        <v>0</v>
      </c>
    </row>
    <row r="61" spans="1:29" ht="15.6" x14ac:dyDescent="0.3">
      <c r="A61">
        <v>1</v>
      </c>
      <c r="B61" s="7" t="s">
        <v>12</v>
      </c>
      <c r="C61" s="9" t="s">
        <v>13</v>
      </c>
      <c r="D61" s="9">
        <v>2</v>
      </c>
      <c r="E61" s="7" t="s">
        <v>30</v>
      </c>
      <c r="F61" s="9" t="s">
        <v>41</v>
      </c>
      <c r="G61" s="9">
        <v>5</v>
      </c>
      <c r="H61" s="7" t="s">
        <v>74</v>
      </c>
      <c r="I61" s="7" t="s">
        <v>21</v>
      </c>
      <c r="J61" s="7" t="s">
        <v>47</v>
      </c>
      <c r="K61" s="7" t="s">
        <v>75</v>
      </c>
      <c r="L61" s="7" t="s">
        <v>21</v>
      </c>
      <c r="M61" s="7" t="s">
        <v>43</v>
      </c>
      <c r="N61" s="14"/>
      <c r="O61" s="18">
        <f t="shared" si="0"/>
        <v>0</v>
      </c>
      <c r="P61" s="18">
        <f t="shared" si="1"/>
        <v>1</v>
      </c>
      <c r="Q61" s="18">
        <f t="shared" si="2"/>
        <v>0</v>
      </c>
    </row>
    <row r="62" spans="1:29" ht="15.6" x14ac:dyDescent="0.3">
      <c r="A62">
        <v>1</v>
      </c>
      <c r="B62" s="7" t="s">
        <v>34</v>
      </c>
      <c r="C62" s="9" t="s">
        <v>15</v>
      </c>
      <c r="D62" s="9">
        <v>0</v>
      </c>
      <c r="E62" s="7" t="s">
        <v>18</v>
      </c>
      <c r="F62" s="9" t="s">
        <v>19</v>
      </c>
      <c r="G62" s="9">
        <v>2</v>
      </c>
      <c r="H62" s="7" t="s">
        <v>88</v>
      </c>
      <c r="I62" s="7" t="s">
        <v>13</v>
      </c>
      <c r="J62" s="7" t="s">
        <v>47</v>
      </c>
      <c r="K62" s="7" t="s">
        <v>75</v>
      </c>
      <c r="L62" s="7" t="s">
        <v>21</v>
      </c>
      <c r="M62" s="7" t="s">
        <v>43</v>
      </c>
      <c r="N62" s="14"/>
      <c r="O62" s="18">
        <f t="shared" si="0"/>
        <v>0</v>
      </c>
      <c r="P62" s="18">
        <f t="shared" si="1"/>
        <v>1</v>
      </c>
      <c r="Q62" s="18">
        <f t="shared" si="2"/>
        <v>0</v>
      </c>
    </row>
    <row r="63" spans="1:29" ht="15.6" x14ac:dyDescent="0.3">
      <c r="A63">
        <v>1</v>
      </c>
      <c r="B63" s="7" t="s">
        <v>37</v>
      </c>
      <c r="C63" s="9" t="s">
        <v>38</v>
      </c>
      <c r="D63" s="9">
        <v>0</v>
      </c>
      <c r="E63" s="7" t="s">
        <v>25</v>
      </c>
      <c r="F63" s="9" t="s">
        <v>26</v>
      </c>
      <c r="G63" s="9">
        <v>2</v>
      </c>
      <c r="H63" s="7" t="s">
        <v>115</v>
      </c>
      <c r="I63" s="7" t="s">
        <v>29</v>
      </c>
      <c r="J63" s="7" t="s">
        <v>43</v>
      </c>
      <c r="K63" s="7" t="s">
        <v>63</v>
      </c>
      <c r="L63" s="7" t="s">
        <v>19</v>
      </c>
      <c r="M63" s="7" t="s">
        <v>47</v>
      </c>
      <c r="N63" s="14"/>
      <c r="O63" s="18">
        <f t="shared" si="0"/>
        <v>0</v>
      </c>
      <c r="P63" s="18">
        <f t="shared" si="1"/>
        <v>1</v>
      </c>
      <c r="Q63" s="18">
        <f t="shared" si="2"/>
        <v>0</v>
      </c>
    </row>
    <row r="64" spans="1:29" ht="15.6" x14ac:dyDescent="0.3">
      <c r="A64">
        <v>1</v>
      </c>
      <c r="B64" s="7" t="s">
        <v>20</v>
      </c>
      <c r="C64" s="9" t="s">
        <v>21</v>
      </c>
      <c r="D64" s="9">
        <v>1</v>
      </c>
      <c r="E64" s="7" t="s">
        <v>14</v>
      </c>
      <c r="F64" s="9" t="s">
        <v>15</v>
      </c>
      <c r="G64" s="9">
        <v>1</v>
      </c>
      <c r="H64" s="7" t="s">
        <v>64</v>
      </c>
      <c r="I64" s="7" t="s">
        <v>19</v>
      </c>
      <c r="J64" s="7" t="s">
        <v>43</v>
      </c>
      <c r="K64" s="7" t="s">
        <v>56</v>
      </c>
      <c r="L64" s="7" t="s">
        <v>57</v>
      </c>
      <c r="M64" s="7" t="s">
        <v>47</v>
      </c>
      <c r="N64" s="14"/>
      <c r="O64" s="18">
        <f t="shared" si="0"/>
        <v>0</v>
      </c>
      <c r="P64" s="18">
        <f t="shared" si="1"/>
        <v>1</v>
      </c>
      <c r="Q64" s="18">
        <f t="shared" si="2"/>
        <v>0</v>
      </c>
    </row>
    <row r="65" spans="1:17" ht="15.6" x14ac:dyDescent="0.3">
      <c r="A65">
        <v>1</v>
      </c>
      <c r="B65" s="7" t="s">
        <v>30</v>
      </c>
      <c r="C65" s="9" t="s">
        <v>41</v>
      </c>
      <c r="D65" s="9">
        <v>0</v>
      </c>
      <c r="E65" s="7" t="s">
        <v>16</v>
      </c>
      <c r="F65" s="9" t="s">
        <v>15</v>
      </c>
      <c r="G65" s="9">
        <v>1</v>
      </c>
      <c r="H65" s="7" t="s">
        <v>131</v>
      </c>
      <c r="I65" s="7" t="s">
        <v>26</v>
      </c>
      <c r="J65" s="7" t="s">
        <v>43</v>
      </c>
      <c r="K65" s="7" t="s">
        <v>117</v>
      </c>
      <c r="L65" s="7" t="s">
        <v>21</v>
      </c>
      <c r="M65" s="7" t="s">
        <v>47</v>
      </c>
      <c r="N65" s="14"/>
      <c r="O65" s="18">
        <f t="shared" si="0"/>
        <v>0</v>
      </c>
      <c r="P65" s="18">
        <f t="shared" si="1"/>
        <v>1</v>
      </c>
      <c r="Q65" s="18">
        <f t="shared" si="2"/>
        <v>0</v>
      </c>
    </row>
    <row r="66" spans="1:17" ht="15.6" x14ac:dyDescent="0.3">
      <c r="A66">
        <v>1</v>
      </c>
      <c r="B66" s="7" t="s">
        <v>31</v>
      </c>
      <c r="C66" s="9" t="s">
        <v>19</v>
      </c>
      <c r="D66" s="9">
        <v>0</v>
      </c>
      <c r="E66" s="7" t="s">
        <v>36</v>
      </c>
      <c r="F66" s="9" t="s">
        <v>21</v>
      </c>
      <c r="G66" s="9">
        <v>1</v>
      </c>
      <c r="H66" s="7" t="s">
        <v>107</v>
      </c>
      <c r="I66" s="7" t="s">
        <v>15</v>
      </c>
      <c r="J66" s="7" t="s">
        <v>47</v>
      </c>
      <c r="K66" s="7" t="s">
        <v>53</v>
      </c>
      <c r="L66" s="7" t="s">
        <v>54</v>
      </c>
      <c r="M66" s="7" t="s">
        <v>47</v>
      </c>
      <c r="N66" s="14"/>
      <c r="O66" s="18">
        <f t="shared" si="0"/>
        <v>1</v>
      </c>
      <c r="P66" s="18">
        <f t="shared" si="1"/>
        <v>0</v>
      </c>
      <c r="Q66" s="18">
        <f t="shared" si="2"/>
        <v>0</v>
      </c>
    </row>
    <row r="67" spans="1:17" ht="15.6" x14ac:dyDescent="0.3">
      <c r="A67">
        <v>1</v>
      </c>
      <c r="B67" s="7" t="s">
        <v>33</v>
      </c>
      <c r="C67" s="9" t="s">
        <v>21</v>
      </c>
      <c r="D67" s="9">
        <v>1</v>
      </c>
      <c r="E67" s="7" t="s">
        <v>27</v>
      </c>
      <c r="F67" s="9" t="s">
        <v>21</v>
      </c>
      <c r="G67" s="9">
        <v>6</v>
      </c>
      <c r="H67" s="7" t="s">
        <v>67</v>
      </c>
      <c r="I67" s="7" t="s">
        <v>13</v>
      </c>
      <c r="J67" s="7" t="s">
        <v>47</v>
      </c>
      <c r="K67" s="7" t="s">
        <v>111</v>
      </c>
      <c r="L67" s="7" t="s">
        <v>13</v>
      </c>
      <c r="M67" s="7" t="s">
        <v>43</v>
      </c>
      <c r="N67" s="14"/>
      <c r="O67" s="18">
        <f t="shared" ref="O67:O121" si="8">IF(AND(J67="FIFA",M67="FIFA"),1,0)</f>
        <v>0</v>
      </c>
      <c r="P67" s="18">
        <f t="shared" ref="P67:P121" si="9">IF(OR(J67="FIFA",M67="FIFA"),1,0)-O67</f>
        <v>1</v>
      </c>
      <c r="Q67" s="18">
        <f t="shared" ref="Q67:Q121" si="10">IF(AND(J67&lt;&gt;"FIFA",M67&lt;&gt;"FIFA"),1,0)</f>
        <v>0</v>
      </c>
    </row>
    <row r="68" spans="1:17" ht="15.6" x14ac:dyDescent="0.3">
      <c r="A68">
        <v>1</v>
      </c>
      <c r="B68" s="7" t="s">
        <v>12</v>
      </c>
      <c r="C68" s="9" t="s">
        <v>13</v>
      </c>
      <c r="D68" s="9">
        <v>1</v>
      </c>
      <c r="E68" s="7" t="s">
        <v>39</v>
      </c>
      <c r="F68" s="9" t="s">
        <v>19</v>
      </c>
      <c r="G68" s="9">
        <v>2</v>
      </c>
      <c r="H68" s="7" t="s">
        <v>86</v>
      </c>
      <c r="I68" s="7" t="s">
        <v>15</v>
      </c>
      <c r="J68" s="7" t="s">
        <v>47</v>
      </c>
      <c r="K68" s="7" t="s">
        <v>124</v>
      </c>
      <c r="L68" s="7" t="s">
        <v>32</v>
      </c>
      <c r="M68" s="7" t="s">
        <v>47</v>
      </c>
      <c r="N68" s="14"/>
      <c r="O68" s="18">
        <f t="shared" si="8"/>
        <v>1</v>
      </c>
      <c r="P68" s="18">
        <f t="shared" si="9"/>
        <v>0</v>
      </c>
      <c r="Q68" s="18">
        <f t="shared" si="10"/>
        <v>0</v>
      </c>
    </row>
    <row r="69" spans="1:17" ht="15.6" x14ac:dyDescent="0.3">
      <c r="A69">
        <v>1</v>
      </c>
      <c r="B69" s="7" t="s">
        <v>40</v>
      </c>
      <c r="C69" s="9" t="s">
        <v>32</v>
      </c>
      <c r="D69" s="9">
        <v>1</v>
      </c>
      <c r="E69" s="7" t="s">
        <v>17</v>
      </c>
      <c r="F69" s="9" t="s">
        <v>38</v>
      </c>
      <c r="G69" s="9">
        <v>1</v>
      </c>
      <c r="H69" s="7" t="s">
        <v>74</v>
      </c>
      <c r="I69" s="7" t="s">
        <v>21</v>
      </c>
      <c r="J69" s="7" t="s">
        <v>47</v>
      </c>
      <c r="K69" s="7" t="s">
        <v>87</v>
      </c>
      <c r="L69" s="7" t="s">
        <v>13</v>
      </c>
      <c r="M69" s="7" t="s">
        <v>47</v>
      </c>
      <c r="N69" s="14"/>
      <c r="O69" s="18">
        <f t="shared" si="8"/>
        <v>1</v>
      </c>
      <c r="P69" s="18">
        <f t="shared" si="9"/>
        <v>0</v>
      </c>
      <c r="Q69" s="18">
        <f t="shared" si="10"/>
        <v>0</v>
      </c>
    </row>
    <row r="70" spans="1:17" ht="15.6" x14ac:dyDescent="0.3">
      <c r="A70">
        <v>1</v>
      </c>
      <c r="B70" s="7" t="s">
        <v>22</v>
      </c>
      <c r="C70" s="9" t="s">
        <v>19</v>
      </c>
      <c r="D70" s="9">
        <v>2</v>
      </c>
      <c r="E70" s="7" t="s">
        <v>35</v>
      </c>
      <c r="F70" s="9" t="s">
        <v>32</v>
      </c>
      <c r="G70" s="9">
        <v>0</v>
      </c>
      <c r="H70" s="7" t="s">
        <v>118</v>
      </c>
      <c r="I70" s="7" t="s">
        <v>29</v>
      </c>
      <c r="J70" s="7" t="s">
        <v>43</v>
      </c>
      <c r="K70" s="7" t="s">
        <v>56</v>
      </c>
      <c r="L70" s="7" t="s">
        <v>57</v>
      </c>
      <c r="M70" s="7" t="s">
        <v>47</v>
      </c>
      <c r="N70" s="14"/>
      <c r="O70" s="18">
        <f t="shared" si="8"/>
        <v>0</v>
      </c>
      <c r="P70" s="18">
        <f t="shared" si="9"/>
        <v>1</v>
      </c>
      <c r="Q70" s="18">
        <f t="shared" si="10"/>
        <v>0</v>
      </c>
    </row>
    <row r="71" spans="1:17" ht="15.6" x14ac:dyDescent="0.3">
      <c r="A71">
        <v>1</v>
      </c>
      <c r="B71" s="7" t="s">
        <v>23</v>
      </c>
      <c r="C71" s="9" t="s">
        <v>24</v>
      </c>
      <c r="D71" s="9">
        <v>1</v>
      </c>
      <c r="E71" s="7" t="s">
        <v>28</v>
      </c>
      <c r="F71" s="9" t="s">
        <v>29</v>
      </c>
      <c r="G71" s="9">
        <v>0</v>
      </c>
      <c r="H71" s="7" t="s">
        <v>119</v>
      </c>
      <c r="I71" s="7" t="s">
        <v>19</v>
      </c>
      <c r="J71" s="7" t="s">
        <v>43</v>
      </c>
      <c r="K71" s="7" t="s">
        <v>120</v>
      </c>
      <c r="L71" s="7" t="s">
        <v>32</v>
      </c>
      <c r="M71" s="7" t="s">
        <v>43</v>
      </c>
      <c r="N71" s="14"/>
      <c r="O71" s="18">
        <f t="shared" si="8"/>
        <v>0</v>
      </c>
      <c r="P71" s="18">
        <f t="shared" si="9"/>
        <v>0</v>
      </c>
      <c r="Q71" s="18">
        <f t="shared" si="10"/>
        <v>1</v>
      </c>
    </row>
    <row r="72" spans="1:17" ht="15.6" x14ac:dyDescent="0.3">
      <c r="A72">
        <v>1</v>
      </c>
      <c r="B72" s="7" t="s">
        <v>14</v>
      </c>
      <c r="C72" s="9" t="s">
        <v>15</v>
      </c>
      <c r="D72" s="9">
        <v>1</v>
      </c>
      <c r="E72" s="7" t="s">
        <v>37</v>
      </c>
      <c r="F72" s="9" t="s">
        <v>38</v>
      </c>
      <c r="G72" s="9">
        <v>1</v>
      </c>
      <c r="H72" s="7" t="s">
        <v>138</v>
      </c>
      <c r="I72" s="7" t="s">
        <v>21</v>
      </c>
      <c r="J72" s="7" t="s">
        <v>43</v>
      </c>
      <c r="K72" s="7" t="s">
        <v>111</v>
      </c>
      <c r="L72" s="7" t="s">
        <v>13</v>
      </c>
      <c r="M72" s="7" t="s">
        <v>43</v>
      </c>
      <c r="N72" s="14"/>
      <c r="O72" s="18">
        <f t="shared" si="8"/>
        <v>0</v>
      </c>
      <c r="P72" s="18">
        <f t="shared" si="9"/>
        <v>0</v>
      </c>
      <c r="Q72" s="18">
        <f t="shared" si="10"/>
        <v>1</v>
      </c>
    </row>
    <row r="73" spans="1:17" ht="15.6" x14ac:dyDescent="0.3">
      <c r="A73">
        <v>1</v>
      </c>
      <c r="B73" s="7" t="s">
        <v>25</v>
      </c>
      <c r="C73" s="9" t="s">
        <v>26</v>
      </c>
      <c r="D73" s="9">
        <v>2</v>
      </c>
      <c r="E73" s="7" t="s">
        <v>31</v>
      </c>
      <c r="F73" s="9" t="s">
        <v>19</v>
      </c>
      <c r="G73" s="9">
        <v>2</v>
      </c>
      <c r="H73" s="7" t="s">
        <v>72</v>
      </c>
      <c r="I73" s="7" t="s">
        <v>32</v>
      </c>
      <c r="J73" s="7" t="s">
        <v>47</v>
      </c>
      <c r="K73" s="7" t="s">
        <v>122</v>
      </c>
      <c r="L73" s="7" t="s">
        <v>21</v>
      </c>
      <c r="M73" s="7" t="s">
        <v>43</v>
      </c>
      <c r="N73" s="14"/>
      <c r="O73" s="18">
        <f t="shared" si="8"/>
        <v>0</v>
      </c>
      <c r="P73" s="18">
        <f t="shared" si="9"/>
        <v>1</v>
      </c>
      <c r="Q73" s="18">
        <f t="shared" si="10"/>
        <v>0</v>
      </c>
    </row>
    <row r="74" spans="1:17" ht="15.6" x14ac:dyDescent="0.3">
      <c r="A74">
        <v>1</v>
      </c>
      <c r="B74" s="7" t="s">
        <v>36</v>
      </c>
      <c r="C74" s="9" t="s">
        <v>21</v>
      </c>
      <c r="D74" s="9">
        <v>1</v>
      </c>
      <c r="E74" s="7" t="s">
        <v>20</v>
      </c>
      <c r="F74" s="9" t="s">
        <v>21</v>
      </c>
      <c r="G74" s="9">
        <v>0</v>
      </c>
      <c r="H74" s="7" t="s">
        <v>62</v>
      </c>
      <c r="I74" s="7" t="s">
        <v>19</v>
      </c>
      <c r="J74" s="7" t="s">
        <v>47</v>
      </c>
      <c r="K74" s="7" t="s">
        <v>87</v>
      </c>
      <c r="L74" s="7" t="s">
        <v>13</v>
      </c>
      <c r="M74" s="7" t="s">
        <v>43</v>
      </c>
      <c r="N74" s="14"/>
      <c r="O74" s="18">
        <f t="shared" si="8"/>
        <v>0</v>
      </c>
      <c r="P74" s="18">
        <f t="shared" si="9"/>
        <v>1</v>
      </c>
      <c r="Q74" s="18">
        <f t="shared" si="10"/>
        <v>0</v>
      </c>
    </row>
    <row r="75" spans="1:17" ht="15.6" x14ac:dyDescent="0.3">
      <c r="A75">
        <v>1</v>
      </c>
      <c r="B75" s="7" t="s">
        <v>18</v>
      </c>
      <c r="C75" s="9" t="s">
        <v>19</v>
      </c>
      <c r="D75" s="9">
        <v>1</v>
      </c>
      <c r="E75" s="7" t="s">
        <v>40</v>
      </c>
      <c r="F75" s="9" t="s">
        <v>32</v>
      </c>
      <c r="G75" s="9">
        <v>2</v>
      </c>
      <c r="H75" s="7" t="s">
        <v>86</v>
      </c>
      <c r="I75" s="7" t="s">
        <v>15</v>
      </c>
      <c r="J75" s="7" t="s">
        <v>47</v>
      </c>
      <c r="K75" s="7" t="s">
        <v>117</v>
      </c>
      <c r="L75" s="7" t="s">
        <v>21</v>
      </c>
      <c r="M75" s="7" t="s">
        <v>47</v>
      </c>
      <c r="N75" s="14"/>
      <c r="O75" s="18">
        <f t="shared" si="8"/>
        <v>1</v>
      </c>
      <c r="P75" s="18">
        <f t="shared" si="9"/>
        <v>0</v>
      </c>
      <c r="Q75" s="18">
        <f t="shared" si="10"/>
        <v>0</v>
      </c>
    </row>
    <row r="76" spans="1:17" ht="15.6" x14ac:dyDescent="0.3">
      <c r="A76">
        <v>1</v>
      </c>
      <c r="B76" s="7" t="s">
        <v>35</v>
      </c>
      <c r="C76" s="9" t="s">
        <v>32</v>
      </c>
      <c r="D76" s="9">
        <v>2</v>
      </c>
      <c r="E76" s="7" t="s">
        <v>30</v>
      </c>
      <c r="F76" s="9" t="s">
        <v>41</v>
      </c>
      <c r="G76" s="9">
        <v>1</v>
      </c>
      <c r="H76" s="7" t="s">
        <v>70</v>
      </c>
      <c r="I76" s="7" t="s">
        <v>24</v>
      </c>
      <c r="J76" s="7" t="s">
        <v>43</v>
      </c>
      <c r="K76" s="7" t="s">
        <v>109</v>
      </c>
      <c r="L76" s="7" t="s">
        <v>13</v>
      </c>
      <c r="M76" s="7" t="s">
        <v>47</v>
      </c>
      <c r="N76" s="14"/>
      <c r="O76" s="18">
        <f t="shared" si="8"/>
        <v>0</v>
      </c>
      <c r="P76" s="18">
        <f t="shared" si="9"/>
        <v>1</v>
      </c>
      <c r="Q76" s="18">
        <f t="shared" si="10"/>
        <v>0</v>
      </c>
    </row>
    <row r="77" spans="1:17" ht="15.6" x14ac:dyDescent="0.3">
      <c r="A77">
        <v>1</v>
      </c>
      <c r="B77" s="7" t="s">
        <v>27</v>
      </c>
      <c r="C77" s="9" t="s">
        <v>21</v>
      </c>
      <c r="D77" s="9">
        <v>2</v>
      </c>
      <c r="E77" s="7" t="s">
        <v>34</v>
      </c>
      <c r="F77" s="9" t="s">
        <v>15</v>
      </c>
      <c r="G77" s="9">
        <v>1</v>
      </c>
      <c r="H77" s="7" t="s">
        <v>123</v>
      </c>
      <c r="I77" s="7" t="s">
        <v>19</v>
      </c>
      <c r="J77" s="7" t="s">
        <v>43</v>
      </c>
      <c r="K77" s="7" t="s">
        <v>124</v>
      </c>
      <c r="L77" s="7" t="s">
        <v>32</v>
      </c>
      <c r="M77" s="7" t="s">
        <v>47</v>
      </c>
      <c r="N77" s="14"/>
      <c r="O77" s="18">
        <f t="shared" si="8"/>
        <v>0</v>
      </c>
      <c r="P77" s="18">
        <f t="shared" si="9"/>
        <v>1</v>
      </c>
      <c r="Q77" s="18">
        <f t="shared" si="10"/>
        <v>0</v>
      </c>
    </row>
    <row r="78" spans="1:17" ht="15.6" x14ac:dyDescent="0.3">
      <c r="A78">
        <v>1</v>
      </c>
      <c r="B78" s="7" t="s">
        <v>16</v>
      </c>
      <c r="C78" s="9" t="s">
        <v>15</v>
      </c>
      <c r="D78" s="9">
        <v>0</v>
      </c>
      <c r="E78" s="7" t="s">
        <v>22</v>
      </c>
      <c r="F78" s="9" t="s">
        <v>19</v>
      </c>
      <c r="G78" s="9">
        <v>0</v>
      </c>
      <c r="H78" s="7" t="s">
        <v>67</v>
      </c>
      <c r="I78" s="7" t="s">
        <v>13</v>
      </c>
      <c r="J78" s="7" t="s">
        <v>47</v>
      </c>
      <c r="K78" s="7" t="s">
        <v>51</v>
      </c>
      <c r="L78" s="7" t="s">
        <v>46</v>
      </c>
      <c r="M78" s="7" t="s">
        <v>43</v>
      </c>
      <c r="N78" s="14"/>
      <c r="O78" s="18">
        <f t="shared" si="8"/>
        <v>0</v>
      </c>
      <c r="P78" s="18">
        <f t="shared" si="9"/>
        <v>1</v>
      </c>
      <c r="Q78" s="18">
        <f t="shared" si="10"/>
        <v>0</v>
      </c>
    </row>
    <row r="79" spans="1:17" ht="15.6" x14ac:dyDescent="0.3">
      <c r="A79">
        <v>1</v>
      </c>
      <c r="B79" s="7" t="s">
        <v>28</v>
      </c>
      <c r="C79" s="9" t="s">
        <v>29</v>
      </c>
      <c r="D79" s="9">
        <v>3</v>
      </c>
      <c r="E79" s="7" t="s">
        <v>12</v>
      </c>
      <c r="F79" s="9" t="s">
        <v>13</v>
      </c>
      <c r="G79" s="9">
        <v>1</v>
      </c>
      <c r="H79" s="7" t="s">
        <v>58</v>
      </c>
      <c r="I79" s="7" t="s">
        <v>15</v>
      </c>
      <c r="J79" s="7" t="s">
        <v>43</v>
      </c>
      <c r="K79" s="7" t="s">
        <v>97</v>
      </c>
      <c r="L79" s="7" t="s">
        <v>19</v>
      </c>
      <c r="M79" s="7" t="s">
        <v>47</v>
      </c>
      <c r="N79" s="14"/>
      <c r="O79" s="18">
        <f t="shared" si="8"/>
        <v>0</v>
      </c>
      <c r="P79" s="18">
        <f t="shared" si="9"/>
        <v>1</v>
      </c>
      <c r="Q79" s="18">
        <f t="shared" si="10"/>
        <v>0</v>
      </c>
    </row>
    <row r="80" spans="1:17" ht="15.6" x14ac:dyDescent="0.3">
      <c r="A80">
        <v>1</v>
      </c>
      <c r="B80" s="7" t="s">
        <v>39</v>
      </c>
      <c r="C80" s="9" t="s">
        <v>19</v>
      </c>
      <c r="D80" s="9">
        <v>2</v>
      </c>
      <c r="E80" s="7" t="s">
        <v>33</v>
      </c>
      <c r="F80" s="9" t="s">
        <v>21</v>
      </c>
      <c r="G80" s="9">
        <v>0</v>
      </c>
      <c r="H80" s="7" t="s">
        <v>88</v>
      </c>
      <c r="I80" s="7" t="s">
        <v>13</v>
      </c>
      <c r="J80" s="7" t="s">
        <v>47</v>
      </c>
      <c r="K80" s="7" t="s">
        <v>56</v>
      </c>
      <c r="L80" s="7" t="s">
        <v>57</v>
      </c>
      <c r="M80" s="7" t="s">
        <v>47</v>
      </c>
      <c r="N80" s="14"/>
      <c r="O80" s="18">
        <f t="shared" si="8"/>
        <v>1</v>
      </c>
      <c r="P80" s="18">
        <f t="shared" si="9"/>
        <v>0</v>
      </c>
      <c r="Q80" s="18">
        <f t="shared" si="10"/>
        <v>0</v>
      </c>
    </row>
    <row r="81" spans="1:17" ht="15.6" x14ac:dyDescent="0.3">
      <c r="A81">
        <v>1</v>
      </c>
      <c r="B81" s="7" t="s">
        <v>17</v>
      </c>
      <c r="C81" s="9" t="s">
        <v>38</v>
      </c>
      <c r="D81" s="9">
        <v>1</v>
      </c>
      <c r="E81" s="7" t="s">
        <v>23</v>
      </c>
      <c r="F81" s="9" t="s">
        <v>24</v>
      </c>
      <c r="G81" s="9">
        <v>0</v>
      </c>
      <c r="H81" s="7" t="s">
        <v>130</v>
      </c>
      <c r="I81" s="7" t="s">
        <v>32</v>
      </c>
      <c r="J81" s="7" t="s">
        <v>43</v>
      </c>
      <c r="K81" s="7" t="s">
        <v>63</v>
      </c>
      <c r="L81" s="7" t="s">
        <v>19</v>
      </c>
      <c r="M81" s="7" t="s">
        <v>47</v>
      </c>
      <c r="N81" s="14"/>
      <c r="O81" s="18">
        <f t="shared" si="8"/>
        <v>0</v>
      </c>
      <c r="P81" s="18">
        <f t="shared" si="9"/>
        <v>1</v>
      </c>
      <c r="Q81" s="18">
        <f t="shared" si="10"/>
        <v>0</v>
      </c>
    </row>
    <row r="82" spans="1:17" ht="15.6" x14ac:dyDescent="0.3">
      <c r="A82">
        <v>1</v>
      </c>
      <c r="B82" s="7" t="s">
        <v>18</v>
      </c>
      <c r="C82" s="9" t="s">
        <v>19</v>
      </c>
      <c r="D82" s="9">
        <v>2</v>
      </c>
      <c r="E82" s="7" t="s">
        <v>14</v>
      </c>
      <c r="F82" s="9" t="s">
        <v>15</v>
      </c>
      <c r="G82" s="9">
        <v>1</v>
      </c>
      <c r="H82" s="7" t="s">
        <v>125</v>
      </c>
      <c r="I82" s="7" t="s">
        <v>38</v>
      </c>
      <c r="J82" s="7" t="s">
        <v>43</v>
      </c>
      <c r="K82" s="7" t="s">
        <v>59</v>
      </c>
      <c r="L82" s="7" t="s">
        <v>38</v>
      </c>
      <c r="M82" s="7" t="s">
        <v>47</v>
      </c>
      <c r="N82" s="14"/>
      <c r="O82" s="18">
        <f t="shared" si="8"/>
        <v>0</v>
      </c>
      <c r="P82" s="18">
        <f t="shared" si="9"/>
        <v>1</v>
      </c>
      <c r="Q82" s="18">
        <f t="shared" si="10"/>
        <v>0</v>
      </c>
    </row>
    <row r="83" spans="1:17" ht="15.6" x14ac:dyDescent="0.3">
      <c r="A83">
        <v>1</v>
      </c>
      <c r="B83" s="7" t="s">
        <v>20</v>
      </c>
      <c r="C83" s="9" t="s">
        <v>21</v>
      </c>
      <c r="D83" s="9">
        <v>1</v>
      </c>
      <c r="E83" s="7" t="s">
        <v>25</v>
      </c>
      <c r="F83" s="9" t="s">
        <v>26</v>
      </c>
      <c r="G83" s="9">
        <v>2</v>
      </c>
      <c r="H83" s="7" t="s">
        <v>112</v>
      </c>
      <c r="I83" s="7" t="s">
        <v>13</v>
      </c>
      <c r="J83" s="7" t="s">
        <v>43</v>
      </c>
      <c r="K83" s="7" t="s">
        <v>120</v>
      </c>
      <c r="L83" s="7" t="s">
        <v>32</v>
      </c>
      <c r="M83" s="7" t="s">
        <v>43</v>
      </c>
      <c r="N83" s="14"/>
      <c r="O83" s="18">
        <f t="shared" si="8"/>
        <v>0</v>
      </c>
      <c r="P83" s="18">
        <f t="shared" si="9"/>
        <v>0</v>
      </c>
      <c r="Q83" s="18">
        <f t="shared" si="10"/>
        <v>1</v>
      </c>
    </row>
    <row r="84" spans="1:17" ht="15.6" x14ac:dyDescent="0.3">
      <c r="A84">
        <v>1</v>
      </c>
      <c r="B84" s="7" t="s">
        <v>37</v>
      </c>
      <c r="C84" s="9" t="s">
        <v>38</v>
      </c>
      <c r="D84" s="9">
        <v>2</v>
      </c>
      <c r="E84" s="7" t="s">
        <v>16</v>
      </c>
      <c r="F84" s="9" t="s">
        <v>15</v>
      </c>
      <c r="G84" s="9">
        <v>1</v>
      </c>
      <c r="H84" s="7" t="s">
        <v>74</v>
      </c>
      <c r="I84" s="7" t="s">
        <v>21</v>
      </c>
      <c r="J84" s="7" t="s">
        <v>47</v>
      </c>
      <c r="K84" s="7" t="s">
        <v>122</v>
      </c>
      <c r="L84" s="7" t="s">
        <v>21</v>
      </c>
      <c r="M84" s="7" t="s">
        <v>43</v>
      </c>
      <c r="N84" s="14"/>
      <c r="O84" s="18">
        <f t="shared" si="8"/>
        <v>0</v>
      </c>
      <c r="P84" s="18">
        <f t="shared" si="9"/>
        <v>1</v>
      </c>
      <c r="Q84" s="18">
        <f t="shared" si="10"/>
        <v>0</v>
      </c>
    </row>
    <row r="85" spans="1:17" ht="15.6" x14ac:dyDescent="0.3">
      <c r="A85">
        <v>1</v>
      </c>
      <c r="B85" s="7" t="s">
        <v>31</v>
      </c>
      <c r="C85" s="9" t="s">
        <v>19</v>
      </c>
      <c r="D85" s="9">
        <v>2</v>
      </c>
      <c r="E85" s="7" t="s">
        <v>22</v>
      </c>
      <c r="F85" s="9" t="s">
        <v>19</v>
      </c>
      <c r="G85" s="9">
        <v>2</v>
      </c>
      <c r="H85" s="7" t="s">
        <v>88</v>
      </c>
      <c r="I85" s="7" t="s">
        <v>13</v>
      </c>
      <c r="J85" s="7" t="s">
        <v>47</v>
      </c>
      <c r="K85" s="7" t="s">
        <v>124</v>
      </c>
      <c r="L85" s="7" t="s">
        <v>32</v>
      </c>
      <c r="M85" s="7" t="s">
        <v>47</v>
      </c>
      <c r="N85" s="14"/>
      <c r="O85" s="18">
        <f t="shared" si="8"/>
        <v>1</v>
      </c>
      <c r="P85" s="18">
        <f t="shared" si="9"/>
        <v>0</v>
      </c>
      <c r="Q85" s="18">
        <f t="shared" si="10"/>
        <v>0</v>
      </c>
    </row>
    <row r="86" spans="1:17" ht="15.6" x14ac:dyDescent="0.3">
      <c r="A86">
        <v>1</v>
      </c>
      <c r="B86" s="7" t="s">
        <v>28</v>
      </c>
      <c r="C86" s="9" t="s">
        <v>29</v>
      </c>
      <c r="D86" s="9">
        <v>1</v>
      </c>
      <c r="E86" s="7" t="s">
        <v>27</v>
      </c>
      <c r="F86" s="9" t="s">
        <v>21</v>
      </c>
      <c r="G86" s="9">
        <v>1</v>
      </c>
      <c r="H86" s="7" t="s">
        <v>107</v>
      </c>
      <c r="I86" s="7" t="s">
        <v>15</v>
      </c>
      <c r="J86" s="7" t="s">
        <v>47</v>
      </c>
      <c r="K86" s="7" t="s">
        <v>63</v>
      </c>
      <c r="L86" s="7" t="s">
        <v>19</v>
      </c>
      <c r="M86" s="7" t="s">
        <v>47</v>
      </c>
      <c r="N86" s="14"/>
      <c r="O86" s="18">
        <f t="shared" si="8"/>
        <v>1</v>
      </c>
      <c r="P86" s="18">
        <f t="shared" si="9"/>
        <v>0</v>
      </c>
      <c r="Q86" s="18">
        <f t="shared" si="10"/>
        <v>0</v>
      </c>
    </row>
    <row r="87" spans="1:17" ht="15.6" x14ac:dyDescent="0.3">
      <c r="A87">
        <v>1</v>
      </c>
      <c r="B87" s="7" t="s">
        <v>12</v>
      </c>
      <c r="C87" s="9" t="s">
        <v>13</v>
      </c>
      <c r="D87" s="9">
        <v>2</v>
      </c>
      <c r="E87" s="7" t="s">
        <v>17</v>
      </c>
      <c r="F87" s="9" t="s">
        <v>38</v>
      </c>
      <c r="G87" s="9">
        <v>2</v>
      </c>
      <c r="H87" s="7" t="s">
        <v>62</v>
      </c>
      <c r="I87" s="7" t="s">
        <v>19</v>
      </c>
      <c r="J87" s="7" t="s">
        <v>47</v>
      </c>
      <c r="K87" s="7" t="s">
        <v>126</v>
      </c>
      <c r="L87" s="7" t="s">
        <v>19</v>
      </c>
      <c r="M87" s="7" t="s">
        <v>47</v>
      </c>
      <c r="N87" s="14"/>
      <c r="O87" s="18">
        <f t="shared" si="8"/>
        <v>1</v>
      </c>
      <c r="P87" s="18">
        <f t="shared" si="9"/>
        <v>0</v>
      </c>
      <c r="Q87" s="18">
        <f t="shared" si="10"/>
        <v>0</v>
      </c>
    </row>
    <row r="88" spans="1:17" ht="15.6" x14ac:dyDescent="0.3">
      <c r="A88">
        <v>1</v>
      </c>
      <c r="B88" s="7" t="s">
        <v>30</v>
      </c>
      <c r="C88" s="9" t="s">
        <v>41</v>
      </c>
      <c r="D88" s="9">
        <v>5</v>
      </c>
      <c r="E88" s="7" t="s">
        <v>23</v>
      </c>
      <c r="F88" s="9" t="s">
        <v>24</v>
      </c>
      <c r="G88" s="9">
        <v>0</v>
      </c>
      <c r="H88" s="7" t="s">
        <v>137</v>
      </c>
      <c r="I88" s="7" t="s">
        <v>26</v>
      </c>
      <c r="J88" s="7" t="s">
        <v>43</v>
      </c>
      <c r="K88" s="7" t="s">
        <v>97</v>
      </c>
      <c r="L88" s="7" t="s">
        <v>19</v>
      </c>
      <c r="M88" s="7" t="s">
        <v>47</v>
      </c>
      <c r="N88" s="14"/>
      <c r="O88" s="18">
        <f t="shared" si="8"/>
        <v>0</v>
      </c>
      <c r="P88" s="18">
        <f t="shared" si="9"/>
        <v>1</v>
      </c>
      <c r="Q88" s="18">
        <f t="shared" si="10"/>
        <v>0</v>
      </c>
    </row>
    <row r="89" spans="1:17" ht="15.6" x14ac:dyDescent="0.3">
      <c r="A89">
        <v>1</v>
      </c>
      <c r="B89" s="7" t="s">
        <v>34</v>
      </c>
      <c r="C89" s="9" t="s">
        <v>15</v>
      </c>
      <c r="D89" s="9">
        <v>1</v>
      </c>
      <c r="E89" s="7" t="s">
        <v>36</v>
      </c>
      <c r="F89" s="9" t="s">
        <v>21</v>
      </c>
      <c r="G89" s="9">
        <v>2</v>
      </c>
      <c r="H89" s="7" t="s">
        <v>72</v>
      </c>
      <c r="I89" s="7" t="s">
        <v>32</v>
      </c>
      <c r="J89" s="7" t="s">
        <v>47</v>
      </c>
      <c r="K89" s="7" t="s">
        <v>56</v>
      </c>
      <c r="L89" s="7" t="s">
        <v>57</v>
      </c>
      <c r="M89" s="7" t="s">
        <v>47</v>
      </c>
      <c r="N89" s="14"/>
      <c r="O89" s="18">
        <f t="shared" si="8"/>
        <v>1</v>
      </c>
      <c r="P89" s="18">
        <f t="shared" si="9"/>
        <v>0</v>
      </c>
      <c r="Q89" s="18">
        <f t="shared" si="10"/>
        <v>0</v>
      </c>
    </row>
    <row r="90" spans="1:17" ht="15.6" x14ac:dyDescent="0.3">
      <c r="A90">
        <v>1</v>
      </c>
      <c r="B90" s="7" t="s">
        <v>33</v>
      </c>
      <c r="C90" s="9" t="s">
        <v>21</v>
      </c>
      <c r="D90" s="9">
        <v>0</v>
      </c>
      <c r="E90" s="7" t="s">
        <v>35</v>
      </c>
      <c r="F90" s="9" t="s">
        <v>32</v>
      </c>
      <c r="G90" s="9">
        <v>0</v>
      </c>
      <c r="H90" s="7" t="s">
        <v>86</v>
      </c>
      <c r="I90" s="7" t="s">
        <v>15</v>
      </c>
      <c r="J90" s="7" t="s">
        <v>47</v>
      </c>
      <c r="K90" s="7" t="s">
        <v>111</v>
      </c>
      <c r="L90" s="7" t="s">
        <v>13</v>
      </c>
      <c r="M90" s="7" t="s">
        <v>43</v>
      </c>
      <c r="N90" s="14"/>
      <c r="O90" s="18">
        <f t="shared" si="8"/>
        <v>0</v>
      </c>
      <c r="P90" s="18">
        <f t="shared" si="9"/>
        <v>1</v>
      </c>
      <c r="Q90" s="18">
        <f t="shared" si="10"/>
        <v>0</v>
      </c>
    </row>
    <row r="91" spans="1:17" ht="15.6" x14ac:dyDescent="0.3">
      <c r="A91">
        <v>1</v>
      </c>
      <c r="B91" s="7" t="s">
        <v>40</v>
      </c>
      <c r="C91" s="9" t="s">
        <v>32</v>
      </c>
      <c r="D91" s="9">
        <v>0</v>
      </c>
      <c r="E91" s="7" t="s">
        <v>39</v>
      </c>
      <c r="F91" s="9" t="s">
        <v>19</v>
      </c>
      <c r="G91" s="9">
        <v>4</v>
      </c>
      <c r="H91" s="7" t="s">
        <v>45</v>
      </c>
      <c r="I91" s="7" t="s">
        <v>46</v>
      </c>
      <c r="J91" s="7" t="s">
        <v>47</v>
      </c>
      <c r="K91" s="7" t="s">
        <v>51</v>
      </c>
      <c r="L91" s="7" t="s">
        <v>46</v>
      </c>
      <c r="M91" s="7" t="s">
        <v>43</v>
      </c>
      <c r="N91" s="14"/>
      <c r="O91" s="18">
        <f t="shared" si="8"/>
        <v>0</v>
      </c>
      <c r="P91" s="18">
        <f t="shared" si="9"/>
        <v>1</v>
      </c>
      <c r="Q91" s="18">
        <f t="shared" si="10"/>
        <v>0</v>
      </c>
    </row>
    <row r="92" spans="1:17" ht="15.6" x14ac:dyDescent="0.3">
      <c r="A92">
        <v>1</v>
      </c>
      <c r="B92" s="7" t="s">
        <v>25</v>
      </c>
      <c r="C92" s="9" t="s">
        <v>26</v>
      </c>
      <c r="D92" s="9">
        <v>1</v>
      </c>
      <c r="E92" s="7" t="s">
        <v>12</v>
      </c>
      <c r="F92" s="9" t="s">
        <v>13</v>
      </c>
      <c r="G92" s="9">
        <v>2</v>
      </c>
      <c r="H92" s="7" t="s">
        <v>52</v>
      </c>
      <c r="I92" s="7" t="s">
        <v>21</v>
      </c>
      <c r="J92" s="7" t="s">
        <v>43</v>
      </c>
      <c r="K92" s="7" t="s">
        <v>75</v>
      </c>
      <c r="L92" s="7" t="s">
        <v>21</v>
      </c>
      <c r="M92" s="7" t="s">
        <v>43</v>
      </c>
      <c r="N92" s="14"/>
      <c r="O92" s="18">
        <f t="shared" si="8"/>
        <v>0</v>
      </c>
      <c r="P92" s="18">
        <f t="shared" si="9"/>
        <v>0</v>
      </c>
      <c r="Q92" s="18">
        <f t="shared" si="10"/>
        <v>1</v>
      </c>
    </row>
    <row r="93" spans="1:17" ht="15.6" x14ac:dyDescent="0.3">
      <c r="A93">
        <v>1</v>
      </c>
      <c r="B93" s="7" t="s">
        <v>36</v>
      </c>
      <c r="C93" s="9" t="s">
        <v>21</v>
      </c>
      <c r="D93" s="9">
        <v>1</v>
      </c>
      <c r="E93" s="7" t="s">
        <v>28</v>
      </c>
      <c r="F93" s="9" t="s">
        <v>29</v>
      </c>
      <c r="G93" s="9">
        <v>1</v>
      </c>
      <c r="H93" s="7" t="s">
        <v>88</v>
      </c>
      <c r="I93" s="7" t="s">
        <v>13</v>
      </c>
      <c r="J93" s="7" t="s">
        <v>47</v>
      </c>
      <c r="K93" s="7" t="s">
        <v>124</v>
      </c>
      <c r="L93" s="7" t="s">
        <v>32</v>
      </c>
      <c r="M93" s="7" t="s">
        <v>47</v>
      </c>
      <c r="N93" s="14"/>
      <c r="O93" s="18">
        <f t="shared" si="8"/>
        <v>1</v>
      </c>
      <c r="P93" s="18">
        <f t="shared" si="9"/>
        <v>0</v>
      </c>
      <c r="Q93" s="18">
        <f t="shared" si="10"/>
        <v>0</v>
      </c>
    </row>
    <row r="94" spans="1:17" ht="15.6" x14ac:dyDescent="0.3">
      <c r="A94">
        <v>1</v>
      </c>
      <c r="B94" s="7" t="s">
        <v>22</v>
      </c>
      <c r="C94" s="9" t="s">
        <v>19</v>
      </c>
      <c r="D94" s="9">
        <v>0</v>
      </c>
      <c r="E94" s="7" t="s">
        <v>30</v>
      </c>
      <c r="F94" s="9" t="s">
        <v>41</v>
      </c>
      <c r="G94" s="9">
        <v>1</v>
      </c>
      <c r="H94" s="7" t="s">
        <v>112</v>
      </c>
      <c r="I94" s="7" t="s">
        <v>13</v>
      </c>
      <c r="J94" s="7" t="s">
        <v>43</v>
      </c>
      <c r="K94" s="7" t="s">
        <v>120</v>
      </c>
      <c r="L94" s="7" t="s">
        <v>32</v>
      </c>
      <c r="M94" s="7" t="s">
        <v>43</v>
      </c>
      <c r="N94" s="14"/>
      <c r="O94" s="18">
        <f t="shared" si="8"/>
        <v>0</v>
      </c>
      <c r="P94" s="18">
        <f t="shared" si="9"/>
        <v>0</v>
      </c>
      <c r="Q94" s="18">
        <f t="shared" si="10"/>
        <v>1</v>
      </c>
    </row>
    <row r="95" spans="1:17" ht="15.6" x14ac:dyDescent="0.3">
      <c r="A95">
        <v>1</v>
      </c>
      <c r="B95" s="7" t="s">
        <v>23</v>
      </c>
      <c r="C95" s="9" t="s">
        <v>24</v>
      </c>
      <c r="D95" s="9">
        <v>1</v>
      </c>
      <c r="E95" s="7" t="s">
        <v>34</v>
      </c>
      <c r="F95" s="9" t="s">
        <v>15</v>
      </c>
      <c r="G95" s="9">
        <v>0</v>
      </c>
      <c r="H95" s="7" t="s">
        <v>119</v>
      </c>
      <c r="I95" s="7" t="s">
        <v>19</v>
      </c>
      <c r="J95" s="7" t="s">
        <v>43</v>
      </c>
      <c r="K95" s="7" t="s">
        <v>117</v>
      </c>
      <c r="L95" s="7" t="s">
        <v>21</v>
      </c>
      <c r="M95" s="7" t="s">
        <v>47</v>
      </c>
      <c r="N95" s="14"/>
      <c r="O95" s="18">
        <f t="shared" si="8"/>
        <v>0</v>
      </c>
      <c r="P95" s="18">
        <f t="shared" si="9"/>
        <v>1</v>
      </c>
      <c r="Q95" s="18">
        <f t="shared" si="10"/>
        <v>0</v>
      </c>
    </row>
    <row r="96" spans="1:17" ht="15.6" x14ac:dyDescent="0.3">
      <c r="A96">
        <v>1</v>
      </c>
      <c r="B96" s="7" t="s">
        <v>14</v>
      </c>
      <c r="C96" s="9" t="s">
        <v>15</v>
      </c>
      <c r="D96" s="9">
        <v>2</v>
      </c>
      <c r="E96" s="7" t="s">
        <v>33</v>
      </c>
      <c r="F96" s="9" t="s">
        <v>21</v>
      </c>
      <c r="G96" s="9">
        <v>0</v>
      </c>
      <c r="H96" s="7" t="s">
        <v>72</v>
      </c>
      <c r="I96" s="7" t="s">
        <v>32</v>
      </c>
      <c r="J96" s="7" t="s">
        <v>47</v>
      </c>
      <c r="K96" s="7" t="s">
        <v>51</v>
      </c>
      <c r="L96" s="7" t="s">
        <v>46</v>
      </c>
      <c r="M96" s="7" t="s">
        <v>43</v>
      </c>
      <c r="N96" s="14"/>
      <c r="O96" s="18">
        <f t="shared" si="8"/>
        <v>0</v>
      </c>
      <c r="P96" s="18">
        <f t="shared" si="9"/>
        <v>1</v>
      </c>
      <c r="Q96" s="18">
        <f t="shared" si="10"/>
        <v>0</v>
      </c>
    </row>
    <row r="97" spans="1:17" ht="15.6" x14ac:dyDescent="0.3">
      <c r="A97">
        <v>1</v>
      </c>
      <c r="B97" s="7" t="s">
        <v>16</v>
      </c>
      <c r="C97" s="9" t="s">
        <v>15</v>
      </c>
      <c r="D97" s="9">
        <v>1</v>
      </c>
      <c r="E97" s="7" t="s">
        <v>31</v>
      </c>
      <c r="F97" s="9" t="s">
        <v>19</v>
      </c>
      <c r="G97" s="9">
        <v>0</v>
      </c>
      <c r="H97" s="7" t="s">
        <v>138</v>
      </c>
      <c r="I97" s="7" t="s">
        <v>21</v>
      </c>
      <c r="J97" s="7" t="s">
        <v>43</v>
      </c>
      <c r="K97" s="7" t="s">
        <v>56</v>
      </c>
      <c r="L97" s="7" t="s">
        <v>57</v>
      </c>
      <c r="M97" s="7" t="s">
        <v>47</v>
      </c>
      <c r="N97" s="14"/>
      <c r="O97" s="18">
        <f t="shared" si="8"/>
        <v>0</v>
      </c>
      <c r="P97" s="18">
        <f t="shared" si="9"/>
        <v>1</v>
      </c>
      <c r="Q97" s="18">
        <f t="shared" si="10"/>
        <v>0</v>
      </c>
    </row>
    <row r="98" spans="1:17" ht="15.6" x14ac:dyDescent="0.3">
      <c r="A98">
        <v>1</v>
      </c>
      <c r="B98" s="7" t="s">
        <v>35</v>
      </c>
      <c r="C98" s="9" t="s">
        <v>32</v>
      </c>
      <c r="D98" s="9">
        <v>2</v>
      </c>
      <c r="E98" s="7" t="s">
        <v>20</v>
      </c>
      <c r="F98" s="9" t="s">
        <v>21</v>
      </c>
      <c r="G98" s="9">
        <v>0</v>
      </c>
      <c r="H98" s="7" t="s">
        <v>64</v>
      </c>
      <c r="I98" s="7" t="s">
        <v>19</v>
      </c>
      <c r="J98" s="7" t="s">
        <v>43</v>
      </c>
      <c r="K98" s="7" t="s">
        <v>63</v>
      </c>
      <c r="L98" s="7" t="s">
        <v>19</v>
      </c>
      <c r="M98" s="7" t="s">
        <v>47</v>
      </c>
      <c r="N98" s="14"/>
      <c r="O98" s="18">
        <f t="shared" si="8"/>
        <v>0</v>
      </c>
      <c r="P98" s="18">
        <f t="shared" si="9"/>
        <v>1</v>
      </c>
      <c r="Q98" s="18">
        <f t="shared" si="10"/>
        <v>0</v>
      </c>
    </row>
    <row r="99" spans="1:17" ht="15.6" x14ac:dyDescent="0.3">
      <c r="A99">
        <v>1</v>
      </c>
      <c r="B99" s="7" t="s">
        <v>37</v>
      </c>
      <c r="C99" s="9" t="s">
        <v>38</v>
      </c>
      <c r="D99" s="9">
        <v>4</v>
      </c>
      <c r="E99" s="7" t="s">
        <v>40</v>
      </c>
      <c r="F99" s="9" t="s">
        <v>32</v>
      </c>
      <c r="G99" s="9">
        <v>2</v>
      </c>
      <c r="H99" s="7" t="s">
        <v>70</v>
      </c>
      <c r="I99" s="7" t="s">
        <v>24</v>
      </c>
      <c r="J99" s="7" t="s">
        <v>43</v>
      </c>
      <c r="K99" s="7" t="s">
        <v>97</v>
      </c>
      <c r="L99" s="7" t="s">
        <v>19</v>
      </c>
      <c r="M99" s="7" t="s">
        <v>47</v>
      </c>
      <c r="N99" s="14"/>
      <c r="O99" s="18">
        <f t="shared" si="8"/>
        <v>0</v>
      </c>
      <c r="P99" s="18">
        <f t="shared" si="9"/>
        <v>1</v>
      </c>
      <c r="Q99" s="18">
        <f t="shared" si="10"/>
        <v>0</v>
      </c>
    </row>
    <row r="100" spans="1:17" ht="15.6" x14ac:dyDescent="0.3">
      <c r="A100">
        <v>1</v>
      </c>
      <c r="B100" s="7" t="s">
        <v>27</v>
      </c>
      <c r="C100" s="9" t="s">
        <v>21</v>
      </c>
      <c r="D100" s="9">
        <v>2</v>
      </c>
      <c r="E100" s="7" t="s">
        <v>17</v>
      </c>
      <c r="F100" s="9" t="s">
        <v>38</v>
      </c>
      <c r="G100" s="9">
        <v>1</v>
      </c>
      <c r="H100" s="7" t="s">
        <v>67</v>
      </c>
      <c r="I100" s="7" t="s">
        <v>13</v>
      </c>
      <c r="J100" s="7" t="s">
        <v>47</v>
      </c>
      <c r="K100" s="7" t="s">
        <v>111</v>
      </c>
      <c r="L100" s="7" t="s">
        <v>13</v>
      </c>
      <c r="M100" s="7" t="s">
        <v>43</v>
      </c>
      <c r="N100" s="14"/>
      <c r="O100" s="18">
        <f t="shared" si="8"/>
        <v>0</v>
      </c>
      <c r="P100" s="18">
        <f t="shared" si="9"/>
        <v>1</v>
      </c>
      <c r="Q100" s="18">
        <f t="shared" si="10"/>
        <v>0</v>
      </c>
    </row>
    <row r="101" spans="1:17" ht="15.6" x14ac:dyDescent="0.3">
      <c r="A101">
        <v>1</v>
      </c>
      <c r="B101" s="7" t="s">
        <v>39</v>
      </c>
      <c r="C101" s="9" t="s">
        <v>19</v>
      </c>
      <c r="D101" s="9">
        <v>2</v>
      </c>
      <c r="E101" s="7" t="s">
        <v>18</v>
      </c>
      <c r="F101" s="9" t="s">
        <v>19</v>
      </c>
      <c r="G101" s="9">
        <v>1</v>
      </c>
      <c r="H101" s="7" t="s">
        <v>107</v>
      </c>
      <c r="I101" s="7" t="s">
        <v>15</v>
      </c>
      <c r="J101" s="7" t="s">
        <v>47</v>
      </c>
      <c r="K101" s="7" t="s">
        <v>63</v>
      </c>
      <c r="L101" s="7" t="s">
        <v>19</v>
      </c>
      <c r="M101" s="7" t="s">
        <v>47</v>
      </c>
      <c r="N101" s="14"/>
      <c r="O101" s="18">
        <f t="shared" si="8"/>
        <v>1</v>
      </c>
      <c r="P101" s="18">
        <f t="shared" si="9"/>
        <v>0</v>
      </c>
      <c r="Q101" s="18">
        <f t="shared" si="10"/>
        <v>0</v>
      </c>
    </row>
    <row r="102" spans="1:17" ht="15.6" x14ac:dyDescent="0.3">
      <c r="A102">
        <v>1</v>
      </c>
      <c r="B102" s="7" t="s">
        <v>12</v>
      </c>
      <c r="C102" s="9" t="s">
        <v>13</v>
      </c>
      <c r="D102" s="9">
        <v>2</v>
      </c>
      <c r="E102" s="7" t="s">
        <v>36</v>
      </c>
      <c r="F102" s="9" t="s">
        <v>21</v>
      </c>
      <c r="G102" s="9">
        <v>1</v>
      </c>
      <c r="H102" s="7" t="s">
        <v>123</v>
      </c>
      <c r="I102" s="7" t="s">
        <v>19</v>
      </c>
      <c r="J102" s="7" t="s">
        <v>43</v>
      </c>
      <c r="K102" s="7" t="s">
        <v>56</v>
      </c>
      <c r="L102" s="7" t="s">
        <v>57</v>
      </c>
      <c r="M102" s="7" t="s">
        <v>47</v>
      </c>
      <c r="N102" s="14"/>
      <c r="O102" s="18">
        <f t="shared" si="8"/>
        <v>0</v>
      </c>
      <c r="P102" s="18">
        <f t="shared" si="9"/>
        <v>1</v>
      </c>
      <c r="Q102" s="18">
        <f t="shared" si="10"/>
        <v>0</v>
      </c>
    </row>
    <row r="103" spans="1:17" ht="15.6" x14ac:dyDescent="0.3">
      <c r="A103">
        <v>1</v>
      </c>
      <c r="B103" s="7" t="s">
        <v>34</v>
      </c>
      <c r="C103" s="9" t="s">
        <v>15</v>
      </c>
      <c r="D103" s="9">
        <v>0</v>
      </c>
      <c r="E103" s="7" t="s">
        <v>16</v>
      </c>
      <c r="F103" s="9" t="s">
        <v>15</v>
      </c>
      <c r="G103" s="9">
        <v>1</v>
      </c>
      <c r="H103" s="7" t="s">
        <v>88</v>
      </c>
      <c r="I103" s="7" t="s">
        <v>13</v>
      </c>
      <c r="J103" s="7" t="s">
        <v>47</v>
      </c>
      <c r="K103" s="7" t="s">
        <v>124</v>
      </c>
      <c r="L103" s="7" t="s">
        <v>32</v>
      </c>
      <c r="M103" s="7" t="s">
        <v>47</v>
      </c>
      <c r="N103" s="14"/>
      <c r="O103" s="18">
        <f t="shared" si="8"/>
        <v>1</v>
      </c>
      <c r="P103" s="18">
        <f t="shared" si="9"/>
        <v>0</v>
      </c>
      <c r="Q103" s="18">
        <f t="shared" si="10"/>
        <v>0</v>
      </c>
    </row>
    <row r="104" spans="1:17" ht="15.6" x14ac:dyDescent="0.3">
      <c r="A104">
        <v>1</v>
      </c>
      <c r="B104" s="7" t="s">
        <v>30</v>
      </c>
      <c r="C104" s="9" t="s">
        <v>41</v>
      </c>
      <c r="D104" s="9">
        <v>0</v>
      </c>
      <c r="E104" s="7" t="s">
        <v>25</v>
      </c>
      <c r="F104" s="9" t="s">
        <v>26</v>
      </c>
      <c r="G104" s="9">
        <v>0</v>
      </c>
      <c r="H104" s="7" t="s">
        <v>42</v>
      </c>
      <c r="I104" s="7" t="s">
        <v>38</v>
      </c>
      <c r="J104" s="7" t="s">
        <v>43</v>
      </c>
      <c r="K104" s="7" t="s">
        <v>128</v>
      </c>
      <c r="L104" s="7" t="s">
        <v>32</v>
      </c>
      <c r="M104" s="7" t="s">
        <v>43</v>
      </c>
      <c r="N104" s="14"/>
      <c r="O104" s="18">
        <f t="shared" si="8"/>
        <v>0</v>
      </c>
      <c r="P104" s="18">
        <f t="shared" si="9"/>
        <v>0</v>
      </c>
      <c r="Q104" s="18">
        <f t="shared" si="10"/>
        <v>1</v>
      </c>
    </row>
    <row r="105" spans="1:17" ht="15.6" x14ac:dyDescent="0.3">
      <c r="A105">
        <v>1</v>
      </c>
      <c r="B105" s="7" t="s">
        <v>33</v>
      </c>
      <c r="C105" s="9" t="s">
        <v>21</v>
      </c>
      <c r="D105" s="9">
        <v>4</v>
      </c>
      <c r="E105" s="7" t="s">
        <v>22</v>
      </c>
      <c r="F105" s="9" t="s">
        <v>19</v>
      </c>
      <c r="G105" s="9">
        <v>1</v>
      </c>
      <c r="H105" s="7" t="s">
        <v>96</v>
      </c>
      <c r="I105" s="7" t="s">
        <v>54</v>
      </c>
      <c r="J105" s="7" t="s">
        <v>43</v>
      </c>
      <c r="K105" s="7" t="s">
        <v>109</v>
      </c>
      <c r="L105" s="7" t="s">
        <v>13</v>
      </c>
      <c r="M105" s="7" t="s">
        <v>47</v>
      </c>
      <c r="N105" s="14"/>
      <c r="O105" s="18">
        <f t="shared" si="8"/>
        <v>0</v>
      </c>
      <c r="P105" s="18">
        <f t="shared" si="9"/>
        <v>1</v>
      </c>
      <c r="Q105" s="18">
        <f t="shared" si="10"/>
        <v>0</v>
      </c>
    </row>
    <row r="106" spans="1:17" ht="15.6" x14ac:dyDescent="0.3">
      <c r="A106">
        <v>1</v>
      </c>
      <c r="B106" s="7" t="s">
        <v>17</v>
      </c>
      <c r="C106" s="9" t="s">
        <v>38</v>
      </c>
      <c r="D106" s="9">
        <v>4</v>
      </c>
      <c r="E106" s="7" t="s">
        <v>35</v>
      </c>
      <c r="F106" s="9" t="s">
        <v>32</v>
      </c>
      <c r="G106" s="9">
        <v>1</v>
      </c>
      <c r="H106" s="7" t="s">
        <v>76</v>
      </c>
      <c r="I106" s="7" t="s">
        <v>46</v>
      </c>
      <c r="J106" s="7" t="s">
        <v>43</v>
      </c>
      <c r="K106" s="7" t="s">
        <v>117</v>
      </c>
      <c r="L106" s="7" t="s">
        <v>21</v>
      </c>
      <c r="M106" s="7" t="s">
        <v>47</v>
      </c>
      <c r="N106" s="14"/>
      <c r="O106" s="18">
        <f t="shared" si="8"/>
        <v>0</v>
      </c>
      <c r="P106" s="18">
        <f t="shared" si="9"/>
        <v>1</v>
      </c>
      <c r="Q106" s="18">
        <f t="shared" si="10"/>
        <v>0</v>
      </c>
    </row>
    <row r="107" spans="1:17" ht="15.6" x14ac:dyDescent="0.3">
      <c r="A107">
        <v>1</v>
      </c>
      <c r="B107" s="7" t="s">
        <v>20</v>
      </c>
      <c r="C107" s="9" t="s">
        <v>21</v>
      </c>
      <c r="D107" s="9">
        <v>0</v>
      </c>
      <c r="E107" s="7" t="s">
        <v>27</v>
      </c>
      <c r="F107" s="9" t="s">
        <v>21</v>
      </c>
      <c r="G107" s="9">
        <v>1</v>
      </c>
      <c r="H107" s="7" t="s">
        <v>86</v>
      </c>
      <c r="I107" s="7" t="s">
        <v>15</v>
      </c>
      <c r="J107" s="7" t="s">
        <v>47</v>
      </c>
      <c r="K107" s="7" t="s">
        <v>97</v>
      </c>
      <c r="L107" s="7" t="s">
        <v>19</v>
      </c>
      <c r="M107" s="7" t="s">
        <v>47</v>
      </c>
      <c r="N107" s="14"/>
      <c r="O107" s="18">
        <f t="shared" si="8"/>
        <v>1</v>
      </c>
      <c r="P107" s="18">
        <f t="shared" si="9"/>
        <v>0</v>
      </c>
      <c r="Q107" s="18">
        <f t="shared" si="10"/>
        <v>0</v>
      </c>
    </row>
    <row r="108" spans="1:17" ht="15.6" x14ac:dyDescent="0.3">
      <c r="A108">
        <v>1</v>
      </c>
      <c r="B108" s="7" t="s">
        <v>28</v>
      </c>
      <c r="C108" s="9" t="s">
        <v>29</v>
      </c>
      <c r="D108" s="9">
        <v>1</v>
      </c>
      <c r="E108" s="7" t="s">
        <v>31</v>
      </c>
      <c r="F108" s="9" t="s">
        <v>19</v>
      </c>
      <c r="G108" s="9">
        <v>1</v>
      </c>
      <c r="H108" s="7" t="s">
        <v>130</v>
      </c>
      <c r="I108" s="7" t="s">
        <v>32</v>
      </c>
      <c r="J108" s="7" t="s">
        <v>43</v>
      </c>
      <c r="K108" s="7" t="s">
        <v>120</v>
      </c>
      <c r="L108" s="7" t="s">
        <v>32</v>
      </c>
      <c r="M108" s="7" t="s">
        <v>43</v>
      </c>
      <c r="N108" s="14"/>
      <c r="O108" s="18">
        <f t="shared" si="8"/>
        <v>0</v>
      </c>
      <c r="P108" s="18">
        <f t="shared" si="9"/>
        <v>0</v>
      </c>
      <c r="Q108" s="18">
        <f t="shared" si="10"/>
        <v>1</v>
      </c>
    </row>
    <row r="109" spans="1:17" ht="15.6" x14ac:dyDescent="0.3">
      <c r="A109">
        <v>1</v>
      </c>
      <c r="B109" s="7" t="s">
        <v>18</v>
      </c>
      <c r="C109" s="9" t="s">
        <v>19</v>
      </c>
      <c r="D109" s="9">
        <v>2</v>
      </c>
      <c r="E109" s="7" t="s">
        <v>37</v>
      </c>
      <c r="F109" s="9" t="s">
        <v>38</v>
      </c>
      <c r="G109" s="9">
        <v>1</v>
      </c>
      <c r="H109" s="7" t="s">
        <v>58</v>
      </c>
      <c r="I109" s="7" t="s">
        <v>15</v>
      </c>
      <c r="J109" s="7" t="s">
        <v>43</v>
      </c>
      <c r="K109" s="7" t="s">
        <v>111</v>
      </c>
      <c r="L109" s="7" t="s">
        <v>13</v>
      </c>
      <c r="M109" s="7" t="s">
        <v>43</v>
      </c>
      <c r="N109" s="14"/>
      <c r="O109" s="18">
        <f t="shared" si="8"/>
        <v>0</v>
      </c>
      <c r="P109" s="18">
        <f t="shared" si="9"/>
        <v>0</v>
      </c>
      <c r="Q109" s="18">
        <f t="shared" si="10"/>
        <v>1</v>
      </c>
    </row>
    <row r="110" spans="1:17" ht="15.6" x14ac:dyDescent="0.3">
      <c r="A110">
        <v>1</v>
      </c>
      <c r="B110" s="7" t="s">
        <v>40</v>
      </c>
      <c r="C110" s="9" t="s">
        <v>32</v>
      </c>
      <c r="D110" s="9">
        <v>1</v>
      </c>
      <c r="E110" s="7" t="s">
        <v>23</v>
      </c>
      <c r="F110" s="9" t="s">
        <v>24</v>
      </c>
      <c r="G110" s="9">
        <v>1</v>
      </c>
      <c r="H110" s="7" t="s">
        <v>62</v>
      </c>
      <c r="I110" s="7" t="s">
        <v>19</v>
      </c>
      <c r="J110" s="7" t="s">
        <v>47</v>
      </c>
      <c r="K110" s="7" t="s">
        <v>63</v>
      </c>
      <c r="L110" s="7" t="s">
        <v>19</v>
      </c>
      <c r="M110" s="7" t="s">
        <v>47</v>
      </c>
      <c r="N110" s="14"/>
      <c r="O110" s="18">
        <f t="shared" si="8"/>
        <v>1</v>
      </c>
      <c r="P110" s="18">
        <f t="shared" si="9"/>
        <v>0</v>
      </c>
      <c r="Q110" s="18">
        <f t="shared" si="10"/>
        <v>0</v>
      </c>
    </row>
    <row r="111" spans="1:17" ht="15.6" x14ac:dyDescent="0.3">
      <c r="A111">
        <v>1</v>
      </c>
      <c r="B111" s="7" t="s">
        <v>39</v>
      </c>
      <c r="C111" s="9" t="s">
        <v>19</v>
      </c>
      <c r="D111" s="9">
        <v>3</v>
      </c>
      <c r="E111" s="7" t="s">
        <v>14</v>
      </c>
      <c r="F111" s="9" t="s">
        <v>15</v>
      </c>
      <c r="G111" s="9">
        <v>1</v>
      </c>
      <c r="H111" s="7" t="s">
        <v>135</v>
      </c>
      <c r="I111" s="7" t="s">
        <v>57</v>
      </c>
      <c r="J111" s="7" t="s">
        <v>43</v>
      </c>
      <c r="K111" s="7" t="s">
        <v>75</v>
      </c>
      <c r="L111" s="7" t="s">
        <v>21</v>
      </c>
      <c r="M111" s="7" t="s">
        <v>43</v>
      </c>
      <c r="N111" s="14"/>
      <c r="O111" s="18">
        <f t="shared" si="8"/>
        <v>0</v>
      </c>
      <c r="P111" s="18">
        <f t="shared" si="9"/>
        <v>0</v>
      </c>
      <c r="Q111" s="18">
        <f t="shared" si="10"/>
        <v>1</v>
      </c>
    </row>
    <row r="112" spans="1:17" ht="15.6" x14ac:dyDescent="0.3">
      <c r="A112">
        <v>1</v>
      </c>
      <c r="B112" s="7" t="s">
        <v>35</v>
      </c>
      <c r="C112" s="9" t="s">
        <v>32</v>
      </c>
      <c r="D112" s="9">
        <v>2</v>
      </c>
      <c r="E112" s="7" t="s">
        <v>28</v>
      </c>
      <c r="F112" s="9" t="s">
        <v>29</v>
      </c>
      <c r="G112" s="9">
        <v>0</v>
      </c>
      <c r="H112" s="7" t="s">
        <v>135</v>
      </c>
      <c r="I112" s="7" t="s">
        <v>57</v>
      </c>
      <c r="J112" s="7" t="s">
        <v>43</v>
      </c>
      <c r="K112" s="7" t="s">
        <v>75</v>
      </c>
      <c r="L112" s="7" t="s">
        <v>21</v>
      </c>
      <c r="M112" s="7" t="s">
        <v>43</v>
      </c>
      <c r="N112" s="14"/>
      <c r="O112" s="18">
        <f t="shared" si="8"/>
        <v>0</v>
      </c>
      <c r="P112" s="18">
        <f t="shared" si="9"/>
        <v>0</v>
      </c>
      <c r="Q112" s="18">
        <f t="shared" si="10"/>
        <v>1</v>
      </c>
    </row>
    <row r="113" spans="1:17" ht="15.6" x14ac:dyDescent="0.3">
      <c r="A113">
        <v>1</v>
      </c>
      <c r="B113" s="7" t="s">
        <v>36</v>
      </c>
      <c r="C113" s="9" t="s">
        <v>21</v>
      </c>
      <c r="D113" s="9">
        <v>2</v>
      </c>
      <c r="E113" s="7" t="s">
        <v>18</v>
      </c>
      <c r="F113" s="9" t="s">
        <v>19</v>
      </c>
      <c r="G113" s="9">
        <v>1</v>
      </c>
      <c r="H113" s="7" t="s">
        <v>112</v>
      </c>
      <c r="I113" s="7" t="s">
        <v>13</v>
      </c>
      <c r="J113" s="7" t="s">
        <v>43</v>
      </c>
      <c r="K113" s="7" t="s">
        <v>124</v>
      </c>
      <c r="L113" s="7" t="s">
        <v>32</v>
      </c>
      <c r="M113" s="7" t="s">
        <v>47</v>
      </c>
      <c r="N113" s="14"/>
      <c r="O113" s="18">
        <f t="shared" si="8"/>
        <v>0</v>
      </c>
      <c r="P113" s="18">
        <f t="shared" si="9"/>
        <v>1</v>
      </c>
      <c r="Q113" s="18">
        <f t="shared" si="10"/>
        <v>0</v>
      </c>
    </row>
    <row r="114" spans="1:17" ht="15.6" x14ac:dyDescent="0.3">
      <c r="A114">
        <v>1</v>
      </c>
      <c r="B114" s="7" t="s">
        <v>25</v>
      </c>
      <c r="C114" s="9" t="s">
        <v>26</v>
      </c>
      <c r="D114" s="9">
        <v>1</v>
      </c>
      <c r="E114" s="7" t="s">
        <v>34</v>
      </c>
      <c r="F114" s="9" t="s">
        <v>15</v>
      </c>
      <c r="G114" s="9">
        <v>1</v>
      </c>
      <c r="H114" s="7" t="s">
        <v>74</v>
      </c>
      <c r="I114" s="7" t="s">
        <v>21</v>
      </c>
      <c r="J114" s="7" t="s">
        <v>47</v>
      </c>
      <c r="K114" s="7" t="s">
        <v>111</v>
      </c>
      <c r="L114" s="7" t="s">
        <v>13</v>
      </c>
      <c r="M114" s="7" t="s">
        <v>43</v>
      </c>
      <c r="N114" s="14"/>
      <c r="O114" s="18">
        <f t="shared" si="8"/>
        <v>0</v>
      </c>
      <c r="P114" s="18">
        <f t="shared" si="9"/>
        <v>1</v>
      </c>
      <c r="Q114" s="18">
        <f t="shared" si="10"/>
        <v>0</v>
      </c>
    </row>
    <row r="115" spans="1:17" ht="15.6" x14ac:dyDescent="0.3">
      <c r="A115">
        <v>1</v>
      </c>
      <c r="B115" s="7" t="s">
        <v>31</v>
      </c>
      <c r="C115" s="9" t="s">
        <v>19</v>
      </c>
      <c r="D115" s="9">
        <v>1</v>
      </c>
      <c r="E115" s="7" t="s">
        <v>30</v>
      </c>
      <c r="F115" s="9" t="s">
        <v>41</v>
      </c>
      <c r="G115" s="9">
        <v>1</v>
      </c>
      <c r="H115" s="7" t="s">
        <v>101</v>
      </c>
      <c r="I115" s="7" t="s">
        <v>102</v>
      </c>
      <c r="J115" s="7" t="s">
        <v>43</v>
      </c>
      <c r="K115" s="7" t="s">
        <v>117</v>
      </c>
      <c r="L115" s="7" t="s">
        <v>21</v>
      </c>
      <c r="M115" s="7" t="s">
        <v>47</v>
      </c>
      <c r="N115" s="14"/>
      <c r="O115" s="18">
        <f t="shared" si="8"/>
        <v>0</v>
      </c>
      <c r="P115" s="18">
        <f t="shared" si="9"/>
        <v>1</v>
      </c>
      <c r="Q115" s="18">
        <f t="shared" si="10"/>
        <v>0</v>
      </c>
    </row>
    <row r="116" spans="1:17" ht="15.6" x14ac:dyDescent="0.3">
      <c r="A116">
        <v>1</v>
      </c>
      <c r="B116" s="7" t="s">
        <v>14</v>
      </c>
      <c r="C116" s="9" t="s">
        <v>15</v>
      </c>
      <c r="D116" s="9">
        <v>2</v>
      </c>
      <c r="E116" s="7" t="s">
        <v>27</v>
      </c>
      <c r="F116" s="9" t="s">
        <v>21</v>
      </c>
      <c r="G116" s="9">
        <v>1</v>
      </c>
      <c r="H116" s="7" t="s">
        <v>64</v>
      </c>
      <c r="I116" s="7" t="s">
        <v>19</v>
      </c>
      <c r="J116" s="7" t="s">
        <v>43</v>
      </c>
      <c r="K116" s="7" t="s">
        <v>109</v>
      </c>
      <c r="L116" s="7" t="s">
        <v>13</v>
      </c>
      <c r="M116" s="7" t="s">
        <v>47</v>
      </c>
      <c r="N116" s="14"/>
      <c r="O116" s="18">
        <f t="shared" si="8"/>
        <v>0</v>
      </c>
      <c r="P116" s="18">
        <f t="shared" si="9"/>
        <v>1</v>
      </c>
      <c r="Q116" s="18">
        <f t="shared" si="10"/>
        <v>0</v>
      </c>
    </row>
    <row r="117" spans="1:17" ht="15.6" x14ac:dyDescent="0.3">
      <c r="A117">
        <v>1</v>
      </c>
      <c r="B117" s="7" t="s">
        <v>23</v>
      </c>
      <c r="C117" s="9" t="s">
        <v>24</v>
      </c>
      <c r="D117" s="9">
        <v>3</v>
      </c>
      <c r="E117" s="7" t="s">
        <v>39</v>
      </c>
      <c r="F117" s="9" t="s">
        <v>19</v>
      </c>
      <c r="G117" s="9">
        <v>0</v>
      </c>
      <c r="H117" s="7" t="s">
        <v>52</v>
      </c>
      <c r="I117" s="7" t="s">
        <v>21</v>
      </c>
      <c r="J117" s="7" t="s">
        <v>43</v>
      </c>
      <c r="K117" s="7" t="s">
        <v>51</v>
      </c>
      <c r="L117" s="7" t="s">
        <v>46</v>
      </c>
      <c r="M117" s="7" t="s">
        <v>43</v>
      </c>
      <c r="N117" s="14"/>
      <c r="O117" s="18">
        <f t="shared" si="8"/>
        <v>0</v>
      </c>
      <c r="P117" s="18">
        <f t="shared" si="9"/>
        <v>0</v>
      </c>
      <c r="Q117" s="18">
        <f t="shared" si="10"/>
        <v>1</v>
      </c>
    </row>
    <row r="118" spans="1:17" ht="15.6" x14ac:dyDescent="0.3">
      <c r="A118">
        <v>1</v>
      </c>
      <c r="B118" s="7" t="s">
        <v>17</v>
      </c>
      <c r="C118" s="9" t="s">
        <v>38</v>
      </c>
      <c r="D118" s="9">
        <v>2</v>
      </c>
      <c r="E118" s="7" t="s">
        <v>33</v>
      </c>
      <c r="F118" s="9" t="s">
        <v>21</v>
      </c>
      <c r="G118" s="9">
        <v>1</v>
      </c>
      <c r="H118" s="7" t="s">
        <v>119</v>
      </c>
      <c r="I118" s="7" t="s">
        <v>19</v>
      </c>
      <c r="J118" s="7" t="s">
        <v>43</v>
      </c>
      <c r="K118" s="7" t="s">
        <v>63</v>
      </c>
      <c r="L118" s="7" t="s">
        <v>19</v>
      </c>
      <c r="M118" s="7" t="s">
        <v>47</v>
      </c>
      <c r="N118" s="14"/>
      <c r="O118" s="18">
        <f t="shared" si="8"/>
        <v>0</v>
      </c>
      <c r="P118" s="18">
        <f t="shared" si="9"/>
        <v>1</v>
      </c>
      <c r="Q118" s="18">
        <f t="shared" si="10"/>
        <v>0</v>
      </c>
    </row>
    <row r="119" spans="1:17" ht="15.6" x14ac:dyDescent="0.3">
      <c r="A119">
        <v>1</v>
      </c>
      <c r="B119" s="7" t="s">
        <v>16</v>
      </c>
      <c r="C119" s="9" t="s">
        <v>15</v>
      </c>
      <c r="D119" s="9">
        <v>1</v>
      </c>
      <c r="E119" s="7" t="s">
        <v>40</v>
      </c>
      <c r="F119" s="9" t="s">
        <v>32</v>
      </c>
      <c r="G119" s="9">
        <v>2</v>
      </c>
      <c r="H119" s="7" t="s">
        <v>123</v>
      </c>
      <c r="I119" s="7" t="s">
        <v>19</v>
      </c>
      <c r="J119" s="7" t="s">
        <v>43</v>
      </c>
      <c r="K119" s="7" t="s">
        <v>97</v>
      </c>
      <c r="L119" s="7" t="s">
        <v>19</v>
      </c>
      <c r="M119" s="7" t="s">
        <v>47</v>
      </c>
      <c r="N119" s="14"/>
      <c r="O119" s="18">
        <f t="shared" si="8"/>
        <v>0</v>
      </c>
      <c r="P119" s="18">
        <f t="shared" si="9"/>
        <v>1</v>
      </c>
      <c r="Q119" s="18">
        <f t="shared" si="10"/>
        <v>0</v>
      </c>
    </row>
    <row r="120" spans="1:17" ht="15.6" x14ac:dyDescent="0.3">
      <c r="A120">
        <v>1</v>
      </c>
      <c r="B120" s="7" t="s">
        <v>20</v>
      </c>
      <c r="C120" s="9" t="s">
        <v>21</v>
      </c>
      <c r="D120" s="9"/>
      <c r="E120" s="7" t="s">
        <v>37</v>
      </c>
      <c r="F120" s="9" t="s">
        <v>38</v>
      </c>
      <c r="G120" s="9"/>
      <c r="H120" s="7" t="s">
        <v>62</v>
      </c>
      <c r="I120" s="7" t="s">
        <v>19</v>
      </c>
      <c r="J120" s="7" t="s">
        <v>47</v>
      </c>
      <c r="K120" s="7" t="s">
        <v>56</v>
      </c>
      <c r="L120" s="7" t="s">
        <v>57</v>
      </c>
      <c r="M120" s="7" t="s">
        <v>47</v>
      </c>
      <c r="N120" s="14"/>
      <c r="O120" s="18">
        <f t="shared" si="8"/>
        <v>1</v>
      </c>
      <c r="P120" s="18">
        <f t="shared" si="9"/>
        <v>0</v>
      </c>
      <c r="Q120" s="18">
        <f t="shared" si="10"/>
        <v>0</v>
      </c>
    </row>
    <row r="121" spans="1:17" ht="15.6" x14ac:dyDescent="0.3">
      <c r="A121">
        <v>1</v>
      </c>
      <c r="B121" s="7" t="s">
        <v>22</v>
      </c>
      <c r="C121" s="9" t="s">
        <v>19</v>
      </c>
      <c r="D121" s="9"/>
      <c r="E121" s="7" t="s">
        <v>12</v>
      </c>
      <c r="F121" s="9" t="s">
        <v>13</v>
      </c>
      <c r="G121" s="9"/>
      <c r="H121" s="7" t="s">
        <v>42</v>
      </c>
      <c r="I121" s="7" t="s">
        <v>38</v>
      </c>
      <c r="J121" s="7" t="s">
        <v>43</v>
      </c>
      <c r="K121" s="7" t="s">
        <v>122</v>
      </c>
      <c r="L121" s="7" t="s">
        <v>21</v>
      </c>
      <c r="M121" s="7" t="s">
        <v>43</v>
      </c>
      <c r="N121" s="14"/>
      <c r="O121" s="18">
        <f t="shared" si="8"/>
        <v>0</v>
      </c>
      <c r="P121" s="18">
        <f t="shared" si="9"/>
        <v>0</v>
      </c>
      <c r="Q121" s="18">
        <f t="shared" si="10"/>
        <v>1</v>
      </c>
    </row>
  </sheetData>
  <autoFilter ref="AZ1:BU21" xr:uid="{412E9E41-F723-4DDB-9A30-834CE4DA51EC}"/>
  <sortState xmlns:xlrd2="http://schemas.microsoft.com/office/spreadsheetml/2017/richdata2" ref="S2:Z21">
    <sortCondition descending="1" ref="X2:X21"/>
  </sortState>
  <mergeCells count="1">
    <mergeCell ref="BW1:BY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8034-3FBC-4284-BD9A-F6C26D5D58AE}">
  <dimension ref="A1"/>
  <sheetViews>
    <sheetView showGridLines="0" tabSelected="1" topLeftCell="R20" workbookViewId="0">
      <selection activeCell="AL26" sqref="AL2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Árbitro</vt:lpstr>
      <vt:lpstr>VAR</vt:lpstr>
      <vt:lpstr>Clubes</vt:lpstr>
      <vt:lpstr>Gráficos</vt:lpstr>
    </vt:vector>
  </TitlesOfParts>
  <Company>Bacen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2024-06-27T14:48:54Z</dcterms:created>
  <dcterms:modified xsi:type="dcterms:W3CDTF">2024-06-29T15:47:23Z</dcterms:modified>
</cp:coreProperties>
</file>