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E53B0018-3701-42A6-BA21-DB9C57AAF5BB}" xr6:coauthVersionLast="47" xr6:coauthVersionMax="47" xr10:uidLastSave="{00000000-0000-0000-0000-000000000000}"/>
  <bookViews>
    <workbookView xWindow="1188" yWindow="0" windowWidth="10176" windowHeight="12312" firstSheet="2" activeTab="2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ainel_Cte (2)" sheetId="11" r:id="rId6"/>
    <sheet name="Transparência" sheetId="8" r:id="rId7"/>
    <sheet name="Planilha1" sheetId="3" r:id="rId8"/>
    <sheet name="Transparência (2)" sheetId="9" r:id="rId9"/>
    <sheet name="Índices (2)" sheetId="10" r:id="rId10"/>
    <sheet name="IPC" sheetId="6" r:id="rId11"/>
  </sheets>
  <definedNames>
    <definedName name="_xlnm._FilterDatabase" localSheetId="2" hidden="1">Índices!$A$1:$T$39</definedName>
    <definedName name="_xlnm._FilterDatabase" localSheetId="9" hidden="1">'Índices (2)'!$A$1:$T$39</definedName>
    <definedName name="_xlnm._FilterDatabase" localSheetId="7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1" i="2" l="1"/>
  <c r="T26" i="4"/>
  <c r="BD35" i="11"/>
  <c r="BD34" i="11"/>
  <c r="BD30" i="11"/>
  <c r="BD27" i="11"/>
  <c r="BD24" i="11"/>
  <c r="BD4" i="11"/>
  <c r="BD5" i="11"/>
  <c r="BD6" i="11"/>
  <c r="BD7" i="11"/>
  <c r="BD8" i="11"/>
  <c r="BD10" i="11"/>
  <c r="BD11" i="11"/>
  <c r="BD12" i="11"/>
  <c r="BD13" i="11"/>
  <c r="BD14" i="11"/>
  <c r="BD15" i="11"/>
  <c r="BD16" i="11"/>
  <c r="BD3" i="11"/>
  <c r="CN34" i="7"/>
  <c r="CN35" i="7"/>
  <c r="CN31" i="7"/>
  <c r="CN33" i="7" s="1"/>
  <c r="CN30" i="7"/>
  <c r="CN29" i="7"/>
  <c r="CN28" i="7"/>
  <c r="CN27" i="7"/>
  <c r="CN12" i="7"/>
  <c r="CN13" i="7"/>
  <c r="CN14" i="7"/>
  <c r="CN15" i="7"/>
  <c r="CN16" i="7"/>
  <c r="CN4" i="7"/>
  <c r="CN5" i="7"/>
  <c r="CN6" i="7"/>
  <c r="CN7" i="7"/>
  <c r="CN8" i="7"/>
  <c r="CN10" i="7"/>
  <c r="CN11" i="7"/>
  <c r="CN3" i="7"/>
  <c r="CN35" i="5"/>
  <c r="CN34" i="5"/>
  <c r="CN33" i="5"/>
  <c r="CN32" i="5"/>
  <c r="CN30" i="5"/>
  <c r="CN26" i="5"/>
  <c r="CN29" i="5"/>
  <c r="CN28" i="5"/>
  <c r="CN27" i="5"/>
  <c r="CN24" i="5"/>
  <c r="CN16" i="5"/>
  <c r="CN15" i="5"/>
  <c r="CN14" i="5"/>
  <c r="CN13" i="5"/>
  <c r="CN12" i="5"/>
  <c r="CN11" i="5"/>
  <c r="CN4" i="5"/>
  <c r="CN5" i="5"/>
  <c r="CN6" i="5"/>
  <c r="CN7" i="5"/>
  <c r="CN8" i="5"/>
  <c r="CN10" i="5"/>
  <c r="CN3" i="5"/>
  <c r="T54" i="2"/>
  <c r="T53" i="2"/>
  <c r="T52" i="2"/>
  <c r="CN8" i="3"/>
  <c r="T49" i="2"/>
  <c r="T48" i="2"/>
  <c r="T46" i="2"/>
  <c r="T45" i="2"/>
  <c r="T44" i="2"/>
  <c r="CN10" i="3"/>
  <c r="CN12" i="3"/>
  <c r="T20" i="2"/>
  <c r="T19" i="2"/>
  <c r="T16" i="2"/>
  <c r="T17" i="2"/>
  <c r="T18" i="2"/>
  <c r="T11" i="2"/>
  <c r="T12" i="2"/>
  <c r="T13" i="2"/>
  <c r="T14" i="2"/>
  <c r="T15" i="2"/>
  <c r="T9" i="2"/>
  <c r="T43" i="2" s="1"/>
  <c r="T10" i="2"/>
  <c r="T4" i="2"/>
  <c r="T5" i="2"/>
  <c r="T6" i="2"/>
  <c r="T7" i="2"/>
  <c r="T8" i="2"/>
  <c r="CN9" i="5" s="1"/>
  <c r="CN9" i="7" s="1"/>
  <c r="BD9" i="11" s="1"/>
  <c r="T3" i="2"/>
  <c r="T2" i="2"/>
  <c r="T10" i="4"/>
  <c r="T15" i="4"/>
  <c r="T12" i="4"/>
  <c r="T13" i="4"/>
  <c r="T14" i="4"/>
  <c r="T11" i="4"/>
  <c r="T9" i="4"/>
  <c r="T8" i="4"/>
  <c r="T3" i="4"/>
  <c r="T4" i="4"/>
  <c r="T5" i="4"/>
  <c r="T6" i="4"/>
  <c r="T7" i="4"/>
  <c r="T2" i="4"/>
  <c r="T22" i="1"/>
  <c r="T23" i="1"/>
  <c r="T18" i="1"/>
  <c r="T9" i="1"/>
  <c r="B35" i="11"/>
  <c r="B34" i="11"/>
  <c r="B33" i="11"/>
  <c r="B32" i="11"/>
  <c r="B31" i="11"/>
  <c r="B29" i="11"/>
  <c r="B28" i="11"/>
  <c r="B27" i="11"/>
  <c r="B26" i="11"/>
  <c r="B25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3" i="11"/>
  <c r="B35" i="7"/>
  <c r="B34" i="7"/>
  <c r="B33" i="7"/>
  <c r="B32" i="7"/>
  <c r="B31" i="7"/>
  <c r="B29" i="7"/>
  <c r="B28" i="7"/>
  <c r="B27" i="7"/>
  <c r="B26" i="7"/>
  <c r="B2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3" i="7"/>
  <c r="C33" i="5"/>
  <c r="D33" i="5"/>
  <c r="E33" i="5"/>
  <c r="F33" i="5"/>
  <c r="C34" i="5"/>
  <c r="D34" i="5"/>
  <c r="E34" i="5"/>
  <c r="F34" i="5"/>
  <c r="B34" i="5"/>
  <c r="B33" i="5"/>
  <c r="C32" i="5"/>
  <c r="D32" i="5"/>
  <c r="E32" i="5"/>
  <c r="F32" i="5"/>
  <c r="B32" i="5"/>
  <c r="B31" i="5"/>
  <c r="B29" i="5"/>
  <c r="B28" i="5"/>
  <c r="B27" i="5"/>
  <c r="B26" i="5"/>
  <c r="B25" i="5"/>
  <c r="B24" i="5"/>
  <c r="B16" i="5"/>
  <c r="B15" i="5"/>
  <c r="B14" i="5"/>
  <c r="B13" i="5"/>
  <c r="B12" i="5"/>
  <c r="B11" i="5"/>
  <c r="B4" i="5"/>
  <c r="B5" i="5"/>
  <c r="B6" i="5"/>
  <c r="B7" i="5"/>
  <c r="B8" i="5"/>
  <c r="B9" i="5"/>
  <c r="B10" i="5"/>
  <c r="B3" i="5"/>
  <c r="B10" i="4"/>
  <c r="B10" i="3"/>
  <c r="B54" i="2"/>
  <c r="B53" i="2"/>
  <c r="B52" i="2"/>
  <c r="B51" i="2"/>
  <c r="B49" i="2"/>
  <c r="B48" i="2"/>
  <c r="B46" i="2"/>
  <c r="B45" i="2"/>
  <c r="B43" i="2"/>
  <c r="B42" i="2"/>
  <c r="B20" i="2"/>
  <c r="B19" i="2"/>
  <c r="B10" i="2"/>
  <c r="B11" i="2"/>
  <c r="B12" i="2"/>
  <c r="B13" i="2"/>
  <c r="B14" i="2"/>
  <c r="B15" i="2"/>
  <c r="B16" i="2"/>
  <c r="B17" i="2"/>
  <c r="B18" i="2"/>
  <c r="B9" i="2"/>
  <c r="B3" i="2"/>
  <c r="B4" i="2"/>
  <c r="B5" i="2"/>
  <c r="B6" i="2"/>
  <c r="B7" i="2"/>
  <c r="B8" i="2"/>
  <c r="B2" i="2"/>
  <c r="B12" i="4"/>
  <c r="B13" i="4"/>
  <c r="B14" i="4"/>
  <c r="B15" i="4"/>
  <c r="B11" i="4"/>
  <c r="B9" i="4"/>
  <c r="B8" i="4"/>
  <c r="B3" i="4"/>
  <c r="B4" i="4"/>
  <c r="B5" i="4"/>
  <c r="B6" i="4"/>
  <c r="B7" i="4"/>
  <c r="B2" i="4"/>
  <c r="B8" i="1"/>
  <c r="Q49" i="2"/>
  <c r="P49" i="2"/>
  <c r="O49" i="2"/>
  <c r="K49" i="2"/>
  <c r="C49" i="2"/>
  <c r="G49" i="2"/>
  <c r="Q31" i="11"/>
  <c r="Q4" i="11"/>
  <c r="Q5" i="11"/>
  <c r="Q6" i="11"/>
  <c r="Q3" i="11"/>
  <c r="AA31" i="7"/>
  <c r="AA14" i="7"/>
  <c r="Q14" i="11" s="1"/>
  <c r="Q32" i="11" s="1"/>
  <c r="AA4" i="7"/>
  <c r="AA5" i="7"/>
  <c r="AA6" i="7"/>
  <c r="AA8" i="7"/>
  <c r="Q8" i="11" s="1"/>
  <c r="AA3" i="7"/>
  <c r="AA32" i="5"/>
  <c r="AA24" i="5"/>
  <c r="AA16" i="5"/>
  <c r="AA16" i="7" s="1"/>
  <c r="Q16" i="11" s="1"/>
  <c r="AA15" i="5"/>
  <c r="AA15" i="7" s="1"/>
  <c r="Q15" i="11" s="1"/>
  <c r="AA14" i="5"/>
  <c r="AA13" i="5"/>
  <c r="AA13" i="7" s="1"/>
  <c r="Q13" i="11" s="1"/>
  <c r="AA12" i="5"/>
  <c r="AA28" i="5" s="1"/>
  <c r="AA11" i="5"/>
  <c r="AA33" i="5" s="1"/>
  <c r="AA4" i="5"/>
  <c r="AA5" i="5"/>
  <c r="AA6" i="5"/>
  <c r="AA7" i="5"/>
  <c r="AA7" i="7" s="1"/>
  <c r="Q7" i="11" s="1"/>
  <c r="AA8" i="5"/>
  <c r="AA9" i="5"/>
  <c r="AA9" i="7" s="1"/>
  <c r="Q9" i="11" s="1"/>
  <c r="AA10" i="5"/>
  <c r="AA10" i="7" s="1"/>
  <c r="AA3" i="5"/>
  <c r="G2" i="2"/>
  <c r="AA10" i="3"/>
  <c r="G8" i="1"/>
  <c r="G8" i="2" s="1"/>
  <c r="G52" i="2"/>
  <c r="G51" i="2"/>
  <c r="G47" i="2"/>
  <c r="G46" i="2"/>
  <c r="I43" i="2"/>
  <c r="J43" i="2"/>
  <c r="L43" i="2"/>
  <c r="M43" i="2"/>
  <c r="D43" i="2"/>
  <c r="C43" i="2"/>
  <c r="P43" i="2"/>
  <c r="O43" i="2"/>
  <c r="N43" i="2"/>
  <c r="K43" i="2"/>
  <c r="H43" i="2"/>
  <c r="G43" i="2"/>
  <c r="G20" i="2"/>
  <c r="G19" i="2"/>
  <c r="G12" i="2"/>
  <c r="G13" i="2"/>
  <c r="G14" i="2"/>
  <c r="G15" i="2"/>
  <c r="G16" i="2"/>
  <c r="G17" i="2"/>
  <c r="G18" i="2"/>
  <c r="G10" i="2"/>
  <c r="G11" i="2"/>
  <c r="G3" i="2"/>
  <c r="G4" i="2"/>
  <c r="G5" i="2"/>
  <c r="G6" i="2"/>
  <c r="G7" i="2"/>
  <c r="G9" i="2"/>
  <c r="G15" i="4"/>
  <c r="G12" i="4"/>
  <c r="G13" i="4"/>
  <c r="G14" i="4"/>
  <c r="G11" i="4"/>
  <c r="G8" i="4"/>
  <c r="G3" i="4"/>
  <c r="G4" i="4"/>
  <c r="G5" i="4"/>
  <c r="G6" i="4"/>
  <c r="G7" i="4"/>
  <c r="G2" i="4"/>
  <c r="G24" i="1"/>
  <c r="G23" i="1"/>
  <c r="G22" i="1"/>
  <c r="G15" i="1"/>
  <c r="AL30" i="11"/>
  <c r="AO31" i="11"/>
  <c r="AO4" i="11"/>
  <c r="AO5" i="11"/>
  <c r="AO6" i="11"/>
  <c r="AO3" i="11"/>
  <c r="BO31" i="7"/>
  <c r="BO4" i="7"/>
  <c r="BO5" i="7"/>
  <c r="BO6" i="7"/>
  <c r="BO7" i="7"/>
  <c r="AO7" i="11" s="1"/>
  <c r="BO16" i="7"/>
  <c r="AO16" i="11" s="1"/>
  <c r="BO3" i="7"/>
  <c r="BO31" i="5"/>
  <c r="BO16" i="5"/>
  <c r="BO15" i="5"/>
  <c r="BO15" i="7" s="1"/>
  <c r="AO15" i="11" s="1"/>
  <c r="BO14" i="5"/>
  <c r="BO32" i="5" s="1"/>
  <c r="BO13" i="5"/>
  <c r="BO13" i="7" s="1"/>
  <c r="AO13" i="11" s="1"/>
  <c r="BO12" i="5"/>
  <c r="BO12" i="7" s="1"/>
  <c r="BO11" i="5"/>
  <c r="BO11" i="7" s="1"/>
  <c r="BO4" i="5"/>
  <c r="BO5" i="5"/>
  <c r="BO6" i="5"/>
  <c r="BO7" i="5"/>
  <c r="BO30" i="5" s="1"/>
  <c r="BO30" i="7" s="1"/>
  <c r="AO30" i="11" s="1"/>
  <c r="BO8" i="5"/>
  <c r="BO8" i="7" s="1"/>
  <c r="AO8" i="11" s="1"/>
  <c r="BO9" i="5"/>
  <c r="BO9" i="7" s="1"/>
  <c r="AO9" i="11" s="1"/>
  <c r="BO10" i="5"/>
  <c r="BO10" i="7" s="1"/>
  <c r="BO3" i="5"/>
  <c r="BO10" i="3"/>
  <c r="BO12" i="3"/>
  <c r="O54" i="2"/>
  <c r="O53" i="2"/>
  <c r="O52" i="2"/>
  <c r="O51" i="2"/>
  <c r="O48" i="2"/>
  <c r="O47" i="2"/>
  <c r="O56" i="2" s="1"/>
  <c r="O57" i="2" s="1"/>
  <c r="O46" i="2"/>
  <c r="O45" i="2"/>
  <c r="O44" i="2"/>
  <c r="O28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0" i="4"/>
  <c r="O15" i="4"/>
  <c r="O12" i="4"/>
  <c r="O13" i="4"/>
  <c r="O14" i="4"/>
  <c r="O11" i="4"/>
  <c r="O9" i="4"/>
  <c r="O7" i="4"/>
  <c r="O3" i="4"/>
  <c r="O4" i="4"/>
  <c r="O5" i="4"/>
  <c r="O6" i="4"/>
  <c r="O2" i="4"/>
  <c r="O8" i="4"/>
  <c r="O24" i="1"/>
  <c r="O23" i="1"/>
  <c r="O22" i="1"/>
  <c r="O18" i="1"/>
  <c r="O3" i="1"/>
  <c r="O7" i="1"/>
  <c r="O4" i="1"/>
  <c r="O2" i="1"/>
  <c r="AR32" i="11"/>
  <c r="AR31" i="11"/>
  <c r="AR14" i="11"/>
  <c r="AR4" i="11"/>
  <c r="AR5" i="11"/>
  <c r="AR6" i="11"/>
  <c r="AR3" i="11"/>
  <c r="BT32" i="7"/>
  <c r="BT31" i="7"/>
  <c r="BT14" i="7"/>
  <c r="BT4" i="7"/>
  <c r="BT5" i="7"/>
  <c r="BT6" i="7"/>
  <c r="BT9" i="7"/>
  <c r="AR9" i="11" s="1"/>
  <c r="BT3" i="7"/>
  <c r="BT32" i="5"/>
  <c r="BT31" i="5"/>
  <c r="BT16" i="5"/>
  <c r="BT16" i="7" s="1"/>
  <c r="AR16" i="11" s="1"/>
  <c r="BT15" i="5"/>
  <c r="BT15" i="7" s="1"/>
  <c r="AR15" i="11" s="1"/>
  <c r="BT13" i="5"/>
  <c r="BT13" i="7" s="1"/>
  <c r="AR13" i="11" s="1"/>
  <c r="BT12" i="5"/>
  <c r="BT12" i="7" s="1"/>
  <c r="BT11" i="5"/>
  <c r="BT29" i="5" s="1"/>
  <c r="BT4" i="5"/>
  <c r="BT5" i="5"/>
  <c r="BT6" i="5"/>
  <c r="BT7" i="5"/>
  <c r="BT7" i="7" s="1"/>
  <c r="AR7" i="11" s="1"/>
  <c r="BT8" i="5"/>
  <c r="BT8" i="7" s="1"/>
  <c r="AR8" i="11" s="1"/>
  <c r="BT9" i="5"/>
  <c r="BT10" i="5"/>
  <c r="BT26" i="5" s="1"/>
  <c r="BT3" i="5"/>
  <c r="P54" i="2"/>
  <c r="P53" i="2"/>
  <c r="P52" i="2"/>
  <c r="P51" i="2"/>
  <c r="P48" i="2"/>
  <c r="P46" i="2"/>
  <c r="P45" i="2"/>
  <c r="P44" i="2"/>
  <c r="P28" i="2"/>
  <c r="P20" i="2"/>
  <c r="P19" i="2"/>
  <c r="P13" i="2"/>
  <c r="P14" i="2"/>
  <c r="P15" i="2"/>
  <c r="P16" i="2"/>
  <c r="P17" i="2"/>
  <c r="P18" i="2"/>
  <c r="P12" i="2"/>
  <c r="P11" i="2"/>
  <c r="P10" i="2"/>
  <c r="P9" i="2"/>
  <c r="P8" i="2"/>
  <c r="P4" i="2"/>
  <c r="P5" i="2"/>
  <c r="P6" i="2"/>
  <c r="P7" i="2"/>
  <c r="P3" i="2"/>
  <c r="P2" i="2"/>
  <c r="P10" i="4"/>
  <c r="P15" i="4"/>
  <c r="P12" i="4"/>
  <c r="P13" i="4"/>
  <c r="P14" i="4"/>
  <c r="P11" i="4"/>
  <c r="P9" i="4"/>
  <c r="P8" i="4"/>
  <c r="P3" i="4"/>
  <c r="P4" i="4"/>
  <c r="P5" i="4"/>
  <c r="P6" i="4"/>
  <c r="P7" i="4"/>
  <c r="P2" i="4"/>
  <c r="P24" i="1"/>
  <c r="P23" i="1"/>
  <c r="P22" i="1"/>
  <c r="P8" i="1"/>
  <c r="P3" i="1"/>
  <c r="E8" i="1"/>
  <c r="E7" i="1"/>
  <c r="C27" i="1"/>
  <c r="BD31" i="11" l="1"/>
  <c r="CN32" i="7"/>
  <c r="BT33" i="5"/>
  <c r="BO33" i="5"/>
  <c r="AA29" i="5"/>
  <c r="BT34" i="5"/>
  <c r="O42" i="2"/>
  <c r="AA30" i="5"/>
  <c r="AA30" i="7" s="1"/>
  <c r="Q30" i="11" s="1"/>
  <c r="AA11" i="7"/>
  <c r="AA29" i="7" s="1"/>
  <c r="BT24" i="5"/>
  <c r="BT11" i="7"/>
  <c r="BO24" i="5"/>
  <c r="BT10" i="7"/>
  <c r="BO27" i="5"/>
  <c r="BT30" i="5"/>
  <c r="BT30" i="7" s="1"/>
  <c r="AR30" i="11" s="1"/>
  <c r="BO29" i="5"/>
  <c r="BT28" i="7"/>
  <c r="BT27" i="7"/>
  <c r="AR12" i="11"/>
  <c r="BO28" i="7"/>
  <c r="BO27" i="7"/>
  <c r="AO12" i="11"/>
  <c r="BT27" i="5"/>
  <c r="BO35" i="5"/>
  <c r="BT28" i="5"/>
  <c r="BT35" i="7"/>
  <c r="BO28" i="5"/>
  <c r="AA26" i="7"/>
  <c r="Q10" i="11"/>
  <c r="Q26" i="11" s="1"/>
  <c r="BO35" i="7"/>
  <c r="AO11" i="11"/>
  <c r="BO34" i="7"/>
  <c r="BO33" i="7"/>
  <c r="BO29" i="7"/>
  <c r="AO10" i="11"/>
  <c r="BO26" i="7"/>
  <c r="BO25" i="7"/>
  <c r="AA32" i="7"/>
  <c r="BO14" i="7"/>
  <c r="AA12" i="7"/>
  <c r="AA33" i="7"/>
  <c r="BT25" i="5"/>
  <c r="BT25" i="7"/>
  <c r="BT33" i="7"/>
  <c r="BT34" i="7"/>
  <c r="BO25" i="5"/>
  <c r="AA34" i="5"/>
  <c r="BO26" i="5"/>
  <c r="BO34" i="5"/>
  <c r="AA26" i="5"/>
  <c r="AA27" i="5"/>
  <c r="G10" i="4"/>
  <c r="G9" i="4"/>
  <c r="O8" i="1"/>
  <c r="BD33" i="11" l="1"/>
  <c r="BD32" i="11"/>
  <c r="Q11" i="11"/>
  <c r="Q29" i="11" s="1"/>
  <c r="BT26" i="7"/>
  <c r="AR10" i="11"/>
  <c r="BT29" i="7"/>
  <c r="AR11" i="11"/>
  <c r="AO27" i="11"/>
  <c r="AO28" i="11"/>
  <c r="AR28" i="11"/>
  <c r="AR27" i="11"/>
  <c r="AO26" i="11"/>
  <c r="AO25" i="11"/>
  <c r="AA28" i="7"/>
  <c r="AA27" i="7"/>
  <c r="Q12" i="11"/>
  <c r="BO32" i="7"/>
  <c r="AO14" i="11"/>
  <c r="AO32" i="11" s="1"/>
  <c r="Q33" i="11"/>
  <c r="AO33" i="11"/>
  <c r="AO29" i="11"/>
  <c r="AR33" i="11" l="1"/>
  <c r="AR29" i="11"/>
  <c r="AR26" i="11"/>
  <c r="AR25" i="11"/>
  <c r="Q28" i="11"/>
  <c r="Q27" i="11"/>
  <c r="D27" i="1" l="1"/>
  <c r="M7" i="7"/>
  <c r="N7" i="7"/>
  <c r="O7" i="7"/>
  <c r="P7" i="7"/>
  <c r="M27" i="7"/>
  <c r="N27" i="7"/>
  <c r="O27" i="7"/>
  <c r="P27" i="7"/>
  <c r="L28" i="7"/>
  <c r="J7" i="11"/>
  <c r="I7" i="11"/>
  <c r="H7" i="11"/>
  <c r="H27" i="11" s="1"/>
  <c r="E31" i="11"/>
  <c r="E15" i="11"/>
  <c r="E4" i="11"/>
  <c r="E5" i="11"/>
  <c r="E6" i="11"/>
  <c r="E3" i="11"/>
  <c r="H9" i="11"/>
  <c r="H10" i="11"/>
  <c r="H11" i="11"/>
  <c r="H12" i="11"/>
  <c r="H13" i="11"/>
  <c r="H14" i="11"/>
  <c r="H8" i="11"/>
  <c r="H4" i="11"/>
  <c r="H5" i="11"/>
  <c r="H6" i="11"/>
  <c r="H3" i="11"/>
  <c r="H7" i="7"/>
  <c r="I7" i="7"/>
  <c r="J7" i="7"/>
  <c r="K7" i="7"/>
  <c r="H8" i="7"/>
  <c r="I8" i="7"/>
  <c r="J8" i="7"/>
  <c r="K8" i="7"/>
  <c r="G4" i="7"/>
  <c r="G5" i="7"/>
  <c r="G6" i="7"/>
  <c r="G7" i="7"/>
  <c r="G15" i="7"/>
  <c r="G3" i="7"/>
  <c r="G31" i="7"/>
  <c r="H31" i="7"/>
  <c r="G31" i="5"/>
  <c r="G29" i="5"/>
  <c r="G24" i="5"/>
  <c r="G16" i="5"/>
  <c r="E16" i="11" s="1"/>
  <c r="G15" i="5"/>
  <c r="G14" i="5"/>
  <c r="G14" i="7" s="1"/>
  <c r="G13" i="5"/>
  <c r="E13" i="11" s="1"/>
  <c r="G11" i="5"/>
  <c r="E11" i="11" s="1"/>
  <c r="E33" i="11" s="1"/>
  <c r="G10" i="5"/>
  <c r="G26" i="5" s="1"/>
  <c r="G4" i="5"/>
  <c r="G5" i="5"/>
  <c r="G6" i="5"/>
  <c r="G7" i="5"/>
  <c r="G8" i="5"/>
  <c r="G8" i="7" s="1"/>
  <c r="G9" i="5"/>
  <c r="E9" i="11" s="1"/>
  <c r="G3" i="5"/>
  <c r="G10" i="3"/>
  <c r="G12" i="3"/>
  <c r="G11" i="3"/>
  <c r="D52" i="2"/>
  <c r="D48" i="2"/>
  <c r="U48" i="2" s="1"/>
  <c r="D47" i="2"/>
  <c r="D42" i="2" s="1"/>
  <c r="D46" i="2"/>
  <c r="D41" i="2"/>
  <c r="D40" i="2"/>
  <c r="D20" i="2"/>
  <c r="D16" i="2"/>
  <c r="U16" i="2" s="1"/>
  <c r="D17" i="2"/>
  <c r="D18" i="2"/>
  <c r="D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U15" i="2" s="1"/>
  <c r="D2" i="2"/>
  <c r="C10" i="4"/>
  <c r="C15" i="4"/>
  <c r="C12" i="4"/>
  <c r="C13" i="4"/>
  <c r="C14" i="4"/>
  <c r="C11" i="4"/>
  <c r="C9" i="4"/>
  <c r="C8" i="4"/>
  <c r="C3" i="4"/>
  <c r="C4" i="4"/>
  <c r="C5" i="4"/>
  <c r="C6" i="4"/>
  <c r="C7" i="4"/>
  <c r="C2" i="4"/>
  <c r="C18" i="1"/>
  <c r="C8" i="1"/>
  <c r="L32" i="7"/>
  <c r="L31" i="7"/>
  <c r="M30" i="7"/>
  <c r="N30" i="7"/>
  <c r="O30" i="7"/>
  <c r="P30" i="7"/>
  <c r="L30" i="7"/>
  <c r="L27" i="7"/>
  <c r="L26" i="7"/>
  <c r="L3" i="5"/>
  <c r="L3" i="7" s="1"/>
  <c r="L7" i="5"/>
  <c r="L4" i="7"/>
  <c r="L5" i="7"/>
  <c r="L6" i="7"/>
  <c r="L8" i="7"/>
  <c r="L9" i="7"/>
  <c r="L10" i="7"/>
  <c r="L12" i="7"/>
  <c r="L13" i="7"/>
  <c r="L14" i="7"/>
  <c r="L16" i="7"/>
  <c r="L25" i="7" s="1"/>
  <c r="L32" i="5"/>
  <c r="L31" i="5"/>
  <c r="L28" i="5"/>
  <c r="L26" i="5"/>
  <c r="L25" i="5"/>
  <c r="L16" i="5"/>
  <c r="H16" i="11" s="1"/>
  <c r="H25" i="11" s="1"/>
  <c r="L15" i="5"/>
  <c r="H15" i="11" s="1"/>
  <c r="L13" i="5"/>
  <c r="L12" i="5"/>
  <c r="L11" i="5"/>
  <c r="L29" i="5" s="1"/>
  <c r="L10" i="5"/>
  <c r="L5" i="5"/>
  <c r="L6" i="5"/>
  <c r="L8" i="5"/>
  <c r="L9" i="5"/>
  <c r="L4" i="5"/>
  <c r="C51" i="2"/>
  <c r="U49" i="2"/>
  <c r="C48" i="2"/>
  <c r="C47" i="2"/>
  <c r="C42" i="2" s="1"/>
  <c r="C20" i="2"/>
  <c r="C19" i="2"/>
  <c r="C17" i="2"/>
  <c r="C18" i="2"/>
  <c r="C12" i="2"/>
  <c r="C13" i="2"/>
  <c r="C14" i="2"/>
  <c r="C15" i="2"/>
  <c r="C16" i="2"/>
  <c r="C9" i="2"/>
  <c r="C10" i="2"/>
  <c r="C8" i="2"/>
  <c r="U8" i="2" s="1"/>
  <c r="C4" i="2"/>
  <c r="C5" i="2"/>
  <c r="C6" i="2"/>
  <c r="C7" i="2"/>
  <c r="C3" i="2"/>
  <c r="C2" i="2"/>
  <c r="D9" i="4"/>
  <c r="D15" i="4"/>
  <c r="D10" i="4" s="1"/>
  <c r="D14" i="4"/>
  <c r="D12" i="4"/>
  <c r="D13" i="4"/>
  <c r="D11" i="4"/>
  <c r="D3" i="4"/>
  <c r="D4" i="4"/>
  <c r="D5" i="4"/>
  <c r="D6" i="4"/>
  <c r="D7" i="4"/>
  <c r="D2" i="4"/>
  <c r="D28" i="1"/>
  <c r="D24" i="1"/>
  <c r="D23" i="1"/>
  <c r="D22" i="1"/>
  <c r="D11" i="1"/>
  <c r="C11" i="2" s="1"/>
  <c r="D7" i="1"/>
  <c r="D8" i="1" s="1"/>
  <c r="D3" i="1"/>
  <c r="J20" i="2"/>
  <c r="J9" i="4"/>
  <c r="Q10" i="4"/>
  <c r="Q16" i="4"/>
  <c r="K18" i="1"/>
  <c r="N17" i="1"/>
  <c r="N18" i="1"/>
  <c r="U3" i="2"/>
  <c r="U4" i="2"/>
  <c r="U5" i="2"/>
  <c r="U6" i="2"/>
  <c r="U7" i="2"/>
  <c r="U9" i="2"/>
  <c r="U12" i="2"/>
  <c r="U13" i="2"/>
  <c r="U14" i="2"/>
  <c r="U19" i="2"/>
  <c r="U21" i="2"/>
  <c r="U23" i="2"/>
  <c r="U24" i="2"/>
  <c r="U25" i="2"/>
  <c r="U26" i="2"/>
  <c r="U27" i="2"/>
  <c r="U29" i="2"/>
  <c r="U30" i="2"/>
  <c r="U31" i="2"/>
  <c r="U32" i="2"/>
  <c r="U33" i="2"/>
  <c r="U34" i="2"/>
  <c r="U35" i="2"/>
  <c r="U36" i="2"/>
  <c r="U38" i="2"/>
  <c r="U39" i="2"/>
  <c r="U50" i="2"/>
  <c r="U55" i="2"/>
  <c r="U58" i="2"/>
  <c r="U2" i="1"/>
  <c r="U28" i="1"/>
  <c r="H19" i="1"/>
  <c r="S17" i="1"/>
  <c r="S15" i="4" s="1"/>
  <c r="S10" i="4" s="1"/>
  <c r="S18" i="1"/>
  <c r="J10" i="4"/>
  <c r="J19" i="1"/>
  <c r="J51" i="2"/>
  <c r="J52" i="2"/>
  <c r="J53" i="2"/>
  <c r="J54" i="2"/>
  <c r="J50" i="2"/>
  <c r="J48" i="2"/>
  <c r="J46" i="2"/>
  <c r="J45" i="2"/>
  <c r="J21" i="2"/>
  <c r="J19" i="2"/>
  <c r="J18" i="1"/>
  <c r="J18" i="2" s="1"/>
  <c r="J16" i="2"/>
  <c r="J17" i="2"/>
  <c r="J15" i="2"/>
  <c r="J11" i="2"/>
  <c r="J12" i="2"/>
  <c r="J13" i="2"/>
  <c r="J14" i="2"/>
  <c r="J9" i="2"/>
  <c r="J10" i="2"/>
  <c r="J8" i="2"/>
  <c r="J3" i="2"/>
  <c r="J4" i="2"/>
  <c r="J5" i="2"/>
  <c r="J6" i="2"/>
  <c r="J7" i="2"/>
  <c r="J2" i="2"/>
  <c r="J15" i="4"/>
  <c r="J14" i="4"/>
  <c r="J11" i="4"/>
  <c r="J8" i="4"/>
  <c r="J3" i="4"/>
  <c r="J4" i="4"/>
  <c r="J5" i="4"/>
  <c r="J6" i="4"/>
  <c r="J7" i="4"/>
  <c r="J2" i="4"/>
  <c r="J24" i="1"/>
  <c r="J22" i="1"/>
  <c r="J12" i="1"/>
  <c r="J8" i="1"/>
  <c r="J9" i="1"/>
  <c r="J5" i="1"/>
  <c r="J6" i="1"/>
  <c r="J7" i="1"/>
  <c r="J4" i="1"/>
  <c r="J3" i="1"/>
  <c r="J2" i="1"/>
  <c r="AA33" i="11"/>
  <c r="AB33" i="11"/>
  <c r="Z33" i="11"/>
  <c r="AA32" i="11"/>
  <c r="AB32" i="11"/>
  <c r="AB31" i="11"/>
  <c r="AA31" i="11"/>
  <c r="Z31" i="11"/>
  <c r="AA30" i="11"/>
  <c r="AB30" i="11"/>
  <c r="Z30" i="11"/>
  <c r="AA29" i="11"/>
  <c r="Z29" i="11"/>
  <c r="AA28" i="11"/>
  <c r="Z28" i="11"/>
  <c r="Z26" i="11"/>
  <c r="AB24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3" i="11"/>
  <c r="Z15" i="11"/>
  <c r="Z16" i="11"/>
  <c r="Z14" i="11"/>
  <c r="Z13" i="11"/>
  <c r="Z12" i="11"/>
  <c r="Z11" i="11"/>
  <c r="Z10" i="11"/>
  <c r="Z4" i="11"/>
  <c r="Z5" i="11"/>
  <c r="Z6" i="11"/>
  <c r="Z7" i="11"/>
  <c r="Z8" i="11"/>
  <c r="Z9" i="11"/>
  <c r="Z3" i="11"/>
  <c r="AQ34" i="7"/>
  <c r="AR34" i="7"/>
  <c r="AS34" i="7"/>
  <c r="AT34" i="7"/>
  <c r="AQ35" i="7"/>
  <c r="AR35" i="7"/>
  <c r="AS35" i="7"/>
  <c r="AT35" i="7"/>
  <c r="AP35" i="7"/>
  <c r="AP34" i="7"/>
  <c r="AQ33" i="7"/>
  <c r="AR33" i="7"/>
  <c r="AS33" i="7"/>
  <c r="AT33" i="7"/>
  <c r="AP33" i="7"/>
  <c r="AR32" i="7"/>
  <c r="AQ32" i="7"/>
  <c r="AS32" i="7"/>
  <c r="AT32" i="7"/>
  <c r="AP32" i="7"/>
  <c r="AT31" i="7"/>
  <c r="AS31" i="7"/>
  <c r="AR31" i="7"/>
  <c r="AQ31" i="7"/>
  <c r="AP31" i="7"/>
  <c r="AQ28" i="7"/>
  <c r="AR28" i="7"/>
  <c r="AQ29" i="7"/>
  <c r="AR29" i="7"/>
  <c r="AP29" i="7"/>
  <c r="AP28" i="7"/>
  <c r="AT24" i="7"/>
  <c r="AS24" i="7"/>
  <c r="AR24" i="7"/>
  <c r="AQ24" i="7"/>
  <c r="AQ22" i="7"/>
  <c r="AQ21" i="7"/>
  <c r="AP13" i="7"/>
  <c r="AQ13" i="7"/>
  <c r="AR13" i="7"/>
  <c r="AS13" i="7"/>
  <c r="AT13" i="7"/>
  <c r="AP14" i="7"/>
  <c r="AQ14" i="7"/>
  <c r="AR14" i="7"/>
  <c r="AS14" i="7"/>
  <c r="AT14" i="7"/>
  <c r="AP15" i="7"/>
  <c r="AQ15" i="7"/>
  <c r="AR15" i="7"/>
  <c r="AS15" i="7"/>
  <c r="AT15" i="7"/>
  <c r="AP16" i="7"/>
  <c r="AQ16" i="7"/>
  <c r="AR16" i="7"/>
  <c r="AS16" i="7"/>
  <c r="AT16" i="7"/>
  <c r="AP12" i="7"/>
  <c r="AQ12" i="7"/>
  <c r="AR12" i="7"/>
  <c r="AS12" i="7"/>
  <c r="AT12" i="7"/>
  <c r="AP10" i="7"/>
  <c r="AQ10" i="7"/>
  <c r="AR10" i="7"/>
  <c r="AS10" i="7"/>
  <c r="AT10" i="7"/>
  <c r="AP11" i="7"/>
  <c r="AQ11" i="7"/>
  <c r="AR11" i="7"/>
  <c r="AS11" i="7"/>
  <c r="AT11" i="7"/>
  <c r="AP6" i="7"/>
  <c r="AQ6" i="7"/>
  <c r="AR6" i="7"/>
  <c r="AS6" i="7"/>
  <c r="AT6" i="7"/>
  <c r="AP7" i="7"/>
  <c r="AQ7" i="7"/>
  <c r="AR7" i="7"/>
  <c r="AS7" i="7"/>
  <c r="AT7" i="7"/>
  <c r="AP8" i="7"/>
  <c r="AQ8" i="7"/>
  <c r="AR8" i="7"/>
  <c r="AS8" i="7"/>
  <c r="AT8" i="7"/>
  <c r="AP9" i="7"/>
  <c r="AQ9" i="7"/>
  <c r="AR9" i="7"/>
  <c r="AS9" i="7"/>
  <c r="AT9" i="7"/>
  <c r="AP4" i="7"/>
  <c r="AQ4" i="7"/>
  <c r="AR4" i="7"/>
  <c r="AS4" i="7"/>
  <c r="AT4" i="7"/>
  <c r="AP5" i="7"/>
  <c r="AQ5" i="7"/>
  <c r="AR5" i="7"/>
  <c r="AS5" i="7"/>
  <c r="AT5" i="7"/>
  <c r="AT3" i="7"/>
  <c r="AS3" i="7"/>
  <c r="AR3" i="7"/>
  <c r="AQ3" i="7"/>
  <c r="AP3" i="7"/>
  <c r="AQ34" i="5"/>
  <c r="AR34" i="5"/>
  <c r="AS34" i="5"/>
  <c r="AT34" i="5"/>
  <c r="AQ35" i="5"/>
  <c r="AR35" i="5"/>
  <c r="AS35" i="5"/>
  <c r="AT35" i="5"/>
  <c r="AP35" i="5"/>
  <c r="AP34" i="5"/>
  <c r="AQ33" i="5"/>
  <c r="AR33" i="5"/>
  <c r="AS33" i="5"/>
  <c r="AT33" i="5"/>
  <c r="AP33" i="5"/>
  <c r="AQ32" i="5"/>
  <c r="AR32" i="5"/>
  <c r="AS32" i="5"/>
  <c r="AT32" i="5"/>
  <c r="AP32" i="5"/>
  <c r="AG32" i="5"/>
  <c r="AH32" i="5"/>
  <c r="AI32" i="5"/>
  <c r="AJ32" i="5"/>
  <c r="AS10" i="3"/>
  <c r="AT10" i="3"/>
  <c r="AR10" i="3"/>
  <c r="AQ10" i="3"/>
  <c r="AP10" i="3"/>
  <c r="AQ12" i="3"/>
  <c r="AP12" i="3"/>
  <c r="AQ8" i="3"/>
  <c r="AR8" i="3"/>
  <c r="AS8" i="3"/>
  <c r="AT8" i="3"/>
  <c r="AP8" i="3"/>
  <c r="AT9" i="5"/>
  <c r="AS9" i="5"/>
  <c r="AR9" i="5"/>
  <c r="AP29" i="5"/>
  <c r="AP28" i="5"/>
  <c r="AP26" i="5"/>
  <c r="AP24" i="5"/>
  <c r="AQ9" i="5"/>
  <c r="AP9" i="5"/>
  <c r="AU9" i="5"/>
  <c r="AV9" i="5"/>
  <c r="AW9" i="5"/>
  <c r="AX9" i="5"/>
  <c r="AY9" i="5"/>
  <c r="AX31" i="11"/>
  <c r="BA32" i="11"/>
  <c r="CI31" i="7"/>
  <c r="CI33" i="5"/>
  <c r="CI32" i="5"/>
  <c r="BA30" i="11"/>
  <c r="CI32" i="7"/>
  <c r="BA14" i="11"/>
  <c r="BA4" i="11"/>
  <c r="BA5" i="11"/>
  <c r="BA6" i="11"/>
  <c r="BA3" i="11"/>
  <c r="CI14" i="7"/>
  <c r="CI15" i="7"/>
  <c r="CI16" i="7"/>
  <c r="CI5" i="7"/>
  <c r="CI6" i="7"/>
  <c r="CI4" i="7"/>
  <c r="CI16" i="5"/>
  <c r="BA16" i="11" s="1"/>
  <c r="CI15" i="5"/>
  <c r="BA15" i="11" s="1"/>
  <c r="CI13" i="5"/>
  <c r="BA13" i="11" s="1"/>
  <c r="CI12" i="5"/>
  <c r="CI35" i="5" s="1"/>
  <c r="CI9" i="5"/>
  <c r="BA9" i="11" s="1"/>
  <c r="CI10" i="5"/>
  <c r="BA10" i="11" s="1"/>
  <c r="CI11" i="5"/>
  <c r="CI11" i="7" s="1"/>
  <c r="CI4" i="5"/>
  <c r="CI5" i="5"/>
  <c r="CI6" i="5"/>
  <c r="CI7" i="5"/>
  <c r="BA7" i="11" s="1"/>
  <c r="CI8" i="5"/>
  <c r="BA8" i="11" s="1"/>
  <c r="CI3" i="5"/>
  <c r="S48" i="2"/>
  <c r="S47" i="2"/>
  <c r="S46" i="2"/>
  <c r="S43" i="2"/>
  <c r="S42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4"/>
  <c r="L15" i="7" l="1"/>
  <c r="G11" i="7"/>
  <c r="G16" i="7"/>
  <c r="G33" i="5"/>
  <c r="G33" i="7" s="1"/>
  <c r="CI3" i="7"/>
  <c r="BA11" i="11"/>
  <c r="BA33" i="11" s="1"/>
  <c r="BA25" i="11"/>
  <c r="CI7" i="7"/>
  <c r="CI13" i="7"/>
  <c r="CI9" i="7"/>
  <c r="G13" i="7"/>
  <c r="CI8" i="7"/>
  <c r="E14" i="11"/>
  <c r="E32" i="11" s="1"/>
  <c r="BA12" i="11"/>
  <c r="G32" i="5"/>
  <c r="G32" i="7" s="1"/>
  <c r="G10" i="7"/>
  <c r="G9" i="7"/>
  <c r="CI12" i="7"/>
  <c r="CI34" i="5"/>
  <c r="G25" i="5"/>
  <c r="E10" i="11"/>
  <c r="CI10" i="7"/>
  <c r="CI25" i="7" s="1"/>
  <c r="CI33" i="7"/>
  <c r="U11" i="2"/>
  <c r="C46" i="2"/>
  <c r="C52" i="2"/>
  <c r="L11" i="7"/>
  <c r="L24" i="5"/>
  <c r="L34" i="5"/>
  <c r="U10" i="2"/>
  <c r="L33" i="5"/>
  <c r="U2" i="2"/>
  <c r="L30" i="5"/>
  <c r="L27" i="5"/>
  <c r="L7" i="7"/>
  <c r="U20" i="2"/>
  <c r="S17" i="2"/>
  <c r="Z32" i="11"/>
  <c r="BA31" i="11"/>
  <c r="S13" i="4"/>
  <c r="S14" i="4"/>
  <c r="S12" i="4"/>
  <c r="S11" i="4"/>
  <c r="S9" i="4"/>
  <c r="S8" i="4"/>
  <c r="S3" i="4"/>
  <c r="S4" i="4"/>
  <c r="S5" i="4"/>
  <c r="S6" i="4"/>
  <c r="S7" i="4"/>
  <c r="S2" i="4"/>
  <c r="S22" i="1"/>
  <c r="S16" i="1"/>
  <c r="S12" i="1"/>
  <c r="S10" i="1"/>
  <c r="S8" i="1"/>
  <c r="G26" i="7" l="1"/>
  <c r="G25" i="7"/>
  <c r="BA35" i="11"/>
  <c r="BA34" i="11"/>
  <c r="BA27" i="11"/>
  <c r="E26" i="11"/>
  <c r="E25" i="11"/>
  <c r="CI34" i="7"/>
  <c r="CI27" i="7"/>
  <c r="CI35" i="7"/>
  <c r="L29" i="7"/>
  <c r="L33" i="7"/>
  <c r="H8" i="1"/>
  <c r="U27" i="1"/>
  <c r="U25" i="1" l="1"/>
  <c r="U26" i="1"/>
  <c r="U31" i="11" l="1"/>
  <c r="V31" i="11"/>
  <c r="T31" i="11"/>
  <c r="T10" i="11"/>
  <c r="T13" i="11"/>
  <c r="T15" i="11"/>
  <c r="T16" i="11"/>
  <c r="AJ31" i="7"/>
  <c r="AI31" i="7"/>
  <c r="AH31" i="7"/>
  <c r="AG31" i="7"/>
  <c r="AF31" i="7"/>
  <c r="AF15" i="7"/>
  <c r="AF16" i="7"/>
  <c r="AF13" i="7"/>
  <c r="AF31" i="5"/>
  <c r="AF16" i="5"/>
  <c r="AF15" i="5"/>
  <c r="AF14" i="5"/>
  <c r="AF32" i="5" s="1"/>
  <c r="AF13" i="5"/>
  <c r="AF11" i="5"/>
  <c r="T11" i="11" s="1"/>
  <c r="AF10" i="5"/>
  <c r="AF10" i="7" s="1"/>
  <c r="AF5" i="5"/>
  <c r="T5" i="11" s="1"/>
  <c r="H52" i="2"/>
  <c r="H51" i="2"/>
  <c r="H47" i="2"/>
  <c r="H42" i="2" s="1"/>
  <c r="H46" i="2"/>
  <c r="H45" i="2"/>
  <c r="AF10" i="3"/>
  <c r="AF11" i="3"/>
  <c r="H28" i="2"/>
  <c r="H54" i="2" s="1"/>
  <c r="H20" i="2"/>
  <c r="N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AF6" i="5" s="1"/>
  <c r="H4" i="2"/>
  <c r="H3" i="2"/>
  <c r="AF4" i="5" s="1"/>
  <c r="H2" i="2"/>
  <c r="AF3" i="5" s="1"/>
  <c r="AF3" i="7" s="1"/>
  <c r="H16" i="4"/>
  <c r="H15" i="4"/>
  <c r="H21" i="1"/>
  <c r="H17" i="1"/>
  <c r="H18" i="1"/>
  <c r="H15" i="1"/>
  <c r="H14" i="1"/>
  <c r="H13" i="1"/>
  <c r="H12" i="1"/>
  <c r="H11" i="1"/>
  <c r="H9" i="1"/>
  <c r="R17" i="1"/>
  <c r="R17" i="2" s="1"/>
  <c r="CH12" i="5"/>
  <c r="CH34" i="5" s="1"/>
  <c r="CG12" i="5"/>
  <c r="CG35" i="5" s="1"/>
  <c r="CF12" i="5"/>
  <c r="CD12" i="5"/>
  <c r="CD12" i="7" s="1"/>
  <c r="CH8" i="7"/>
  <c r="CG8" i="7"/>
  <c r="CF8" i="7"/>
  <c r="CE8" i="7"/>
  <c r="CD8" i="7"/>
  <c r="CG32" i="5"/>
  <c r="CH33" i="5"/>
  <c r="CH32" i="5"/>
  <c r="CG33" i="5"/>
  <c r="CF35" i="5"/>
  <c r="CF34" i="5"/>
  <c r="CF33" i="5"/>
  <c r="CF32" i="5"/>
  <c r="CE35" i="5"/>
  <c r="CE34" i="5"/>
  <c r="CE33" i="5"/>
  <c r="CE32" i="5"/>
  <c r="CD35" i="5"/>
  <c r="CD35" i="7" s="1"/>
  <c r="CD33" i="5"/>
  <c r="CD33" i="7" s="1"/>
  <c r="CD32" i="5"/>
  <c r="CD32" i="7" s="1"/>
  <c r="CD29" i="5"/>
  <c r="CD28" i="5"/>
  <c r="CD27" i="5"/>
  <c r="CD26" i="5"/>
  <c r="CD25" i="5"/>
  <c r="CD24" i="5"/>
  <c r="CD31" i="7"/>
  <c r="CD13" i="7"/>
  <c r="CD14" i="7"/>
  <c r="CD15" i="7"/>
  <c r="CD16" i="7"/>
  <c r="CD10" i="7"/>
  <c r="CD11" i="7"/>
  <c r="CD9" i="7"/>
  <c r="CD5" i="7"/>
  <c r="CD4" i="7"/>
  <c r="CD3" i="7"/>
  <c r="CG6" i="3"/>
  <c r="CF6" i="3"/>
  <c r="CH13" i="3"/>
  <c r="CG13" i="3"/>
  <c r="CE13" i="3"/>
  <c r="CF13" i="3"/>
  <c r="R54" i="2"/>
  <c r="R53" i="2"/>
  <c r="R52" i="2"/>
  <c r="R51" i="2"/>
  <c r="R48" i="2"/>
  <c r="R46" i="2"/>
  <c r="R45" i="2"/>
  <c r="R44" i="2"/>
  <c r="R43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0" i="4"/>
  <c r="R22" i="1"/>
  <c r="R19" i="1"/>
  <c r="R10" i="1"/>
  <c r="R9" i="4"/>
  <c r="R18" i="1"/>
  <c r="R16" i="1"/>
  <c r="R8" i="1"/>
  <c r="CD10" i="3"/>
  <c r="CD13" i="3"/>
  <c r="CD12" i="3"/>
  <c r="CE6" i="3"/>
  <c r="CE10" i="5"/>
  <c r="CD9" i="5"/>
  <c r="T14" i="11" l="1"/>
  <c r="T32" i="11" s="1"/>
  <c r="T25" i="11"/>
  <c r="AF24" i="5"/>
  <c r="AF14" i="7"/>
  <c r="AF32" i="7" s="1"/>
  <c r="T29" i="11"/>
  <c r="T33" i="11"/>
  <c r="AF26" i="7"/>
  <c r="AF25" i="7"/>
  <c r="AF25" i="5"/>
  <c r="AF26" i="5"/>
  <c r="T26" i="11"/>
  <c r="AF12" i="5"/>
  <c r="AF29" i="5"/>
  <c r="AF11" i="7"/>
  <c r="H53" i="2"/>
  <c r="AF33" i="5"/>
  <c r="T4" i="11"/>
  <c r="AF4" i="7"/>
  <c r="T6" i="11"/>
  <c r="AF6" i="7"/>
  <c r="AF5" i="7"/>
  <c r="AF9" i="5"/>
  <c r="T3" i="11"/>
  <c r="CH35" i="5"/>
  <c r="CG34" i="5"/>
  <c r="CD34" i="5"/>
  <c r="CD34" i="7" s="1"/>
  <c r="W15" i="7"/>
  <c r="X15" i="7"/>
  <c r="Y15" i="7"/>
  <c r="Z15" i="7"/>
  <c r="W16" i="7"/>
  <c r="X16" i="7"/>
  <c r="Y16" i="7"/>
  <c r="Z16" i="7"/>
  <c r="W13" i="7"/>
  <c r="X13" i="7"/>
  <c r="Y13" i="7"/>
  <c r="Z13" i="7"/>
  <c r="W14" i="7"/>
  <c r="X14" i="7"/>
  <c r="Y14" i="7"/>
  <c r="Z14" i="7"/>
  <c r="W12" i="7"/>
  <c r="X12" i="7"/>
  <c r="Y12" i="7"/>
  <c r="Z12" i="7"/>
  <c r="W11" i="7"/>
  <c r="X11" i="7"/>
  <c r="Y11" i="7"/>
  <c r="Z11" i="7"/>
  <c r="Z10" i="7"/>
  <c r="Y10" i="7"/>
  <c r="X10" i="7"/>
  <c r="W10" i="7"/>
  <c r="X9" i="7"/>
  <c r="Y9" i="7"/>
  <c r="Z9" i="7"/>
  <c r="W9" i="7"/>
  <c r="W6" i="7"/>
  <c r="X6" i="7"/>
  <c r="Y6" i="7"/>
  <c r="Z6" i="7"/>
  <c r="W7" i="7"/>
  <c r="X7" i="7"/>
  <c r="Y7" i="7"/>
  <c r="Z7" i="7"/>
  <c r="W8" i="7"/>
  <c r="X8" i="7"/>
  <c r="Y8" i="7"/>
  <c r="Z8" i="7"/>
  <c r="W4" i="7"/>
  <c r="X4" i="7"/>
  <c r="Y4" i="7"/>
  <c r="Z4" i="7"/>
  <c r="W5" i="7"/>
  <c r="X5" i="7"/>
  <c r="Y5" i="7"/>
  <c r="Z5" i="7"/>
  <c r="X3" i="7"/>
  <c r="Y3" i="7"/>
  <c r="Z3" i="7"/>
  <c r="W3" i="7"/>
  <c r="Y30" i="5"/>
  <c r="Z30" i="5"/>
  <c r="X30" i="5"/>
  <c r="Z12" i="3"/>
  <c r="Z10" i="3" s="1"/>
  <c r="Y10" i="3"/>
  <c r="Y12" i="3"/>
  <c r="X10" i="3"/>
  <c r="X12" i="3"/>
  <c r="Z8" i="3"/>
  <c r="Z4" i="3"/>
  <c r="Z12" i="5"/>
  <c r="Y9" i="5"/>
  <c r="Z9" i="5"/>
  <c r="X3" i="5"/>
  <c r="X9" i="5" s="1"/>
  <c r="Y3" i="5"/>
  <c r="Z3" i="5"/>
  <c r="Y8" i="3"/>
  <c r="X8" i="3"/>
  <c r="Y4" i="3"/>
  <c r="X4" i="3"/>
  <c r="Y12" i="5"/>
  <c r="Y28" i="5" s="1"/>
  <c r="X12" i="5"/>
  <c r="X7" i="5"/>
  <c r="P21" i="11"/>
  <c r="P22" i="11" s="1"/>
  <c r="O21" i="11"/>
  <c r="O22" i="11" s="1"/>
  <c r="W22" i="7"/>
  <c r="X22" i="7"/>
  <c r="Z22" i="7"/>
  <c r="X21" i="7"/>
  <c r="Y21" i="7"/>
  <c r="Z21" i="7"/>
  <c r="W21" i="7"/>
  <c r="AA24" i="11"/>
  <c r="AA22" i="11"/>
  <c r="AW37" i="11"/>
  <c r="AV37" i="11"/>
  <c r="AU37" i="11"/>
  <c r="AW36" i="11"/>
  <c r="AV36" i="11"/>
  <c r="AU36" i="11"/>
  <c r="BF31" i="11"/>
  <c r="BE31" i="11"/>
  <c r="BC31" i="11"/>
  <c r="BB31" i="11"/>
  <c r="AZ31" i="11"/>
  <c r="AY31" i="11"/>
  <c r="AW31" i="11"/>
  <c r="AV31" i="11"/>
  <c r="AT31" i="11"/>
  <c r="AS31" i="11"/>
  <c r="AQ31" i="11"/>
  <c r="AP31" i="11"/>
  <c r="AN31" i="11"/>
  <c r="AM31" i="11"/>
  <c r="AL31" i="11"/>
  <c r="AK31" i="11"/>
  <c r="AJ31" i="11"/>
  <c r="AH31" i="11"/>
  <c r="AG31" i="11"/>
  <c r="AE31" i="11"/>
  <c r="AE32" i="11" s="1"/>
  <c r="AD31" i="11"/>
  <c r="AC31" i="11"/>
  <c r="AC32" i="11" s="1"/>
  <c r="G31" i="11"/>
  <c r="F31" i="11"/>
  <c r="D31" i="11"/>
  <c r="C31" i="11"/>
  <c r="BC30" i="11"/>
  <c r="BB30" i="11"/>
  <c r="AZ30" i="11"/>
  <c r="AY30" i="11"/>
  <c r="AW30" i="11"/>
  <c r="AV30" i="11"/>
  <c r="BA29" i="11"/>
  <c r="AX29" i="11"/>
  <c r="P29" i="11"/>
  <c r="O29" i="11"/>
  <c r="BA28" i="11"/>
  <c r="AX28" i="11"/>
  <c r="P28" i="11"/>
  <c r="O28" i="11"/>
  <c r="BA26" i="11"/>
  <c r="AX26" i="11"/>
  <c r="P26" i="11"/>
  <c r="O26" i="11"/>
  <c r="BA24" i="11"/>
  <c r="AX24" i="11"/>
  <c r="AR24" i="11"/>
  <c r="AO24" i="11"/>
  <c r="AI24" i="11"/>
  <c r="AF24" i="11"/>
  <c r="Z24" i="11"/>
  <c r="W24" i="11"/>
  <c r="T24" i="11"/>
  <c r="Q24" i="11"/>
  <c r="P24" i="11"/>
  <c r="O24" i="11"/>
  <c r="N24" i="11"/>
  <c r="K24" i="11"/>
  <c r="H24" i="11"/>
  <c r="E24" i="11"/>
  <c r="B24" i="11"/>
  <c r="BF23" i="11"/>
  <c r="BE23" i="11"/>
  <c r="BC23" i="11"/>
  <c r="BB23" i="11"/>
  <c r="AZ23" i="11"/>
  <c r="AY23" i="11"/>
  <c r="AW23" i="11"/>
  <c r="AV23" i="11"/>
  <c r="AT23" i="11"/>
  <c r="AS23" i="11"/>
  <c r="AQ23" i="11"/>
  <c r="AP23" i="11"/>
  <c r="AN23" i="11"/>
  <c r="AM23" i="11"/>
  <c r="AK23" i="11"/>
  <c r="AJ23" i="11"/>
  <c r="AH23" i="11"/>
  <c r="AG23" i="11"/>
  <c r="AE23" i="11"/>
  <c r="AD23" i="11"/>
  <c r="AB23" i="11"/>
  <c r="AA23" i="11"/>
  <c r="Y23" i="11"/>
  <c r="X23" i="11"/>
  <c r="V23" i="11"/>
  <c r="U23" i="11"/>
  <c r="S23" i="11"/>
  <c r="R23" i="11"/>
  <c r="P23" i="11"/>
  <c r="O23" i="11"/>
  <c r="M23" i="11"/>
  <c r="L23" i="11"/>
  <c r="J23" i="11"/>
  <c r="I23" i="11"/>
  <c r="G23" i="11"/>
  <c r="F23" i="11"/>
  <c r="D23" i="11"/>
  <c r="C23" i="11"/>
  <c r="BF22" i="11"/>
  <c r="BE22" i="11"/>
  <c r="BC22" i="11"/>
  <c r="BB22" i="11"/>
  <c r="AZ22" i="11"/>
  <c r="AY22" i="11"/>
  <c r="AW22" i="11"/>
  <c r="AV22" i="11"/>
  <c r="AT22" i="11"/>
  <c r="AS22" i="11"/>
  <c r="AQ22" i="11"/>
  <c r="AP22" i="11"/>
  <c r="AN22" i="11"/>
  <c r="AM22" i="11"/>
  <c r="AK22" i="11"/>
  <c r="AJ22" i="11"/>
  <c r="AH22" i="11"/>
  <c r="AG22" i="11"/>
  <c r="AE22" i="11"/>
  <c r="AD22" i="11"/>
  <c r="Y22" i="11"/>
  <c r="X22" i="11"/>
  <c r="V22" i="11"/>
  <c r="U22" i="11"/>
  <c r="S22" i="11"/>
  <c r="R22" i="11"/>
  <c r="M22" i="11"/>
  <c r="L22" i="11"/>
  <c r="J22" i="11"/>
  <c r="I22" i="11"/>
  <c r="G22" i="11"/>
  <c r="F22" i="11"/>
  <c r="D22" i="11"/>
  <c r="C22" i="11"/>
  <c r="BF21" i="11"/>
  <c r="BE21" i="11"/>
  <c r="BC21" i="11"/>
  <c r="BB21" i="11"/>
  <c r="AZ21" i="11"/>
  <c r="AY21" i="11"/>
  <c r="AW21" i="11"/>
  <c r="AV21" i="11"/>
  <c r="AT21" i="11"/>
  <c r="AS21" i="11"/>
  <c r="AQ21" i="11"/>
  <c r="AP21" i="11"/>
  <c r="AN21" i="11"/>
  <c r="AM21" i="11"/>
  <c r="AK21" i="11"/>
  <c r="AJ21" i="11"/>
  <c r="AH21" i="11"/>
  <c r="AG21" i="11"/>
  <c r="AE21" i="11"/>
  <c r="AD21" i="11"/>
  <c r="Y21" i="11"/>
  <c r="X21" i="11"/>
  <c r="V21" i="11"/>
  <c r="U21" i="11"/>
  <c r="S21" i="11"/>
  <c r="R21" i="11"/>
  <c r="M21" i="11"/>
  <c r="L21" i="11"/>
  <c r="J21" i="11"/>
  <c r="I21" i="11"/>
  <c r="G21" i="11"/>
  <c r="F21" i="11"/>
  <c r="D21" i="11"/>
  <c r="C21" i="11"/>
  <c r="BF16" i="11"/>
  <c r="BE16" i="11"/>
  <c r="BC16" i="11"/>
  <c r="BB16" i="11"/>
  <c r="AZ16" i="11"/>
  <c r="AY16" i="11"/>
  <c r="AW16" i="11"/>
  <c r="AV16" i="11"/>
  <c r="AT16" i="11"/>
  <c r="AS16" i="11"/>
  <c r="AQ16" i="11"/>
  <c r="AP16" i="11"/>
  <c r="AN16" i="11"/>
  <c r="AM16" i="11"/>
  <c r="AK16" i="11"/>
  <c r="AJ16" i="11"/>
  <c r="AH16" i="11"/>
  <c r="AG16" i="11"/>
  <c r="AE16" i="11"/>
  <c r="AD16" i="11"/>
  <c r="Y16" i="11"/>
  <c r="X16" i="11"/>
  <c r="V16" i="11"/>
  <c r="U16" i="11"/>
  <c r="S16" i="11"/>
  <c r="R16" i="11"/>
  <c r="M16" i="11"/>
  <c r="L16" i="11"/>
  <c r="J16" i="11"/>
  <c r="I16" i="11"/>
  <c r="G16" i="11"/>
  <c r="F16" i="11"/>
  <c r="D16" i="11"/>
  <c r="C16" i="11"/>
  <c r="BF15" i="11"/>
  <c r="BE15" i="11"/>
  <c r="BC15" i="11"/>
  <c r="BB15" i="11"/>
  <c r="AZ15" i="11"/>
  <c r="AY15" i="11"/>
  <c r="AW15" i="11"/>
  <c r="AV15" i="11"/>
  <c r="AT15" i="11"/>
  <c r="AS15" i="11"/>
  <c r="AQ15" i="11"/>
  <c r="AP15" i="11"/>
  <c r="AN15" i="11"/>
  <c r="AM15" i="11"/>
  <c r="AK15" i="11"/>
  <c r="AJ15" i="11"/>
  <c r="AH15" i="11"/>
  <c r="AG15" i="11"/>
  <c r="AE15" i="11"/>
  <c r="AD15" i="11"/>
  <c r="Y15" i="11"/>
  <c r="X15" i="11"/>
  <c r="V15" i="11"/>
  <c r="U15" i="11"/>
  <c r="S15" i="11"/>
  <c r="R15" i="11"/>
  <c r="M15" i="11"/>
  <c r="L15" i="11"/>
  <c r="J15" i="11"/>
  <c r="I15" i="11"/>
  <c r="G15" i="11"/>
  <c r="F15" i="11"/>
  <c r="D15" i="11"/>
  <c r="C15" i="11"/>
  <c r="BF14" i="11"/>
  <c r="BE14" i="11"/>
  <c r="BC14" i="11"/>
  <c r="BB14" i="11"/>
  <c r="BB32" i="11" s="1"/>
  <c r="AZ14" i="11"/>
  <c r="AZ32" i="11" s="1"/>
  <c r="AY14" i="11"/>
  <c r="AW14" i="11"/>
  <c r="AV14" i="11"/>
  <c r="AT14" i="11"/>
  <c r="AS14" i="11"/>
  <c r="AQ14" i="11"/>
  <c r="AP14" i="11"/>
  <c r="AP32" i="11" s="1"/>
  <c r="AN14" i="11"/>
  <c r="AM14" i="11"/>
  <c r="AK14" i="11"/>
  <c r="AJ14" i="11"/>
  <c r="AH14" i="11"/>
  <c r="AG14" i="11"/>
  <c r="Y14" i="11"/>
  <c r="Y32" i="11" s="1"/>
  <c r="X14" i="11"/>
  <c r="X32" i="11" s="1"/>
  <c r="V14" i="11"/>
  <c r="V32" i="11" s="1"/>
  <c r="U14" i="11"/>
  <c r="U32" i="11" s="1"/>
  <c r="S14" i="11"/>
  <c r="S32" i="11" s="1"/>
  <c r="R14" i="11"/>
  <c r="R32" i="11" s="1"/>
  <c r="M14" i="11"/>
  <c r="M32" i="11" s="1"/>
  <c r="L14" i="11"/>
  <c r="L32" i="11" s="1"/>
  <c r="J14" i="11"/>
  <c r="J32" i="11" s="1"/>
  <c r="I14" i="11"/>
  <c r="I32" i="11" s="1"/>
  <c r="G14" i="11"/>
  <c r="F14" i="11"/>
  <c r="D14" i="11"/>
  <c r="C14" i="11"/>
  <c r="BF13" i="11"/>
  <c r="BE13" i="11"/>
  <c r="BC13" i="11"/>
  <c r="BB13" i="11"/>
  <c r="AZ13" i="11"/>
  <c r="AY13" i="11"/>
  <c r="AW13" i="11"/>
  <c r="AV13" i="11"/>
  <c r="AU13" i="11"/>
  <c r="AT13" i="11"/>
  <c r="AS13" i="11"/>
  <c r="AQ13" i="11"/>
  <c r="AP13" i="11"/>
  <c r="AN13" i="11"/>
  <c r="AM13" i="11"/>
  <c r="AK13" i="11"/>
  <c r="AJ13" i="11"/>
  <c r="AH13" i="11"/>
  <c r="AG13" i="11"/>
  <c r="AE13" i="11"/>
  <c r="AD13" i="11"/>
  <c r="AC13" i="11"/>
  <c r="Y13" i="11"/>
  <c r="X13" i="11"/>
  <c r="V13" i="11"/>
  <c r="U13" i="11"/>
  <c r="S13" i="11"/>
  <c r="R13" i="11"/>
  <c r="M13" i="11"/>
  <c r="L13" i="11"/>
  <c r="J13" i="11"/>
  <c r="I13" i="11"/>
  <c r="G13" i="11"/>
  <c r="F13" i="11"/>
  <c r="D13" i="11"/>
  <c r="C13" i="11"/>
  <c r="BF12" i="11"/>
  <c r="BE12" i="11"/>
  <c r="BC12" i="11"/>
  <c r="BC28" i="11" s="1"/>
  <c r="BB12" i="11"/>
  <c r="AZ12" i="11"/>
  <c r="AY12" i="11"/>
  <c r="AW12" i="11"/>
  <c r="AW28" i="11" s="1"/>
  <c r="AV12" i="11"/>
  <c r="AV28" i="11" s="1"/>
  <c r="AT12" i="11"/>
  <c r="AT28" i="11" s="1"/>
  <c r="AS12" i="11"/>
  <c r="AQ12" i="11"/>
  <c r="AP12" i="11"/>
  <c r="AN12" i="11"/>
  <c r="AM12" i="11"/>
  <c r="AK12" i="11"/>
  <c r="AJ12" i="11"/>
  <c r="AH12" i="11"/>
  <c r="AG12" i="11"/>
  <c r="AE12" i="11"/>
  <c r="AD12" i="11"/>
  <c r="AC12" i="11"/>
  <c r="Y12" i="11"/>
  <c r="Y28" i="11" s="1"/>
  <c r="X12" i="11"/>
  <c r="X27" i="11" s="1"/>
  <c r="V12" i="11"/>
  <c r="V27" i="11" s="1"/>
  <c r="U12" i="11"/>
  <c r="U27" i="11" s="1"/>
  <c r="S12" i="11"/>
  <c r="S27" i="11" s="1"/>
  <c r="R12" i="11"/>
  <c r="M12" i="11"/>
  <c r="M27" i="11" s="1"/>
  <c r="L12" i="11"/>
  <c r="J12" i="11"/>
  <c r="I12" i="11"/>
  <c r="I27" i="11" s="1"/>
  <c r="G12" i="11"/>
  <c r="G27" i="11" s="1"/>
  <c r="F12" i="11"/>
  <c r="F27" i="11" s="1"/>
  <c r="D12" i="11"/>
  <c r="D27" i="11" s="1"/>
  <c r="C12" i="11"/>
  <c r="BF11" i="11"/>
  <c r="BE11" i="11"/>
  <c r="BE24" i="11" s="1"/>
  <c r="BC11" i="11"/>
  <c r="BC24" i="11" s="1"/>
  <c r="BB11" i="11"/>
  <c r="BB24" i="11" s="1"/>
  <c r="AZ11" i="11"/>
  <c r="AZ29" i="11" s="1"/>
  <c r="AY11" i="11"/>
  <c r="AY24" i="11" s="1"/>
  <c r="AW11" i="11"/>
  <c r="AW24" i="11" s="1"/>
  <c r="AV11" i="11"/>
  <c r="AV29" i="11" s="1"/>
  <c r="AU11" i="11"/>
  <c r="AU29" i="11" s="1"/>
  <c r="AT11" i="11"/>
  <c r="AT24" i="11" s="1"/>
  <c r="AS11" i="11"/>
  <c r="AS24" i="11" s="1"/>
  <c r="AQ11" i="11"/>
  <c r="AQ24" i="11" s="1"/>
  <c r="AP11" i="11"/>
  <c r="AP29" i="11" s="1"/>
  <c r="AN11" i="11"/>
  <c r="AN29" i="11" s="1"/>
  <c r="AM11" i="11"/>
  <c r="AM24" i="11" s="1"/>
  <c r="AK11" i="11"/>
  <c r="AK29" i="11" s="1"/>
  <c r="AJ11" i="11"/>
  <c r="AJ29" i="11" s="1"/>
  <c r="AH11" i="11"/>
  <c r="AG11" i="11"/>
  <c r="AG24" i="11" s="1"/>
  <c r="AE11" i="11"/>
  <c r="AE29" i="11" s="1"/>
  <c r="AD11" i="11"/>
  <c r="AC11" i="11"/>
  <c r="AC29" i="11" s="1"/>
  <c r="Y11" i="11"/>
  <c r="Y33" i="11" s="1"/>
  <c r="X11" i="11"/>
  <c r="X33" i="11" s="1"/>
  <c r="V11" i="11"/>
  <c r="V24" i="11" s="1"/>
  <c r="U11" i="11"/>
  <c r="U33" i="11" s="1"/>
  <c r="S11" i="11"/>
  <c r="S33" i="11" s="1"/>
  <c r="R11" i="11"/>
  <c r="R33" i="11" s="1"/>
  <c r="M11" i="11"/>
  <c r="M24" i="11" s="1"/>
  <c r="L11" i="11"/>
  <c r="L33" i="11" s="1"/>
  <c r="J11" i="11"/>
  <c r="I11" i="11"/>
  <c r="I24" i="11" s="1"/>
  <c r="G11" i="11"/>
  <c r="G24" i="11" s="1"/>
  <c r="F11" i="11"/>
  <c r="F29" i="11" s="1"/>
  <c r="D11" i="11"/>
  <c r="D24" i="11" s="1"/>
  <c r="C11" i="11"/>
  <c r="C29" i="11" s="1"/>
  <c r="BF10" i="11"/>
  <c r="BE10" i="11"/>
  <c r="BC10" i="11"/>
  <c r="BC26" i="11" s="1"/>
  <c r="BB10" i="11"/>
  <c r="AZ10" i="11"/>
  <c r="AY10" i="11"/>
  <c r="AY25" i="11" s="1"/>
  <c r="AW10" i="11"/>
  <c r="AV10" i="11"/>
  <c r="AV26" i="11" s="1"/>
  <c r="AU10" i="11"/>
  <c r="AT10" i="11"/>
  <c r="AS10" i="11"/>
  <c r="AQ10" i="11"/>
  <c r="AQ25" i="11" s="1"/>
  <c r="AP10" i="11"/>
  <c r="AN10" i="11"/>
  <c r="AM10" i="11"/>
  <c r="AK10" i="11"/>
  <c r="AK26" i="11" s="1"/>
  <c r="AJ10" i="11"/>
  <c r="AH10" i="11"/>
  <c r="AH26" i="11" s="1"/>
  <c r="AG10" i="11"/>
  <c r="AG26" i="11" s="1"/>
  <c r="AE10" i="11"/>
  <c r="AE25" i="11" s="1"/>
  <c r="AD10" i="11"/>
  <c r="AC10" i="11"/>
  <c r="AC26" i="11" s="1"/>
  <c r="Y10" i="11"/>
  <c r="Y26" i="11" s="1"/>
  <c r="X10" i="11"/>
  <c r="V10" i="11"/>
  <c r="U10" i="11"/>
  <c r="U25" i="11" s="1"/>
  <c r="S10" i="11"/>
  <c r="S26" i="11" s="1"/>
  <c r="R10" i="11"/>
  <c r="R26" i="11" s="1"/>
  <c r="M10" i="11"/>
  <c r="L10" i="11"/>
  <c r="L25" i="11" s="1"/>
  <c r="J10" i="11"/>
  <c r="J25" i="11" s="1"/>
  <c r="I10" i="11"/>
  <c r="G10" i="11"/>
  <c r="G26" i="11" s="1"/>
  <c r="F10" i="11"/>
  <c r="F26" i="11" s="1"/>
  <c r="D10" i="11"/>
  <c r="C10" i="11"/>
  <c r="BF8" i="11"/>
  <c r="BE8" i="11"/>
  <c r="BC8" i="11"/>
  <c r="BB8" i="11"/>
  <c r="AW8" i="11"/>
  <c r="AV8" i="11"/>
  <c r="AU8" i="11"/>
  <c r="AT8" i="11"/>
  <c r="AS8" i="11"/>
  <c r="AN8" i="11"/>
  <c r="AM8" i="11"/>
  <c r="AE8" i="11"/>
  <c r="AD8" i="11"/>
  <c r="AC8" i="11"/>
  <c r="X8" i="11"/>
  <c r="J8" i="11"/>
  <c r="I8" i="11"/>
  <c r="BF7" i="11"/>
  <c r="BF27" i="11" s="1"/>
  <c r="BE7" i="11"/>
  <c r="BC7" i="11"/>
  <c r="BB7" i="11"/>
  <c r="BB27" i="11" s="1"/>
  <c r="AW7" i="11"/>
  <c r="AV7" i="11"/>
  <c r="AU7" i="11"/>
  <c r="AT7" i="11"/>
  <c r="AS7" i="11"/>
  <c r="AQ7" i="11"/>
  <c r="AP7" i="11"/>
  <c r="AN7" i="11"/>
  <c r="AN27" i="11" s="1"/>
  <c r="AM7" i="11"/>
  <c r="AK7" i="11"/>
  <c r="AJ7" i="11"/>
  <c r="AE7" i="11"/>
  <c r="AD7" i="11"/>
  <c r="AC7" i="11"/>
  <c r="BF6" i="11"/>
  <c r="BE6" i="11"/>
  <c r="BC6" i="11"/>
  <c r="BB6" i="11"/>
  <c r="AW6" i="11"/>
  <c r="AV6" i="11"/>
  <c r="AU6" i="11"/>
  <c r="AQ6" i="11"/>
  <c r="AP6" i="11"/>
  <c r="AN6" i="11"/>
  <c r="AM6" i="11"/>
  <c r="AK6" i="11"/>
  <c r="AJ6" i="11"/>
  <c r="AH6" i="11"/>
  <c r="AG6" i="11"/>
  <c r="AE6" i="11"/>
  <c r="AD6" i="11"/>
  <c r="AC6" i="11"/>
  <c r="Y6" i="11"/>
  <c r="X6" i="11"/>
  <c r="V6" i="11"/>
  <c r="U6" i="11"/>
  <c r="S6" i="11"/>
  <c r="R6" i="11"/>
  <c r="J6" i="11"/>
  <c r="I6" i="11"/>
  <c r="G6" i="11"/>
  <c r="F6" i="11"/>
  <c r="BF5" i="11"/>
  <c r="BE5" i="11"/>
  <c r="BC5" i="11"/>
  <c r="BB5" i="11"/>
  <c r="AZ5" i="11"/>
  <c r="AY5" i="11"/>
  <c r="AW5" i="11"/>
  <c r="AV5" i="11"/>
  <c r="AU5" i="11"/>
  <c r="AT5" i="11"/>
  <c r="AS5" i="11"/>
  <c r="AQ5" i="11"/>
  <c r="AP5" i="11"/>
  <c r="AN5" i="11"/>
  <c r="AM5" i="11"/>
  <c r="AK5" i="11"/>
  <c r="AJ5" i="11"/>
  <c r="AH5" i="11"/>
  <c r="AG5" i="11"/>
  <c r="AE5" i="11"/>
  <c r="AD5" i="11"/>
  <c r="AC5" i="11"/>
  <c r="Y5" i="11"/>
  <c r="X5" i="11"/>
  <c r="V5" i="11"/>
  <c r="U5" i="11"/>
  <c r="S5" i="11"/>
  <c r="R5" i="11"/>
  <c r="M5" i="11"/>
  <c r="L5" i="11"/>
  <c r="J5" i="11"/>
  <c r="I5" i="11"/>
  <c r="G5" i="11"/>
  <c r="F5" i="11"/>
  <c r="D5" i="11"/>
  <c r="C5" i="11"/>
  <c r="BF4" i="11"/>
  <c r="BE4" i="11"/>
  <c r="BC4" i="11"/>
  <c r="BB4" i="11"/>
  <c r="AZ4" i="11"/>
  <c r="AY4" i="11"/>
  <c r="AW4" i="11"/>
  <c r="AV4" i="11"/>
  <c r="AU4" i="11"/>
  <c r="AT4" i="11"/>
  <c r="AS4" i="11"/>
  <c r="AQ4" i="11"/>
  <c r="AP4" i="11"/>
  <c r="AN4" i="11"/>
  <c r="AM4" i="11"/>
  <c r="AK4" i="11"/>
  <c r="AJ4" i="11"/>
  <c r="AH4" i="11"/>
  <c r="AG4" i="11"/>
  <c r="AE4" i="11"/>
  <c r="AD4" i="11"/>
  <c r="AC4" i="11"/>
  <c r="Y4" i="11"/>
  <c r="X4" i="11"/>
  <c r="V4" i="11"/>
  <c r="U4" i="11"/>
  <c r="S4" i="11"/>
  <c r="R4" i="11"/>
  <c r="M4" i="11"/>
  <c r="L4" i="11"/>
  <c r="J4" i="11"/>
  <c r="I4" i="11"/>
  <c r="G4" i="11"/>
  <c r="F4" i="11"/>
  <c r="D4" i="11"/>
  <c r="C4" i="11"/>
  <c r="BF3" i="11"/>
  <c r="BE3" i="11"/>
  <c r="BC3" i="11"/>
  <c r="BB3" i="11"/>
  <c r="AZ3" i="11"/>
  <c r="AY3" i="11"/>
  <c r="AW3" i="11"/>
  <c r="AV3" i="11"/>
  <c r="AU3" i="11"/>
  <c r="AT3" i="11"/>
  <c r="AS3" i="11"/>
  <c r="AQ3" i="11"/>
  <c r="AP3" i="11"/>
  <c r="AN3" i="11"/>
  <c r="AM3" i="11"/>
  <c r="AK3" i="11"/>
  <c r="AJ3" i="11"/>
  <c r="AH3" i="11"/>
  <c r="AG3" i="11"/>
  <c r="Y3" i="11"/>
  <c r="X3" i="11"/>
  <c r="V3" i="11"/>
  <c r="U3" i="11"/>
  <c r="S3" i="11"/>
  <c r="R3" i="11"/>
  <c r="M3" i="11"/>
  <c r="L3" i="11"/>
  <c r="J3" i="11"/>
  <c r="I3" i="11"/>
  <c r="G3" i="11"/>
  <c r="F3" i="11"/>
  <c r="D3" i="11"/>
  <c r="C3" i="11"/>
  <c r="CR23" i="7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7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CX10" i="3"/>
  <c r="CX11" i="5"/>
  <c r="CX9" i="5"/>
  <c r="AF29" i="7" l="1"/>
  <c r="AF33" i="7"/>
  <c r="AF34" i="5"/>
  <c r="T12" i="11"/>
  <c r="AF12" i="7"/>
  <c r="AF28" i="5"/>
  <c r="AF35" i="5"/>
  <c r="AF9" i="7"/>
  <c r="T9" i="11"/>
  <c r="BC27" i="11"/>
  <c r="V25" i="11"/>
  <c r="G9" i="11"/>
  <c r="V9" i="11"/>
  <c r="AE27" i="11"/>
  <c r="AK35" i="11"/>
  <c r="AJ27" i="11"/>
  <c r="AQ27" i="11"/>
  <c r="BB25" i="11"/>
  <c r="AT33" i="11"/>
  <c r="M25" i="11"/>
  <c r="AC27" i="11"/>
  <c r="J9" i="11"/>
  <c r="Y9" i="11"/>
  <c r="AS27" i="11"/>
  <c r="BF34" i="11"/>
  <c r="AJ32" i="11"/>
  <c r="AY9" i="11"/>
  <c r="AT27" i="11"/>
  <c r="AY26" i="11"/>
  <c r="AD33" i="11"/>
  <c r="AN33" i="11"/>
  <c r="R35" i="11"/>
  <c r="AE34" i="11"/>
  <c r="AT32" i="11"/>
  <c r="I9" i="11"/>
  <c r="BF32" i="11"/>
  <c r="M9" i="11"/>
  <c r="S9" i="11"/>
  <c r="AW27" i="11"/>
  <c r="C25" i="11"/>
  <c r="AW38" i="11"/>
  <c r="AN32" i="11"/>
  <c r="AH32" i="11"/>
  <c r="D32" i="11"/>
  <c r="AJ33" i="11"/>
  <c r="F32" i="11"/>
  <c r="AQ29" i="11"/>
  <c r="BB34" i="11"/>
  <c r="AV25" i="11"/>
  <c r="S28" i="11"/>
  <c r="AT29" i="11"/>
  <c r="AM9" i="11"/>
  <c r="Y25" i="11"/>
  <c r="L24" i="11"/>
  <c r="U24" i="11"/>
  <c r="AK24" i="11"/>
  <c r="U26" i="11"/>
  <c r="U28" i="11"/>
  <c r="G29" i="11"/>
  <c r="AD32" i="11"/>
  <c r="F9" i="11"/>
  <c r="AN9" i="11"/>
  <c r="AT9" i="11"/>
  <c r="AG34" i="11"/>
  <c r="AQ34" i="11"/>
  <c r="G25" i="11"/>
  <c r="AE26" i="11"/>
  <c r="AY29" i="11"/>
  <c r="AV32" i="11"/>
  <c r="D9" i="11"/>
  <c r="AZ9" i="11"/>
  <c r="C9" i="11"/>
  <c r="R9" i="11"/>
  <c r="X9" i="11"/>
  <c r="AE9" i="11"/>
  <c r="AK9" i="11"/>
  <c r="AP27" i="11"/>
  <c r="BC9" i="11"/>
  <c r="X24" i="11"/>
  <c r="BC25" i="11"/>
  <c r="F28" i="11"/>
  <c r="U9" i="11"/>
  <c r="AC9" i="11"/>
  <c r="AH9" i="11"/>
  <c r="AG9" i="11"/>
  <c r="AQ9" i="11"/>
  <c r="BE9" i="11"/>
  <c r="D25" i="11"/>
  <c r="C24" i="11"/>
  <c r="C26" i="11"/>
  <c r="Y27" i="11"/>
  <c r="I28" i="11"/>
  <c r="AM25" i="11"/>
  <c r="AS25" i="11"/>
  <c r="AG29" i="11"/>
  <c r="L9" i="11"/>
  <c r="AD9" i="11"/>
  <c r="BE25" i="11"/>
  <c r="F24" i="11"/>
  <c r="AG25" i="11"/>
  <c r="AD26" i="11"/>
  <c r="AD25" i="11"/>
  <c r="BB35" i="11"/>
  <c r="AZ26" i="11"/>
  <c r="AZ25" i="11"/>
  <c r="C27" i="11"/>
  <c r="C28" i="11"/>
  <c r="AQ26" i="11"/>
  <c r="AM27" i="11"/>
  <c r="BE27" i="11"/>
  <c r="BB28" i="11"/>
  <c r="AS29" i="11"/>
  <c r="D33" i="11"/>
  <c r="AP33" i="11"/>
  <c r="AZ33" i="11"/>
  <c r="G34" i="11"/>
  <c r="V34" i="11"/>
  <c r="AV34" i="11"/>
  <c r="C35" i="11"/>
  <c r="AE35" i="11"/>
  <c r="AN26" i="11"/>
  <c r="AN25" i="11"/>
  <c r="M35" i="11"/>
  <c r="AP26" i="11"/>
  <c r="AP25" i="11"/>
  <c r="AU26" i="11"/>
  <c r="AU25" i="11"/>
  <c r="BF26" i="11"/>
  <c r="BF25" i="11"/>
  <c r="J33" i="11"/>
  <c r="J29" i="11"/>
  <c r="R27" i="11"/>
  <c r="R28" i="11"/>
  <c r="AS9" i="11"/>
  <c r="AW9" i="11"/>
  <c r="AH29" i="11"/>
  <c r="AH24" i="11"/>
  <c r="S24" i="11"/>
  <c r="J26" i="11"/>
  <c r="AS26" i="11"/>
  <c r="AD27" i="11"/>
  <c r="AK28" i="11"/>
  <c r="I29" i="11"/>
  <c r="S29" i="11"/>
  <c r="F33" i="11"/>
  <c r="AK32" i="11"/>
  <c r="M33" i="11"/>
  <c r="BB33" i="11"/>
  <c r="I34" i="11"/>
  <c r="X34" i="11"/>
  <c r="AK34" i="11"/>
  <c r="AG35" i="11"/>
  <c r="AQ35" i="11"/>
  <c r="I26" i="11"/>
  <c r="I25" i="11"/>
  <c r="AD29" i="11"/>
  <c r="AD24" i="11"/>
  <c r="AM34" i="11"/>
  <c r="AS34" i="11"/>
  <c r="AW34" i="11"/>
  <c r="BC34" i="11"/>
  <c r="Y24" i="11"/>
  <c r="AN24" i="11"/>
  <c r="AH25" i="11"/>
  <c r="AW25" i="11"/>
  <c r="BB26" i="11"/>
  <c r="AG27" i="11"/>
  <c r="M28" i="11"/>
  <c r="U29" i="11"/>
  <c r="BB29" i="11"/>
  <c r="AG32" i="11"/>
  <c r="AG33" i="11"/>
  <c r="AQ32" i="11"/>
  <c r="AQ33" i="11"/>
  <c r="AW33" i="11"/>
  <c r="AW32" i="11"/>
  <c r="BC32" i="11"/>
  <c r="BC33" i="11"/>
  <c r="C33" i="11"/>
  <c r="AE33" i="11"/>
  <c r="AS35" i="11"/>
  <c r="BC35" i="11"/>
  <c r="AJ26" i="11"/>
  <c r="AJ25" i="11"/>
  <c r="BF29" i="11"/>
  <c r="BF24" i="11"/>
  <c r="D34" i="11"/>
  <c r="D35" i="11"/>
  <c r="J28" i="11"/>
  <c r="J34" i="11"/>
  <c r="J35" i="11"/>
  <c r="S34" i="11"/>
  <c r="S35" i="11"/>
  <c r="Y34" i="11"/>
  <c r="Y35" i="11"/>
  <c r="AY34" i="11"/>
  <c r="AY35" i="11"/>
  <c r="BE34" i="11"/>
  <c r="BE35" i="11"/>
  <c r="AZ24" i="11"/>
  <c r="AY27" i="11"/>
  <c r="AM33" i="11"/>
  <c r="AM32" i="11"/>
  <c r="AS33" i="11"/>
  <c r="AS32" i="11"/>
  <c r="AY33" i="11"/>
  <c r="BE33" i="11"/>
  <c r="BE32" i="11"/>
  <c r="AY32" i="11"/>
  <c r="AP34" i="11"/>
  <c r="AZ34" i="11"/>
  <c r="G35" i="11"/>
  <c r="V35" i="11"/>
  <c r="AV35" i="11"/>
  <c r="AK27" i="11"/>
  <c r="AJ9" i="11"/>
  <c r="F34" i="11"/>
  <c r="F35" i="11"/>
  <c r="L34" i="11"/>
  <c r="L35" i="11"/>
  <c r="U34" i="11"/>
  <c r="U35" i="11"/>
  <c r="AC34" i="11"/>
  <c r="AC35" i="11"/>
  <c r="AC28" i="11"/>
  <c r="AH34" i="11"/>
  <c r="AH35" i="11"/>
  <c r="AH28" i="11"/>
  <c r="AC24" i="11"/>
  <c r="AJ24" i="11"/>
  <c r="AP24" i="11"/>
  <c r="AU24" i="11"/>
  <c r="AC25" i="11"/>
  <c r="AK25" i="11"/>
  <c r="M26" i="11"/>
  <c r="AE28" i="11"/>
  <c r="M29" i="11"/>
  <c r="Y29" i="11"/>
  <c r="G32" i="11"/>
  <c r="AU33" i="11"/>
  <c r="BF33" i="11"/>
  <c r="M34" i="11"/>
  <c r="I35" i="11"/>
  <c r="X35" i="11"/>
  <c r="AT26" i="11"/>
  <c r="AT25" i="11"/>
  <c r="AV27" i="11"/>
  <c r="AP9" i="11"/>
  <c r="AU9" i="11"/>
  <c r="BF9" i="11"/>
  <c r="R29" i="11"/>
  <c r="R24" i="11"/>
  <c r="AD35" i="11"/>
  <c r="AD28" i="11"/>
  <c r="AD34" i="11"/>
  <c r="AJ35" i="11"/>
  <c r="AJ28" i="11"/>
  <c r="AJ34" i="11"/>
  <c r="AN35" i="11"/>
  <c r="AN28" i="11"/>
  <c r="AN34" i="11"/>
  <c r="AT35" i="11"/>
  <c r="AT34" i="11"/>
  <c r="AV24" i="11"/>
  <c r="F25" i="11"/>
  <c r="J27" i="11"/>
  <c r="AH27" i="11"/>
  <c r="AG28" i="11"/>
  <c r="AQ28" i="11"/>
  <c r="AY28" i="11"/>
  <c r="AW29" i="11"/>
  <c r="BC29" i="11"/>
  <c r="C32" i="11"/>
  <c r="AC33" i="11"/>
  <c r="AH33" i="11"/>
  <c r="G33" i="11"/>
  <c r="V33" i="11"/>
  <c r="AV33" i="11"/>
  <c r="C34" i="11"/>
  <c r="R34" i="11"/>
  <c r="AU38" i="11"/>
  <c r="AV9" i="11"/>
  <c r="BB9" i="11"/>
  <c r="AP28" i="11"/>
  <c r="AP35" i="11"/>
  <c r="AZ28" i="11"/>
  <c r="AZ27" i="11"/>
  <c r="AZ35" i="11"/>
  <c r="BF28" i="11"/>
  <c r="BF35" i="11"/>
  <c r="J24" i="11"/>
  <c r="AE24" i="11"/>
  <c r="AW26" i="11"/>
  <c r="L27" i="11"/>
  <c r="G28" i="11"/>
  <c r="AS28" i="11"/>
  <c r="I33" i="11"/>
  <c r="AK33" i="11"/>
  <c r="AM35" i="11"/>
  <c r="AW35" i="11"/>
  <c r="AV38" i="11"/>
  <c r="U3" i="1"/>
  <c r="U4" i="1"/>
  <c r="U5" i="1"/>
  <c r="U6" i="1"/>
  <c r="U7" i="1"/>
  <c r="U9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K53" i="2"/>
  <c r="B40" i="2"/>
  <c r="C40" i="2"/>
  <c r="E40" i="2"/>
  <c r="F40" i="2"/>
  <c r="G40" i="2"/>
  <c r="H40" i="2"/>
  <c r="I40" i="2"/>
  <c r="J40" i="2"/>
  <c r="O40" i="2"/>
  <c r="P40" i="2"/>
  <c r="R40" i="2"/>
  <c r="S40" i="2"/>
  <c r="T40" i="2"/>
  <c r="L40" i="2"/>
  <c r="M40" i="2"/>
  <c r="K40" i="2"/>
  <c r="R41" i="2"/>
  <c r="S41" i="2"/>
  <c r="T41" i="2"/>
  <c r="O41" i="2"/>
  <c r="P41" i="2"/>
  <c r="B41" i="2"/>
  <c r="C41" i="2"/>
  <c r="E41" i="2"/>
  <c r="F41" i="2"/>
  <c r="G41" i="2"/>
  <c r="H41" i="2"/>
  <c r="I41" i="2"/>
  <c r="J41" i="2"/>
  <c r="M41" i="2"/>
  <c r="L41" i="2"/>
  <c r="K41" i="2"/>
  <c r="T28" i="11" l="1"/>
  <c r="T34" i="11"/>
  <c r="T35" i="11"/>
  <c r="T27" i="11"/>
  <c r="AF28" i="7"/>
  <c r="AF27" i="7"/>
  <c r="K54" i="10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D29" i="7"/>
  <c r="CD28" i="7"/>
  <c r="CH26" i="7"/>
  <c r="CG26" i="7"/>
  <c r="CF26" i="7"/>
  <c r="CD26" i="7"/>
  <c r="CH25" i="7"/>
  <c r="CG25" i="7"/>
  <c r="CF25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AU12" i="11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5" i="5"/>
  <c r="BJ14" i="5"/>
  <c r="BJ7" i="5"/>
  <c r="N7" i="1"/>
  <c r="N7" i="2" s="1"/>
  <c r="BJ8" i="5" s="1"/>
  <c r="N51" i="2"/>
  <c r="BJ10" i="3"/>
  <c r="BJ13" i="3"/>
  <c r="N19" i="2"/>
  <c r="BJ13" i="5" s="1"/>
  <c r="N18" i="2"/>
  <c r="U18" i="2" s="1"/>
  <c r="N17" i="2"/>
  <c r="U17" i="2" s="1"/>
  <c r="N16" i="2"/>
  <c r="N15" i="2"/>
  <c r="N14" i="2"/>
  <c r="N13" i="2"/>
  <c r="N12" i="2"/>
  <c r="N11" i="2"/>
  <c r="N9" i="2"/>
  <c r="N5" i="2"/>
  <c r="BJ6" i="5" s="1"/>
  <c r="N4" i="2"/>
  <c r="BJ5" i="5" s="1"/>
  <c r="N3" i="2"/>
  <c r="BJ4" i="5" s="1"/>
  <c r="N2" i="2"/>
  <c r="BJ3" i="5" s="1"/>
  <c r="AL3" i="11" s="1"/>
  <c r="N9" i="4"/>
  <c r="Q9" i="4"/>
  <c r="N8" i="1"/>
  <c r="N8" i="2" s="1"/>
  <c r="N23" i="1"/>
  <c r="N22" i="1"/>
  <c r="H14" i="4"/>
  <c r="H12" i="4"/>
  <c r="H13" i="4"/>
  <c r="H11" i="4"/>
  <c r="H3" i="4"/>
  <c r="H4" i="4"/>
  <c r="H5" i="4"/>
  <c r="H6" i="4"/>
  <c r="H7" i="4"/>
  <c r="H8" i="4"/>
  <c r="H2" i="4"/>
  <c r="H22" i="1"/>
  <c r="U22" i="1" s="1"/>
  <c r="Q8" i="1"/>
  <c r="K8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AA35" i="5"/>
  <c r="AB35" i="5"/>
  <c r="AC35" i="5"/>
  <c r="AD35" i="5"/>
  <c r="AE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C8" i="3"/>
  <c r="D8" i="3"/>
  <c r="E8" i="3"/>
  <c r="F8" i="3"/>
  <c r="B8" i="3"/>
  <c r="U51" i="2" l="1"/>
  <c r="H10" i="4"/>
  <c r="Q44" i="2"/>
  <c r="U8" i="1"/>
  <c r="H10" i="1"/>
  <c r="AU28" i="11"/>
  <c r="AU35" i="11"/>
  <c r="AU27" i="11"/>
  <c r="AU34" i="11"/>
  <c r="BJ5" i="7"/>
  <c r="AL5" i="11"/>
  <c r="BJ6" i="7"/>
  <c r="AL6" i="11"/>
  <c r="BJ8" i="7"/>
  <c r="AL8" i="11"/>
  <c r="BJ13" i="7"/>
  <c r="AL13" i="11"/>
  <c r="BJ14" i="7"/>
  <c r="AL14" i="11"/>
  <c r="AL32" i="11" s="1"/>
  <c r="BJ15" i="7"/>
  <c r="AL15" i="11"/>
  <c r="BJ7" i="7"/>
  <c r="AL7" i="11"/>
  <c r="BJ16" i="7"/>
  <c r="AL16" i="11"/>
  <c r="BY32" i="5"/>
  <c r="AU14" i="11"/>
  <c r="AU32" i="11" s="1"/>
  <c r="BJ4" i="7"/>
  <c r="AL4" i="11"/>
  <c r="BJ10" i="5"/>
  <c r="BJ26" i="5" s="1"/>
  <c r="N41" i="2"/>
  <c r="U41" i="2" s="1"/>
  <c r="N40" i="2"/>
  <c r="U40" i="2" s="1"/>
  <c r="Q52" i="2"/>
  <c r="Q41" i="2"/>
  <c r="Q40" i="2"/>
  <c r="Q43" i="2"/>
  <c r="U43" i="2" s="1"/>
  <c r="Q42" i="2"/>
  <c r="BY12" i="5"/>
  <c r="BY35" i="5" s="1"/>
  <c r="Q45" i="2"/>
  <c r="Q57" i="2"/>
  <c r="CA28" i="5"/>
  <c r="CA35" i="5"/>
  <c r="CB27" i="5"/>
  <c r="BZ35" i="5"/>
  <c r="CA27" i="5"/>
  <c r="CB34" i="5"/>
  <c r="BY26" i="5"/>
  <c r="BZ34" i="5"/>
  <c r="AU3" i="5"/>
  <c r="BJ32" i="5"/>
  <c r="N28" i="2"/>
  <c r="N53" i="2" s="1"/>
  <c r="BJ3" i="7"/>
  <c r="BJ9" i="5"/>
  <c r="BZ28" i="5"/>
  <c r="N52" i="2"/>
  <c r="BJ31" i="7"/>
  <c r="BJ11" i="5"/>
  <c r="AL11" i="11" s="1"/>
  <c r="K48" i="2"/>
  <c r="N46" i="2"/>
  <c r="Q46" i="2"/>
  <c r="N54" i="10"/>
  <c r="N53" i="10"/>
  <c r="N45" i="10"/>
  <c r="N52" i="10"/>
  <c r="Q52" i="10"/>
  <c r="Q41" i="10"/>
  <c r="N42" i="10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I47" i="2"/>
  <c r="J47" i="2"/>
  <c r="E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P30" i="5"/>
  <c r="O30" i="5"/>
  <c r="N30" i="5"/>
  <c r="M30" i="5"/>
  <c r="BI30" i="5"/>
  <c r="BS30" i="5"/>
  <c r="BR30" i="5"/>
  <c r="BX30" i="5"/>
  <c r="BV30" i="5"/>
  <c r="BU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U52" i="2" l="1"/>
  <c r="U46" i="2"/>
  <c r="H25" i="4"/>
  <c r="U10" i="1"/>
  <c r="H10" i="2"/>
  <c r="BY27" i="5"/>
  <c r="BY28" i="5"/>
  <c r="BJ9" i="7"/>
  <c r="AL9" i="11"/>
  <c r="BJ25" i="5"/>
  <c r="AL10" i="11"/>
  <c r="AL29" i="11"/>
  <c r="AL33" i="11"/>
  <c r="AL24" i="11"/>
  <c r="BJ10" i="7"/>
  <c r="BJ26" i="7" s="1"/>
  <c r="BY34" i="5"/>
  <c r="CY9" i="7"/>
  <c r="N45" i="2"/>
  <c r="BJ12" i="5"/>
  <c r="N54" i="2"/>
  <c r="BJ18" i="3"/>
  <c r="BJ29" i="5"/>
  <c r="BJ11" i="7"/>
  <c r="BJ33" i="7" s="1"/>
  <c r="BJ24" i="5"/>
  <c r="BJ32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AL26" i="11" l="1"/>
  <c r="AL25" i="11"/>
  <c r="BJ20" i="3"/>
  <c r="AL12" i="11"/>
  <c r="BJ25" i="7"/>
  <c r="BJ34" i="5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E32" i="7" s="1"/>
  <c r="CF14" i="7"/>
  <c r="CF32" i="7" s="1"/>
  <c r="CG14" i="7"/>
  <c r="CH14" i="7"/>
  <c r="CH32" i="7" s="1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M32" i="7" s="1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M12" i="5"/>
  <c r="CM20" i="3" s="1"/>
  <c r="CL12" i="5"/>
  <c r="CL20" i="3" s="1"/>
  <c r="CK12" i="5"/>
  <c r="CJ12" i="5"/>
  <c r="CH33" i="7" l="1"/>
  <c r="CH29" i="7"/>
  <c r="CH24" i="7"/>
  <c r="CG29" i="7"/>
  <c r="CG33" i="7"/>
  <c r="CG24" i="7"/>
  <c r="CF33" i="7"/>
  <c r="CF24" i="7"/>
  <c r="CF29" i="7"/>
  <c r="CE33" i="7"/>
  <c r="CE29" i="7"/>
  <c r="CE24" i="7"/>
  <c r="CE26" i="7"/>
  <c r="CE25" i="7"/>
  <c r="AL35" i="11"/>
  <c r="AL34" i="11"/>
  <c r="AL28" i="11"/>
  <c r="AL27" i="11"/>
  <c r="AU30" i="7"/>
  <c r="AC30" i="11"/>
  <c r="BJ27" i="7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34" i="7" s="1"/>
  <c r="CF20" i="3"/>
  <c r="CO11" i="7"/>
  <c r="CO18" i="3"/>
  <c r="BD9" i="7"/>
  <c r="CG12" i="7"/>
  <c r="CG35" i="7" s="1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W12" i="5"/>
  <c r="AV12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K42" i="2" s="1"/>
  <c r="L47" i="2"/>
  <c r="M47" i="2"/>
  <c r="N47" i="2"/>
  <c r="N42" i="2" s="1"/>
  <c r="P47" i="2"/>
  <c r="R47" i="2"/>
  <c r="R42" i="2" s="1"/>
  <c r="T47" i="2"/>
  <c r="D28" i="2"/>
  <c r="C28" i="2"/>
  <c r="E28" i="2"/>
  <c r="F28" i="2"/>
  <c r="G28" i="2"/>
  <c r="I28" i="2"/>
  <c r="J28" i="2"/>
  <c r="S28" i="2"/>
  <c r="T28" i="2"/>
  <c r="B28" i="2"/>
  <c r="D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P42" i="2" l="1"/>
  <c r="U42" i="2" s="1"/>
  <c r="P56" i="2"/>
  <c r="U37" i="2"/>
  <c r="G12" i="5"/>
  <c r="D45" i="2"/>
  <c r="D54" i="2"/>
  <c r="D53" i="2"/>
  <c r="C45" i="2"/>
  <c r="C54" i="2"/>
  <c r="C53" i="2"/>
  <c r="S44" i="2"/>
  <c r="S54" i="2"/>
  <c r="S45" i="2"/>
  <c r="S53" i="2"/>
  <c r="G54" i="2"/>
  <c r="G53" i="2"/>
  <c r="G44" i="2"/>
  <c r="U47" i="2"/>
  <c r="U28" i="2"/>
  <c r="CH27" i="7"/>
  <c r="CH28" i="7"/>
  <c r="CH35" i="7"/>
  <c r="CH34" i="7"/>
  <c r="CG34" i="7"/>
  <c r="CG28" i="7"/>
  <c r="CG27" i="7"/>
  <c r="CF27" i="7"/>
  <c r="CF28" i="7"/>
  <c r="CF35" i="7"/>
  <c r="CE27" i="7"/>
  <c r="CE28" i="7"/>
  <c r="CE34" i="7"/>
  <c r="CE35" i="7"/>
  <c r="CC35" i="7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U53" i="2" l="1"/>
  <c r="P57" i="2"/>
  <c r="U57" i="2" s="1"/>
  <c r="U56" i="2"/>
  <c r="G27" i="5"/>
  <c r="G34" i="5"/>
  <c r="G34" i="7" s="1"/>
  <c r="E12" i="11"/>
  <c r="E27" i="11" s="1"/>
  <c r="G12" i="7"/>
  <c r="G27" i="7" s="1"/>
  <c r="G28" i="5"/>
  <c r="G20" i="3"/>
  <c r="G35" i="5"/>
  <c r="G35" i="7" s="1"/>
  <c r="U45" i="2"/>
  <c r="U54" i="2"/>
  <c r="U44" i="2"/>
  <c r="BY29" i="3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  <author>tc={73EF60E8-5A12-4820-89DA-3C3CACEC04A5}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  <comment ref="D17" authorId="3" shapeId="0" xr:uid="{73EF60E8-5A12-4820-89DA-3C3CACEC04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Adição de Outras Receitas Operacionais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tc={7A93F710-17C9-4443-B90F-E4F1B2CA3D95}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R2" authorId="1" shapeId="0" xr:uid="{7A93F710-17C9-4443-B90F-E4F1B2CA3D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Premiaçao</t>
      </text>
    </comment>
    <comment ref="K14" authorId="2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3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4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5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6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tc={2A3C0DDC-57E8-4C80-BCB9-8A08B7672B41}</author>
    <author>tc={95395A1A-1307-49E5-8022-EABBC7738952}</author>
    <author>tc={348C4438-9DB0-4365-A552-40024EBAD5CE}</author>
    <author>tc={2BFD802F-C27D-491C-B026-820657052F32}</author>
    <author>tc={6C38E7D8-C2D6-4AB8-B55D-D6669DB612CF}</author>
    <author>tc={4DED4C1A-18DC-4E39-972D-8DB5E1366E32}</author>
    <author>tc={5D9D19C5-225C-478B-BD95-32A284D3402F}</author>
    <author>tc={6598B5CA-3B15-4A4E-BE8E-C5874CFAAC97}</author>
    <author>tc={A6F387F9-E889-49BF-A167-6D684CBFA79D}</author>
  </authors>
  <commentList>
    <comment ref="O12" authorId="0" shapeId="0" xr:uid="{2A3C0DDC-57E8-4C80-BCB9-8A08B7672B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P12" authorId="1" shapeId="0" xr:uid="{95395A1A-1307-49E5-8022-EABBC77389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12" authorId="2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3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G24" authorId="4" shapeId="0" xr:uid="{6C38E7D8-C2D6-4AB8-B55D-D6669DB612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N26" authorId="5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O28" authorId="6" shapeId="0" xr:uid="{5D9D19C5-225C-478B-BD95-32A284D340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  <comment ref="P28" authorId="7" shapeId="0" xr:uid="{6598B5CA-3B15-4A4E-BE8E-C5874CFAAC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  <comment ref="Q28" authorId="8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tc={4626DABD-B4C3-4473-9A56-7F8525D19BAF}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Q3" authorId="8" shapeId="0" xr:uid="{4626DABD-B4C3-4473-9A56-7F8525D19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A3" authorId="9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10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1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2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3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4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5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6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7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tc={089C8636-CE6C-4FF5-99D7-498C66FF2755}</author>
    <author>tc={898E3CD2-42F5-4C6D-BAA2-72D80763C04F}</author>
    <author>tc={7F254369-2AA9-445C-A011-13B07DA93976}</author>
    <author>tc={3D7D0043-62EE-4EF6-B4BF-B01267D26C9C}</author>
    <author>tc={58A32E58-0A35-4246-A6D8-0ADEE18F8C37}</author>
    <author>tc={08A3597C-4A85-4A2F-9AAF-96EC8E3A3C2E}</author>
    <author>tc={6EFF820E-1B02-48BA-BEEE-7EDFF510B5AD}</author>
    <author>tc={15BB4290-53A1-4245-9659-5FC8055F59C8}</author>
    <author>tc={53CAAFAF-6DD4-4602-9294-1C233E31298B}</author>
    <author>tc={29A572BA-4AA6-4D51-9FD3-B355EF3A880E}</author>
    <author>tc={21464C2C-7EE2-43B8-9491-6463A2B13213}</author>
  </authors>
  <commentList>
    <comment ref="C3" authorId="0" shapeId="0" xr:uid="{089C8636-CE6C-4FF5-99D7-498C66FF27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E3" authorId="1" shapeId="0" xr:uid="{898E3CD2-42F5-4C6D-BAA2-72D80763C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F3" authorId="2" shapeId="0" xr:uid="{7F254369-2AA9-445C-A011-13B07DA939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3" shapeId="0" xr:uid="{3D7D0043-62EE-4EF6-B4BF-B01267D26C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4" shapeId="0" xr:uid="{58A32E58-0A35-4246-A6D8-0ADEE18F8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L3" authorId="5" shapeId="0" xr:uid="{08A3597C-4A85-4A2F-9AAF-96EC8E3A3C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G3" authorId="6" shapeId="0" xr:uid="{6EFF820E-1B02-48BA-BEEE-7EDFF510B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J3" authorId="7" shapeId="0" xr:uid="{15BB4290-53A1-4245-9659-5FC8055F59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P3" authorId="8" shapeId="0" xr:uid="{53CAAFAF-6DD4-4602-9294-1C233E31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R6" authorId="9" shapeId="0" xr:uid="{29A572BA-4AA6-4D51-9FD3-B355EF3A88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S6" authorId="10" shapeId="0" xr:uid="{21464C2C-7EE2-43B8-9491-6463A2B132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<sst xmlns="http://schemas.openxmlformats.org/spreadsheetml/2006/main" count="611" uniqueCount="155">
  <si>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</si>
  <si>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</si>
  <si>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</si>
  <si>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</si>
  <si>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</si>
  <si>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</si>
  <si>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</si>
  <si>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</si>
  <si>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</si>
  <si>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</si>
  <si>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</si>
  <si>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</si>
  <si>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</si>
  <si>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</si>
  <si>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</si>
  <si>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</si>
  <si>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</si>
  <si>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</si>
  <si>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</si>
  <si>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</si>
  <si>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</si>
  <si>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</si>
  <si>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</si>
  <si>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</si>
  <si>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</si>
  <si>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</si>
  <si>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</si>
  <si>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</si>
  <si>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</si>
  <si>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</si>
  <si>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</si>
  <si>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</si>
  <si>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</si>
  <si>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</si>
  <si>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</si>
  <si>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</si>
  <si>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</si>
  <si>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</si>
  <si>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</si>
  <si>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</si>
  <si>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</si>
  <si>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</si>
  <si>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</si>
  <si>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</si>
  <si>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</si>
  <si>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</si>
  <si>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</si>
  <si>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</si>
  <si>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</si>
  <si>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</si>
  <si>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</si>
  <si>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</si>
  <si>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</si>
  <si>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</si>
  <si>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</si>
  <si>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</si>
  <si>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</si>
  <si>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</si>
  <si>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</si>
  <si>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</si>
  <si>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</si>
  <si>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</si>
  <si>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</si>
  <si>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</si>
  <si>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</si>
  <si>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</si>
  <si>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</si>
  <si>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</si>
  <si>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</si>
  <si>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</si>
  <si>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</si>
  <si>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</si>
  <si>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</si>
  <si>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</si>
  <si>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</si>
  <si>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</si>
  <si>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</si>
  <si>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</si>
  <si>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</si>
  <si>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</si>
  <si>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</si>
  <si>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</si>
  <si>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</si>
  <si>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</si>
  <si>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</si>
  <si>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</si>
  <si>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</si>
  <si>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</si>
  <si>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</si>
  <si>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</si>
  <si>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</si>
  <si>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</si>
  <si>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</si>
  <si>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</si>
  <si>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</si>
  <si>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</si>
  <si>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</si>
  <si>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</si>
  <si>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</si>
  <si>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</si>
  <si>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</si>
  <si>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</si>
  <si>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</si>
  <si>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</si>
  <si>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</si>
  <si>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</si>
  <si>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</si>
  <si>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</si>
  <si>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</si>
  <si>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</si>
  <si>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</si>
  <si>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</si>
  <si>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</si>
  <si>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</si>
  <si>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</si>
  <si>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</si>
  <si>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</si>
  <si>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</si>
  <si>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</si>
  <si>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</si>
  <si>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</si>
  <si>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</si>
  <si>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</si>
  <si>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</si>
  <si>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</si>
  <si>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</si>
  <si>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</si>
  <si>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</si>
  <si>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</si>
  <si>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</si>
  <si>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</si>
  <si>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</si>
  <si>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</si>
  <si>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</si>
  <si>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</si>
  <si>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</si>
  <si>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</si>
  <si>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</si>
  <si>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</si>
  <si>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</si>
  <si>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</si>
  <si>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</si>
  <si>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</si>
  <si>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</si>
  <si>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</si>
  <si>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</si>
  <si>
    <t>Bilheteria Série A (R$ milhões)</t>
  </si>
  <si>
    <t>Bilheteria média Série A (R$ mil/jogo)</t>
  </si>
  <si>
    <t>Receita c/ Pay-per-View</t>
  </si>
  <si>
    <t>Venda de Direitos - Liga Forte</t>
  </si>
  <si>
    <t>Ajuste - LFF</t>
  </si>
  <si>
    <t>Transmissão Pura</t>
  </si>
  <si>
    <t>Ajuste</t>
  </si>
  <si>
    <t>Ajuste 2</t>
  </si>
  <si>
    <t>Outras Rec/Desp Operacionais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</si>
</sst>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  <xf numFmtId="3" fontId="0" fillId="3" borderId="0" xfId="0" applyNumberFormat="1" applyFill="1"/>
    <xf numFmtId="3" fontId="1" fillId="3" borderId="0" xfId="0" applyNumberFormat="1" applyFont="1" applyFill="1"/>
    <xf numFmtId="165" fontId="2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0" fillId="0" borderId="0" xfId="1" applyNumberFormat="1" applyFont="1"/>
    <xf numFmtId="3" fontId="0" fillId="4" borderId="0" xfId="0" applyNumberFormat="1" applyFill="1"/>
    <xf numFmtId="3" fontId="0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  <threadedComment ref="D17" dT="2024-04-30T09:42:00.19" personId="{D9C177C2-4820-4A14-BCC5-17B8B37A3BE0}" id="{73EF60E8-5A12-4820-89DA-3C3CACEC04A5}">
    <text>Adição de Outras Receitas Operacionais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R2" dT="2024-04-25T20:25:39.73" personId="{D9C177C2-4820-4A14-BCC5-17B8B37A3BE0}" id="{7A93F710-17C9-4443-B90F-E4F1B2CA3D95}">
    <text>Transmissão + Premiaçao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2" dT="2024-04-06T11:10:04.91" personId="{D9C177C2-4820-4A14-BCC5-17B8B37A3BE0}" id="{2A3C0DDC-57E8-4C80-BCB9-8A08B7672B41}">
    <text>Inclui a rubrica "Gastos com atletas, comissão técnica e baixa"</text>
  </threadedComment>
  <threadedComment ref="P12" dT="2024-04-06T11:10:04.91" personId="{D9C177C2-4820-4A14-BCC5-17B8B37A3BE0}" id="{95395A1A-1307-49E5-8022-EABBC7738952}">
    <text>Inclui a rubrica "Gastos com atletas, comissão técnica e baixa"</text>
  </threadedComment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G24" dT="2024-04-30T23:25:23.69" personId="{D9C177C2-4820-4A14-BCC5-17B8B37A3BE0}" id="{6C38E7D8-C2D6-4AB8-B55D-D6669DB612CF}">
    <text>DFC</text>
  </threadedComment>
  <threadedComment ref="N26" dT="2024-04-20T18:07:29.87" personId="{D9C177C2-4820-4A14-BCC5-17B8B37A3BE0}" id="{4DED4C1A-18DC-4E39-972D-8DB5E1366E32}">
    <text>Não informa.</text>
  </threadedComment>
  <threadedComment ref="O28" dT="2024-04-20T18:09:11.84" personId="{D9C177C2-4820-4A14-BCC5-17B8B37A3BE0}" id="{5D9D19C5-225C-478B-BD95-32A284D3402F}">
    <text>Exclui os excessos apontados em "Pessoal e encargos sociais"</text>
  </threadedComment>
  <threadedComment ref="P28" dT="2024-04-20T18:09:11.84" personId="{D9C177C2-4820-4A14-BCC5-17B8B37A3BE0}" id="{6598B5CA-3B15-4A4E-BE8E-C5874CFAAC97}">
    <text>Exclui os excessos apontados em "Pessoal e encargos sociais"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AQ3" dT="2024-04-13T11:54:30.68" personId="{D9C177C2-4820-4A14-BCC5-17B8B37A3BE0}" id="{4626DABD-B4C3-4473-9A56-7F8525D19BAF}">
    <text>Inclui premiações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089C8636-CE6C-4FF5-99D7-498C66FF2755}">
    <text>Inclui premiações</text>
  </threadedComment>
  <threadedComment ref="E3" dT="2024-04-12T23:50:06.34" personId="{D9C177C2-4820-4A14-BCC5-17B8B37A3BE0}" id="{898E3CD2-42F5-4C6D-BAA2-72D80763C04F}">
    <text>Inclui premiações</text>
  </threadedComment>
  <threadedComment ref="F3" dT="2024-04-12T23:50:06.34" personId="{D9C177C2-4820-4A14-BCC5-17B8B37A3BE0}" id="{7F254369-2AA9-445C-A011-13B07DA93976}">
    <text>Inclui premiações</text>
  </threadedComment>
  <threadedComment ref="H3" dT="2024-04-12T23:50:06.34" personId="{D9C177C2-4820-4A14-BCC5-17B8B37A3BE0}" id="{3D7D0043-62EE-4EF6-B4BF-B01267D26C9C}">
    <text>Inclui premiações</text>
  </threadedComment>
  <threadedComment ref="I3" dT="2024-04-12T23:50:06.34" personId="{D9C177C2-4820-4A14-BCC5-17B8B37A3BE0}" id="{58A32E58-0A35-4246-A6D8-0ADEE18F8C37}">
    <text>Inclui premiações</text>
  </threadedComment>
  <threadedComment ref="L3" dT="2024-04-12T23:50:06.34" personId="{D9C177C2-4820-4A14-BCC5-17B8B37A3BE0}" id="{08A3597C-4A85-4A2F-9AAF-96EC8E3A3C2E}">
    <text>Inclui premiações</text>
  </threadedComment>
  <threadedComment ref="AG3" dT="2024-04-13T11:54:30.68" personId="{D9C177C2-4820-4A14-BCC5-17B8B37A3BE0}" id="{6EFF820E-1B02-48BA-BEEE-7EDFF510B5AD}">
    <text>Inclui premiações</text>
  </threadedComment>
  <threadedComment ref="AJ3" dT="2024-04-13T12:53:45.02" personId="{D9C177C2-4820-4A14-BCC5-17B8B37A3BE0}" id="{15BB4290-53A1-4245-9659-5FC8055F59C8}">
    <text>Inclui premiações</text>
  </threadedComment>
  <threadedComment ref="AP3" dT="2024-04-13T16:30:55.08" personId="{D9C177C2-4820-4A14-BCC5-17B8B37A3BE0}" id="{53CAAFAF-6DD4-4602-9294-1C233E31298B}">
    <text>Inclui Premiação</text>
  </threadedComment>
  <threadedComment ref="R6" dT="2024-04-12T19:01:25.10" personId="{D9C177C2-4820-4A14-BCC5-17B8B37A3BE0}" id="{29A572BA-4AA6-4D51-9FD3-B355EF3A880E}">
    <text>Contempla as 2 próximas Linhas tb.</text>
  </threadedComment>
  <threadedComment ref="S6" dT="2024-04-12T19:01:32.65" personId="{D9C177C2-4820-4A14-BCC5-17B8B37A3BE0}" id="{21464C2C-7EE2-43B8-9491-6463A2B13213}">
    <text>Contempla as 2 próximas Linhas tb.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8"/>
  <sheetViews>
    <sheetView showGridLines="0" zoomScale="110" zoomScaleNormal="11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T9" sqref="T9"/>
    </sheetView>
  </sheetViews>
  <sheetFormatPr defaultRowHeight="14.4" x14ac:dyDescent="0.3"/>
  <cols>
    <col min="1" max="1" width="22.88671875" style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2" x14ac:dyDescent="0.3">
      <c r="A2" s="1" t="s">
        <v>6</v>
      </c>
      <c r="B2" s="1">
        <v>73</v>
      </c>
      <c r="C2" s="1">
        <v>98</v>
      </c>
      <c r="D2" s="1">
        <v>43</v>
      </c>
      <c r="E2" s="1">
        <v>12</v>
      </c>
      <c r="F2" s="1">
        <v>0</v>
      </c>
      <c r="G2" s="1">
        <v>307</v>
      </c>
      <c r="H2" s="1">
        <v>51</v>
      </c>
      <c r="I2" s="1">
        <v>0</v>
      </c>
      <c r="J2" s="1">
        <f>Painel!AP3</f>
        <v>75</v>
      </c>
      <c r="K2" s="1">
        <v>326</v>
      </c>
      <c r="L2" s="1">
        <v>0</v>
      </c>
      <c r="M2" s="1">
        <v>0</v>
      </c>
      <c r="N2" s="1">
        <v>193</v>
      </c>
      <c r="O2" s="1">
        <f>48-2.9</f>
        <v>45.1</v>
      </c>
      <c r="P2" s="1">
        <v>75</v>
      </c>
      <c r="Q2" s="1">
        <v>183</v>
      </c>
      <c r="R2" s="1">
        <v>97</v>
      </c>
      <c r="S2" s="1">
        <v>259</v>
      </c>
      <c r="T2" s="1">
        <v>99</v>
      </c>
      <c r="U2" s="1">
        <f>SUM(B2:T2)/COUNTIF(B2:T2,"&gt;0")</f>
        <v>129.07333333333332</v>
      </c>
    </row>
    <row r="3" spans="1:22" x14ac:dyDescent="0.3">
      <c r="A3" s="1" t="s">
        <v>0</v>
      </c>
      <c r="B3" s="1">
        <v>33</v>
      </c>
      <c r="C3" s="1">
        <v>47</v>
      </c>
      <c r="D3" s="1">
        <f>11+28</f>
        <v>39</v>
      </c>
      <c r="E3" s="1">
        <v>25</v>
      </c>
      <c r="F3" s="1">
        <v>0</v>
      </c>
      <c r="G3" s="1">
        <v>117</v>
      </c>
      <c r="H3" s="1">
        <v>14</v>
      </c>
      <c r="I3" s="1">
        <v>0</v>
      </c>
      <c r="J3" s="1">
        <f>Painel!AP4</f>
        <v>6.3</v>
      </c>
      <c r="K3" s="1">
        <v>183</v>
      </c>
      <c r="L3" s="1">
        <v>0</v>
      </c>
      <c r="M3" s="1">
        <v>0</v>
      </c>
      <c r="N3" s="1">
        <v>74</v>
      </c>
      <c r="O3" s="1">
        <f>24-0.65</f>
        <v>23.35</v>
      </c>
      <c r="P3" s="1">
        <f>56+9</f>
        <v>65</v>
      </c>
      <c r="Q3" s="1">
        <v>121</v>
      </c>
      <c r="R3" s="1">
        <v>78</v>
      </c>
      <c r="S3" s="1">
        <v>46</v>
      </c>
      <c r="T3" s="1">
        <v>49</v>
      </c>
      <c r="U3" s="1">
        <f t="shared" ref="U3:U26" si="0">SUM(B3:T3)/COUNTIF(B3:T3,"&gt;0")</f>
        <v>61.376666666666665</v>
      </c>
      <c r="V3"/>
    </row>
    <row r="4" spans="1:22" x14ac:dyDescent="0.3">
      <c r="A4" s="1" t="s">
        <v>1</v>
      </c>
      <c r="B4" s="1">
        <v>3.1</v>
      </c>
      <c r="C4" s="1">
        <v>47</v>
      </c>
      <c r="D4" s="1">
        <v>33</v>
      </c>
      <c r="E4" s="1">
        <v>6.9</v>
      </c>
      <c r="F4" s="1">
        <v>0</v>
      </c>
      <c r="G4" s="1">
        <v>91</v>
      </c>
      <c r="H4" s="1">
        <v>12</v>
      </c>
      <c r="I4" s="1">
        <v>0</v>
      </c>
      <c r="J4" s="1">
        <f>Painel!AP5</f>
        <v>16.600000000000001</v>
      </c>
      <c r="K4" s="1">
        <v>169</v>
      </c>
      <c r="L4" s="1">
        <v>0</v>
      </c>
      <c r="M4" s="1">
        <v>0</v>
      </c>
      <c r="N4" s="1">
        <v>2.4</v>
      </c>
      <c r="O4" s="1">
        <f>7-0.25</f>
        <v>6.75</v>
      </c>
      <c r="P4" s="1">
        <v>20</v>
      </c>
      <c r="Q4" s="1">
        <v>63</v>
      </c>
      <c r="R4" s="1">
        <v>26</v>
      </c>
      <c r="S4" s="1">
        <v>110</v>
      </c>
      <c r="T4" s="1">
        <v>25</v>
      </c>
      <c r="U4" s="1">
        <f t="shared" si="0"/>
        <v>42.116666666666667</v>
      </c>
      <c r="V4"/>
    </row>
    <row r="5" spans="1:22" x14ac:dyDescent="0.3">
      <c r="A5" s="1" t="s">
        <v>3</v>
      </c>
      <c r="B5" s="1">
        <v>0</v>
      </c>
      <c r="C5" s="1">
        <v>27</v>
      </c>
      <c r="D5" s="1">
        <v>45</v>
      </c>
      <c r="E5" s="1">
        <v>13</v>
      </c>
      <c r="F5" s="1">
        <v>0</v>
      </c>
      <c r="G5" s="1">
        <v>43</v>
      </c>
      <c r="H5" s="1">
        <v>27</v>
      </c>
      <c r="I5" s="1">
        <v>0</v>
      </c>
      <c r="J5" s="1">
        <f>Painel!AP6</f>
        <v>0</v>
      </c>
      <c r="K5" s="1">
        <v>90</v>
      </c>
      <c r="L5" s="1">
        <v>0</v>
      </c>
      <c r="M5" s="1">
        <v>0</v>
      </c>
      <c r="N5" s="1">
        <v>86</v>
      </c>
      <c r="O5" s="1">
        <v>8</v>
      </c>
      <c r="P5" s="1">
        <v>73</v>
      </c>
      <c r="Q5" s="1">
        <v>59</v>
      </c>
      <c r="R5" s="1">
        <v>0</v>
      </c>
      <c r="S5" s="1">
        <v>21</v>
      </c>
      <c r="T5" s="1">
        <v>32</v>
      </c>
      <c r="U5" s="1">
        <f t="shared" si="0"/>
        <v>43.666666666666664</v>
      </c>
      <c r="V5"/>
    </row>
    <row r="6" spans="1:22" x14ac:dyDescent="0.3">
      <c r="A6" s="1" t="s">
        <v>4</v>
      </c>
      <c r="B6" s="1">
        <v>0</v>
      </c>
      <c r="C6" s="1">
        <v>0</v>
      </c>
      <c r="D6" s="1">
        <v>37</v>
      </c>
      <c r="E6" s="1">
        <v>0</v>
      </c>
      <c r="F6" s="1">
        <v>0</v>
      </c>
      <c r="G6" s="1">
        <v>12</v>
      </c>
      <c r="H6" s="1">
        <v>0</v>
      </c>
      <c r="I6" s="1">
        <v>0</v>
      </c>
      <c r="J6" s="1">
        <f>Painel!AP7</f>
        <v>0</v>
      </c>
      <c r="K6">
        <v>137</v>
      </c>
      <c r="L6" s="1">
        <v>0</v>
      </c>
      <c r="M6" s="1">
        <v>0</v>
      </c>
      <c r="N6" s="1">
        <v>0</v>
      </c>
      <c r="O6" s="1">
        <v>11</v>
      </c>
      <c r="P6" s="1">
        <v>75</v>
      </c>
      <c r="Q6" s="1">
        <v>80</v>
      </c>
      <c r="R6" s="1">
        <v>0</v>
      </c>
      <c r="S6" s="1">
        <v>0</v>
      </c>
      <c r="T6" s="1">
        <v>20</v>
      </c>
      <c r="U6" s="1">
        <f t="shared" si="0"/>
        <v>53.142857142857146</v>
      </c>
      <c r="V6"/>
    </row>
    <row r="7" spans="1:22" x14ac:dyDescent="0.3">
      <c r="A7" s="1" t="s">
        <v>5</v>
      </c>
      <c r="B7" s="1">
        <v>0</v>
      </c>
      <c r="C7" s="1">
        <v>0</v>
      </c>
      <c r="D7" s="1">
        <f>0.4+11+2+1+13</f>
        <v>27.4</v>
      </c>
      <c r="E7" s="1">
        <f>0.6+3.2</f>
        <v>3.8000000000000003</v>
      </c>
      <c r="F7" s="1">
        <v>0</v>
      </c>
      <c r="G7" s="1">
        <v>17</v>
      </c>
      <c r="H7" s="1">
        <v>0</v>
      </c>
      <c r="I7" s="1">
        <v>0</v>
      </c>
      <c r="J7" s="1">
        <f>Painel!AP8</f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f>1+1.7-0.15</f>
        <v>2.5500000000000003</v>
      </c>
      <c r="P7" s="1">
        <v>14</v>
      </c>
      <c r="Q7" s="1">
        <v>36</v>
      </c>
      <c r="R7" s="1">
        <v>1.4</v>
      </c>
      <c r="S7" s="1">
        <v>18</v>
      </c>
      <c r="T7" s="1">
        <v>8.6</v>
      </c>
      <c r="U7" s="1">
        <f t="shared" si="0"/>
        <v>19.886363636363637</v>
      </c>
      <c r="V7"/>
    </row>
    <row r="8" spans="1:22" x14ac:dyDescent="0.3">
      <c r="A8" s="1" t="s">
        <v>20</v>
      </c>
      <c r="B8" s="1">
        <f>SUM(B2:B7)</f>
        <v>109.1</v>
      </c>
      <c r="C8" s="1">
        <f>SUM(C2:C7)</f>
        <v>219</v>
      </c>
      <c r="D8" s="1">
        <f>SUM(D2:D7)</f>
        <v>224.4</v>
      </c>
      <c r="E8" s="1">
        <f>SUM(E2:E7)</f>
        <v>60.699999999999996</v>
      </c>
      <c r="F8" s="1">
        <v>0</v>
      </c>
      <c r="G8" s="1">
        <f>SUM(G2:G7)</f>
        <v>587</v>
      </c>
      <c r="H8" s="1">
        <f>SUM(H23,H3:H7)</f>
        <v>104</v>
      </c>
      <c r="I8" s="1">
        <v>0</v>
      </c>
      <c r="J8" s="1">
        <f>SUM(J2:J7)</f>
        <v>97.9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f>SUM(O2:O7)</f>
        <v>96.75</v>
      </c>
      <c r="P8" s="1">
        <f>SUM(P2:P7)</f>
        <v>322</v>
      </c>
      <c r="Q8" s="1">
        <f>SUM(Q2:Q7)</f>
        <v>542</v>
      </c>
      <c r="R8" s="1">
        <f>SUM(R2:R7)</f>
        <v>202.4</v>
      </c>
      <c r="S8" s="1">
        <f>SUM(S2:S7)</f>
        <v>454</v>
      </c>
      <c r="T8" s="1">
        <v>234</v>
      </c>
      <c r="U8" s="1">
        <f t="shared" si="0"/>
        <v>306.91000000000003</v>
      </c>
    </row>
    <row r="9" spans="1:22" x14ac:dyDescent="0.3">
      <c r="A9" s="1" t="s">
        <v>2</v>
      </c>
      <c r="B9" s="1">
        <v>62</v>
      </c>
      <c r="C9" s="1">
        <v>111</v>
      </c>
      <c r="D9" s="1">
        <v>241</v>
      </c>
      <c r="E9" s="1">
        <v>0</v>
      </c>
      <c r="F9" s="1">
        <v>0</v>
      </c>
      <c r="G9" s="1">
        <v>251</v>
      </c>
      <c r="H9" s="1">
        <f>12+3.2</f>
        <v>15.2</v>
      </c>
      <c r="I9" s="1">
        <v>0</v>
      </c>
      <c r="J9" s="1">
        <f>Painel!AP10</f>
        <v>0</v>
      </c>
      <c r="K9" s="1">
        <v>303</v>
      </c>
      <c r="L9" s="1">
        <v>0</v>
      </c>
      <c r="M9" s="1">
        <v>0</v>
      </c>
      <c r="N9" s="1">
        <v>50</v>
      </c>
      <c r="O9" s="1">
        <v>4.5</v>
      </c>
      <c r="P9" s="1">
        <v>77</v>
      </c>
      <c r="Q9" s="1">
        <v>187</v>
      </c>
      <c r="R9" s="1">
        <v>174</v>
      </c>
      <c r="S9" s="1">
        <v>121</v>
      </c>
      <c r="T9" s="1">
        <f>124+1.3</f>
        <v>125.3</v>
      </c>
      <c r="U9" s="1">
        <f t="shared" si="0"/>
        <v>132.46153846153845</v>
      </c>
      <c r="V9"/>
    </row>
    <row r="10" spans="1:22" x14ac:dyDescent="0.3">
      <c r="A10" s="1" t="s">
        <v>7</v>
      </c>
      <c r="B10" s="1">
        <v>17</v>
      </c>
      <c r="C10" s="1">
        <v>6</v>
      </c>
      <c r="D10" s="1">
        <v>48</v>
      </c>
      <c r="E10" s="3">
        <v>2</v>
      </c>
      <c r="F10" s="1">
        <v>0</v>
      </c>
      <c r="G10" s="3">
        <v>0</v>
      </c>
      <c r="H10" s="1">
        <f>160-H9-H8</f>
        <v>40.800000000000011</v>
      </c>
      <c r="I10" s="1">
        <v>0</v>
      </c>
      <c r="J10" s="1">
        <v>31</v>
      </c>
      <c r="K10" s="1">
        <v>49</v>
      </c>
      <c r="L10" s="1">
        <v>0</v>
      </c>
      <c r="M10" s="1">
        <v>0</v>
      </c>
      <c r="N10" s="3">
        <f>-(N11-N8-N9)</f>
        <v>12.399999999999977</v>
      </c>
      <c r="O10" s="3">
        <v>11</v>
      </c>
      <c r="P10" s="3">
        <v>25</v>
      </c>
      <c r="Q10" s="1">
        <f>839-SUM(Q8,Q9)</f>
        <v>110</v>
      </c>
      <c r="R10" s="1">
        <f>R11-R8-R9</f>
        <v>47.599999999999994</v>
      </c>
      <c r="S10" s="1">
        <f>S11-S8-S9</f>
        <v>94</v>
      </c>
      <c r="T10" s="3">
        <v>14</v>
      </c>
      <c r="U10" s="1">
        <f t="shared" si="0"/>
        <v>36.271428571428565</v>
      </c>
    </row>
    <row r="11" spans="1:22" x14ac:dyDescent="0.3">
      <c r="A11" s="1" t="s">
        <v>19</v>
      </c>
      <c r="B11" s="1">
        <v>188</v>
      </c>
      <c r="C11" s="1">
        <v>336</v>
      </c>
      <c r="D11" s="1">
        <f>SUM(D8:D10)</f>
        <v>513.4</v>
      </c>
      <c r="E11" s="1">
        <v>59</v>
      </c>
      <c r="F11" s="1">
        <v>0</v>
      </c>
      <c r="G11" s="1">
        <v>838</v>
      </c>
      <c r="H11" s="1">
        <f>95.5+64.6</f>
        <v>160.1</v>
      </c>
      <c r="I11" s="1">
        <v>0</v>
      </c>
      <c r="J11" s="1">
        <v>158</v>
      </c>
      <c r="K11" s="1">
        <v>1316</v>
      </c>
      <c r="L11" s="1">
        <v>0</v>
      </c>
      <c r="M11" s="1">
        <v>0</v>
      </c>
      <c r="N11" s="1">
        <v>424</v>
      </c>
      <c r="O11" s="1">
        <v>90</v>
      </c>
      <c r="P11" s="1">
        <v>374</v>
      </c>
      <c r="Q11" s="1">
        <v>839</v>
      </c>
      <c r="R11" s="1">
        <v>424</v>
      </c>
      <c r="S11" s="1">
        <v>669</v>
      </c>
      <c r="T11" s="1">
        <v>345</v>
      </c>
      <c r="U11" s="1">
        <f t="shared" si="0"/>
        <v>448.9</v>
      </c>
    </row>
    <row r="12" spans="1:22" x14ac:dyDescent="0.3">
      <c r="A12" s="1" t="s">
        <v>8</v>
      </c>
      <c r="B12" s="1">
        <v>92</v>
      </c>
      <c r="C12" s="1">
        <v>163</v>
      </c>
      <c r="D12" s="1">
        <v>103</v>
      </c>
      <c r="E12" s="1">
        <v>0</v>
      </c>
      <c r="F12" s="1">
        <v>0</v>
      </c>
      <c r="G12" s="1">
        <v>261</v>
      </c>
      <c r="H12" s="1">
        <f>40.6+44.5</f>
        <v>85.1</v>
      </c>
      <c r="I12" s="1">
        <v>0</v>
      </c>
      <c r="J12" s="1">
        <f>Painel!AP12</f>
        <v>99</v>
      </c>
      <c r="K12" s="1">
        <v>339</v>
      </c>
      <c r="L12" s="1">
        <v>0</v>
      </c>
      <c r="M12" s="1">
        <v>0</v>
      </c>
      <c r="N12" s="1">
        <v>128</v>
      </c>
      <c r="O12" s="1">
        <v>43</v>
      </c>
      <c r="P12" s="1">
        <v>164</v>
      </c>
      <c r="Q12" s="1">
        <f>343-24</f>
        <v>319</v>
      </c>
      <c r="R12" s="1">
        <v>147</v>
      </c>
      <c r="S12" s="1">
        <f>161+20+6</f>
        <v>187</v>
      </c>
      <c r="T12" s="1">
        <v>124</v>
      </c>
      <c r="U12" s="1">
        <f t="shared" si="0"/>
        <v>161.00714285714284</v>
      </c>
    </row>
    <row r="13" spans="1:22" x14ac:dyDescent="0.3">
      <c r="A13" s="1" t="s">
        <v>9</v>
      </c>
      <c r="B13" s="1">
        <v>0</v>
      </c>
      <c r="C13" s="1">
        <v>53</v>
      </c>
      <c r="D13" s="1">
        <v>30</v>
      </c>
      <c r="E13" s="1">
        <v>0</v>
      </c>
      <c r="F13" s="1">
        <v>0</v>
      </c>
      <c r="G13" s="1">
        <v>0</v>
      </c>
      <c r="H13" s="1">
        <f>15+19</f>
        <v>34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7</v>
      </c>
      <c r="P13" s="1">
        <v>32</v>
      </c>
      <c r="Q13" s="1">
        <v>86</v>
      </c>
      <c r="R13" s="1">
        <v>33</v>
      </c>
      <c r="S13" s="1">
        <v>79</v>
      </c>
      <c r="T13" s="1">
        <v>36</v>
      </c>
      <c r="U13" s="1">
        <f t="shared" si="0"/>
        <v>56.090909090909093</v>
      </c>
    </row>
    <row r="14" spans="1:22" x14ac:dyDescent="0.3">
      <c r="A14" s="1" t="s">
        <v>10</v>
      </c>
      <c r="B14" s="1">
        <v>0</v>
      </c>
      <c r="C14" s="1">
        <v>43</v>
      </c>
      <c r="D14" s="1">
        <v>18</v>
      </c>
      <c r="E14" s="1">
        <v>0</v>
      </c>
      <c r="F14" s="1">
        <v>0</v>
      </c>
      <c r="G14" s="1">
        <v>40</v>
      </c>
      <c r="H14" s="1">
        <f>3.2+2.8</f>
        <v>6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10</v>
      </c>
      <c r="P14" s="1">
        <v>9</v>
      </c>
      <c r="Q14" s="1">
        <v>26</v>
      </c>
      <c r="R14" s="1">
        <v>25</v>
      </c>
      <c r="S14" s="1">
        <v>57</v>
      </c>
      <c r="T14" s="1">
        <v>30</v>
      </c>
      <c r="U14" s="1">
        <f t="shared" si="0"/>
        <v>34.333333333333336</v>
      </c>
    </row>
    <row r="15" spans="1:22" x14ac:dyDescent="0.3">
      <c r="A15" s="1" t="s">
        <v>11</v>
      </c>
      <c r="B15" s="1">
        <v>84</v>
      </c>
      <c r="C15" s="1">
        <v>34</v>
      </c>
      <c r="D15" s="1">
        <v>80</v>
      </c>
      <c r="E15" s="1">
        <v>0</v>
      </c>
      <c r="F15" s="1">
        <v>0</v>
      </c>
      <c r="G15" s="1">
        <f>43+31</f>
        <v>74</v>
      </c>
      <c r="H15" s="1">
        <f>35+23</f>
        <v>58</v>
      </c>
      <c r="I15" s="1">
        <v>0</v>
      </c>
      <c r="J15" s="1">
        <v>21</v>
      </c>
      <c r="K15" s="1">
        <v>131</v>
      </c>
      <c r="L15" s="1">
        <v>0</v>
      </c>
      <c r="M15" s="1">
        <v>0</v>
      </c>
      <c r="N15" s="1">
        <v>89</v>
      </c>
      <c r="O15" s="1">
        <v>26</v>
      </c>
      <c r="P15" s="1">
        <v>76</v>
      </c>
      <c r="Q15" s="1">
        <v>86</v>
      </c>
      <c r="R15" s="1">
        <v>59</v>
      </c>
      <c r="S15" s="1">
        <v>45</v>
      </c>
      <c r="T15" s="1">
        <v>72</v>
      </c>
      <c r="U15" s="1">
        <f t="shared" si="0"/>
        <v>66.785714285714292</v>
      </c>
    </row>
    <row r="16" spans="1:22" x14ac:dyDescent="0.3">
      <c r="A16" s="1" t="s">
        <v>12</v>
      </c>
      <c r="B16" s="1">
        <v>16</v>
      </c>
      <c r="C16" s="1">
        <v>79</v>
      </c>
      <c r="D16" s="1">
        <v>43</v>
      </c>
      <c r="E16" s="1">
        <v>0</v>
      </c>
      <c r="F16" s="1">
        <v>0</v>
      </c>
      <c r="G16" s="1">
        <v>81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2.5</v>
      </c>
      <c r="P16" s="1">
        <v>49</v>
      </c>
      <c r="Q16" s="1">
        <v>106</v>
      </c>
      <c r="R16" s="1">
        <f>47+2+0.5</f>
        <v>49.5</v>
      </c>
      <c r="S16" s="1">
        <f>14+51+4+3+6+1</f>
        <v>79</v>
      </c>
      <c r="T16" s="1">
        <v>59</v>
      </c>
      <c r="U16" s="1">
        <f t="shared" si="0"/>
        <v>59.207692307692312</v>
      </c>
    </row>
    <row r="17" spans="1:21" x14ac:dyDescent="0.3">
      <c r="A17" s="1" t="s">
        <v>13</v>
      </c>
      <c r="B17" s="1">
        <v>5</v>
      </c>
      <c r="C17" s="29">
        <v>255</v>
      </c>
      <c r="D17" s="29">
        <v>154</v>
      </c>
      <c r="E17" s="1">
        <v>0</v>
      </c>
      <c r="F17" s="1">
        <v>0</v>
      </c>
      <c r="G17" s="1">
        <v>214</v>
      </c>
      <c r="H17" s="1">
        <f>208-SUM(H12:H16)</f>
        <v>24.5</v>
      </c>
      <c r="I17" s="1">
        <v>0</v>
      </c>
      <c r="J17" s="29">
        <v>0</v>
      </c>
      <c r="K17" s="1">
        <v>105</v>
      </c>
      <c r="L17" s="1">
        <v>0</v>
      </c>
      <c r="M17" s="1">
        <v>0</v>
      </c>
      <c r="N17" s="1">
        <f>414-SUM(N12:N16)</f>
        <v>65.699999999999989</v>
      </c>
      <c r="O17" s="1">
        <v>15</v>
      </c>
      <c r="P17" s="1">
        <v>43</v>
      </c>
      <c r="Q17" s="1">
        <f>Q18-SUM(Q12:Q16)</f>
        <v>154</v>
      </c>
      <c r="R17" s="1">
        <f>R18-SUM(R12:R16)</f>
        <v>105.5</v>
      </c>
      <c r="S17" s="1">
        <f>653-SUM(S12:S16)</f>
        <v>206</v>
      </c>
      <c r="T17" s="1">
        <v>93</v>
      </c>
      <c r="U17" s="1">
        <f t="shared" si="0"/>
        <v>110.74615384615385</v>
      </c>
    </row>
    <row r="18" spans="1:21" x14ac:dyDescent="0.3">
      <c r="A18" s="1" t="s">
        <v>14</v>
      </c>
      <c r="B18" s="1">
        <v>197</v>
      </c>
      <c r="C18" s="1">
        <f>SUM(C12:C17)</f>
        <v>627</v>
      </c>
      <c r="D18" s="1">
        <v>428</v>
      </c>
      <c r="E18" s="1">
        <v>0</v>
      </c>
      <c r="F18" s="1">
        <v>0</v>
      </c>
      <c r="G18" s="1">
        <v>672</v>
      </c>
      <c r="H18" s="1">
        <f>105+103</f>
        <v>208</v>
      </c>
      <c r="I18" s="1">
        <v>0</v>
      </c>
      <c r="J18" s="1">
        <f>SUM(J12:J17)</f>
        <v>120</v>
      </c>
      <c r="K18" s="1">
        <f>936+74+32-18</f>
        <v>1024</v>
      </c>
      <c r="L18" s="1">
        <v>0</v>
      </c>
      <c r="M18" s="1">
        <v>0</v>
      </c>
      <c r="N18" s="1">
        <f>364+50</f>
        <v>414</v>
      </c>
      <c r="O18" s="1">
        <f>78+26</f>
        <v>104</v>
      </c>
      <c r="P18" s="1">
        <v>373</v>
      </c>
      <c r="Q18" s="1">
        <v>777</v>
      </c>
      <c r="R18" s="1">
        <f>296+123</f>
        <v>419</v>
      </c>
      <c r="S18" s="1">
        <f>731-78</f>
        <v>653</v>
      </c>
      <c r="T18" s="1">
        <f>342+73</f>
        <v>415</v>
      </c>
      <c r="U18" s="1">
        <f t="shared" si="0"/>
        <v>459.35714285714283</v>
      </c>
    </row>
    <row r="19" spans="1:21" x14ac:dyDescent="0.3">
      <c r="A19" s="1" t="s">
        <v>40</v>
      </c>
      <c r="B19" s="3">
        <v>9</v>
      </c>
      <c r="C19" s="1">
        <v>309</v>
      </c>
      <c r="D19" s="1">
        <v>275</v>
      </c>
      <c r="E19" s="1">
        <v>0</v>
      </c>
      <c r="F19" s="1">
        <v>0</v>
      </c>
      <c r="G19" s="1">
        <v>166</v>
      </c>
      <c r="H19" s="1">
        <f>45+35</f>
        <v>80</v>
      </c>
      <c r="I19" s="1">
        <v>0</v>
      </c>
      <c r="J19" s="1">
        <f>J11-J18</f>
        <v>38</v>
      </c>
      <c r="K19" s="1">
        <v>292</v>
      </c>
      <c r="L19" s="1">
        <v>0</v>
      </c>
      <c r="M19" s="1">
        <v>0</v>
      </c>
      <c r="N19" s="1">
        <v>9.5</v>
      </c>
      <c r="O19" s="1">
        <v>126</v>
      </c>
      <c r="P19" s="1">
        <v>232</v>
      </c>
      <c r="Q19" s="1">
        <v>62</v>
      </c>
      <c r="R19" s="1">
        <f>R11-R18</f>
        <v>5</v>
      </c>
      <c r="S19" s="29">
        <v>16</v>
      </c>
      <c r="T19" s="3">
        <v>70</v>
      </c>
      <c r="U19" s="1">
        <f t="shared" si="0"/>
        <v>120.67857142857143</v>
      </c>
    </row>
    <row r="20" spans="1:21" x14ac:dyDescent="0.3">
      <c r="A20" s="1" t="s">
        <v>41</v>
      </c>
      <c r="B20" s="3">
        <v>13</v>
      </c>
      <c r="C20" s="3">
        <v>167</v>
      </c>
      <c r="D20" s="1">
        <v>108</v>
      </c>
      <c r="E20" s="1">
        <v>0</v>
      </c>
      <c r="F20" s="1">
        <v>0</v>
      </c>
      <c r="G20" s="3">
        <v>45</v>
      </c>
      <c r="H20" s="3">
        <v>30</v>
      </c>
      <c r="I20" s="1">
        <v>0</v>
      </c>
      <c r="J20" s="3">
        <v>1</v>
      </c>
      <c r="K20" s="1">
        <v>28</v>
      </c>
      <c r="L20" s="1">
        <v>0</v>
      </c>
      <c r="M20" s="1">
        <v>0</v>
      </c>
      <c r="N20" s="3">
        <v>55</v>
      </c>
      <c r="O20" s="3">
        <v>1.4</v>
      </c>
      <c r="P20" s="3">
        <v>61</v>
      </c>
      <c r="Q20" s="3">
        <v>53</v>
      </c>
      <c r="R20" s="3">
        <v>4</v>
      </c>
      <c r="S20" s="3">
        <v>78</v>
      </c>
      <c r="T20" s="3">
        <v>54</v>
      </c>
      <c r="U20" s="1">
        <f t="shared" si="0"/>
        <v>49.885714285714286</v>
      </c>
    </row>
    <row r="21" spans="1:21" x14ac:dyDescent="0.3">
      <c r="A21" s="1" t="s">
        <v>42</v>
      </c>
      <c r="B21" s="3">
        <v>22</v>
      </c>
      <c r="C21" s="1">
        <v>142</v>
      </c>
      <c r="D21" s="1">
        <v>383</v>
      </c>
      <c r="E21" s="1">
        <v>0</v>
      </c>
      <c r="F21" s="1">
        <v>0</v>
      </c>
      <c r="G21" s="1">
        <v>121</v>
      </c>
      <c r="H21" s="1">
        <f>15+35</f>
        <v>50</v>
      </c>
      <c r="I21" s="1">
        <v>0</v>
      </c>
      <c r="J21" s="1">
        <v>37</v>
      </c>
      <c r="K21" s="1">
        <v>320</v>
      </c>
      <c r="L21" s="1">
        <v>0</v>
      </c>
      <c r="M21" s="1">
        <v>0</v>
      </c>
      <c r="N21" s="3">
        <v>45</v>
      </c>
      <c r="O21" s="1">
        <v>124</v>
      </c>
      <c r="P21" s="1">
        <v>170</v>
      </c>
      <c r="Q21" s="1">
        <v>8.5</v>
      </c>
      <c r="R21" s="1">
        <v>1</v>
      </c>
      <c r="S21" s="3">
        <v>62</v>
      </c>
      <c r="T21" s="3">
        <v>124</v>
      </c>
      <c r="U21" s="1">
        <f t="shared" si="0"/>
        <v>114.96428571428571</v>
      </c>
    </row>
    <row r="22" spans="1:21" x14ac:dyDescent="0.3">
      <c r="A22" s="1" t="s">
        <v>91</v>
      </c>
      <c r="B22" s="1">
        <v>0</v>
      </c>
      <c r="C22" s="1">
        <v>0</v>
      </c>
      <c r="D22" s="1">
        <f>D12+D13</f>
        <v>133</v>
      </c>
      <c r="E22" s="1">
        <v>0</v>
      </c>
      <c r="F22" s="1">
        <v>0</v>
      </c>
      <c r="G22" s="1">
        <f>G12+G13</f>
        <v>261</v>
      </c>
      <c r="H22" s="1">
        <f>H12+H13</f>
        <v>119.1</v>
      </c>
      <c r="I22" s="1">
        <v>0</v>
      </c>
      <c r="J22" s="1">
        <f>J12+J13</f>
        <v>99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f>SUM(O12+O13)</f>
        <v>50</v>
      </c>
      <c r="P22" s="1">
        <f>SUM(P12+P13)</f>
        <v>196</v>
      </c>
      <c r="Q22" s="1">
        <f>SUM(Q12+Q13)</f>
        <v>405</v>
      </c>
      <c r="R22" s="1">
        <f>SUM(R12+R13)</f>
        <v>180</v>
      </c>
      <c r="S22" s="1">
        <f>SUM(S12+S13)</f>
        <v>266</v>
      </c>
      <c r="T22" s="1">
        <f>SUM(T12+T13)</f>
        <v>160</v>
      </c>
      <c r="U22" s="1">
        <f t="shared" si="0"/>
        <v>213.59166666666667</v>
      </c>
    </row>
    <row r="23" spans="1:21" x14ac:dyDescent="0.3">
      <c r="A23" s="1" t="s">
        <v>145</v>
      </c>
      <c r="B23" s="1">
        <v>0</v>
      </c>
      <c r="C23" s="1">
        <v>0</v>
      </c>
      <c r="D23" s="1">
        <f>D2+D6</f>
        <v>80</v>
      </c>
      <c r="E23" s="1">
        <v>0</v>
      </c>
      <c r="F23" s="1">
        <v>0</v>
      </c>
      <c r="G23" s="1">
        <f>G2+G6</f>
        <v>319</v>
      </c>
      <c r="H23" s="1">
        <v>51</v>
      </c>
      <c r="I23" s="1">
        <v>0</v>
      </c>
      <c r="J23" s="1">
        <v>75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f>O2+O6</f>
        <v>56.1</v>
      </c>
      <c r="P23" s="1">
        <f>P2+P6</f>
        <v>150</v>
      </c>
      <c r="Q23" s="1">
        <f>Q2+Q6</f>
        <v>263</v>
      </c>
      <c r="R23" s="1">
        <v>97</v>
      </c>
      <c r="S23" s="1">
        <v>97</v>
      </c>
      <c r="T23" s="1">
        <f>T2+T6</f>
        <v>119</v>
      </c>
      <c r="U23" s="1">
        <f t="shared" si="0"/>
        <v>163.59166666666667</v>
      </c>
    </row>
    <row r="24" spans="1:21" x14ac:dyDescent="0.3">
      <c r="A24" s="1" t="s">
        <v>122</v>
      </c>
      <c r="B24" s="1">
        <v>0</v>
      </c>
      <c r="C24" s="1">
        <v>0</v>
      </c>
      <c r="D24" s="1">
        <f>D12+D13</f>
        <v>133</v>
      </c>
      <c r="E24" s="1">
        <v>0</v>
      </c>
      <c r="F24" s="1">
        <v>0</v>
      </c>
      <c r="G24" s="1">
        <f>G22</f>
        <v>261</v>
      </c>
      <c r="H24" s="1">
        <f>H12+H13</f>
        <v>119.1</v>
      </c>
      <c r="I24" s="1">
        <v>0</v>
      </c>
      <c r="J24" s="1">
        <f>J22</f>
        <v>99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f>O12+O13</f>
        <v>50</v>
      </c>
      <c r="P24" s="1">
        <f>P12+P13</f>
        <v>196</v>
      </c>
      <c r="Q24" s="1">
        <f>Q12+Q13</f>
        <v>405</v>
      </c>
      <c r="R24" s="1">
        <v>172</v>
      </c>
      <c r="S24" s="1">
        <v>172</v>
      </c>
      <c r="T24" s="1">
        <v>0</v>
      </c>
      <c r="U24" s="1">
        <f t="shared" si="0"/>
        <v>209.19090909090909</v>
      </c>
    </row>
    <row r="25" spans="1:21" x14ac:dyDescent="0.3">
      <c r="A25" s="1" t="s">
        <v>149</v>
      </c>
      <c r="B25" s="1">
        <v>116</v>
      </c>
      <c r="C25" s="1">
        <v>0</v>
      </c>
      <c r="D25" s="1">
        <v>190</v>
      </c>
      <c r="E25" s="1">
        <v>0</v>
      </c>
      <c r="F25" s="1">
        <v>0</v>
      </c>
      <c r="G25" s="1">
        <v>0</v>
      </c>
      <c r="H25" s="36">
        <v>152</v>
      </c>
      <c r="I25" s="1">
        <v>0</v>
      </c>
      <c r="J25" s="1">
        <v>28.7</v>
      </c>
      <c r="K25" s="1">
        <v>0</v>
      </c>
      <c r="L25" s="1">
        <v>0</v>
      </c>
      <c r="M25" s="1">
        <v>0</v>
      </c>
      <c r="N25" s="1">
        <v>0</v>
      </c>
      <c r="O25" s="1">
        <v>140</v>
      </c>
      <c r="P25" s="1">
        <v>206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138.78333333333333</v>
      </c>
    </row>
    <row r="26" spans="1:21" x14ac:dyDescent="0.3">
      <c r="A26" s="1" t="s">
        <v>154</v>
      </c>
      <c r="B26" s="1">
        <v>0</v>
      </c>
      <c r="C26" s="1">
        <v>600</v>
      </c>
      <c r="D26" s="1">
        <v>0</v>
      </c>
      <c r="E26" s="1">
        <v>0</v>
      </c>
      <c r="F26" s="1">
        <v>0</v>
      </c>
      <c r="G26" s="1">
        <v>0</v>
      </c>
      <c r="H26" s="36">
        <v>24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25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216.33333333333334</v>
      </c>
    </row>
    <row r="27" spans="1:21" x14ac:dyDescent="0.3">
      <c r="A27" s="1" t="s">
        <v>150</v>
      </c>
      <c r="B27" s="1">
        <v>9</v>
      </c>
      <c r="C27" s="37">
        <f>C18-C11</f>
        <v>291</v>
      </c>
      <c r="D27" s="1">
        <f>D11-D18</f>
        <v>85.399999999999977</v>
      </c>
      <c r="E27" s="1">
        <v>0</v>
      </c>
      <c r="F27" s="1">
        <v>0</v>
      </c>
      <c r="G27" s="1">
        <v>0</v>
      </c>
      <c r="H27" s="1">
        <v>48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14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f t="shared" ref="U27:U28" si="1">SUM(B27:T27)/COUNTIF(B27:T27,"&gt;0")</f>
        <v>74.733333333333334</v>
      </c>
    </row>
    <row r="28" spans="1:21" x14ac:dyDescent="0.3">
      <c r="A28" s="1" t="s">
        <v>151</v>
      </c>
      <c r="B28" s="36">
        <v>0</v>
      </c>
      <c r="C28" s="36">
        <v>0</v>
      </c>
      <c r="D28" s="36">
        <f>D2</f>
        <v>43</v>
      </c>
      <c r="E28" s="36">
        <v>0</v>
      </c>
      <c r="F28" s="36">
        <v>0</v>
      </c>
      <c r="G28" s="36">
        <v>0</v>
      </c>
      <c r="H28" s="1">
        <v>0</v>
      </c>
      <c r="I28" s="36">
        <v>0</v>
      </c>
      <c r="J28" s="1">
        <v>0</v>
      </c>
      <c r="K28" s="1">
        <v>326</v>
      </c>
      <c r="L28" s="36">
        <v>0</v>
      </c>
      <c r="M28" s="36">
        <v>0</v>
      </c>
      <c r="N28" s="1">
        <v>0</v>
      </c>
      <c r="O28" s="36">
        <v>0</v>
      </c>
      <c r="P28" s="36">
        <v>0</v>
      </c>
      <c r="Q28" s="1">
        <v>183</v>
      </c>
      <c r="R28" s="1">
        <v>0</v>
      </c>
      <c r="S28" s="1">
        <v>0</v>
      </c>
      <c r="T28" s="36">
        <v>0</v>
      </c>
      <c r="U28" s="1">
        <f t="shared" si="1"/>
        <v>184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sheetPr codeName="Planilha11"/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7"/>
  <sheetViews>
    <sheetView showGridLines="0" zoomScale="110" zoomScaleNormal="110" workbookViewId="0">
      <pane xSplit="1" ySplit="1" topLeftCell="S7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23.6640625" style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29" bestFit="1" customWidth="1"/>
    <col min="22" max="22" width="8.33203125" style="29" bestFit="1" customWidth="1"/>
    <col min="23" max="23" width="9.5546875" style="29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V1" s="11"/>
      <c r="W1" s="11"/>
    </row>
    <row r="2" spans="1:23" x14ac:dyDescent="0.3">
      <c r="A2" s="1" t="s">
        <v>6</v>
      </c>
      <c r="B2" s="1">
        <f>Resultado!B2</f>
        <v>73</v>
      </c>
      <c r="C2" s="1">
        <f>Resultado!C2</f>
        <v>98</v>
      </c>
      <c r="D2" s="1">
        <f>Resultado!D2</f>
        <v>43</v>
      </c>
      <c r="G2" s="1">
        <f>Resultado!G2</f>
        <v>307</v>
      </c>
      <c r="H2" s="1">
        <f>VLOOKUP(A2,Resultado!$A$2:$H$23,8,FALSE)</f>
        <v>51</v>
      </c>
      <c r="J2" s="1">
        <f>Resultado!J2</f>
        <v>75</v>
      </c>
      <c r="K2" s="1">
        <v>326</v>
      </c>
      <c r="N2" s="1">
        <v>193</v>
      </c>
      <c r="O2" s="1">
        <f>Resultado!O2</f>
        <v>45.1</v>
      </c>
      <c r="P2" s="1">
        <f>Resultado!P2</f>
        <v>75</v>
      </c>
      <c r="Q2" s="1">
        <v>183</v>
      </c>
      <c r="R2" s="1">
        <v>97</v>
      </c>
      <c r="S2" s="1">
        <f>Resultado!S2</f>
        <v>259</v>
      </c>
      <c r="T2" s="1">
        <f>Resultado!T2</f>
        <v>99</v>
      </c>
    </row>
    <row r="3" spans="1:23" x14ac:dyDescent="0.3">
      <c r="A3" s="1" t="s">
        <v>0</v>
      </c>
      <c r="B3" s="1">
        <f>Resultado!B3</f>
        <v>33</v>
      </c>
      <c r="C3" s="1">
        <f>Resultado!C3</f>
        <v>47</v>
      </c>
      <c r="D3" s="1">
        <f>Resultado!D3</f>
        <v>39</v>
      </c>
      <c r="G3" s="1">
        <f>Resultado!G3</f>
        <v>117</v>
      </c>
      <c r="H3" s="1">
        <f>VLOOKUP(A3,Resultado!$A$2:$H$23,8,FALSE)</f>
        <v>14</v>
      </c>
      <c r="J3" s="1">
        <f>Resultado!J3</f>
        <v>6.3</v>
      </c>
      <c r="K3" s="1">
        <v>183</v>
      </c>
      <c r="N3" s="1">
        <v>74</v>
      </c>
      <c r="O3" s="1">
        <f>Resultado!O3</f>
        <v>23.35</v>
      </c>
      <c r="P3" s="1">
        <f>Resultado!P3</f>
        <v>65</v>
      </c>
      <c r="Q3" s="1">
        <v>121</v>
      </c>
      <c r="R3" s="1">
        <v>78</v>
      </c>
      <c r="S3" s="1">
        <f>Resultado!S3</f>
        <v>46</v>
      </c>
      <c r="T3" s="1">
        <f>Resultado!T3</f>
        <v>49</v>
      </c>
      <c r="V3" s="11"/>
    </row>
    <row r="4" spans="1:23" x14ac:dyDescent="0.3">
      <c r="A4" s="1" t="s">
        <v>1</v>
      </c>
      <c r="B4" s="1">
        <f>Resultado!B4</f>
        <v>3.1</v>
      </c>
      <c r="C4" s="1">
        <f>Resultado!C4</f>
        <v>47</v>
      </c>
      <c r="D4" s="1">
        <f>Resultado!D4</f>
        <v>33</v>
      </c>
      <c r="G4" s="1">
        <f>Resultado!G4</f>
        <v>91</v>
      </c>
      <c r="H4" s="1">
        <f>VLOOKUP(A4,Resultado!$A$2:$H$23,8,FALSE)</f>
        <v>12</v>
      </c>
      <c r="J4" s="1">
        <f>Resultado!J4</f>
        <v>16.600000000000001</v>
      </c>
      <c r="K4" s="1">
        <v>169</v>
      </c>
      <c r="N4" s="1">
        <v>2.4</v>
      </c>
      <c r="O4" s="1">
        <f>Resultado!O4</f>
        <v>6.75</v>
      </c>
      <c r="P4" s="1">
        <f>Resultado!P4</f>
        <v>20</v>
      </c>
      <c r="Q4" s="1">
        <v>63</v>
      </c>
      <c r="R4" s="1">
        <v>26</v>
      </c>
      <c r="S4" s="1">
        <f>Resultado!S4</f>
        <v>110</v>
      </c>
      <c r="T4" s="1">
        <f>Resultado!T4</f>
        <v>25</v>
      </c>
      <c r="V4" s="11"/>
    </row>
    <row r="5" spans="1:23" x14ac:dyDescent="0.3">
      <c r="A5" s="1" t="s">
        <v>3</v>
      </c>
      <c r="B5" s="1">
        <f>Resultado!B5</f>
        <v>0</v>
      </c>
      <c r="C5" s="1">
        <f>Resultado!C5</f>
        <v>27</v>
      </c>
      <c r="D5" s="1">
        <f>Resultado!D5</f>
        <v>45</v>
      </c>
      <c r="G5" s="1">
        <f>Resultado!G5</f>
        <v>43</v>
      </c>
      <c r="H5" s="1">
        <f>VLOOKUP(A5,Resultado!$A$2:$H$23,8,FALSE)</f>
        <v>27</v>
      </c>
      <c r="J5" s="1">
        <f>Resultado!J5</f>
        <v>0</v>
      </c>
      <c r="K5" s="1">
        <v>90</v>
      </c>
      <c r="N5" s="1">
        <v>86</v>
      </c>
      <c r="O5" s="1">
        <f>Resultado!O5</f>
        <v>8</v>
      </c>
      <c r="P5" s="1">
        <f>Resultado!P5</f>
        <v>73</v>
      </c>
      <c r="Q5" s="1">
        <v>59</v>
      </c>
      <c r="R5" s="1">
        <v>0</v>
      </c>
      <c r="S5" s="1">
        <f>Resultado!S5</f>
        <v>21</v>
      </c>
      <c r="T5" s="1">
        <f>Resultado!T5</f>
        <v>32</v>
      </c>
      <c r="V5" s="11"/>
    </row>
    <row r="6" spans="1:23" x14ac:dyDescent="0.3">
      <c r="A6" s="1" t="s">
        <v>4</v>
      </c>
      <c r="B6" s="1">
        <f>Resultado!B6</f>
        <v>0</v>
      </c>
      <c r="C6" s="1">
        <f>Resultado!C6</f>
        <v>0</v>
      </c>
      <c r="D6" s="1">
        <f>Resultado!D6</f>
        <v>37</v>
      </c>
      <c r="G6" s="1">
        <f>Resultado!G6</f>
        <v>12</v>
      </c>
      <c r="H6" s="1">
        <f>VLOOKUP(A6,Resultado!$A$2:$H$23,8,FALSE)</f>
        <v>0</v>
      </c>
      <c r="J6" s="1">
        <f>Resultado!J6</f>
        <v>0</v>
      </c>
      <c r="K6" s="1">
        <v>96</v>
      </c>
      <c r="N6" s="1">
        <v>0</v>
      </c>
      <c r="O6" s="1">
        <f>Resultado!O6</f>
        <v>11</v>
      </c>
      <c r="P6" s="1">
        <f>Resultado!P6</f>
        <v>75</v>
      </c>
      <c r="Q6" s="1">
        <v>80</v>
      </c>
      <c r="R6" s="1">
        <v>0</v>
      </c>
      <c r="S6" s="1">
        <f>Resultado!S6</f>
        <v>0</v>
      </c>
      <c r="T6" s="1">
        <f>Resultado!T6</f>
        <v>20</v>
      </c>
      <c r="V6" s="11"/>
    </row>
    <row r="7" spans="1:23" x14ac:dyDescent="0.3">
      <c r="A7" s="1" t="s">
        <v>5</v>
      </c>
      <c r="B7" s="1">
        <f>Resultado!B7</f>
        <v>0</v>
      </c>
      <c r="C7" s="1">
        <f>Resultado!C7</f>
        <v>0</v>
      </c>
      <c r="D7" s="1">
        <f>Resultado!D7</f>
        <v>27.4</v>
      </c>
      <c r="G7" s="1">
        <f>Resultado!G7</f>
        <v>17</v>
      </c>
      <c r="H7" s="1">
        <f>VLOOKUP(A7,Resultado!$A$2:$H$23,8,FALSE)</f>
        <v>0</v>
      </c>
      <c r="J7" s="1">
        <f>Resultado!J7</f>
        <v>0</v>
      </c>
      <c r="K7" s="1">
        <v>59</v>
      </c>
      <c r="N7" s="1">
        <v>31</v>
      </c>
      <c r="O7" s="1">
        <f>Resultado!O7</f>
        <v>2.5500000000000003</v>
      </c>
      <c r="P7" s="1">
        <f>Resultado!P7</f>
        <v>14</v>
      </c>
      <c r="Q7" s="1">
        <v>36</v>
      </c>
      <c r="R7" s="1">
        <v>1.4</v>
      </c>
      <c r="S7" s="1">
        <f>Resultado!S7</f>
        <v>18</v>
      </c>
      <c r="T7" s="1">
        <f>Resultado!T7</f>
        <v>8.6</v>
      </c>
      <c r="V7" s="11"/>
    </row>
    <row r="8" spans="1:23" x14ac:dyDescent="0.3">
      <c r="A8" s="1" t="s">
        <v>2</v>
      </c>
      <c r="B8" s="1">
        <f>Resultado!B9</f>
        <v>62</v>
      </c>
      <c r="C8" s="1">
        <f>Resultado!C9</f>
        <v>111</v>
      </c>
      <c r="D8" s="1">
        <v>119</v>
      </c>
      <c r="G8" s="1">
        <f>Resultado!G9</f>
        <v>251</v>
      </c>
      <c r="H8" s="1">
        <f>VLOOKUP(A8,Resultado!$A$2:$H$23,8,FALSE)</f>
        <v>15.2</v>
      </c>
      <c r="J8" s="1">
        <f>Resultado!J9</f>
        <v>0</v>
      </c>
      <c r="K8" s="1">
        <v>303</v>
      </c>
      <c r="N8" s="1">
        <v>50</v>
      </c>
      <c r="O8" s="1">
        <f>Resultado!O9</f>
        <v>4.5</v>
      </c>
      <c r="P8" s="1">
        <f>Resultado!P9</f>
        <v>77</v>
      </c>
      <c r="Q8" s="1">
        <v>187</v>
      </c>
      <c r="R8" s="1">
        <v>174</v>
      </c>
      <c r="S8" s="1">
        <f>Resultado!S9</f>
        <v>121</v>
      </c>
      <c r="T8" s="1">
        <f>Resultado!T9</f>
        <v>125.3</v>
      </c>
      <c r="V8" s="11"/>
    </row>
    <row r="9" spans="1:23" s="2" customFormat="1" x14ac:dyDescent="0.3">
      <c r="A9" s="2" t="s">
        <v>53</v>
      </c>
      <c r="B9" s="2">
        <f>SUM(B2:B8)</f>
        <v>171.1</v>
      </c>
      <c r="C9" s="2">
        <f>SUM(C2:C8)</f>
        <v>330</v>
      </c>
      <c r="D9" s="2">
        <f>SUM(D2:D8)+D16</f>
        <v>393.4</v>
      </c>
      <c r="G9" s="2">
        <f>SUM(G2:G8)</f>
        <v>838</v>
      </c>
      <c r="H9" s="2">
        <f>SUM(H2:H8)</f>
        <v>119.2</v>
      </c>
      <c r="J9" s="2">
        <f>J2+J3+J4+J16</f>
        <v>133.9</v>
      </c>
      <c r="K9" s="2">
        <f>SUM(K2:K8)</f>
        <v>1226</v>
      </c>
      <c r="N9" s="2">
        <f>SUM(N2:N8)</f>
        <v>436.4</v>
      </c>
      <c r="O9" s="2">
        <f>SUM(O2:O8)</f>
        <v>101.25</v>
      </c>
      <c r="P9" s="2">
        <f>SUM(P2:P8)</f>
        <v>399</v>
      </c>
      <c r="Q9" s="2">
        <f>SUM(Q2:Q8)</f>
        <v>729</v>
      </c>
      <c r="R9" s="2">
        <f>SUM(R2:R8)</f>
        <v>376.4</v>
      </c>
      <c r="S9" s="2">
        <f>SUM(S2:S8)</f>
        <v>575</v>
      </c>
      <c r="T9" s="2">
        <f>SUM(T2:T8)</f>
        <v>358.9</v>
      </c>
      <c r="U9" s="30"/>
      <c r="V9" s="30"/>
      <c r="W9" s="30"/>
    </row>
    <row r="10" spans="1:23" s="2" customFormat="1" x14ac:dyDescent="0.3">
      <c r="A10" s="2" t="s">
        <v>47</v>
      </c>
      <c r="B10" s="2">
        <f>SUM(B11:B16)</f>
        <v>195</v>
      </c>
      <c r="C10" s="2">
        <f>SUM(C11:C16)</f>
        <v>760</v>
      </c>
      <c r="D10" s="2">
        <f>SUM(D11:D15)</f>
        <v>385</v>
      </c>
      <c r="G10" s="2">
        <f>SUM(G11:G16)</f>
        <v>743</v>
      </c>
      <c r="H10" s="2">
        <f>SUM(H11:H15)-H16</f>
        <v>170.8</v>
      </c>
      <c r="J10" s="2">
        <f>SUM(J11:J15)</f>
        <v>120</v>
      </c>
      <c r="K10" s="2">
        <f>SUM(K11:K16)</f>
        <v>808</v>
      </c>
      <c r="N10" s="2">
        <f>SUM(N11:N16)</f>
        <v>373</v>
      </c>
      <c r="O10" s="2">
        <f>SUM(O11:O16)</f>
        <v>111</v>
      </c>
      <c r="P10" s="2">
        <f>SUM(P11:P15)-P16</f>
        <v>256</v>
      </c>
      <c r="Q10" s="2">
        <f>SUM(Q11:Q15)-Q16</f>
        <v>492</v>
      </c>
      <c r="R10" s="2">
        <f>SUM(R11:R15)-R16</f>
        <v>255.5</v>
      </c>
      <c r="S10" s="2">
        <f>SUM(S11:S15)-S16</f>
        <v>481</v>
      </c>
      <c r="T10" s="2">
        <f>SUM(T11:T16)</f>
        <v>367</v>
      </c>
      <c r="U10" s="30"/>
      <c r="V10" s="30"/>
      <c r="W10" s="30"/>
    </row>
    <row r="11" spans="1:23" x14ac:dyDescent="0.3">
      <c r="A11" s="1" t="s">
        <v>8</v>
      </c>
      <c r="B11" s="1">
        <f>Resultado!B12</f>
        <v>92</v>
      </c>
      <c r="C11" s="1">
        <f>Resultado!C12</f>
        <v>163</v>
      </c>
      <c r="D11" s="1">
        <f>Resultado!D12</f>
        <v>103</v>
      </c>
      <c r="G11" s="1">
        <f>Resultado!G12</f>
        <v>261</v>
      </c>
      <c r="H11" s="1">
        <f>VLOOKUP(A11,Resultado!$A$2:$H$23,8,FALSE)</f>
        <v>85.1</v>
      </c>
      <c r="J11" s="1">
        <f>Resultado!J12</f>
        <v>99</v>
      </c>
      <c r="K11" s="3">
        <v>339</v>
      </c>
      <c r="L11" s="3"/>
      <c r="N11" s="1">
        <v>28</v>
      </c>
      <c r="O11" s="1">
        <f>Resultado!O12</f>
        <v>43</v>
      </c>
      <c r="P11" s="1">
        <f>Resultado!P12</f>
        <v>164</v>
      </c>
      <c r="Q11" s="1">
        <f>343-24</f>
        <v>319</v>
      </c>
      <c r="R11" s="1">
        <v>147</v>
      </c>
      <c r="S11" s="1">
        <f>Resultado!S12</f>
        <v>187</v>
      </c>
      <c r="T11" s="1">
        <f>Resultado!T12</f>
        <v>124</v>
      </c>
    </row>
    <row r="12" spans="1:23" x14ac:dyDescent="0.3">
      <c r="A12" s="1" t="s">
        <v>9</v>
      </c>
      <c r="B12" s="1">
        <f>Resultado!B13</f>
        <v>0</v>
      </c>
      <c r="C12" s="1">
        <f>Resultado!C13</f>
        <v>53</v>
      </c>
      <c r="D12" s="1">
        <f>Resultado!D13</f>
        <v>30</v>
      </c>
      <c r="G12" s="1">
        <f>Resultado!G13</f>
        <v>0</v>
      </c>
      <c r="H12" s="1">
        <f>VLOOKUP(A12,Resultado!$A$2:$H$23,8,FALSE)</f>
        <v>34</v>
      </c>
      <c r="J12" s="1">
        <v>0</v>
      </c>
      <c r="K12" s="3">
        <v>124</v>
      </c>
      <c r="L12" s="3"/>
      <c r="N12" s="1">
        <v>103</v>
      </c>
      <c r="O12" s="1">
        <f>Resultado!O13</f>
        <v>7</v>
      </c>
      <c r="P12" s="1">
        <f>Resultado!P13</f>
        <v>32</v>
      </c>
      <c r="Q12" s="1">
        <v>86</v>
      </c>
      <c r="R12" s="1">
        <v>33</v>
      </c>
      <c r="S12" s="1">
        <f>Resultado!S13</f>
        <v>79</v>
      </c>
      <c r="T12" s="1">
        <f>Resultado!T13</f>
        <v>36</v>
      </c>
    </row>
    <row r="13" spans="1:23" x14ac:dyDescent="0.3">
      <c r="A13" s="1" t="s">
        <v>10</v>
      </c>
      <c r="B13" s="1">
        <f>Resultado!B14</f>
        <v>0</v>
      </c>
      <c r="C13" s="1">
        <f>Resultado!C14</f>
        <v>43</v>
      </c>
      <c r="D13" s="1">
        <f>Resultado!D14</f>
        <v>18</v>
      </c>
      <c r="G13" s="1">
        <f>Resultado!G14</f>
        <v>40</v>
      </c>
      <c r="H13" s="1">
        <f>VLOOKUP(A13,Resultado!$A$2:$H$23,8,FALSE)</f>
        <v>6</v>
      </c>
      <c r="J13" s="1">
        <v>0</v>
      </c>
      <c r="K13" s="3">
        <v>125</v>
      </c>
      <c r="L13" s="3"/>
      <c r="N13" s="1">
        <v>23</v>
      </c>
      <c r="O13" s="1">
        <f>Resultado!O14</f>
        <v>10</v>
      </c>
      <c r="P13" s="1">
        <f>Resultado!P14</f>
        <v>9</v>
      </c>
      <c r="Q13" s="1">
        <v>26</v>
      </c>
      <c r="R13" s="1">
        <v>25</v>
      </c>
      <c r="S13" s="1">
        <f>Resultado!S14</f>
        <v>57</v>
      </c>
      <c r="T13" s="1">
        <f>Resultado!T14</f>
        <v>30</v>
      </c>
    </row>
    <row r="14" spans="1:23" x14ac:dyDescent="0.3">
      <c r="A14" s="1" t="s">
        <v>11</v>
      </c>
      <c r="B14" s="1">
        <f>Resultado!B15</f>
        <v>84</v>
      </c>
      <c r="C14" s="1">
        <f>Resultado!C15</f>
        <v>34</v>
      </c>
      <c r="D14" s="1">
        <f>Resultado!D15</f>
        <v>80</v>
      </c>
      <c r="G14" s="1">
        <f>Resultado!G15</f>
        <v>74</v>
      </c>
      <c r="H14" s="1">
        <f>VLOOKUP(A14,Resultado!$A$2:$H$23,8,FALSE)-4-0.8</f>
        <v>53.2</v>
      </c>
      <c r="J14" s="1">
        <f>Resultado!J15</f>
        <v>21</v>
      </c>
      <c r="K14" s="1">
        <v>75</v>
      </c>
      <c r="N14" s="1">
        <v>89</v>
      </c>
      <c r="O14" s="1">
        <f>Resultado!O15</f>
        <v>26</v>
      </c>
      <c r="P14" s="1">
        <f>Resultado!P15</f>
        <v>76</v>
      </c>
      <c r="Q14" s="1">
        <v>86</v>
      </c>
      <c r="R14" s="1">
        <v>59</v>
      </c>
      <c r="S14" s="1">
        <f>Resultado!S15</f>
        <v>45</v>
      </c>
      <c r="T14" s="1">
        <f>Resultado!T15</f>
        <v>72</v>
      </c>
    </row>
    <row r="15" spans="1:23" x14ac:dyDescent="0.3">
      <c r="A15" s="1" t="s">
        <v>13</v>
      </c>
      <c r="B15" s="1">
        <f>Resultado!B16</f>
        <v>16</v>
      </c>
      <c r="C15" s="1">
        <f>Resultado!C17</f>
        <v>255</v>
      </c>
      <c r="D15" s="1">
        <f>Resultado!D17</f>
        <v>154</v>
      </c>
      <c r="G15" s="1">
        <f>Resultado!G17</f>
        <v>214</v>
      </c>
      <c r="H15" s="1">
        <f>VLOOKUP(A15,Resultado!$A$2:$H$23,8,FALSE)</f>
        <v>24.5</v>
      </c>
      <c r="J15" s="1">
        <f>Resultado!J17</f>
        <v>0</v>
      </c>
      <c r="K15" s="1">
        <v>141</v>
      </c>
      <c r="N15" s="1">
        <v>110</v>
      </c>
      <c r="O15" s="1">
        <f>Resultado!O17</f>
        <v>15</v>
      </c>
      <c r="P15" s="1">
        <f>Resultado!P17</f>
        <v>43</v>
      </c>
      <c r="Q15" s="1">
        <v>5</v>
      </c>
      <c r="R15" s="1">
        <v>105.5</v>
      </c>
      <c r="S15" s="1">
        <f>Resultado!S17</f>
        <v>206</v>
      </c>
      <c r="T15" s="1">
        <f>Resultado!T17</f>
        <v>93</v>
      </c>
    </row>
    <row r="16" spans="1:23" x14ac:dyDescent="0.3">
      <c r="A16" s="1" t="s">
        <v>56</v>
      </c>
      <c r="B16" s="29">
        <v>3</v>
      </c>
      <c r="C16" s="29">
        <v>212</v>
      </c>
      <c r="D16" s="1">
        <v>50</v>
      </c>
      <c r="G16" s="1">
        <v>154</v>
      </c>
      <c r="H16" s="3">
        <f>ABS(-32)</f>
        <v>32</v>
      </c>
      <c r="J16" s="29">
        <v>36</v>
      </c>
      <c r="K16" s="1">
        <v>4</v>
      </c>
      <c r="N16" s="1">
        <v>20</v>
      </c>
      <c r="O16" s="29">
        <v>10</v>
      </c>
      <c r="P16" s="3">
        <v>68</v>
      </c>
      <c r="Q16" s="3">
        <f>ABS(-30)</f>
        <v>30</v>
      </c>
      <c r="R16" s="3">
        <v>114</v>
      </c>
      <c r="S16" s="1">
        <v>93</v>
      </c>
      <c r="T16" s="1">
        <v>12</v>
      </c>
    </row>
    <row r="17" spans="1:23" s="2" customFormat="1" x14ac:dyDescent="0.3">
      <c r="A17" s="2" t="s">
        <v>55</v>
      </c>
      <c r="B17" s="2">
        <v>34</v>
      </c>
      <c r="C17" s="4">
        <v>430</v>
      </c>
      <c r="D17" s="2">
        <v>130</v>
      </c>
      <c r="G17" s="2">
        <v>95</v>
      </c>
      <c r="H17" s="2">
        <v>44</v>
      </c>
      <c r="J17" s="2">
        <v>43</v>
      </c>
      <c r="K17" s="2">
        <v>418</v>
      </c>
      <c r="N17" s="2">
        <v>63</v>
      </c>
      <c r="O17" s="2">
        <v>79</v>
      </c>
      <c r="P17" s="2">
        <v>143</v>
      </c>
      <c r="Q17" s="2">
        <v>237</v>
      </c>
      <c r="R17" s="2">
        <v>120</v>
      </c>
      <c r="S17" s="4">
        <v>94</v>
      </c>
      <c r="T17" s="2">
        <v>119</v>
      </c>
      <c r="U17" s="30"/>
      <c r="V17" s="30"/>
      <c r="W17" s="30"/>
    </row>
    <row r="18" spans="1:23" s="2" customFormat="1" x14ac:dyDescent="0.3">
      <c r="A18" s="2" t="s">
        <v>51</v>
      </c>
      <c r="B18" s="4">
        <v>8.4</v>
      </c>
      <c r="C18" s="2">
        <v>306</v>
      </c>
      <c r="D18" s="2">
        <v>67</v>
      </c>
      <c r="G18" s="4">
        <v>60</v>
      </c>
      <c r="H18" s="4">
        <v>73</v>
      </c>
      <c r="J18" s="4">
        <v>33</v>
      </c>
      <c r="K18" s="2">
        <v>380</v>
      </c>
      <c r="N18" s="4">
        <v>68</v>
      </c>
      <c r="O18" s="4">
        <v>5.8</v>
      </c>
      <c r="P18" s="4">
        <v>110</v>
      </c>
      <c r="Q18" s="4">
        <v>220</v>
      </c>
      <c r="R18" s="4">
        <v>113</v>
      </c>
      <c r="S18" s="4">
        <v>122</v>
      </c>
      <c r="T18" s="4">
        <v>172</v>
      </c>
      <c r="U18" s="30"/>
      <c r="V18" s="30"/>
      <c r="W18" s="30"/>
    </row>
    <row r="19" spans="1:23" x14ac:dyDescent="0.3">
      <c r="A19" s="1" t="s">
        <v>48</v>
      </c>
      <c r="B19" s="1">
        <v>7.7</v>
      </c>
      <c r="C19" s="3">
        <v>127</v>
      </c>
      <c r="D19" s="1">
        <v>53</v>
      </c>
      <c r="G19" s="1">
        <v>8</v>
      </c>
      <c r="H19" s="1">
        <v>23</v>
      </c>
      <c r="J19" s="1">
        <v>27</v>
      </c>
      <c r="K19" s="1">
        <f>273+87-20</f>
        <v>340</v>
      </c>
      <c r="N19" s="1">
        <v>40</v>
      </c>
      <c r="O19" s="1">
        <v>2.6</v>
      </c>
      <c r="P19" s="1">
        <v>107</v>
      </c>
      <c r="Q19" s="1">
        <v>176</v>
      </c>
      <c r="R19" s="1">
        <v>111</v>
      </c>
      <c r="S19" s="1">
        <v>77</v>
      </c>
      <c r="T19" s="1">
        <v>171</v>
      </c>
    </row>
    <row r="20" spans="1:23" x14ac:dyDescent="0.3">
      <c r="A20" s="1" t="s">
        <v>49</v>
      </c>
      <c r="B20" s="1">
        <v>0</v>
      </c>
      <c r="C20" s="1">
        <v>0</v>
      </c>
      <c r="D20" s="1">
        <v>13</v>
      </c>
      <c r="G20" s="1">
        <v>52</v>
      </c>
      <c r="H20" s="1">
        <v>50</v>
      </c>
      <c r="J20" s="1">
        <v>6</v>
      </c>
      <c r="K20" s="1">
        <v>39</v>
      </c>
      <c r="N20" s="1">
        <v>27</v>
      </c>
      <c r="O20" s="1">
        <v>3.2</v>
      </c>
      <c r="P20" s="1">
        <v>3</v>
      </c>
      <c r="Q20" s="1">
        <v>12</v>
      </c>
      <c r="R20" s="1">
        <v>2</v>
      </c>
      <c r="S20" s="1">
        <v>11</v>
      </c>
      <c r="T20" s="1">
        <v>0</v>
      </c>
    </row>
    <row r="21" spans="1:23" x14ac:dyDescent="0.3">
      <c r="A21" s="1" t="s">
        <v>50</v>
      </c>
      <c r="B21" s="1">
        <v>0</v>
      </c>
      <c r="C21" s="1">
        <v>433</v>
      </c>
      <c r="D21" s="1">
        <v>1</v>
      </c>
      <c r="G21" s="1">
        <v>0</v>
      </c>
      <c r="H21" s="1">
        <v>0</v>
      </c>
      <c r="J21" s="1">
        <v>0</v>
      </c>
      <c r="K21" s="1">
        <f>K18-SUM(K19:K20)</f>
        <v>1</v>
      </c>
      <c r="N21" s="1">
        <v>1</v>
      </c>
      <c r="O21" s="1">
        <v>0</v>
      </c>
      <c r="P21" s="1">
        <v>0</v>
      </c>
      <c r="Q21" s="1">
        <f>Q18-Q19-Q20</f>
        <v>32</v>
      </c>
      <c r="R21" s="1">
        <v>0</v>
      </c>
      <c r="S21" s="1">
        <f>34</f>
        <v>34</v>
      </c>
      <c r="T21" s="1">
        <v>111</v>
      </c>
    </row>
    <row r="22" spans="1:23" s="2" customFormat="1" x14ac:dyDescent="0.3">
      <c r="A22" s="2" t="s">
        <v>52</v>
      </c>
      <c r="B22" s="4">
        <v>13</v>
      </c>
      <c r="C22" s="2">
        <v>116</v>
      </c>
      <c r="D22" s="2">
        <v>0</v>
      </c>
      <c r="G22" s="4">
        <v>46</v>
      </c>
      <c r="H22" s="2">
        <v>41</v>
      </c>
      <c r="J22" s="4">
        <v>0</v>
      </c>
      <c r="K22" s="2">
        <v>41</v>
      </c>
      <c r="N22" s="4">
        <v>7</v>
      </c>
      <c r="O22" s="4">
        <v>0</v>
      </c>
      <c r="P22" s="4">
        <v>151</v>
      </c>
      <c r="Q22" s="4">
        <v>14</v>
      </c>
      <c r="R22" s="4">
        <v>27</v>
      </c>
      <c r="S22" s="2">
        <v>1</v>
      </c>
      <c r="T22" s="2">
        <v>133</v>
      </c>
      <c r="U22" s="30"/>
      <c r="V22" s="30"/>
      <c r="W22" s="30"/>
    </row>
    <row r="23" spans="1:23" s="2" customFormat="1" x14ac:dyDescent="0.3">
      <c r="A23" s="2" t="s">
        <v>54</v>
      </c>
      <c r="B23" s="2">
        <v>13</v>
      </c>
      <c r="C23" s="4">
        <v>8</v>
      </c>
      <c r="D23" s="2">
        <v>63</v>
      </c>
      <c r="G23" s="4">
        <v>11</v>
      </c>
      <c r="H23" s="2">
        <v>12</v>
      </c>
      <c r="J23" s="2">
        <v>9</v>
      </c>
      <c r="K23" s="4">
        <v>2</v>
      </c>
      <c r="N23" s="4">
        <v>12</v>
      </c>
      <c r="O23" s="2">
        <v>73</v>
      </c>
      <c r="P23" s="4">
        <v>78</v>
      </c>
      <c r="Q23" s="2">
        <v>3</v>
      </c>
      <c r="R23" s="4">
        <v>20</v>
      </c>
      <c r="S23" s="4">
        <v>27</v>
      </c>
      <c r="T23" s="2">
        <v>79</v>
      </c>
      <c r="U23" s="30"/>
      <c r="V23" s="30"/>
      <c r="W23" s="30"/>
    </row>
    <row r="24" spans="1:23" x14ac:dyDescent="0.3">
      <c r="A24" s="1" t="s">
        <v>149</v>
      </c>
      <c r="B24" s="1">
        <v>58</v>
      </c>
      <c r="C24" s="1">
        <v>0</v>
      </c>
      <c r="D24" s="1">
        <v>122</v>
      </c>
      <c r="G24" s="1">
        <v>0</v>
      </c>
      <c r="H24" s="1">
        <v>95.5</v>
      </c>
      <c r="J24" s="1">
        <v>29</v>
      </c>
      <c r="K24" s="1">
        <v>0</v>
      </c>
      <c r="N24" s="1">
        <v>0</v>
      </c>
      <c r="O24" s="1">
        <v>89</v>
      </c>
      <c r="P24" s="1">
        <v>196</v>
      </c>
      <c r="Q24" s="1">
        <v>0</v>
      </c>
      <c r="R24" s="1">
        <v>0</v>
      </c>
      <c r="S24" s="1">
        <v>0</v>
      </c>
      <c r="T24" s="1">
        <v>127</v>
      </c>
    </row>
    <row r="25" spans="1:23" x14ac:dyDescent="0.3">
      <c r="A25" s="1" t="s">
        <v>152</v>
      </c>
      <c r="B25" s="1">
        <v>0</v>
      </c>
      <c r="C25" s="1">
        <v>0</v>
      </c>
      <c r="D25" s="1">
        <v>8</v>
      </c>
      <c r="G25" s="1">
        <v>35</v>
      </c>
      <c r="H25" s="1">
        <f>H10-H9</f>
        <v>51.600000000000009</v>
      </c>
      <c r="J25" s="1">
        <v>14</v>
      </c>
      <c r="K25" s="1">
        <v>38</v>
      </c>
      <c r="N25" s="1">
        <v>5</v>
      </c>
      <c r="O25" s="3">
        <v>10</v>
      </c>
      <c r="P25" s="1">
        <v>0</v>
      </c>
      <c r="Q25" s="1">
        <v>0</v>
      </c>
      <c r="R25" s="1">
        <v>7</v>
      </c>
      <c r="S25" s="1">
        <v>93</v>
      </c>
      <c r="T25" s="1">
        <v>61</v>
      </c>
    </row>
    <row r="26" spans="1:23" x14ac:dyDescent="0.3">
      <c r="A26" s="1" t="s">
        <v>153</v>
      </c>
      <c r="B26" s="1">
        <v>0</v>
      </c>
      <c r="C26" s="1">
        <v>0</v>
      </c>
      <c r="D26" s="1">
        <v>0</v>
      </c>
      <c r="F26" s="24"/>
      <c r="G26" s="1">
        <v>0</v>
      </c>
      <c r="H26" s="1">
        <v>29</v>
      </c>
      <c r="J26" s="37">
        <v>0</v>
      </c>
      <c r="K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f>T10-T9</f>
        <v>8.1000000000000227</v>
      </c>
    </row>
    <row r="27" spans="1:23" x14ac:dyDescent="0.3">
      <c r="P27" s="24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  <ignoredError sqref="H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G59"/>
  <sheetViews>
    <sheetView showGridLines="0" tabSelected="1" zoomScale="90" zoomScaleNormal="90" workbookViewId="0">
      <pane xSplit="1" ySplit="1" topLeftCell="Q28" activePane="bottomRight" state="frozen"/>
      <selection pane="topRight" activeCell="B1" sqref="B1"/>
      <selection pane="bottomLeft" activeCell="A2" sqref="A2"/>
      <selection pane="bottomRight" activeCell="T51" sqref="T51"/>
    </sheetView>
  </sheetViews>
  <sheetFormatPr defaultRowHeight="14.4" x14ac:dyDescent="0.3"/>
  <cols>
    <col min="1" max="1" width="38.88671875" customWidth="1"/>
    <col min="2" max="2" width="12" bestFit="1" customWidth="1"/>
    <col min="3" max="3" width="10.6640625" bestFit="1" customWidth="1"/>
    <col min="4" max="4" width="9.554687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3" bestFit="1" customWidth="1"/>
    <col min="22" max="22" width="8.5546875" bestFit="1" customWidth="1"/>
    <col min="23" max="23" width="7.21875" bestFit="1" customWidth="1"/>
    <col min="24" max="24" width="12.109375" bestFit="1" customWidth="1"/>
    <col min="25" max="25" width="5.6640625" bestFit="1" customWidth="1"/>
    <col min="26" max="26" width="8.6640625" bestFit="1" customWidth="1"/>
    <col min="27" max="27" width="6.5546875" bestFit="1" customWidth="1"/>
    <col min="28" max="28" width="5.6640625" bestFit="1" customWidth="1"/>
    <col min="29" max="29" width="7.6640625" bestFit="1" customWidth="1"/>
    <col min="30" max="30" width="7.77734375" bestFit="1" customWidth="1"/>
  </cols>
  <sheetData>
    <row r="1" spans="1:33" x14ac:dyDescent="0.3">
      <c r="A1" t="s">
        <v>45</v>
      </c>
      <c r="B1" t="s">
        <v>35</v>
      </c>
      <c r="C1" t="s">
        <v>79</v>
      </c>
      <c r="D1" t="s">
        <v>27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t="s">
        <v>90</v>
      </c>
    </row>
    <row r="2" spans="1:33" x14ac:dyDescent="0.3">
      <c r="A2" t="s">
        <v>95</v>
      </c>
      <c r="B2" s="1">
        <f>Resultado!B2</f>
        <v>73</v>
      </c>
      <c r="C2" s="1">
        <f>Resultado!D2+Resultado!D6</f>
        <v>80</v>
      </c>
      <c r="D2" s="1">
        <f>Resultado!C2</f>
        <v>98</v>
      </c>
      <c r="E2">
        <v>0</v>
      </c>
      <c r="F2">
        <v>0</v>
      </c>
      <c r="G2" s="1">
        <f>Resultado!G2+Resultado!G6</f>
        <v>319</v>
      </c>
      <c r="H2" s="1">
        <f>Resultado!H2</f>
        <v>51</v>
      </c>
      <c r="I2">
        <v>0</v>
      </c>
      <c r="J2" s="1">
        <f>Resultado!J2</f>
        <v>75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f>Resultado!O2+Resultado!O6</f>
        <v>56.1</v>
      </c>
      <c r="P2" s="1">
        <f>Resultado!P2+Resultado!P6</f>
        <v>150</v>
      </c>
      <c r="Q2" s="1">
        <f>Resultado!Q2+Resultado!Q6</f>
        <v>263</v>
      </c>
      <c r="R2" s="1">
        <f>Resultado!R2+Resultado!R6</f>
        <v>97</v>
      </c>
      <c r="S2" s="1">
        <f>Resultado!S2+Resultado!S6</f>
        <v>259</v>
      </c>
      <c r="T2" s="1">
        <f>Resultado!T2+Resultado!T6</f>
        <v>119</v>
      </c>
      <c r="U2" s="1">
        <f>SUM(B2:T2)/COUNTIF(B2:T2,"&gt;0")</f>
        <v>164.00714285714284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t="s">
        <v>67</v>
      </c>
      <c r="B3" s="1">
        <f>Resultado!B3</f>
        <v>33</v>
      </c>
      <c r="C3" s="1">
        <f>Resultado!D3</f>
        <v>39</v>
      </c>
      <c r="D3" s="1">
        <f>Resultado!C3</f>
        <v>47</v>
      </c>
      <c r="E3">
        <v>0</v>
      </c>
      <c r="F3">
        <v>0</v>
      </c>
      <c r="G3" s="1">
        <f>Resultado!G3</f>
        <v>117</v>
      </c>
      <c r="H3" s="1">
        <f>Resultado!H3</f>
        <v>14</v>
      </c>
      <c r="I3">
        <v>0</v>
      </c>
      <c r="J3" s="1">
        <f>Resultado!J3</f>
        <v>6.3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f>Resultado!O3</f>
        <v>23.35</v>
      </c>
      <c r="P3" s="1">
        <f>Resultado!P3</f>
        <v>65</v>
      </c>
      <c r="Q3" s="1">
        <f>Resultado!Q3</f>
        <v>121</v>
      </c>
      <c r="R3" s="1">
        <f>Resultado!R3</f>
        <v>78</v>
      </c>
      <c r="S3" s="1">
        <f>Resultado!S3</f>
        <v>46</v>
      </c>
      <c r="T3" s="1">
        <f>Resultado!T3</f>
        <v>49</v>
      </c>
      <c r="U3" s="1">
        <f t="shared" ref="U3:U58" si="0">SUM(B3:T3)/COUNTIF(B3:T3,"&gt;0")</f>
        <v>63.975000000000001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t="s">
        <v>68</v>
      </c>
      <c r="B4" s="1">
        <f>Resultado!B4</f>
        <v>3.1</v>
      </c>
      <c r="C4" s="1">
        <f>Resultado!D4</f>
        <v>33</v>
      </c>
      <c r="D4" s="1">
        <f>Resultado!C4</f>
        <v>47</v>
      </c>
      <c r="E4">
        <v>0</v>
      </c>
      <c r="F4">
        <v>0</v>
      </c>
      <c r="G4" s="1">
        <f>Resultado!G4</f>
        <v>91</v>
      </c>
      <c r="H4" s="1">
        <f>Resultado!H4</f>
        <v>12</v>
      </c>
      <c r="I4">
        <v>0</v>
      </c>
      <c r="J4" s="1">
        <f>Resultado!J4</f>
        <v>16.600000000000001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f>Resultado!O4</f>
        <v>6.75</v>
      </c>
      <c r="P4" s="1">
        <f>Resultado!P4</f>
        <v>20</v>
      </c>
      <c r="Q4" s="1">
        <f>Resultado!Q4</f>
        <v>63</v>
      </c>
      <c r="R4" s="1">
        <f>Resultado!R4</f>
        <v>26</v>
      </c>
      <c r="S4" s="1">
        <f>Resultado!S4</f>
        <v>110</v>
      </c>
      <c r="T4" s="1">
        <f>Resultado!T4</f>
        <v>25</v>
      </c>
      <c r="U4" s="1">
        <f t="shared" si="0"/>
        <v>44.632142857142853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69</v>
      </c>
      <c r="B5" s="1">
        <f>Resultado!B5</f>
        <v>0</v>
      </c>
      <c r="C5" s="1">
        <f>Resultado!D5</f>
        <v>45</v>
      </c>
      <c r="D5" s="1">
        <f>Resultado!C5</f>
        <v>27</v>
      </c>
      <c r="E5">
        <v>0</v>
      </c>
      <c r="F5">
        <v>0</v>
      </c>
      <c r="G5" s="1">
        <f>Resultado!G5</f>
        <v>43</v>
      </c>
      <c r="H5" s="1">
        <f>Resultado!H5</f>
        <v>27</v>
      </c>
      <c r="I5">
        <v>0</v>
      </c>
      <c r="J5" s="1">
        <f>Resultado!J5</f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f>Resultado!O5</f>
        <v>8</v>
      </c>
      <c r="P5" s="1">
        <f>Resultado!P5</f>
        <v>73</v>
      </c>
      <c r="Q5" s="1">
        <f>Resultado!Q5</f>
        <v>59</v>
      </c>
      <c r="R5" s="1">
        <f>Resultado!R5</f>
        <v>0</v>
      </c>
      <c r="S5" s="1">
        <f>Resultado!S5</f>
        <v>21</v>
      </c>
      <c r="T5" s="1">
        <f>Resultado!T5</f>
        <v>32</v>
      </c>
      <c r="U5" s="1">
        <f t="shared" si="0"/>
        <v>46.454545454545453</v>
      </c>
    </row>
    <row r="6" spans="1:33" x14ac:dyDescent="0.3">
      <c r="A6" t="s">
        <v>4</v>
      </c>
      <c r="B6" s="1">
        <f>Resultado!B6</f>
        <v>0</v>
      </c>
      <c r="C6" s="1">
        <f>Resultado!D6</f>
        <v>37</v>
      </c>
      <c r="D6" s="1">
        <f>Resultado!C6</f>
        <v>0</v>
      </c>
      <c r="E6">
        <v>0</v>
      </c>
      <c r="F6">
        <v>0</v>
      </c>
      <c r="G6" s="1">
        <f>Resultado!G6</f>
        <v>12</v>
      </c>
      <c r="H6" s="1">
        <v>0</v>
      </c>
      <c r="I6">
        <v>0</v>
      </c>
      <c r="J6" s="1">
        <f>Resultado!J6</f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f>Resultado!O6</f>
        <v>11</v>
      </c>
      <c r="P6" s="1">
        <f>Resultado!P6</f>
        <v>75</v>
      </c>
      <c r="Q6" s="1">
        <f>Resultado!Q6</f>
        <v>80</v>
      </c>
      <c r="R6" s="1">
        <f>Resultado!R6</f>
        <v>0</v>
      </c>
      <c r="S6" s="1">
        <f>Resultado!S6</f>
        <v>0</v>
      </c>
      <c r="T6" s="1">
        <f>Resultado!T6</f>
        <v>20</v>
      </c>
      <c r="U6" s="1">
        <f t="shared" si="0"/>
        <v>53.142857142857146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t="s">
        <v>70</v>
      </c>
      <c r="B7" s="1">
        <f>Resultado!B7</f>
        <v>0</v>
      </c>
      <c r="C7" s="1">
        <f>Resultado!D7</f>
        <v>27.4</v>
      </c>
      <c r="D7" s="1">
        <f>Resultado!C7</f>
        <v>0</v>
      </c>
      <c r="E7">
        <v>0</v>
      </c>
      <c r="F7">
        <v>0</v>
      </c>
      <c r="G7" s="1">
        <f>Resultado!G7</f>
        <v>17</v>
      </c>
      <c r="H7" s="1">
        <f>Resultado!H7</f>
        <v>0</v>
      </c>
      <c r="I7">
        <v>0</v>
      </c>
      <c r="J7" s="1">
        <f>Resultado!J7</f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f>Resultado!O7</f>
        <v>2.5500000000000003</v>
      </c>
      <c r="P7" s="1">
        <f>Resultado!P7</f>
        <v>14</v>
      </c>
      <c r="Q7" s="1">
        <f>Resultado!Q7</f>
        <v>36</v>
      </c>
      <c r="R7" s="1">
        <f>Resultado!R7</f>
        <v>1.4</v>
      </c>
      <c r="S7" s="1">
        <f>Resultado!S7</f>
        <v>18</v>
      </c>
      <c r="T7" s="1">
        <f>Resultado!T7</f>
        <v>8.6</v>
      </c>
      <c r="U7" s="1">
        <f t="shared" si="0"/>
        <v>21.495000000000001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t="s">
        <v>75</v>
      </c>
      <c r="B8" s="1">
        <f>Resultado!B8</f>
        <v>109.1</v>
      </c>
      <c r="C8" s="1">
        <f>Resultado!D8</f>
        <v>224.4</v>
      </c>
      <c r="D8" s="1">
        <f>Resultado!C8</f>
        <v>219</v>
      </c>
      <c r="E8">
        <v>0</v>
      </c>
      <c r="F8">
        <v>0</v>
      </c>
      <c r="G8" s="1">
        <f>Resultado!G8</f>
        <v>587</v>
      </c>
      <c r="H8" s="1">
        <f>Resultado!H8</f>
        <v>104</v>
      </c>
      <c r="I8">
        <v>0</v>
      </c>
      <c r="J8" s="1">
        <f>Resultado!J8</f>
        <v>97.9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f>Resultado!O8</f>
        <v>96.75</v>
      </c>
      <c r="P8" s="1">
        <f>Resultado!P8</f>
        <v>322</v>
      </c>
      <c r="Q8" s="1">
        <f>Resultado!Q8</f>
        <v>542</v>
      </c>
      <c r="R8" s="1">
        <f>Resultado!R8</f>
        <v>202.4</v>
      </c>
      <c r="S8" s="1">
        <f>Resultado!S8</f>
        <v>454</v>
      </c>
      <c r="T8" s="1">
        <f>Resultado!T8</f>
        <v>234</v>
      </c>
      <c r="U8" s="1">
        <f t="shared" si="0"/>
        <v>321.56785714285718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t="s">
        <v>71</v>
      </c>
      <c r="B9" s="1">
        <f>Resultado!B9</f>
        <v>62</v>
      </c>
      <c r="C9" s="1">
        <f>Resultado!D9</f>
        <v>241</v>
      </c>
      <c r="D9" s="1">
        <f>Resultado!C9</f>
        <v>111</v>
      </c>
      <c r="E9">
        <v>0</v>
      </c>
      <c r="F9">
        <v>0</v>
      </c>
      <c r="G9" s="1">
        <f>Resultado!G9</f>
        <v>251</v>
      </c>
      <c r="H9" s="1">
        <f>Resultado!H9</f>
        <v>15.2</v>
      </c>
      <c r="I9">
        <v>0</v>
      </c>
      <c r="J9" s="1">
        <f>Resultado!J9</f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f>Resultado!O9</f>
        <v>4.5</v>
      </c>
      <c r="P9" s="1">
        <f>Resultado!P9</f>
        <v>77</v>
      </c>
      <c r="Q9" s="1">
        <f>Resultado!Q9</f>
        <v>187</v>
      </c>
      <c r="R9" s="1">
        <f>Resultado!R9</f>
        <v>174</v>
      </c>
      <c r="S9" s="1">
        <f>Resultado!S9</f>
        <v>121</v>
      </c>
      <c r="T9" s="1">
        <f>Resultado!T9</f>
        <v>125.3</v>
      </c>
      <c r="U9" s="1">
        <f t="shared" si="0"/>
        <v>132.53846153846155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t="s">
        <v>7</v>
      </c>
      <c r="B10" s="1">
        <f>Resultado!B10</f>
        <v>17</v>
      </c>
      <c r="C10" s="1">
        <f>Resultado!D10</f>
        <v>48</v>
      </c>
      <c r="D10" s="1">
        <f>Resultado!C10</f>
        <v>6</v>
      </c>
      <c r="E10">
        <v>0</v>
      </c>
      <c r="F10">
        <v>0</v>
      </c>
      <c r="G10" s="3">
        <f>Resultado!G10</f>
        <v>0</v>
      </c>
      <c r="H10" s="1">
        <f>Resultado!H10</f>
        <v>40.800000000000011</v>
      </c>
      <c r="I10">
        <v>0</v>
      </c>
      <c r="J10" s="1">
        <f>Resultado!J10</f>
        <v>31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3">
        <f>Resultado!O10</f>
        <v>11</v>
      </c>
      <c r="P10" s="3">
        <f>Resultado!P10</f>
        <v>25</v>
      </c>
      <c r="Q10" s="1">
        <f>Resultado!Q10</f>
        <v>110</v>
      </c>
      <c r="R10" s="1">
        <f>Resultado!R10</f>
        <v>47.599999999999994</v>
      </c>
      <c r="S10" s="1">
        <f>Resultado!S10</f>
        <v>94</v>
      </c>
      <c r="T10" s="1">
        <f>Resultado!T10</f>
        <v>14</v>
      </c>
      <c r="U10" s="1">
        <f t="shared" si="0"/>
        <v>36.523076923076921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t="s">
        <v>72</v>
      </c>
      <c r="B11" s="1">
        <f>Resultado!B11</f>
        <v>188</v>
      </c>
      <c r="C11" s="1">
        <f>Resultado!D11</f>
        <v>513.4</v>
      </c>
      <c r="D11" s="1">
        <f>Resultado!C11</f>
        <v>336</v>
      </c>
      <c r="E11">
        <v>0</v>
      </c>
      <c r="F11">
        <v>0</v>
      </c>
      <c r="G11" s="1">
        <f>Resultado!G11</f>
        <v>838</v>
      </c>
      <c r="H11" s="1">
        <f>Resultado!H11</f>
        <v>160.1</v>
      </c>
      <c r="I11">
        <v>0</v>
      </c>
      <c r="J11" s="1">
        <f>Resultado!J11</f>
        <v>158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f>Resultado!O11</f>
        <v>90</v>
      </c>
      <c r="P11" s="1">
        <f>Resultado!P11</f>
        <v>374</v>
      </c>
      <c r="Q11" s="1">
        <f>Resultado!Q11</f>
        <v>839</v>
      </c>
      <c r="R11" s="1">
        <f>Resultado!R11</f>
        <v>424</v>
      </c>
      <c r="S11" s="1">
        <f>Resultado!S11</f>
        <v>669</v>
      </c>
      <c r="T11" s="1">
        <f>Resultado!T11</f>
        <v>345</v>
      </c>
      <c r="U11" s="1">
        <f t="shared" si="0"/>
        <v>476.75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t="s">
        <v>8</v>
      </c>
      <c r="B12" s="1">
        <f>Resultado!B12</f>
        <v>92</v>
      </c>
      <c r="C12" s="1">
        <f>Resultado!D12</f>
        <v>103</v>
      </c>
      <c r="D12" s="1">
        <f>Resultado!C12</f>
        <v>163</v>
      </c>
      <c r="E12">
        <v>0</v>
      </c>
      <c r="F12">
        <v>0</v>
      </c>
      <c r="G12" s="1">
        <f>Resultado!G12</f>
        <v>261</v>
      </c>
      <c r="H12" s="1">
        <f>Resultado!H12</f>
        <v>85.1</v>
      </c>
      <c r="I12">
        <v>0</v>
      </c>
      <c r="J12" s="1">
        <f>Resultado!J12</f>
        <v>99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f>Resultado!O12</f>
        <v>43</v>
      </c>
      <c r="P12" s="1">
        <f>Resultado!P12</f>
        <v>164</v>
      </c>
      <c r="Q12" s="1">
        <f>Resultado!Q12</f>
        <v>319</v>
      </c>
      <c r="R12" s="1">
        <f>Resultado!R12</f>
        <v>147</v>
      </c>
      <c r="S12" s="1">
        <f>Resultado!S12</f>
        <v>187</v>
      </c>
      <c r="T12" s="1">
        <f>Resultado!T12</f>
        <v>124</v>
      </c>
      <c r="U12" s="1">
        <f t="shared" si="0"/>
        <v>161.00714285714284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t="s">
        <v>9</v>
      </c>
      <c r="B13" s="1">
        <f>Resultado!B13</f>
        <v>0</v>
      </c>
      <c r="C13" s="1">
        <f>Resultado!D13</f>
        <v>30</v>
      </c>
      <c r="D13" s="1">
        <f>Resultado!C13</f>
        <v>53</v>
      </c>
      <c r="E13">
        <v>0</v>
      </c>
      <c r="F13">
        <v>0</v>
      </c>
      <c r="G13" s="1">
        <f>Resultado!G13</f>
        <v>0</v>
      </c>
      <c r="H13" s="1">
        <f>Resultado!H13</f>
        <v>34</v>
      </c>
      <c r="I13">
        <v>0</v>
      </c>
      <c r="J13" s="1">
        <f>Resultado!J13</f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f>Resultado!O13</f>
        <v>7</v>
      </c>
      <c r="P13" s="1">
        <f>Resultado!P13</f>
        <v>32</v>
      </c>
      <c r="Q13" s="1">
        <f>Resultado!Q13</f>
        <v>86</v>
      </c>
      <c r="R13" s="1">
        <f>Resultado!R13</f>
        <v>33</v>
      </c>
      <c r="S13" s="1">
        <f>Resultado!S13</f>
        <v>79</v>
      </c>
      <c r="T13" s="1">
        <f>Resultado!T13</f>
        <v>36</v>
      </c>
      <c r="U13" s="1">
        <f t="shared" si="0"/>
        <v>56.090909090909093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t="s">
        <v>73</v>
      </c>
      <c r="B14" s="1">
        <f>Resultado!B14</f>
        <v>0</v>
      </c>
      <c r="C14" s="1">
        <f>Resultado!D14</f>
        <v>18</v>
      </c>
      <c r="D14" s="1">
        <f>Resultado!C14</f>
        <v>43</v>
      </c>
      <c r="E14">
        <v>0</v>
      </c>
      <c r="F14">
        <v>0</v>
      </c>
      <c r="G14" s="1">
        <f>Resultado!G14</f>
        <v>40</v>
      </c>
      <c r="H14" s="1">
        <f>Resultado!H14</f>
        <v>6</v>
      </c>
      <c r="I14">
        <v>0</v>
      </c>
      <c r="J14" s="1">
        <f>Resultado!J14</f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f>Resultado!O14</f>
        <v>10</v>
      </c>
      <c r="P14" s="1">
        <f>Resultado!P14</f>
        <v>9</v>
      </c>
      <c r="Q14" s="1">
        <f>Resultado!Q14</f>
        <v>26</v>
      </c>
      <c r="R14" s="1">
        <f>Resultado!R14</f>
        <v>25</v>
      </c>
      <c r="S14" s="1">
        <f>Resultado!S14</f>
        <v>57</v>
      </c>
      <c r="T14" s="1">
        <f>Resultado!T14</f>
        <v>30</v>
      </c>
      <c r="U14" s="1">
        <f t="shared" si="0"/>
        <v>34.333333333333336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t="s">
        <v>11</v>
      </c>
      <c r="B15" s="1">
        <f>Resultado!B15</f>
        <v>84</v>
      </c>
      <c r="C15" s="1">
        <f>Resultado!D15</f>
        <v>80</v>
      </c>
      <c r="D15" s="1">
        <f>Resultado!C15</f>
        <v>34</v>
      </c>
      <c r="E15">
        <v>0</v>
      </c>
      <c r="F15">
        <v>0</v>
      </c>
      <c r="G15" s="1">
        <f>Resultado!G15</f>
        <v>74</v>
      </c>
      <c r="H15" s="1">
        <f>Resultado!H15</f>
        <v>58</v>
      </c>
      <c r="I15">
        <v>0</v>
      </c>
      <c r="J15" s="1">
        <f>Resultado!J15</f>
        <v>21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f>Resultado!O15</f>
        <v>26</v>
      </c>
      <c r="P15" s="1">
        <f>Resultado!P15</f>
        <v>76</v>
      </c>
      <c r="Q15" s="1">
        <f>Resultado!Q15</f>
        <v>86</v>
      </c>
      <c r="R15" s="1">
        <f>Resultado!R15</f>
        <v>59</v>
      </c>
      <c r="S15" s="1">
        <f>Resultado!S15</f>
        <v>45</v>
      </c>
      <c r="T15" s="1">
        <f>Resultado!T15</f>
        <v>72</v>
      </c>
      <c r="U15" s="1">
        <f t="shared" si="0"/>
        <v>66.785714285714292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t="s">
        <v>12</v>
      </c>
      <c r="B16" s="1">
        <f>Resultado!B16</f>
        <v>16</v>
      </c>
      <c r="C16" s="1">
        <f>Resultado!D16</f>
        <v>43</v>
      </c>
      <c r="D16" s="1">
        <f>Resultado!C16</f>
        <v>79</v>
      </c>
      <c r="E16">
        <v>0</v>
      </c>
      <c r="F16">
        <v>0</v>
      </c>
      <c r="G16" s="1">
        <f>Resultado!G16</f>
        <v>81</v>
      </c>
      <c r="H16" s="1">
        <f>Resultado!H16</f>
        <v>0.4</v>
      </c>
      <c r="I16">
        <v>0</v>
      </c>
      <c r="J16" s="1">
        <f>Resultado!J16</f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f>Resultado!O16</f>
        <v>2.5</v>
      </c>
      <c r="P16" s="1">
        <f>Resultado!P16</f>
        <v>49</v>
      </c>
      <c r="Q16" s="1">
        <f>Resultado!Q16</f>
        <v>106</v>
      </c>
      <c r="R16" s="1">
        <f>Resultado!R16</f>
        <v>49.5</v>
      </c>
      <c r="S16" s="1">
        <f>Resultado!S16</f>
        <v>79</v>
      </c>
      <c r="T16" s="1">
        <f>Resultado!T16</f>
        <v>59</v>
      </c>
      <c r="U16" s="1">
        <f t="shared" si="0"/>
        <v>59.207692307692312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t="s">
        <v>13</v>
      </c>
      <c r="B17" s="1">
        <f>Resultado!B17</f>
        <v>5</v>
      </c>
      <c r="C17" s="1">
        <f>Resultado!D17</f>
        <v>154</v>
      </c>
      <c r="D17" s="1">
        <f>Resultado!C17</f>
        <v>255</v>
      </c>
      <c r="E17">
        <v>0</v>
      </c>
      <c r="F17">
        <v>0</v>
      </c>
      <c r="G17" s="1">
        <f>Resultado!G17</f>
        <v>214</v>
      </c>
      <c r="H17" s="1">
        <f>Resultado!H17</f>
        <v>24.5</v>
      </c>
      <c r="I17">
        <v>0</v>
      </c>
      <c r="J17" s="1">
        <f>Resultado!J17</f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f>Resultado!O17</f>
        <v>15</v>
      </c>
      <c r="P17" s="1">
        <f>Resultado!P17</f>
        <v>43</v>
      </c>
      <c r="Q17" s="1">
        <f>Resultado!Q17</f>
        <v>154</v>
      </c>
      <c r="R17" s="1">
        <f>Resultado!R17</f>
        <v>105.5</v>
      </c>
      <c r="S17" s="1">
        <f>Resultado!S17</f>
        <v>206</v>
      </c>
      <c r="T17" s="1">
        <f>Resultado!T17</f>
        <v>93</v>
      </c>
      <c r="U17" s="1">
        <f t="shared" si="0"/>
        <v>103.97692307692309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t="s">
        <v>84</v>
      </c>
      <c r="B18" s="1">
        <f>Resultado!B18</f>
        <v>197</v>
      </c>
      <c r="C18" s="1">
        <f>Resultado!D18</f>
        <v>428</v>
      </c>
      <c r="D18" s="1">
        <f>Resultado!C18</f>
        <v>627</v>
      </c>
      <c r="E18">
        <v>0</v>
      </c>
      <c r="F18">
        <v>0</v>
      </c>
      <c r="G18" s="1">
        <f>Resultado!G18</f>
        <v>672</v>
      </c>
      <c r="H18" s="1">
        <f>Resultado!H18</f>
        <v>208</v>
      </c>
      <c r="I18">
        <v>0</v>
      </c>
      <c r="J18" s="1">
        <f>Resultado!J18</f>
        <v>120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f>Resultado!O18</f>
        <v>104</v>
      </c>
      <c r="P18" s="1">
        <f>Resultado!P18</f>
        <v>373</v>
      </c>
      <c r="Q18" s="1">
        <f>Resultado!Q18</f>
        <v>777</v>
      </c>
      <c r="R18" s="1">
        <f>Resultado!R18</f>
        <v>419</v>
      </c>
      <c r="S18" s="1">
        <f>Resultado!S18</f>
        <v>653</v>
      </c>
      <c r="T18" s="1">
        <f>Resultado!T18</f>
        <v>415</v>
      </c>
      <c r="U18" s="1">
        <f t="shared" si="0"/>
        <v>453.07142857142856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t="s">
        <v>74</v>
      </c>
      <c r="B19" s="3">
        <f>-Resultado!B19</f>
        <v>-9</v>
      </c>
      <c r="C19" s="1">
        <f>Resultado!D21</f>
        <v>383</v>
      </c>
      <c r="D19" s="1">
        <f>Resultado!C19</f>
        <v>309</v>
      </c>
      <c r="E19">
        <v>0</v>
      </c>
      <c r="F19">
        <v>0</v>
      </c>
      <c r="G19" s="1">
        <f>Resultado!G21</f>
        <v>121</v>
      </c>
      <c r="H19" s="1">
        <f>Resultado!H21</f>
        <v>50</v>
      </c>
      <c r="I19">
        <v>0</v>
      </c>
      <c r="J19" s="1">
        <f>Resultado!J21</f>
        <v>37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f>Resultado!O21</f>
        <v>124</v>
      </c>
      <c r="P19" s="1">
        <f>Resultado!P21</f>
        <v>170</v>
      </c>
      <c r="Q19" s="1">
        <f>Resultado!Q21</f>
        <v>8.5</v>
      </c>
      <c r="R19" s="1">
        <f>Resultado!R21</f>
        <v>1</v>
      </c>
      <c r="S19" s="1">
        <f>Resultado!S21</f>
        <v>62</v>
      </c>
      <c r="T19" s="1">
        <f>-Resultado!T19</f>
        <v>-70</v>
      </c>
      <c r="U19" s="1">
        <f t="shared" si="0"/>
        <v>128.375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t="s">
        <v>17</v>
      </c>
      <c r="B20" s="1">
        <f>Caixa!B17</f>
        <v>34</v>
      </c>
      <c r="C20" s="1">
        <f>Caixa!D17</f>
        <v>130</v>
      </c>
      <c r="D20" s="1">
        <f>Caixa!C17</f>
        <v>430</v>
      </c>
      <c r="E20">
        <v>0</v>
      </c>
      <c r="F20">
        <v>0</v>
      </c>
      <c r="G20" s="1">
        <f>Caixa!G17</f>
        <v>95</v>
      </c>
      <c r="H20" s="1">
        <f>Caixa!H17</f>
        <v>44</v>
      </c>
      <c r="I20">
        <v>0</v>
      </c>
      <c r="J20" s="1">
        <f>Caixa!J17</f>
        <v>43</v>
      </c>
      <c r="K20" s="1">
        <v>319</v>
      </c>
      <c r="L20" s="1">
        <v>0</v>
      </c>
      <c r="M20" s="1">
        <v>0</v>
      </c>
      <c r="N20" s="1">
        <f>Caixa!N17</f>
        <v>63</v>
      </c>
      <c r="O20" s="1">
        <f>Caixa!O17</f>
        <v>79</v>
      </c>
      <c r="P20" s="1">
        <f>Caixa!P17</f>
        <v>143</v>
      </c>
      <c r="Q20" s="1">
        <v>237</v>
      </c>
      <c r="R20" s="1">
        <v>120</v>
      </c>
      <c r="S20" s="1">
        <f>Caixa!S17</f>
        <v>94</v>
      </c>
      <c r="T20" s="1">
        <f>Caixa!T17</f>
        <v>119</v>
      </c>
      <c r="U20" s="1">
        <f t="shared" si="0"/>
        <v>139.28571428571428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t="s">
        <v>38</v>
      </c>
      <c r="B21">
        <v>7</v>
      </c>
      <c r="C21">
        <v>498</v>
      </c>
      <c r="D21">
        <v>-212</v>
      </c>
      <c r="E21">
        <v>0</v>
      </c>
      <c r="F21">
        <v>0</v>
      </c>
      <c r="G21">
        <v>248</v>
      </c>
      <c r="H21">
        <v>60</v>
      </c>
      <c r="I21">
        <v>0</v>
      </c>
      <c r="J21">
        <f>Painel!AP14</f>
        <v>37</v>
      </c>
      <c r="K21" s="1">
        <v>485</v>
      </c>
      <c r="L21" s="1">
        <v>0</v>
      </c>
      <c r="M21" s="1">
        <v>0</v>
      </c>
      <c r="N21" s="1">
        <v>155</v>
      </c>
      <c r="O21" s="1">
        <v>-0.8</v>
      </c>
      <c r="P21" s="1">
        <v>298</v>
      </c>
      <c r="Q21" s="1">
        <v>186</v>
      </c>
      <c r="R21" s="1">
        <v>192</v>
      </c>
      <c r="S21" s="1">
        <v>116</v>
      </c>
      <c r="T21" s="1">
        <v>-11</v>
      </c>
      <c r="U21" s="1">
        <f t="shared" si="0"/>
        <v>187.1090909090909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f t="shared" si="0"/>
        <v>39.666666666666664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t="s">
        <v>66</v>
      </c>
      <c r="B24">
        <v>9</v>
      </c>
      <c r="C24">
        <v>39</v>
      </c>
      <c r="D24">
        <v>148</v>
      </c>
      <c r="E24">
        <v>0</v>
      </c>
      <c r="F24">
        <v>0</v>
      </c>
      <c r="G24">
        <v>53</v>
      </c>
      <c r="H24">
        <v>6.1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0.1</v>
      </c>
      <c r="P24" s="1">
        <v>85</v>
      </c>
      <c r="Q24" s="1">
        <v>150</v>
      </c>
      <c r="R24" s="1">
        <v>98</v>
      </c>
      <c r="S24" s="1">
        <v>77</v>
      </c>
      <c r="T24" s="1">
        <v>157</v>
      </c>
      <c r="U24" s="1">
        <f t="shared" si="0"/>
        <v>86.092307692307699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6" t="s">
        <v>96</v>
      </c>
      <c r="B25">
        <v>12</v>
      </c>
      <c r="C25">
        <v>14</v>
      </c>
      <c r="D25">
        <v>24</v>
      </c>
      <c r="E25">
        <v>0</v>
      </c>
      <c r="F25">
        <v>0</v>
      </c>
      <c r="G25">
        <v>0</v>
      </c>
      <c r="H25">
        <v>4.8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5</v>
      </c>
      <c r="P25" s="1">
        <v>19</v>
      </c>
      <c r="Q25" s="1">
        <v>29</v>
      </c>
      <c r="R25">
        <v>12</v>
      </c>
      <c r="S25" s="1">
        <v>34</v>
      </c>
      <c r="T25" s="1">
        <v>0</v>
      </c>
      <c r="U25" s="1">
        <f t="shared" si="0"/>
        <v>17.8</v>
      </c>
    </row>
    <row r="26" spans="1:3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f t="shared" si="0"/>
        <v>47</v>
      </c>
    </row>
    <row r="27" spans="1:33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49</v>
      </c>
      <c r="S27" s="1">
        <v>226</v>
      </c>
      <c r="T27" s="1">
        <v>0</v>
      </c>
      <c r="U27" s="1">
        <f t="shared" si="0"/>
        <v>276.8</v>
      </c>
    </row>
    <row r="28" spans="1:33" x14ac:dyDescent="0.3">
      <c r="A28" t="s">
        <v>65</v>
      </c>
      <c r="B28">
        <f t="shared" ref="B28:J28" si="1">B12+B13</f>
        <v>92</v>
      </c>
      <c r="C28">
        <f>C12+C13</f>
        <v>133</v>
      </c>
      <c r="D28">
        <f t="shared" si="1"/>
        <v>216</v>
      </c>
      <c r="E28">
        <f t="shared" si="1"/>
        <v>0</v>
      </c>
      <c r="F28">
        <f t="shared" si="1"/>
        <v>0</v>
      </c>
      <c r="G28">
        <f t="shared" si="1"/>
        <v>261</v>
      </c>
      <c r="H28" s="1">
        <f>H12+H13</f>
        <v>119.1</v>
      </c>
      <c r="I28">
        <f t="shared" si="1"/>
        <v>0</v>
      </c>
      <c r="J28">
        <f t="shared" si="1"/>
        <v>99</v>
      </c>
      <c r="K28">
        <v>463</v>
      </c>
      <c r="L28">
        <v>0</v>
      </c>
      <c r="M28">
        <v>0</v>
      </c>
      <c r="N28" s="1">
        <f>N12+N13</f>
        <v>231</v>
      </c>
      <c r="O28" s="1">
        <f>Caixa!O11+Caixa!O12</f>
        <v>50</v>
      </c>
      <c r="P28" s="1">
        <f>Caixa!P11+Caixa!P12</f>
        <v>196</v>
      </c>
      <c r="Q28" s="1">
        <f>Caixa!Q11+Caixa!Q12</f>
        <v>405</v>
      </c>
      <c r="R28">
        <v>172</v>
      </c>
      <c r="S28">
        <f>S12+S13</f>
        <v>266</v>
      </c>
      <c r="T28">
        <f>T12+T13</f>
        <v>160</v>
      </c>
      <c r="U28" s="1">
        <f t="shared" si="0"/>
        <v>204.50714285714284</v>
      </c>
    </row>
    <row r="29" spans="1:33" x14ac:dyDescent="0.3">
      <c r="A29" t="s">
        <v>59</v>
      </c>
      <c r="B29">
        <v>0.5</v>
      </c>
      <c r="C29">
        <v>1.5</v>
      </c>
      <c r="D29">
        <v>4.3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 s="1">
        <f t="shared" si="0"/>
        <v>4.9526315789473694</v>
      </c>
    </row>
    <row r="30" spans="1:33" x14ac:dyDescent="0.3">
      <c r="A30" t="s">
        <v>76</v>
      </c>
      <c r="B30">
        <v>1</v>
      </c>
      <c r="C30">
        <v>3.3</v>
      </c>
      <c r="D30">
        <v>9.5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 s="1">
        <f t="shared" si="0"/>
        <v>11.036842105263158</v>
      </c>
    </row>
    <row r="31" spans="1:33" x14ac:dyDescent="0.3">
      <c r="A31" t="s">
        <v>88</v>
      </c>
      <c r="B31">
        <v>24</v>
      </c>
      <c r="C31">
        <v>56</v>
      </c>
      <c r="D31">
        <v>66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 s="1">
        <f t="shared" si="0"/>
        <v>51.578947368421055</v>
      </c>
    </row>
    <row r="32" spans="1:33" x14ac:dyDescent="0.3">
      <c r="A32" t="s">
        <v>89</v>
      </c>
      <c r="B32" s="6">
        <v>0</v>
      </c>
      <c r="C32" s="6">
        <v>0.84248003091726509</v>
      </c>
      <c r="D32" s="6">
        <v>0.94936786212601332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1">
        <f t="shared" si="0"/>
        <v>0.72311224630544535</v>
      </c>
    </row>
    <row r="33" spans="1:21" x14ac:dyDescent="0.3">
      <c r="A33" t="s">
        <v>146</v>
      </c>
      <c r="B33">
        <v>7.3</v>
      </c>
      <c r="C33">
        <v>18.600000000000001</v>
      </c>
      <c r="D33">
        <v>31.2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 s="1">
        <f t="shared" si="0"/>
        <v>26.068421052631578</v>
      </c>
    </row>
    <row r="34" spans="1:21" x14ac:dyDescent="0.3">
      <c r="A34" t="s">
        <v>147</v>
      </c>
      <c r="B34" s="1">
        <v>386</v>
      </c>
      <c r="C34" s="1">
        <v>977</v>
      </c>
      <c r="D34" s="1">
        <v>1645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f t="shared" si="0"/>
        <v>1409.421052631579</v>
      </c>
    </row>
    <row r="35" spans="1:21" x14ac:dyDescent="0.3">
      <c r="A35" t="s">
        <v>63</v>
      </c>
      <c r="B35" s="1">
        <v>4910</v>
      </c>
      <c r="C35" s="1">
        <v>22283</v>
      </c>
      <c r="D35" s="1">
        <v>27989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f t="shared" si="0"/>
        <v>27429.42105263158</v>
      </c>
    </row>
    <row r="36" spans="1:21" x14ac:dyDescent="0.3">
      <c r="A36" t="s">
        <v>58</v>
      </c>
      <c r="B36" s="1">
        <v>1000</v>
      </c>
      <c r="C36" s="1">
        <v>40000</v>
      </c>
      <c r="D36" s="1">
        <v>77763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f t="shared" si="0"/>
        <v>60742.947368421053</v>
      </c>
    </row>
    <row r="37" spans="1:21" x14ac:dyDescent="0.3">
      <c r="A37" t="s">
        <v>61</v>
      </c>
      <c r="B37" s="5">
        <f>B35/B36</f>
        <v>4.91</v>
      </c>
      <c r="C37" s="5">
        <f>C35/C36</f>
        <v>0.55707499999999999</v>
      </c>
      <c r="D37" s="5">
        <f t="shared" ref="D37:T37" si="2">D35/D36</f>
        <v>0.35992695755050602</v>
      </c>
      <c r="E37" s="5">
        <f t="shared" si="2"/>
        <v>0.54016296296296296</v>
      </c>
      <c r="F37" s="5">
        <f t="shared" si="2"/>
        <v>0.45252021768984285</v>
      </c>
      <c r="G37" s="5">
        <f t="shared" si="2"/>
        <v>0.75358823529411767</v>
      </c>
      <c r="H37" s="5">
        <f t="shared" si="2"/>
        <v>0.6133142857142857</v>
      </c>
      <c r="I37" s="5">
        <f t="shared" si="2"/>
        <v>0.64960656101075032</v>
      </c>
      <c r="J37" s="5">
        <f t="shared" si="2"/>
        <v>5.8803999999999998</v>
      </c>
      <c r="K37" s="5">
        <f t="shared" si="2"/>
        <v>0.64116470588235297</v>
      </c>
      <c r="L37" s="5">
        <f t="shared" si="2"/>
        <v>0.48950577716417665</v>
      </c>
      <c r="M37" s="5">
        <f t="shared" si="2"/>
        <v>0.88848842881144652</v>
      </c>
      <c r="N37" s="5">
        <f t="shared" si="2"/>
        <v>0.279833446271265</v>
      </c>
      <c r="O37" s="5">
        <f t="shared" si="2"/>
        <v>0.76444885799404172</v>
      </c>
      <c r="P37" s="5">
        <f t="shared" si="2"/>
        <v>0.19203064057064548</v>
      </c>
      <c r="Q37" s="5">
        <f t="shared" si="2"/>
        <v>0.18435021371440641</v>
      </c>
      <c r="R37" s="5">
        <f t="shared" si="2"/>
        <v>0.25434482180995854</v>
      </c>
      <c r="S37" s="5">
        <f t="shared" si="2"/>
        <v>0.79142412957807584</v>
      </c>
      <c r="T37" s="5">
        <f t="shared" si="2"/>
        <v>0.58548888888888884</v>
      </c>
      <c r="U37" s="1">
        <f t="shared" si="0"/>
        <v>1.0414565332056698</v>
      </c>
    </row>
    <row r="38" spans="1:21" x14ac:dyDescent="0.3">
      <c r="A38" t="s">
        <v>141</v>
      </c>
      <c r="B38">
        <v>858</v>
      </c>
      <c r="C38">
        <v>550</v>
      </c>
      <c r="D38">
        <v>858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 s="1">
        <f t="shared" si="0"/>
        <v>1077.421052631579</v>
      </c>
    </row>
    <row r="39" spans="1:21" x14ac:dyDescent="0.3">
      <c r="A39" t="s">
        <v>78</v>
      </c>
      <c r="B39" s="1">
        <v>15</v>
      </c>
      <c r="C39" s="1">
        <v>69</v>
      </c>
      <c r="D39" s="1">
        <v>89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f t="shared" si="0"/>
        <v>76.89473684210526</v>
      </c>
    </row>
    <row r="40" spans="1:21" x14ac:dyDescent="0.3">
      <c r="A40" t="s">
        <v>80</v>
      </c>
      <c r="B40" s="6">
        <f t="shared" ref="B40:J40" si="3">B11/B30</f>
        <v>188</v>
      </c>
      <c r="C40" s="6">
        <f>C11/C30</f>
        <v>155.57575757575756</v>
      </c>
      <c r="D40" s="6">
        <f t="shared" ref="D40" si="4">D11/D30</f>
        <v>35.368421052631582</v>
      </c>
      <c r="E40" s="6">
        <f t="shared" si="3"/>
        <v>0</v>
      </c>
      <c r="F40" s="6">
        <f t="shared" si="3"/>
        <v>0</v>
      </c>
      <c r="G40" s="6">
        <f t="shared" si="3"/>
        <v>26.858974358974361</v>
      </c>
      <c r="H40" s="6">
        <f t="shared" si="3"/>
        <v>48.515151515151516</v>
      </c>
      <c r="I40" s="6">
        <f t="shared" si="3"/>
        <v>0</v>
      </c>
      <c r="J40" s="6">
        <f t="shared" si="3"/>
        <v>790</v>
      </c>
      <c r="K40" s="6">
        <f>K11/K30</f>
        <v>27.359667359667359</v>
      </c>
      <c r="L40" s="6">
        <f t="shared" ref="L40:T40" si="5">L11/L30</f>
        <v>0</v>
      </c>
      <c r="M40" s="6">
        <f t="shared" si="5"/>
        <v>0</v>
      </c>
      <c r="N40" s="6">
        <f t="shared" si="5"/>
        <v>41.980198019801982</v>
      </c>
      <c r="O40" s="6">
        <f t="shared" si="5"/>
        <v>225</v>
      </c>
      <c r="P40" s="6">
        <f t="shared" si="5"/>
        <v>48.571428571428569</v>
      </c>
      <c r="Q40" s="6">
        <f t="shared" si="5"/>
        <v>49.64497041420119</v>
      </c>
      <c r="R40" s="6">
        <f t="shared" si="5"/>
        <v>62.352941176470587</v>
      </c>
      <c r="S40" s="6">
        <f t="shared" si="5"/>
        <v>30.688073394495412</v>
      </c>
      <c r="T40" s="6">
        <f t="shared" si="5"/>
        <v>25.367647058823529</v>
      </c>
      <c r="U40" s="1">
        <f t="shared" si="0"/>
        <v>125.37737360695739</v>
      </c>
    </row>
    <row r="41" spans="1:21" x14ac:dyDescent="0.3">
      <c r="A41" t="s">
        <v>83</v>
      </c>
      <c r="B41" s="14">
        <f t="shared" ref="B41:J41" si="6">(B11/B36)*1000</f>
        <v>188</v>
      </c>
      <c r="C41" s="14">
        <f>(C11/C36)*1000</f>
        <v>12.834999999999999</v>
      </c>
      <c r="D41" s="14">
        <f t="shared" ref="D41" si="7">(D11/D36)*1000</f>
        <v>4.3208209559816364</v>
      </c>
      <c r="E41" s="14">
        <f t="shared" si="6"/>
        <v>0</v>
      </c>
      <c r="F41" s="14">
        <f t="shared" si="6"/>
        <v>0</v>
      </c>
      <c r="G41" s="14">
        <f t="shared" si="6"/>
        <v>16.431372549019606</v>
      </c>
      <c r="H41" s="14">
        <f t="shared" si="6"/>
        <v>4.5742857142857138</v>
      </c>
      <c r="I41" s="14">
        <f t="shared" si="6"/>
        <v>0</v>
      </c>
      <c r="J41" s="14">
        <f t="shared" si="6"/>
        <v>63.2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8">(O11/O36)*1000</f>
        <v>8.9374379344587886</v>
      </c>
      <c r="P41" s="14">
        <f t="shared" si="8"/>
        <v>2.628342527847078</v>
      </c>
      <c r="Q41" s="14">
        <f>(Q11/Q36)*1000</f>
        <v>4.6633650708953773</v>
      </c>
      <c r="R41" s="14">
        <f t="shared" ref="R41:T41" si="9">(R11/R36)*1000</f>
        <v>8.8780937225176935</v>
      </c>
      <c r="S41" s="14">
        <f t="shared" si="9"/>
        <v>12.093712715571785</v>
      </c>
      <c r="T41" s="14">
        <f t="shared" si="9"/>
        <v>7.6666666666666661</v>
      </c>
      <c r="U41" s="1">
        <f t="shared" si="0"/>
        <v>25.249421389943908</v>
      </c>
    </row>
    <row r="42" spans="1:21" x14ac:dyDescent="0.3">
      <c r="A42" t="s">
        <v>86</v>
      </c>
      <c r="B42">
        <f>B9/B47</f>
        <v>5.166666666666667</v>
      </c>
      <c r="C42">
        <f>C9/C47</f>
        <v>17.214285714285715</v>
      </c>
      <c r="D42">
        <f>D9/D47</f>
        <v>4.625</v>
      </c>
      <c r="E42">
        <v>0</v>
      </c>
      <c r="F42">
        <v>0</v>
      </c>
      <c r="G42">
        <v>0</v>
      </c>
      <c r="H42">
        <f>H9/H47</f>
        <v>3.1666666666666665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 s="14">
        <f>O9/O47</f>
        <v>0.9</v>
      </c>
      <c r="P42" s="14">
        <f>P9/P47</f>
        <v>4.0526315789473681</v>
      </c>
      <c r="Q42" s="14">
        <f>Q9/Q47</f>
        <v>6.4482758620689653</v>
      </c>
      <c r="R42" s="14">
        <f>R9/R47</f>
        <v>14.5</v>
      </c>
      <c r="S42" s="14">
        <f>S9/S47</f>
        <v>3.5588235294117645</v>
      </c>
      <c r="T42">
        <v>0</v>
      </c>
      <c r="U42" s="1">
        <f t="shared" si="0"/>
        <v>7.3232206310112788</v>
      </c>
    </row>
    <row r="43" spans="1:21" x14ac:dyDescent="0.3">
      <c r="A43" t="s">
        <v>134</v>
      </c>
      <c r="B43">
        <f>B9/B31</f>
        <v>2.5833333333333335</v>
      </c>
      <c r="C43">
        <f>C9/C31</f>
        <v>4.3035714285714288</v>
      </c>
      <c r="D43">
        <f>D9/D31</f>
        <v>1.6818181818181819</v>
      </c>
      <c r="E43">
        <v>0</v>
      </c>
      <c r="F43">
        <v>0</v>
      </c>
      <c r="G43">
        <f>G9/G31</f>
        <v>5.0199999999999996</v>
      </c>
      <c r="H43">
        <f>H9/H31</f>
        <v>0.5066666666666666</v>
      </c>
      <c r="I43">
        <f>I9/I31</f>
        <v>0</v>
      </c>
      <c r="J43">
        <f>J9/J31</f>
        <v>0</v>
      </c>
      <c r="K43">
        <f>K9/K31</f>
        <v>4.6060606060606064</v>
      </c>
      <c r="L43">
        <f>L9/L31</f>
        <v>0</v>
      </c>
      <c r="M43">
        <f>M9/M31</f>
        <v>0</v>
      </c>
      <c r="N43">
        <f>N9/N31</f>
        <v>0.73529411764705888</v>
      </c>
      <c r="O43">
        <f>O9/O31</f>
        <v>0.11842105263157894</v>
      </c>
      <c r="P43">
        <f>P9/P31</f>
        <v>1.4</v>
      </c>
      <c r="Q43" s="18">
        <f>Q9/Q31</f>
        <v>2.6714285714285713</v>
      </c>
      <c r="R43" s="18">
        <f>R9/R31</f>
        <v>4.0465116279069768</v>
      </c>
      <c r="S43" s="18">
        <f>S9/S31</f>
        <v>2.2830188679245285</v>
      </c>
      <c r="T43">
        <f>T9/T31</f>
        <v>2.7844444444444445</v>
      </c>
      <c r="U43" s="1">
        <f t="shared" si="0"/>
        <v>2.5185052998794903</v>
      </c>
    </row>
    <row r="44" spans="1:21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f>G7/G28</f>
        <v>6.5134099616858232E-2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 s="18">
        <f>O6/O28</f>
        <v>0.22</v>
      </c>
      <c r="P44" s="18">
        <f>P6/P28</f>
        <v>0.38265306122448978</v>
      </c>
      <c r="Q44" s="18">
        <f>Q6/Q28</f>
        <v>0.19753086419753085</v>
      </c>
      <c r="R44" s="18">
        <f>R6/R28</f>
        <v>0</v>
      </c>
      <c r="S44" s="18">
        <f>S6/S28</f>
        <v>0</v>
      </c>
      <c r="T44" s="18">
        <f>T6/T28</f>
        <v>0.125</v>
      </c>
      <c r="U44" s="1">
        <f t="shared" si="0"/>
        <v>0.20005300417314645</v>
      </c>
    </row>
    <row r="45" spans="1:21" x14ac:dyDescent="0.3">
      <c r="A45" t="s">
        <v>135</v>
      </c>
      <c r="B45" s="18">
        <f>B28/B31</f>
        <v>3.8333333333333335</v>
      </c>
      <c r="C45" s="18">
        <f>C28/C31</f>
        <v>2.375</v>
      </c>
      <c r="D45" s="18">
        <f>D28/D31</f>
        <v>3.2727272727272729</v>
      </c>
      <c r="E45">
        <v>0</v>
      </c>
      <c r="F45">
        <v>0</v>
      </c>
      <c r="G45">
        <v>0</v>
      </c>
      <c r="H45" s="18">
        <f>H28/H31</f>
        <v>3.9699999999999998</v>
      </c>
      <c r="I45">
        <v>0</v>
      </c>
      <c r="J45" s="18">
        <f>Painel!AP28</f>
        <v>1.9411764705882353</v>
      </c>
      <c r="K45">
        <v>7.02</v>
      </c>
      <c r="L45">
        <v>0</v>
      </c>
      <c r="M45">
        <v>0</v>
      </c>
      <c r="N45" s="18">
        <f>N28/N31</f>
        <v>3.3970588235294117</v>
      </c>
      <c r="O45" s="18">
        <f>O28/O31</f>
        <v>1.3157894736842106</v>
      </c>
      <c r="P45" s="18">
        <f>P28/P31</f>
        <v>3.5636363636363635</v>
      </c>
      <c r="Q45" s="18">
        <f>Q28/Q31</f>
        <v>5.7857142857142856</v>
      </c>
      <c r="R45" s="18">
        <f>R28/R31</f>
        <v>4</v>
      </c>
      <c r="S45" s="18">
        <f>S28/S31</f>
        <v>5.0188679245283021</v>
      </c>
      <c r="T45" s="18">
        <f>T28/T31</f>
        <v>3.5555555555555554</v>
      </c>
      <c r="U45" s="1">
        <f t="shared" si="0"/>
        <v>3.7729891925613055</v>
      </c>
    </row>
    <row r="46" spans="1:21" x14ac:dyDescent="0.3">
      <c r="A46" t="s">
        <v>137</v>
      </c>
      <c r="B46" s="18">
        <f>B11/B31</f>
        <v>7.833333333333333</v>
      </c>
      <c r="C46" s="18">
        <f>C11/C31</f>
        <v>9.1678571428571427</v>
      </c>
      <c r="D46" s="18">
        <f>D11/D31</f>
        <v>5.0909090909090908</v>
      </c>
      <c r="E46">
        <v>0</v>
      </c>
      <c r="F46">
        <v>0</v>
      </c>
      <c r="G46" s="18">
        <f>G11/G31</f>
        <v>16.760000000000002</v>
      </c>
      <c r="H46" s="18">
        <f>H11/H31</f>
        <v>5.3366666666666669</v>
      </c>
      <c r="I46">
        <v>0</v>
      </c>
      <c r="J46" s="18">
        <f>Painel!AP29</f>
        <v>3.0980392156862746</v>
      </c>
      <c r="K46">
        <v>18.86</v>
      </c>
      <c r="L46">
        <v>0</v>
      </c>
      <c r="M46">
        <v>0</v>
      </c>
      <c r="N46" s="18">
        <f>N11/N31</f>
        <v>6.2352941176470589</v>
      </c>
      <c r="O46" s="18">
        <f>O11/O31</f>
        <v>2.3684210526315788</v>
      </c>
      <c r="P46" s="18">
        <f>P11/P31</f>
        <v>6.8</v>
      </c>
      <c r="Q46" s="18">
        <f>Q11/Q31</f>
        <v>11.985714285714286</v>
      </c>
      <c r="R46" s="18">
        <f>R11/R31</f>
        <v>9.8604651162790695</v>
      </c>
      <c r="S46" s="18">
        <f>S11/S31</f>
        <v>12.622641509433961</v>
      </c>
      <c r="T46" s="18">
        <f>T11/T31</f>
        <v>7.666666666666667</v>
      </c>
      <c r="U46" s="1">
        <f t="shared" si="0"/>
        <v>8.8347148712732242</v>
      </c>
    </row>
    <row r="47" spans="1:21" x14ac:dyDescent="0.3">
      <c r="A47" t="s">
        <v>85</v>
      </c>
      <c r="B47">
        <f t="shared" ref="B47:T47" si="10">SUM(B26+B25)</f>
        <v>12</v>
      </c>
      <c r="C47">
        <f t="shared" ref="C47:D47" si="11">SUM(C26+C25)</f>
        <v>14</v>
      </c>
      <c r="D47">
        <f t="shared" si="11"/>
        <v>24</v>
      </c>
      <c r="E47">
        <f t="shared" si="10"/>
        <v>0</v>
      </c>
      <c r="F47">
        <f t="shared" si="10"/>
        <v>0</v>
      </c>
      <c r="G47">
        <f t="shared" ref="G47:H47" si="12">SUM(G26+G25)</f>
        <v>0</v>
      </c>
      <c r="H47">
        <f t="shared" si="12"/>
        <v>4.8</v>
      </c>
      <c r="I47">
        <f t="shared" si="10"/>
        <v>0</v>
      </c>
      <c r="J47">
        <f t="shared" si="10"/>
        <v>0</v>
      </c>
      <c r="K47">
        <f t="shared" si="10"/>
        <v>16</v>
      </c>
      <c r="L47">
        <f t="shared" si="10"/>
        <v>0</v>
      </c>
      <c r="M47">
        <f t="shared" si="10"/>
        <v>0</v>
      </c>
      <c r="N47">
        <f t="shared" si="10"/>
        <v>26</v>
      </c>
      <c r="O47">
        <f t="shared" ref="O47" si="13">SUM(O26+O25)</f>
        <v>5</v>
      </c>
      <c r="P47">
        <f t="shared" si="10"/>
        <v>19</v>
      </c>
      <c r="Q47" s="11">
        <v>29</v>
      </c>
      <c r="R47">
        <f t="shared" si="10"/>
        <v>12</v>
      </c>
      <c r="S47">
        <f t="shared" ref="S47" si="14">SUM(S26+S25)</f>
        <v>34</v>
      </c>
      <c r="T47">
        <f t="shared" si="10"/>
        <v>0</v>
      </c>
      <c r="U47" s="1">
        <f t="shared" si="0"/>
        <v>17.8</v>
      </c>
    </row>
    <row r="48" spans="1:21" s="26" customFormat="1" x14ac:dyDescent="0.3">
      <c r="A48" s="3" t="s">
        <v>95</v>
      </c>
      <c r="B48" s="3">
        <f>B2</f>
        <v>73</v>
      </c>
      <c r="C48" s="3">
        <f>C2</f>
        <v>80</v>
      </c>
      <c r="D48" s="3">
        <f>D2</f>
        <v>98</v>
      </c>
      <c r="E48" s="26">
        <v>0</v>
      </c>
      <c r="F48" s="26">
        <v>0</v>
      </c>
      <c r="G48" s="26">
        <v>0</v>
      </c>
      <c r="H48" s="26">
        <v>51</v>
      </c>
      <c r="I48" s="26">
        <v>0</v>
      </c>
      <c r="J48" s="3">
        <f>J2</f>
        <v>75</v>
      </c>
      <c r="K48" s="3">
        <f>K2</f>
        <v>463</v>
      </c>
      <c r="L48" s="26">
        <v>0</v>
      </c>
      <c r="M48" s="26">
        <v>0</v>
      </c>
      <c r="N48" s="3">
        <v>193</v>
      </c>
      <c r="O48" s="3">
        <f>O2</f>
        <v>56.1</v>
      </c>
      <c r="P48" s="3">
        <f>P2</f>
        <v>150</v>
      </c>
      <c r="Q48" s="3">
        <f>Q2</f>
        <v>263</v>
      </c>
      <c r="R48" s="3">
        <f>R2</f>
        <v>97</v>
      </c>
      <c r="S48" s="3">
        <f>S2</f>
        <v>259</v>
      </c>
      <c r="T48" s="3">
        <f>T2</f>
        <v>119</v>
      </c>
      <c r="U48" s="1">
        <f t="shared" si="0"/>
        <v>152.08461538461538</v>
      </c>
    </row>
    <row r="49" spans="1:21" x14ac:dyDescent="0.3">
      <c r="A49" t="s">
        <v>140</v>
      </c>
      <c r="B49" s="1">
        <f>B2-B6</f>
        <v>73</v>
      </c>
      <c r="C49" s="1">
        <f>C2-C6</f>
        <v>43</v>
      </c>
      <c r="D49">
        <v>0</v>
      </c>
      <c r="E49">
        <v>0</v>
      </c>
      <c r="F49">
        <v>0</v>
      </c>
      <c r="G49" s="1">
        <f>G2-G6</f>
        <v>307</v>
      </c>
      <c r="H49">
        <v>0</v>
      </c>
      <c r="I49">
        <v>0</v>
      </c>
      <c r="J49">
        <v>0</v>
      </c>
      <c r="K49" s="1">
        <f>K2-K6</f>
        <v>326</v>
      </c>
      <c r="L49">
        <v>0</v>
      </c>
      <c r="M49">
        <v>0</v>
      </c>
      <c r="N49">
        <v>0</v>
      </c>
      <c r="O49" s="1">
        <f>O2-O6</f>
        <v>45.1</v>
      </c>
      <c r="P49" s="1">
        <f>P2-P6</f>
        <v>75</v>
      </c>
      <c r="Q49" s="1">
        <f>Q2-Q6</f>
        <v>183</v>
      </c>
      <c r="R49" s="6">
        <v>0</v>
      </c>
      <c r="S49">
        <v>0</v>
      </c>
      <c r="T49" s="1">
        <f>T2-T6</f>
        <v>99</v>
      </c>
      <c r="U49" s="1">
        <f t="shared" si="0"/>
        <v>143.88749999999999</v>
      </c>
    </row>
    <row r="50" spans="1:21" x14ac:dyDescent="0.3">
      <c r="A50" t="s">
        <v>39</v>
      </c>
      <c r="B50">
        <v>104</v>
      </c>
      <c r="C50">
        <v>251</v>
      </c>
      <c r="D50">
        <v>1255</v>
      </c>
      <c r="E50">
        <v>0</v>
      </c>
      <c r="F50">
        <v>0</v>
      </c>
      <c r="G50">
        <v>698</v>
      </c>
      <c r="H50">
        <v>18</v>
      </c>
      <c r="I50">
        <v>0</v>
      </c>
      <c r="J50" s="18">
        <f>Painel!AP31</f>
        <v>0.8</v>
      </c>
      <c r="K50">
        <v>255</v>
      </c>
      <c r="L50">
        <v>0</v>
      </c>
      <c r="M50">
        <v>0</v>
      </c>
      <c r="N50">
        <v>453</v>
      </c>
      <c r="O50">
        <v>61.4</v>
      </c>
      <c r="P50">
        <v>438</v>
      </c>
      <c r="Q50">
        <v>151</v>
      </c>
      <c r="R50">
        <v>418</v>
      </c>
      <c r="S50">
        <v>0</v>
      </c>
      <c r="T50">
        <v>631</v>
      </c>
      <c r="U50" s="1">
        <f t="shared" si="0"/>
        <v>364.16923076923081</v>
      </c>
    </row>
    <row r="51" spans="1:21" x14ac:dyDescent="0.3">
      <c r="A51" t="s">
        <v>106</v>
      </c>
      <c r="B51" s="18">
        <f>B50/B21</f>
        <v>14.857142857142858</v>
      </c>
      <c r="C51" s="18">
        <f>C50/C21</f>
        <v>0.50401606425702816</v>
      </c>
      <c r="D51" s="18">
        <v>0</v>
      </c>
      <c r="E51">
        <v>0</v>
      </c>
      <c r="F51">
        <v>0</v>
      </c>
      <c r="G51" s="18">
        <f>G50/G21</f>
        <v>2.814516129032258</v>
      </c>
      <c r="H51" s="18">
        <f>H50/H21</f>
        <v>0.3</v>
      </c>
      <c r="I51">
        <v>0</v>
      </c>
      <c r="J51" s="18">
        <f>Painel!AP32</f>
        <v>2.1621621621621623E-2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 s="18">
        <f>O50/O21</f>
        <v>-76.75</v>
      </c>
      <c r="P51" s="18">
        <f>P50/P21</f>
        <v>1.4697986577181208</v>
      </c>
      <c r="Q51" s="18">
        <f>Q50/Q21</f>
        <v>0.81182795698924726</v>
      </c>
      <c r="R51" s="18">
        <f>R50/R21</f>
        <v>2.1770833333333335</v>
      </c>
      <c r="S51">
        <v>0</v>
      </c>
      <c r="T51" s="18">
        <f>T50/T21</f>
        <v>-57.363636363636367</v>
      </c>
      <c r="U51" s="1">
        <f t="shared" si="0"/>
        <v>-10.770927590250432</v>
      </c>
    </row>
    <row r="52" spans="1:21" x14ac:dyDescent="0.3">
      <c r="A52" t="s">
        <v>108</v>
      </c>
      <c r="B52" s="18">
        <f>B50/B11</f>
        <v>0.55319148936170215</v>
      </c>
      <c r="C52" s="18">
        <f>C50/C11</f>
        <v>0.48889754577327621</v>
      </c>
      <c r="D52" s="18">
        <f>D50/D11</f>
        <v>3.7351190476190474</v>
      </c>
      <c r="E52">
        <v>0</v>
      </c>
      <c r="F52">
        <v>0</v>
      </c>
      <c r="G52" s="18">
        <f>G50/G11</f>
        <v>0.83293556085918852</v>
      </c>
      <c r="H52" s="18">
        <f>H50/H11</f>
        <v>0.11242973141786385</v>
      </c>
      <c r="I52">
        <v>0</v>
      </c>
      <c r="J52" s="18">
        <f>Painel!AP33</f>
        <v>5.0632911392405064E-3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 s="18">
        <f>O50/O11</f>
        <v>0.68222222222222217</v>
      </c>
      <c r="P52" s="18">
        <f>P50/P11</f>
        <v>1.1711229946524064</v>
      </c>
      <c r="Q52" s="18">
        <f>Q50/Q11</f>
        <v>0.1799761620977354</v>
      </c>
      <c r="R52" s="18">
        <f>R50/R11</f>
        <v>0.98584905660377353</v>
      </c>
      <c r="S52">
        <v>0</v>
      </c>
      <c r="T52" s="18">
        <f>T50/T11</f>
        <v>1.8289855072463768</v>
      </c>
      <c r="U52" s="1">
        <f t="shared" si="0"/>
        <v>0.9106121409514164</v>
      </c>
    </row>
    <row r="53" spans="1:21" x14ac:dyDescent="0.3">
      <c r="A53" t="s">
        <v>128</v>
      </c>
      <c r="B53" s="25">
        <f>B28/B11</f>
        <v>0.48936170212765956</v>
      </c>
      <c r="C53" s="25">
        <f>C28/C11</f>
        <v>0.25905726529022205</v>
      </c>
      <c r="D53" s="25">
        <f>D28/D11</f>
        <v>0.6428571428571429</v>
      </c>
      <c r="E53">
        <v>0</v>
      </c>
      <c r="F53">
        <v>0</v>
      </c>
      <c r="G53" s="25">
        <f>G28/G11</f>
        <v>0.31145584725536996</v>
      </c>
      <c r="H53" s="25">
        <f>H28/H11</f>
        <v>0.74391005621486572</v>
      </c>
      <c r="I53">
        <v>0</v>
      </c>
      <c r="J53" s="18">
        <f>Painel!AP34</f>
        <v>0.62658227848101267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 s="25">
        <f>O28/O11</f>
        <v>0.55555555555555558</v>
      </c>
      <c r="P53" s="25">
        <f>P28/P11</f>
        <v>0.52406417112299464</v>
      </c>
      <c r="Q53" s="25">
        <f>Q28/Q11</f>
        <v>0.48271752085816449</v>
      </c>
      <c r="R53" s="25">
        <f>R28/R11</f>
        <v>0.40566037735849059</v>
      </c>
      <c r="S53" s="25">
        <f>S28/S11</f>
        <v>0.39760837070254113</v>
      </c>
      <c r="T53" s="25">
        <f>T28/T11</f>
        <v>0.46376811594202899</v>
      </c>
      <c r="U53" s="1">
        <f t="shared" si="0"/>
        <v>0.4856595309091038</v>
      </c>
    </row>
    <row r="54" spans="1:21" x14ac:dyDescent="0.3">
      <c r="A54" t="s">
        <v>133</v>
      </c>
      <c r="B54" s="25">
        <f>(B28+B24)/B11</f>
        <v>0.53723404255319152</v>
      </c>
      <c r="C54" s="25">
        <f>(C28+C24)/C11</f>
        <v>0.33502142578885863</v>
      </c>
      <c r="D54" s="25">
        <f>(D28+D24)/D11</f>
        <v>1.0833333333333333</v>
      </c>
      <c r="E54">
        <v>0</v>
      </c>
      <c r="F54">
        <v>0</v>
      </c>
      <c r="G54" s="25">
        <f>(G28+G24)/G11</f>
        <v>0.37470167064439142</v>
      </c>
      <c r="H54" s="25">
        <f>(H28+H24)/H11</f>
        <v>0.78201124297314173</v>
      </c>
      <c r="I54">
        <v>0</v>
      </c>
      <c r="J54" s="18">
        <f>Painel!AP35</f>
        <v>0.62658227848101267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 s="25">
        <f>(O28+O24)/O11</f>
        <v>0.55666666666666664</v>
      </c>
      <c r="P54" s="25">
        <f>(P28+P24)/P11</f>
        <v>0.75133689839572193</v>
      </c>
      <c r="Q54" s="25">
        <f>(Q28+Q24)/Q11</f>
        <v>0.66150178784266989</v>
      </c>
      <c r="R54" s="25">
        <f>(R28+R24)/R11</f>
        <v>0.6367924528301887</v>
      </c>
      <c r="S54" s="25">
        <f>(S28+S24)/S11</f>
        <v>0.51270553064275037</v>
      </c>
      <c r="T54" s="25">
        <f>(T28+T24)/T11</f>
        <v>0.91884057971014488</v>
      </c>
      <c r="U54" s="1">
        <f t="shared" si="0"/>
        <v>0.63838668006564414</v>
      </c>
    </row>
    <row r="55" spans="1:21" x14ac:dyDescent="0.3">
      <c r="A55" t="s">
        <v>144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0</v>
      </c>
      <c r="S55">
        <v>0</v>
      </c>
      <c r="T55">
        <v>0</v>
      </c>
      <c r="U55" s="1">
        <f t="shared" si="0"/>
        <v>22</v>
      </c>
    </row>
    <row r="56" spans="1:21" x14ac:dyDescent="0.3">
      <c r="A56" t="s">
        <v>142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>O55+O47</f>
        <v>5</v>
      </c>
      <c r="P56">
        <f>P55+P47</f>
        <v>19</v>
      </c>
      <c r="Q56">
        <f>Q55+Q47</f>
        <v>51</v>
      </c>
      <c r="R56">
        <v>0</v>
      </c>
      <c r="S56">
        <v>0</v>
      </c>
      <c r="T56">
        <v>0</v>
      </c>
      <c r="U56" s="1">
        <f t="shared" si="0"/>
        <v>25</v>
      </c>
    </row>
    <row r="57" spans="1:21" x14ac:dyDescent="0.3">
      <c r="A57" t="s">
        <v>143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4">
        <f>O9/O56</f>
        <v>0.9</v>
      </c>
      <c r="P57" s="14">
        <f>P9/P56</f>
        <v>4.0526315789473681</v>
      </c>
      <c r="Q57" s="14">
        <f>Q9/Q56</f>
        <v>3.6666666666666665</v>
      </c>
      <c r="R57">
        <v>0</v>
      </c>
      <c r="S57">
        <v>0</v>
      </c>
      <c r="T57">
        <v>0</v>
      </c>
      <c r="U57" s="1">
        <f t="shared" si="0"/>
        <v>2.873099415204678</v>
      </c>
    </row>
    <row r="58" spans="1:21" x14ac:dyDescent="0.3">
      <c r="A58" t="s">
        <v>148</v>
      </c>
      <c r="B58" s="33">
        <v>0.48299999999999998</v>
      </c>
      <c r="C58" s="33">
        <v>0</v>
      </c>
      <c r="D58" s="34">
        <v>16.399999999999999</v>
      </c>
      <c r="E58" s="34">
        <v>6.05</v>
      </c>
      <c r="F58" s="34">
        <v>9.52</v>
      </c>
      <c r="G58" s="34">
        <v>118.2</v>
      </c>
      <c r="H58" s="34">
        <v>1.6</v>
      </c>
      <c r="I58" s="34">
        <v>18</v>
      </c>
      <c r="J58" s="33">
        <v>0.12</v>
      </c>
      <c r="K58" s="34">
        <v>177.3</v>
      </c>
      <c r="L58" s="34">
        <v>10.5</v>
      </c>
      <c r="M58" s="34">
        <v>1.96</v>
      </c>
      <c r="N58" s="34">
        <v>56.9</v>
      </c>
      <c r="O58" s="34">
        <v>1.05</v>
      </c>
      <c r="P58" s="34">
        <v>15</v>
      </c>
      <c r="Q58" s="34">
        <v>50</v>
      </c>
      <c r="R58" s="34">
        <v>9.9499999999999993</v>
      </c>
      <c r="S58" s="34">
        <v>27.9</v>
      </c>
      <c r="T58" s="34">
        <v>20.5</v>
      </c>
      <c r="U58" s="1">
        <f t="shared" si="0"/>
        <v>30.07961111111111</v>
      </c>
    </row>
    <row r="59" spans="1:21" x14ac:dyDescent="0.3">
      <c r="B59" s="31"/>
      <c r="C59" s="31"/>
      <c r="D59" s="31"/>
      <c r="E59" s="31"/>
      <c r="F59" s="31"/>
      <c r="G59" s="32"/>
      <c r="H59" s="31"/>
      <c r="I59" s="31"/>
      <c r="J59" s="31"/>
      <c r="K59" s="32"/>
      <c r="L59" s="31"/>
      <c r="M59" s="31"/>
      <c r="N59" s="32"/>
      <c r="O59" s="31"/>
      <c r="P59" s="31"/>
      <c r="Q59" s="32"/>
      <c r="R59" s="31"/>
      <c r="S59" s="31"/>
      <c r="T59" s="3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CM27" activePane="bottomRight" state="frozen"/>
      <selection pane="topRight" activeCell="B1" sqref="B1"/>
      <selection pane="bottomLeft" activeCell="A3" sqref="A3"/>
      <selection pane="bottomRight" activeCell="CN31" sqref="CN31"/>
    </sheetView>
  </sheetViews>
  <sheetFormatPr defaultRowHeight="14.4" x14ac:dyDescent="0.3"/>
  <cols>
    <col min="1" max="1" width="38.88671875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8" width="7.33203125" bestFit="1" customWidth="1"/>
    <col min="19" max="21" width="6" bestFit="1" customWidth="1"/>
    <col min="22" max="22" width="8.6640625" bestFit="1" customWidth="1"/>
    <col min="23" max="23" width="6.88671875" customWidth="1"/>
    <col min="24" max="25" width="5" bestFit="1" customWidth="1"/>
    <col min="26" max="26" width="7.6640625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.4414062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">
        <f>Índices!B2</f>
        <v>73</v>
      </c>
      <c r="C3">
        <v>102</v>
      </c>
      <c r="D3">
        <v>72</v>
      </c>
      <c r="E3">
        <v>26</v>
      </c>
      <c r="F3">
        <v>10.4</v>
      </c>
      <c r="G3" s="1">
        <f>Índices!D2</f>
        <v>98</v>
      </c>
      <c r="H3">
        <v>155</v>
      </c>
      <c r="I3">
        <v>279</v>
      </c>
      <c r="J3">
        <v>64</v>
      </c>
      <c r="K3">
        <v>121</v>
      </c>
      <c r="L3" s="1">
        <f>Resultado!D23+Resultado!D6</f>
        <v>117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X3">
        <f>47+3</f>
        <v>50</v>
      </c>
      <c r="Y3">
        <f>66+8.6</f>
        <v>74.599999999999994</v>
      </c>
      <c r="Z3">
        <f>111-10</f>
        <v>101</v>
      </c>
      <c r="AA3" s="1">
        <f>Índices!G2</f>
        <v>319</v>
      </c>
      <c r="AB3">
        <v>318</v>
      </c>
      <c r="AC3">
        <v>266</v>
      </c>
      <c r="AD3">
        <v>160</v>
      </c>
      <c r="AE3">
        <v>189</v>
      </c>
      <c r="AF3" s="1">
        <f>Índices!H2</f>
        <v>51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P3">
        <v>75</v>
      </c>
      <c r="AQ3">
        <v>88</v>
      </c>
      <c r="AR3">
        <v>40</v>
      </c>
      <c r="AS3">
        <v>0</v>
      </c>
      <c r="AT3">
        <v>0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O3" s="1">
        <f>Índices!O2</f>
        <v>56.1</v>
      </c>
      <c r="BP3">
        <f>67+7.2</f>
        <v>74.2</v>
      </c>
      <c r="BQ3">
        <f>29+0.8</f>
        <v>29.8</v>
      </c>
      <c r="BR3">
        <v>34</v>
      </c>
      <c r="BS3">
        <v>69</v>
      </c>
      <c r="BT3" s="1">
        <f>Índices!P2</f>
        <v>150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D3">
        <v>97</v>
      </c>
      <c r="CE3">
        <v>105</v>
      </c>
      <c r="CF3">
        <v>139</v>
      </c>
      <c r="CG3">
        <v>73</v>
      </c>
      <c r="CH3">
        <v>110</v>
      </c>
      <c r="CI3" s="1">
        <f>Índices!S2</f>
        <v>259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N3" s="1">
        <f>Índices!T2</f>
        <v>119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B4" s="1">
        <f>Índices!B3</f>
        <v>33</v>
      </c>
      <c r="C4">
        <v>17.600000000000001</v>
      </c>
      <c r="D4">
        <v>14</v>
      </c>
      <c r="E4">
        <v>1.8</v>
      </c>
      <c r="F4">
        <v>5.7</v>
      </c>
      <c r="G4" s="1">
        <f>Índices!D3</f>
        <v>47</v>
      </c>
      <c r="H4">
        <v>69</v>
      </c>
      <c r="I4">
        <v>50</v>
      </c>
      <c r="J4">
        <v>21</v>
      </c>
      <c r="K4">
        <v>22</v>
      </c>
      <c r="L4" s="1">
        <f>Resultado!D3</f>
        <v>39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X4">
        <v>8.4</v>
      </c>
      <c r="Y4">
        <v>6</v>
      </c>
      <c r="Z4">
        <v>9</v>
      </c>
      <c r="AA4" s="1">
        <f>Índices!G3</f>
        <v>117</v>
      </c>
      <c r="AB4">
        <v>94</v>
      </c>
      <c r="AC4">
        <v>126</v>
      </c>
      <c r="AD4">
        <v>71</v>
      </c>
      <c r="AE4">
        <v>73</v>
      </c>
      <c r="AF4" s="1">
        <f>Índices!H3</f>
        <v>14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P4">
        <v>6.3</v>
      </c>
      <c r="AQ4">
        <v>5.5</v>
      </c>
      <c r="AR4">
        <v>8.8000000000000007</v>
      </c>
      <c r="AS4">
        <v>8</v>
      </c>
      <c r="AT4">
        <v>24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O4" s="1">
        <f>Índices!O3</f>
        <v>23.35</v>
      </c>
      <c r="BP4">
        <v>13</v>
      </c>
      <c r="BQ4">
        <v>5</v>
      </c>
      <c r="BR4">
        <v>4.5</v>
      </c>
      <c r="BS4">
        <v>6</v>
      </c>
      <c r="BT4" s="1">
        <f>Índices!P3</f>
        <v>65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D4">
        <v>78</v>
      </c>
      <c r="CE4" s="11">
        <v>67</v>
      </c>
      <c r="CF4">
        <v>50</v>
      </c>
      <c r="CG4">
        <v>24</v>
      </c>
      <c r="CH4">
        <v>23</v>
      </c>
      <c r="CI4" s="1">
        <f>Índices!S3</f>
        <v>46</v>
      </c>
      <c r="CJ4">
        <v>54</v>
      </c>
      <c r="CK4">
        <v>33</v>
      </c>
      <c r="CL4">
        <v>16</v>
      </c>
      <c r="CM4">
        <v>21</v>
      </c>
      <c r="CN4" s="1">
        <f>Índices!T3</f>
        <v>49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B5" s="1">
        <f>Índices!B4</f>
        <v>3.1</v>
      </c>
      <c r="C5">
        <v>3.5</v>
      </c>
      <c r="D5">
        <v>3.8</v>
      </c>
      <c r="E5">
        <v>0.8</v>
      </c>
      <c r="F5">
        <v>0.3</v>
      </c>
      <c r="G5" s="1">
        <f>Índices!D4</f>
        <v>47</v>
      </c>
      <c r="H5">
        <v>39</v>
      </c>
      <c r="I5">
        <v>43</v>
      </c>
      <c r="J5">
        <v>0.7</v>
      </c>
      <c r="K5">
        <v>17</v>
      </c>
      <c r="L5" s="1">
        <f>Resultado!D4</f>
        <v>33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X5">
        <v>2.5</v>
      </c>
      <c r="Y5">
        <v>2</v>
      </c>
      <c r="Z5">
        <v>11</v>
      </c>
      <c r="AA5" s="1">
        <f>Índices!G4</f>
        <v>91</v>
      </c>
      <c r="AB5">
        <v>98</v>
      </c>
      <c r="AC5">
        <v>15</v>
      </c>
      <c r="AD5">
        <v>7</v>
      </c>
      <c r="AE5">
        <v>62</v>
      </c>
      <c r="AF5" s="1">
        <f>Índices!H4</f>
        <v>12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P5">
        <v>16.600000000000001</v>
      </c>
      <c r="AQ5">
        <v>13.3</v>
      </c>
      <c r="AR5">
        <v>3.9</v>
      </c>
      <c r="AS5">
        <v>0.04</v>
      </c>
      <c r="AT5">
        <v>1.3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O5" s="1">
        <f>Índices!O4</f>
        <v>6.75</v>
      </c>
      <c r="BP5">
        <v>5.6</v>
      </c>
      <c r="BQ5">
        <v>0.6</v>
      </c>
      <c r="BR5">
        <v>0.2</v>
      </c>
      <c r="BS5">
        <v>8.6</v>
      </c>
      <c r="BT5" s="1">
        <f>Índices!P4</f>
        <v>20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D5">
        <v>26</v>
      </c>
      <c r="CE5">
        <v>44</v>
      </c>
      <c r="CF5">
        <v>81</v>
      </c>
      <c r="CG5">
        <v>30</v>
      </c>
      <c r="CH5">
        <v>24</v>
      </c>
      <c r="CI5" s="1">
        <f>Índices!S4</f>
        <v>110</v>
      </c>
      <c r="CJ5">
        <v>64</v>
      </c>
      <c r="CK5">
        <v>8</v>
      </c>
      <c r="CL5">
        <v>6</v>
      </c>
      <c r="CM5">
        <v>39</v>
      </c>
      <c r="CN5" s="1">
        <f>Índices!T4</f>
        <v>25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B6" s="1">
        <f>Índices!B5</f>
        <v>0</v>
      </c>
      <c r="C6">
        <v>0</v>
      </c>
      <c r="D6">
        <v>0</v>
      </c>
      <c r="E6">
        <v>0</v>
      </c>
      <c r="F6">
        <v>0</v>
      </c>
      <c r="G6" s="1">
        <f>Índices!D5</f>
        <v>27</v>
      </c>
      <c r="H6">
        <v>29</v>
      </c>
      <c r="I6">
        <v>13</v>
      </c>
      <c r="J6">
        <v>10</v>
      </c>
      <c r="K6">
        <v>10</v>
      </c>
      <c r="L6" s="1">
        <f>Resultado!D5</f>
        <v>45</v>
      </c>
      <c r="M6">
        <v>38</v>
      </c>
      <c r="N6">
        <v>22</v>
      </c>
      <c r="O6">
        <v>23.5</v>
      </c>
      <c r="P6">
        <v>27</v>
      </c>
      <c r="X6">
        <v>3.9</v>
      </c>
      <c r="Y6">
        <v>5.6</v>
      </c>
      <c r="Z6">
        <v>6</v>
      </c>
      <c r="AA6" s="1">
        <f>Índices!G5</f>
        <v>43</v>
      </c>
      <c r="AB6">
        <v>32</v>
      </c>
      <c r="AC6">
        <v>13</v>
      </c>
      <c r="AD6">
        <v>13</v>
      </c>
      <c r="AE6">
        <v>21</v>
      </c>
      <c r="AF6" s="1">
        <f>Índices!H5</f>
        <v>27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P6">
        <v>0</v>
      </c>
      <c r="AQ6">
        <v>0</v>
      </c>
      <c r="AR6">
        <v>0</v>
      </c>
      <c r="AS6">
        <v>0</v>
      </c>
      <c r="AT6">
        <v>0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O6" s="1">
        <f>Índices!O5</f>
        <v>8</v>
      </c>
      <c r="BP6">
        <v>1.3</v>
      </c>
      <c r="BQ6">
        <v>0.9</v>
      </c>
      <c r="BR6">
        <v>0.9</v>
      </c>
      <c r="BS6">
        <v>0.9</v>
      </c>
      <c r="BT6" s="1">
        <f>Índices!P5</f>
        <v>73</v>
      </c>
      <c r="BU6">
        <v>61</v>
      </c>
      <c r="BV6">
        <v>61</v>
      </c>
      <c r="BW6">
        <v>66</v>
      </c>
      <c r="BX6">
        <v>74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I6" s="1">
        <f>Índices!S5</f>
        <v>21</v>
      </c>
      <c r="CJ6">
        <v>18</v>
      </c>
      <c r="CK6">
        <v>10</v>
      </c>
      <c r="CL6">
        <v>7</v>
      </c>
      <c r="CM6">
        <v>10</v>
      </c>
      <c r="CN6" s="1">
        <f>Índices!T5</f>
        <v>32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B7" s="1">
        <f>Índices!B6</f>
        <v>0</v>
      </c>
      <c r="C7">
        <v>0</v>
      </c>
      <c r="D7">
        <v>0</v>
      </c>
      <c r="E7">
        <v>0</v>
      </c>
      <c r="F7">
        <v>0</v>
      </c>
      <c r="G7" s="1">
        <f>Índices!D6</f>
        <v>0</v>
      </c>
      <c r="H7">
        <v>0</v>
      </c>
      <c r="I7">
        <v>0</v>
      </c>
      <c r="J7">
        <v>0</v>
      </c>
      <c r="K7">
        <v>0</v>
      </c>
      <c r="L7" s="1">
        <f>Resultado!D6</f>
        <v>37</v>
      </c>
      <c r="M7">
        <v>81</v>
      </c>
      <c r="N7">
        <v>75</v>
      </c>
      <c r="O7">
        <v>29</v>
      </c>
      <c r="P7">
        <v>85</v>
      </c>
      <c r="X7">
        <f>2.6+0.4</f>
        <v>3</v>
      </c>
      <c r="Y7">
        <v>8.6</v>
      </c>
      <c r="Z7">
        <v>12</v>
      </c>
      <c r="AA7" s="1">
        <f>Índices!G6</f>
        <v>12</v>
      </c>
      <c r="AB7">
        <v>0</v>
      </c>
      <c r="AC7">
        <v>0</v>
      </c>
      <c r="AD7">
        <v>0</v>
      </c>
      <c r="AE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O7" s="1">
        <f>Índices!O6</f>
        <v>11</v>
      </c>
      <c r="BP7">
        <v>7.2</v>
      </c>
      <c r="BQ7">
        <v>0.8</v>
      </c>
      <c r="BR7">
        <v>4</v>
      </c>
      <c r="BS7">
        <v>2</v>
      </c>
      <c r="BT7" s="1">
        <f>Índices!P6</f>
        <v>75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I7" s="1">
        <f>Índices!S6</f>
        <v>0</v>
      </c>
      <c r="CJ7">
        <v>29</v>
      </c>
      <c r="CK7">
        <v>48</v>
      </c>
      <c r="CL7">
        <v>0.5</v>
      </c>
      <c r="CM7">
        <v>27</v>
      </c>
      <c r="CN7" s="1">
        <f>Índices!T6</f>
        <v>20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B8" s="1">
        <f>Índices!B7</f>
        <v>0</v>
      </c>
      <c r="C8">
        <v>0</v>
      </c>
      <c r="D8">
        <v>0</v>
      </c>
      <c r="E8">
        <v>0</v>
      </c>
      <c r="F8">
        <v>0</v>
      </c>
      <c r="G8" s="1">
        <f>Índices!D7</f>
        <v>0</v>
      </c>
      <c r="H8">
        <v>0</v>
      </c>
      <c r="I8">
        <v>0</v>
      </c>
      <c r="J8">
        <v>0</v>
      </c>
      <c r="K8">
        <v>0</v>
      </c>
      <c r="L8" s="1">
        <f>Resultado!D7</f>
        <v>27.4</v>
      </c>
      <c r="M8">
        <v>78</v>
      </c>
      <c r="N8">
        <v>27</v>
      </c>
      <c r="O8">
        <f>14</f>
        <v>14</v>
      </c>
      <c r="P8">
        <f>44-17</f>
        <v>27</v>
      </c>
      <c r="X8">
        <v>1.5</v>
      </c>
      <c r="Y8">
        <v>1.7</v>
      </c>
      <c r="Z8">
        <v>2</v>
      </c>
      <c r="AA8" s="1">
        <f>Índices!G7</f>
        <v>17</v>
      </c>
      <c r="AB8">
        <v>0</v>
      </c>
      <c r="AC8">
        <v>0</v>
      </c>
      <c r="AD8">
        <v>0</v>
      </c>
      <c r="AE8">
        <v>0</v>
      </c>
      <c r="AL8">
        <v>14</v>
      </c>
      <c r="AP8">
        <v>0</v>
      </c>
      <c r="AQ8">
        <v>0</v>
      </c>
      <c r="AR8">
        <v>0</v>
      </c>
      <c r="AS8">
        <v>0</v>
      </c>
      <c r="AT8">
        <v>0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O8" s="1">
        <f>Índices!O7</f>
        <v>2.5500000000000003</v>
      </c>
      <c r="BT8" s="1">
        <f>Índices!P7</f>
        <v>14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D8">
        <v>1.4</v>
      </c>
      <c r="CE8">
        <v>1.8</v>
      </c>
      <c r="CF8" s="11">
        <v>1.6</v>
      </c>
      <c r="CG8" s="11">
        <v>1.8</v>
      </c>
      <c r="CH8" s="11">
        <v>2.5</v>
      </c>
      <c r="CI8" s="1">
        <f>Índices!S7</f>
        <v>18</v>
      </c>
      <c r="CJ8">
        <v>16</v>
      </c>
      <c r="CK8">
        <v>16</v>
      </c>
      <c r="CL8">
        <v>14</v>
      </c>
      <c r="CM8">
        <v>13</v>
      </c>
      <c r="CN8" s="1">
        <f>Índices!T7</f>
        <v>8.6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B9" s="1">
        <f>Índices!B8</f>
        <v>109.1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G9" s="1">
        <f>Índices!D8</f>
        <v>219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L9" s="1">
        <f>Resultado!D8</f>
        <v>224.4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X9">
        <f>SUM(X3:X6,X8)</f>
        <v>66.3</v>
      </c>
      <c r="Y9">
        <f>SUM(Y3:Y6,Y8)</f>
        <v>89.899999999999991</v>
      </c>
      <c r="Z9">
        <f>SUM(Z3:Z6,Z8)</f>
        <v>129</v>
      </c>
      <c r="AA9" s="1">
        <f>Índices!G8</f>
        <v>587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F9">
        <f>SUM(AF3:AF6,AF8)</f>
        <v>104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P9">
        <f t="shared" ref="AP9:AY9" si="16">SUM(AP3:AP6,AP8)</f>
        <v>97.9</v>
      </c>
      <c r="AQ9">
        <f t="shared" si="16"/>
        <v>106.8</v>
      </c>
      <c r="AR9">
        <f t="shared" si="16"/>
        <v>52.699999999999996</v>
      </c>
      <c r="AS9">
        <f t="shared" si="16"/>
        <v>8.0399999999999991</v>
      </c>
      <c r="AT9">
        <f t="shared" si="16"/>
        <v>25.3</v>
      </c>
      <c r="AU9">
        <f t="shared" si="16"/>
        <v>964</v>
      </c>
      <c r="AV9">
        <f t="shared" si="16"/>
        <v>955</v>
      </c>
      <c r="AW9">
        <f t="shared" si="16"/>
        <v>675</v>
      </c>
      <c r="AX9">
        <f t="shared" si="16"/>
        <v>524</v>
      </c>
      <c r="AY9">
        <f t="shared" si="16"/>
        <v>689</v>
      </c>
      <c r="BA9">
        <f>SUM(BA3:BA6,BA8)</f>
        <v>230</v>
      </c>
      <c r="BB9">
        <f t="shared" ref="BB9" si="17">SUM(BB3:BB6,BB8)</f>
        <v>208</v>
      </c>
      <c r="BC9">
        <f t="shared" ref="BC9" si="18">SUM(BC3:BC6,BC8)</f>
        <v>111.8</v>
      </c>
      <c r="BD9">
        <f t="shared" ref="BD9" si="19">SUM(BD3:BD6,BD8)</f>
        <v>138</v>
      </c>
      <c r="BF9">
        <f>SUM(BF3:BF6,BF8)</f>
        <v>194</v>
      </c>
      <c r="BG9">
        <f t="shared" ref="BG9" si="20">SUM(BG3:BG6,BG8)</f>
        <v>138</v>
      </c>
      <c r="BH9">
        <f t="shared" ref="BH9" si="21">SUM(BH3:BH6,BH8)</f>
        <v>50</v>
      </c>
      <c r="BI9">
        <f t="shared" ref="BI9" si="22">SUM(BI3:BI6,BI8)</f>
        <v>84.5</v>
      </c>
      <c r="BJ9" s="6">
        <f>SUM(BJ3:BJ6,BJ8)</f>
        <v>386.4</v>
      </c>
      <c r="BK9">
        <f>SUM(BK3:BK6,BK8)</f>
        <v>178</v>
      </c>
      <c r="BL9">
        <f t="shared" ref="BL9" si="23">SUM(BL3:BL6,BL8)</f>
        <v>306.2</v>
      </c>
      <c r="BM9">
        <f t="shared" ref="BM9" si="24">SUM(BM3:BM6,BM8)</f>
        <v>272.10000000000002</v>
      </c>
      <c r="BN9">
        <f t="shared" ref="BN9" si="25">SUM(BN3:BN6,BN8)</f>
        <v>304.2</v>
      </c>
      <c r="BO9" s="1">
        <f>Índices!O8</f>
        <v>96.75</v>
      </c>
      <c r="BP9">
        <f>SUM(BP3:BP6,BP8)</f>
        <v>94.1</v>
      </c>
      <c r="BQ9">
        <f t="shared" ref="BQ9" si="26">SUM(BQ3:BQ6,BQ8)</f>
        <v>36.299999999999997</v>
      </c>
      <c r="BR9">
        <f t="shared" ref="BR9" si="27">SUM(BR3:BR6,BR8)</f>
        <v>39.6</v>
      </c>
      <c r="BS9">
        <f t="shared" ref="BS9" si="28">SUM(BS3:BS6,BS8)</f>
        <v>84.5</v>
      </c>
      <c r="BT9" s="1">
        <f>Índices!P8</f>
        <v>322</v>
      </c>
      <c r="BU9">
        <f>SUM(BU3:BU6,BU8)</f>
        <v>291</v>
      </c>
      <c r="BV9">
        <f t="shared" ref="BV9" si="29">SUM(BV3:BV6,BV8)</f>
        <v>291.8</v>
      </c>
      <c r="BW9">
        <f t="shared" ref="BW9" si="30">SUM(BW3:BW6,BW8)</f>
        <v>209.6</v>
      </c>
      <c r="BX9">
        <f t="shared" ref="BX9" si="31">SUM(BX3:BX6,BX8)</f>
        <v>299</v>
      </c>
      <c r="BY9" s="1">
        <f>Resultado!Q8</f>
        <v>542</v>
      </c>
      <c r="BZ9" s="1">
        <f t="shared" ref="BZ9:CC9" si="32">SUM(BZ3:BZ8)-BZ7</f>
        <v>527</v>
      </c>
      <c r="CA9" s="1">
        <f t="shared" si="32"/>
        <v>722</v>
      </c>
      <c r="CB9" s="1">
        <f t="shared" si="32"/>
        <v>338</v>
      </c>
      <c r="CC9" s="1">
        <f t="shared" si="32"/>
        <v>437</v>
      </c>
      <c r="CD9">
        <f>SUM(CD3:CD6,CD8)</f>
        <v>202.4</v>
      </c>
      <c r="CE9">
        <f>SUM(CE3:CE6,CE8)</f>
        <v>217.8</v>
      </c>
      <c r="CF9">
        <f t="shared" ref="CF9" si="33">SUM(CF3:CF6,CF8)</f>
        <v>271.60000000000002</v>
      </c>
      <c r="CG9">
        <f t="shared" ref="CG9" si="34">SUM(CG3:CG6,CG8)</f>
        <v>128.80000000000001</v>
      </c>
      <c r="CH9">
        <f t="shared" ref="CH9" si="35">SUM(CH3:CH6,CH8)</f>
        <v>159.5</v>
      </c>
      <c r="CI9">
        <f>SUM(CI3:CI6,CI8)</f>
        <v>454</v>
      </c>
      <c r="CJ9">
        <f>SUM(CJ3:CJ6,CJ8)</f>
        <v>357</v>
      </c>
      <c r="CK9">
        <f t="shared" ref="CK9" si="36">SUM(CK3:CK6,CK8)</f>
        <v>310</v>
      </c>
      <c r="CL9">
        <f t="shared" ref="CL9" si="37">SUM(CL3:CL6,CL8)</f>
        <v>170.5</v>
      </c>
      <c r="CM9">
        <f t="shared" ref="CM9" si="38">SUM(CM3:CM6,CM8)</f>
        <v>220</v>
      </c>
      <c r="CN9" s="1">
        <f>Índices!T8</f>
        <v>234</v>
      </c>
      <c r="CO9">
        <f>SUM(CO3:CO6,CO8)</f>
        <v>97.7</v>
      </c>
      <c r="CP9">
        <f t="shared" ref="CP9" si="39">SUM(CP3:CP6,CP8)</f>
        <v>115.6</v>
      </c>
      <c r="CQ9">
        <f t="shared" ref="CQ9" si="40">SUM(CQ3:CQ6,CQ8)</f>
        <v>149.69999999999999</v>
      </c>
      <c r="CR9">
        <f t="shared" ref="CR9" si="41">SUM(CR3:CR6,CR8)</f>
        <v>190</v>
      </c>
      <c r="CT9">
        <f>SUM(CT3:CT6,CT8)</f>
        <v>83.7</v>
      </c>
      <c r="CU9">
        <f t="shared" ref="CU9" si="42">SUM(CU3:CU6,CU8)</f>
        <v>104.10000000000001</v>
      </c>
      <c r="CV9">
        <f t="shared" ref="CV9" si="43">SUM(CV3:CV6,CV8)</f>
        <v>43.100000000000009</v>
      </c>
      <c r="CW9">
        <f t="shared" ref="CW9" si="44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5">SUM(CZ3:CZ6,CZ8)</f>
        <v>11.899999999999999</v>
      </c>
      <c r="DA9">
        <f t="shared" ref="DA9" si="46">SUM(DA3:DA6,DA8)</f>
        <v>4.8</v>
      </c>
      <c r="DB9">
        <f t="shared" ref="DB9" si="47">SUM(DB3:DB6,DB8)</f>
        <v>15.8</v>
      </c>
      <c r="DD9">
        <f>SUM(DD3:DD6,DD8)</f>
        <v>69.600000000000009</v>
      </c>
      <c r="DE9">
        <f t="shared" ref="DE9" si="48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B10" s="1">
        <f>Índices!B9</f>
        <v>62</v>
      </c>
      <c r="C10">
        <v>10</v>
      </c>
      <c r="D10">
        <v>2.4</v>
      </c>
      <c r="E10">
        <v>4.7</v>
      </c>
      <c r="F10">
        <v>4.2</v>
      </c>
      <c r="G10" s="1">
        <f>Índices!D9</f>
        <v>111</v>
      </c>
      <c r="H10">
        <v>88</v>
      </c>
      <c r="I10">
        <v>99</v>
      </c>
      <c r="J10">
        <v>28</v>
      </c>
      <c r="K10">
        <v>106</v>
      </c>
      <c r="L10" s="1">
        <f>Resultado!D9</f>
        <v>241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X10">
        <v>36</v>
      </c>
      <c r="Y10">
        <v>42</v>
      </c>
      <c r="Z10">
        <v>39</v>
      </c>
      <c r="AA10" s="1">
        <f>Índices!G9</f>
        <v>251</v>
      </c>
      <c r="AB10">
        <v>146</v>
      </c>
      <c r="AC10">
        <v>28</v>
      </c>
      <c r="AD10">
        <v>189</v>
      </c>
      <c r="AE10">
        <v>34</v>
      </c>
      <c r="AF10" s="1">
        <f>Índices!H9</f>
        <v>15.2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O10" s="1">
        <f>Índices!O9</f>
        <v>4.5</v>
      </c>
      <c r="BP10">
        <v>3</v>
      </c>
      <c r="BQ10">
        <v>8.5</v>
      </c>
      <c r="BR10">
        <v>45</v>
      </c>
      <c r="BS10">
        <v>1.1000000000000001</v>
      </c>
      <c r="BT10" s="1">
        <f>Índices!P9</f>
        <v>77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D10">
        <v>174</v>
      </c>
      <c r="CE10">
        <f>114+33</f>
        <v>147</v>
      </c>
      <c r="CF10">
        <v>107</v>
      </c>
      <c r="CG10">
        <v>84</v>
      </c>
      <c r="CH10">
        <v>216</v>
      </c>
      <c r="CI10" s="1">
        <f>Índices!S9</f>
        <v>121</v>
      </c>
      <c r="CJ10">
        <v>229</v>
      </c>
      <c r="CK10">
        <v>121</v>
      </c>
      <c r="CL10">
        <v>151</v>
      </c>
      <c r="CM10">
        <v>105</v>
      </c>
      <c r="CN10" s="1">
        <f>Índices!T9</f>
        <v>125.3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B11" s="1">
        <f>Índices!B11</f>
        <v>188</v>
      </c>
      <c r="C11">
        <v>144</v>
      </c>
      <c r="D11">
        <v>99</v>
      </c>
      <c r="E11">
        <v>46</v>
      </c>
      <c r="F11">
        <v>31</v>
      </c>
      <c r="G11" s="1">
        <f>Índices!D11</f>
        <v>336</v>
      </c>
      <c r="H11">
        <v>385</v>
      </c>
      <c r="I11">
        <v>497</v>
      </c>
      <c r="J11">
        <v>131</v>
      </c>
      <c r="K11">
        <v>283</v>
      </c>
      <c r="L11" s="1">
        <f>Resultado!D11</f>
        <v>513.4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W11">
        <v>142</v>
      </c>
      <c r="X11">
        <v>118</v>
      </c>
      <c r="Y11">
        <v>151</v>
      </c>
      <c r="Z11">
        <v>191</v>
      </c>
      <c r="AA11" s="1">
        <f>Índices!G11</f>
        <v>838</v>
      </c>
      <c r="AB11">
        <v>652</v>
      </c>
      <c r="AC11">
        <v>448</v>
      </c>
      <c r="AD11">
        <v>425</v>
      </c>
      <c r="AE11">
        <v>370</v>
      </c>
      <c r="AF11" s="1">
        <f>Índices!H11</f>
        <v>160.1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21</v>
      </c>
      <c r="AT11">
        <v>21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O11" s="1">
        <f>Índices!O11</f>
        <v>90</v>
      </c>
      <c r="BP11">
        <v>97</v>
      </c>
      <c r="BQ11">
        <v>47</v>
      </c>
      <c r="BR11">
        <v>86</v>
      </c>
      <c r="BS11">
        <v>91</v>
      </c>
      <c r="BT11" s="1">
        <f>Índices!P11</f>
        <v>374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I11" s="1">
        <f>Índices!S11</f>
        <v>669</v>
      </c>
      <c r="CJ11">
        <v>588</v>
      </c>
      <c r="CK11">
        <v>433</v>
      </c>
      <c r="CL11">
        <v>323</v>
      </c>
      <c r="CM11">
        <v>326</v>
      </c>
      <c r="CN11" s="1">
        <f>Índices!T11</f>
        <v>345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B12">
        <f>Índices!B28</f>
        <v>92</v>
      </c>
      <c r="C12">
        <v>60</v>
      </c>
      <c r="D12">
        <v>46</v>
      </c>
      <c r="E12">
        <v>24</v>
      </c>
      <c r="F12">
        <v>25</v>
      </c>
      <c r="G12">
        <f>Índices!D28</f>
        <v>216</v>
      </c>
      <c r="H12">
        <v>250</v>
      </c>
      <c r="I12">
        <v>263</v>
      </c>
      <c r="J12">
        <v>200</v>
      </c>
      <c r="K12">
        <v>156</v>
      </c>
      <c r="L12" s="1">
        <f>Resultado!D24</f>
        <v>133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X12">
        <f>58.8+5.6</f>
        <v>64.399999999999991</v>
      </c>
      <c r="Y12">
        <f>65+6.6</f>
        <v>71.599999999999994</v>
      </c>
      <c r="Z12">
        <f>68+6</f>
        <v>74</v>
      </c>
      <c r="AA12" s="1">
        <f>Índices!G12</f>
        <v>261</v>
      </c>
      <c r="AB12">
        <v>274</v>
      </c>
      <c r="AC12">
        <v>208</v>
      </c>
      <c r="AD12">
        <v>188</v>
      </c>
      <c r="AE12">
        <v>224</v>
      </c>
      <c r="AF12" s="1">
        <f>Índices!H28</f>
        <v>119.1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P12">
        <v>99</v>
      </c>
      <c r="AQ12">
        <v>84</v>
      </c>
      <c r="AR12">
        <v>66</v>
      </c>
      <c r="AS12">
        <v>20</v>
      </c>
      <c r="AT12">
        <v>18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O12" s="1">
        <f>Índices!O28</f>
        <v>50</v>
      </c>
      <c r="BP12">
        <v>33</v>
      </c>
      <c r="BQ12">
        <v>24</v>
      </c>
      <c r="BR12">
        <v>47</v>
      </c>
      <c r="BS12">
        <v>41</v>
      </c>
      <c r="BT12" s="1">
        <f>Índices!P28</f>
        <v>196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D12" s="6">
        <f>147-13+39-1.5</f>
        <v>171.5</v>
      </c>
      <c r="CE12">
        <v>136</v>
      </c>
      <c r="CF12">
        <f>118-10+26-1</f>
        <v>133</v>
      </c>
      <c r="CG12">
        <f>116-7+28</f>
        <v>137</v>
      </c>
      <c r="CH12">
        <f>141-7+32</f>
        <v>166</v>
      </c>
      <c r="CI12" s="1">
        <f>Índices!S12+Índices!S13</f>
        <v>266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N12" s="1">
        <f>Índices!T28</f>
        <v>160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B13" s="1">
        <f>Índices!B19</f>
        <v>-9</v>
      </c>
      <c r="C13">
        <v>-21</v>
      </c>
      <c r="D13">
        <v>-4.8</v>
      </c>
      <c r="E13">
        <v>-8.6</v>
      </c>
      <c r="F13">
        <v>-17</v>
      </c>
      <c r="G13" s="1">
        <f>Índices!D19</f>
        <v>309</v>
      </c>
      <c r="H13">
        <v>71</v>
      </c>
      <c r="I13">
        <v>101</v>
      </c>
      <c r="J13">
        <v>19</v>
      </c>
      <c r="K13">
        <v>-47</v>
      </c>
      <c r="L13" s="1">
        <f>Resultado!D21</f>
        <v>383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W13">
        <v>-248</v>
      </c>
      <c r="X13">
        <v>78</v>
      </c>
      <c r="Y13">
        <v>-139</v>
      </c>
      <c r="Z13">
        <v>-22</v>
      </c>
      <c r="AA13" s="1">
        <f>Índices!G19</f>
        <v>121</v>
      </c>
      <c r="AB13">
        <v>15</v>
      </c>
      <c r="AC13">
        <v>6</v>
      </c>
      <c r="AD13">
        <v>-123</v>
      </c>
      <c r="AE13">
        <v>-196</v>
      </c>
      <c r="AF13" s="1">
        <f>Resultado!H21</f>
        <v>50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P13">
        <v>37</v>
      </c>
      <c r="AQ13">
        <v>26</v>
      </c>
      <c r="AR13">
        <v>-5</v>
      </c>
      <c r="AS13">
        <v>-0.2</v>
      </c>
      <c r="AT13">
        <v>1.7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O13" s="1">
        <f>Índices!O19</f>
        <v>124</v>
      </c>
      <c r="BP13">
        <v>13</v>
      </c>
      <c r="BQ13">
        <v>-7</v>
      </c>
      <c r="BR13">
        <v>-3</v>
      </c>
      <c r="BS13">
        <v>2.8</v>
      </c>
      <c r="BT13" s="1">
        <f>Índices!P19</f>
        <v>170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D13">
        <v>1</v>
      </c>
      <c r="CE13">
        <v>17</v>
      </c>
      <c r="CF13" s="11">
        <v>44</v>
      </c>
      <c r="CG13" s="11">
        <v>-149</v>
      </c>
      <c r="CH13" s="11">
        <v>24</v>
      </c>
      <c r="CI13" s="1">
        <f>Índices!S19</f>
        <v>62</v>
      </c>
      <c r="CJ13">
        <v>37</v>
      </c>
      <c r="CK13">
        <v>-106</v>
      </c>
      <c r="CL13">
        <v>-129</v>
      </c>
      <c r="CM13">
        <v>-156</v>
      </c>
      <c r="CN13" s="1">
        <f>Índices!T19</f>
        <v>-70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B14">
        <f>Índices!B21</f>
        <v>7</v>
      </c>
      <c r="C14">
        <v>3</v>
      </c>
      <c r="D14">
        <v>22</v>
      </c>
      <c r="E14">
        <v>3</v>
      </c>
      <c r="F14">
        <v>-9</v>
      </c>
      <c r="G14">
        <f>Índices!D21</f>
        <v>-212</v>
      </c>
      <c r="H14">
        <v>39</v>
      </c>
      <c r="I14">
        <v>109</v>
      </c>
      <c r="J14">
        <v>-155</v>
      </c>
      <c r="K14">
        <v>125</v>
      </c>
      <c r="L14">
        <v>498</v>
      </c>
      <c r="M14">
        <v>87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X14">
        <v>-20</v>
      </c>
      <c r="Y14">
        <v>13</v>
      </c>
      <c r="Z14">
        <v>51</v>
      </c>
      <c r="AA14">
        <f>Índices!G21</f>
        <v>248</v>
      </c>
      <c r="AB14">
        <v>164</v>
      </c>
      <c r="AC14">
        <v>178</v>
      </c>
      <c r="AD14">
        <v>40</v>
      </c>
      <c r="AE14">
        <v>-18</v>
      </c>
      <c r="AF14">
        <f>Índices!H21</f>
        <v>60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P14">
        <v>37</v>
      </c>
      <c r="AQ14">
        <v>26</v>
      </c>
      <c r="AR14">
        <v>4.5</v>
      </c>
      <c r="AS14">
        <v>1.8000000000000007</v>
      </c>
      <c r="AT14">
        <v>6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O14" s="1">
        <f>Índices!O21</f>
        <v>-0.8</v>
      </c>
      <c r="BP14">
        <v>49.3</v>
      </c>
      <c r="BQ14">
        <v>20</v>
      </c>
      <c r="BR14">
        <v>29</v>
      </c>
      <c r="BS14">
        <v>38</v>
      </c>
      <c r="BT14">
        <v>298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D14">
        <v>192</v>
      </c>
      <c r="CE14">
        <v>194</v>
      </c>
      <c r="CF14">
        <v>214</v>
      </c>
      <c r="CG14">
        <v>9</v>
      </c>
      <c r="CH14">
        <v>204</v>
      </c>
      <c r="CI14">
        <v>116</v>
      </c>
      <c r="CJ14">
        <v>228</v>
      </c>
      <c r="CK14">
        <v>25</v>
      </c>
      <c r="CL14">
        <v>433</v>
      </c>
      <c r="CM14">
        <v>323</v>
      </c>
      <c r="CN14" s="1">
        <f>Índices!T21</f>
        <v>-11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B15">
        <f>Índices!B24</f>
        <v>9</v>
      </c>
      <c r="C15">
        <v>16</v>
      </c>
      <c r="D15">
        <v>0</v>
      </c>
      <c r="E15">
        <v>0.3</v>
      </c>
      <c r="F15">
        <v>0.8</v>
      </c>
      <c r="G15">
        <f>Índices!D24</f>
        <v>148</v>
      </c>
      <c r="H15">
        <v>148</v>
      </c>
      <c r="I15">
        <v>112</v>
      </c>
      <c r="J15">
        <v>252</v>
      </c>
      <c r="K15">
        <v>52</v>
      </c>
      <c r="L15">
        <f>Índices!C24</f>
        <v>39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X15">
        <v>5</v>
      </c>
      <c r="Y15">
        <v>4.7</v>
      </c>
      <c r="Z15">
        <v>5.6</v>
      </c>
      <c r="AA15">
        <f>Índices!G24</f>
        <v>53</v>
      </c>
      <c r="AB15">
        <v>42</v>
      </c>
      <c r="AC15">
        <v>1</v>
      </c>
      <c r="AD15">
        <v>63</v>
      </c>
      <c r="AE15" s="7">
        <v>11</v>
      </c>
      <c r="AF15">
        <f>Índices!H24</f>
        <v>6.1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O15" s="1">
        <f>Índices!O24</f>
        <v>0.1</v>
      </c>
      <c r="BP15">
        <v>1.8</v>
      </c>
      <c r="BQ15">
        <v>0</v>
      </c>
      <c r="BR15">
        <v>6.4</v>
      </c>
      <c r="BS15">
        <v>5.5</v>
      </c>
      <c r="BT15" s="1">
        <f>Índices!P24</f>
        <v>85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D15">
        <v>98</v>
      </c>
      <c r="CE15">
        <v>62</v>
      </c>
      <c r="CF15">
        <v>18</v>
      </c>
      <c r="CG15">
        <v>41</v>
      </c>
      <c r="CH15">
        <v>53</v>
      </c>
      <c r="CI15" s="1">
        <f>Índices!S24</f>
        <v>77</v>
      </c>
      <c r="CJ15">
        <v>76</v>
      </c>
      <c r="CK15">
        <v>84</v>
      </c>
      <c r="CL15">
        <v>105</v>
      </c>
      <c r="CM15">
        <v>144</v>
      </c>
      <c r="CN15" s="1">
        <f>Índices!T24</f>
        <v>157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B16">
        <f>Índices!B25</f>
        <v>12</v>
      </c>
      <c r="C16">
        <v>5</v>
      </c>
      <c r="D16">
        <v>0</v>
      </c>
      <c r="E16">
        <v>3.7</v>
      </c>
      <c r="F16">
        <v>1.1000000000000001</v>
      </c>
      <c r="G16">
        <f>Índices!D25</f>
        <v>24</v>
      </c>
      <c r="H16">
        <v>18</v>
      </c>
      <c r="I16">
        <v>18</v>
      </c>
      <c r="J16">
        <v>12</v>
      </c>
      <c r="K16">
        <v>14</v>
      </c>
      <c r="L16">
        <f>Índices!C25</f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X16">
        <v>0</v>
      </c>
      <c r="Y16">
        <v>0</v>
      </c>
      <c r="Z16">
        <v>1.8</v>
      </c>
      <c r="AA16">
        <f>Índices!G25</f>
        <v>0</v>
      </c>
      <c r="AB16">
        <v>0</v>
      </c>
      <c r="AC16">
        <v>0</v>
      </c>
      <c r="AD16">
        <v>0</v>
      </c>
      <c r="AE16">
        <v>0</v>
      </c>
      <c r="AF16">
        <f>Índices!H25</f>
        <v>4.8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P16">
        <v>0</v>
      </c>
      <c r="AQ16">
        <v>0</v>
      </c>
      <c r="AR16">
        <v>0</v>
      </c>
      <c r="AS16">
        <v>0</v>
      </c>
      <c r="AT16">
        <v>0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O16" s="1">
        <f>Índices!O25</f>
        <v>5</v>
      </c>
      <c r="BP16">
        <v>4.5999999999999996</v>
      </c>
      <c r="BQ16">
        <v>3.4</v>
      </c>
      <c r="BR16">
        <v>4.8</v>
      </c>
      <c r="BS16">
        <v>6.3</v>
      </c>
      <c r="BT16" s="1">
        <f>Índices!P25</f>
        <v>19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D16">
        <v>12</v>
      </c>
      <c r="CE16">
        <v>10</v>
      </c>
      <c r="CF16">
        <v>9.4</v>
      </c>
      <c r="CG16">
        <v>7.8</v>
      </c>
      <c r="CH16">
        <v>9</v>
      </c>
      <c r="CI16" s="1">
        <f>Índices!S25</f>
        <v>34</v>
      </c>
      <c r="CJ16">
        <v>16</v>
      </c>
      <c r="CK16">
        <v>28</v>
      </c>
      <c r="CL16">
        <v>36</v>
      </c>
      <c r="CM16">
        <v>40</v>
      </c>
      <c r="CN16" s="1">
        <f>Índices!T25</f>
        <v>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9">(220*CU17)/100</f>
        <v>0.88</v>
      </c>
      <c r="CV18">
        <f t="shared" si="49"/>
        <v>0.88</v>
      </c>
      <c r="CW18">
        <f t="shared" si="49"/>
        <v>0.88</v>
      </c>
      <c r="CX18">
        <f>(220*CX17)/100</f>
        <v>0.22</v>
      </c>
      <c r="CY18">
        <f>(220*CY17)/100</f>
        <v>0.22</v>
      </c>
      <c r="CZ18">
        <f t="shared" ref="CZ18:DB18" si="50">(220*CZ17)/100</f>
        <v>0.22</v>
      </c>
      <c r="DA18">
        <f t="shared" si="50"/>
        <v>0.22</v>
      </c>
      <c r="DB18">
        <f t="shared" si="50"/>
        <v>0.22</v>
      </c>
      <c r="DC18">
        <f>(220*DC17)/100</f>
        <v>0.22</v>
      </c>
      <c r="DD18">
        <f>(220*DD17)/100</f>
        <v>0.22</v>
      </c>
      <c r="DE18">
        <f t="shared" ref="DE18" si="51">(220*DE17)/100</f>
        <v>0.22</v>
      </c>
      <c r="DF18">
        <f t="shared" ref="DF18" si="52">(220*DF17)/100</f>
        <v>0.22</v>
      </c>
      <c r="DG18">
        <f t="shared" ref="DG18" si="53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146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10.7</v>
      </c>
      <c r="X21">
        <v>0</v>
      </c>
      <c r="Y21">
        <v>0</v>
      </c>
      <c r="Z21">
        <v>10.6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v>0</v>
      </c>
      <c r="Z22" s="6">
        <f>(Z21/19)*1000</f>
        <v>557.8947368421052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 s="14">
        <f t="shared" ref="B24:G24" si="54">B11/B18</f>
        <v>188</v>
      </c>
      <c r="C24" s="14">
        <f t="shared" si="54"/>
        <v>144</v>
      </c>
      <c r="D24" s="14">
        <f t="shared" si="54"/>
        <v>99</v>
      </c>
      <c r="E24" s="14">
        <f t="shared" si="54"/>
        <v>46</v>
      </c>
      <c r="F24" s="14">
        <f t="shared" si="54"/>
        <v>31</v>
      </c>
      <c r="G24" s="14">
        <f t="shared" si="54"/>
        <v>35.368421052631582</v>
      </c>
      <c r="H24" s="14">
        <f t="shared" ref="H24:L24" si="55">H11/H18</f>
        <v>40.526315789473685</v>
      </c>
      <c r="I24" s="14">
        <f t="shared" si="55"/>
        <v>52.315789473684212</v>
      </c>
      <c r="J24" s="14">
        <f t="shared" si="55"/>
        <v>13.789473684210526</v>
      </c>
      <c r="K24" s="14">
        <f t="shared" si="55"/>
        <v>29.789473684210527</v>
      </c>
      <c r="L24" s="14">
        <f t="shared" si="55"/>
        <v>155.57575757575756</v>
      </c>
      <c r="M24" s="14">
        <f t="shared" ref="M24:P24" si="56">M11/M18</f>
        <v>105.75757575757576</v>
      </c>
      <c r="N24" s="14">
        <f t="shared" si="56"/>
        <v>77.575757575757578</v>
      </c>
      <c r="O24" s="14">
        <f t="shared" si="56"/>
        <v>99.696969696969703</v>
      </c>
      <c r="P24" s="14">
        <f t="shared" si="56"/>
        <v>114.84848484848486</v>
      </c>
      <c r="Q24">
        <v>0</v>
      </c>
      <c r="R24" s="14">
        <f t="shared" ref="R24:U24" si="57">R11/R18</f>
        <v>12.658227848101266</v>
      </c>
      <c r="S24" s="14">
        <f t="shared" si="57"/>
        <v>24.556962025316455</v>
      </c>
      <c r="T24" s="14">
        <f t="shared" si="57"/>
        <v>15.189873417721518</v>
      </c>
      <c r="U24" s="14">
        <f t="shared" si="57"/>
        <v>22.025316455696203</v>
      </c>
      <c r="V24">
        <v>0</v>
      </c>
      <c r="W24" s="14">
        <f t="shared" ref="W24:Z24" si="58">W11/W18</f>
        <v>32.272727272727273</v>
      </c>
      <c r="X24" s="14">
        <f t="shared" si="58"/>
        <v>26.818181818181817</v>
      </c>
      <c r="Y24" s="14">
        <f t="shared" si="58"/>
        <v>34.318181818181813</v>
      </c>
      <c r="Z24" s="14">
        <f t="shared" si="58"/>
        <v>43.409090909090907</v>
      </c>
      <c r="AA24" s="14">
        <f t="shared" ref="AA24:AE24" si="59">AA11/AA18</f>
        <v>26.858974358974361</v>
      </c>
      <c r="AB24" s="14">
        <f t="shared" si="59"/>
        <v>20.897435897435898</v>
      </c>
      <c r="AC24" s="14">
        <f t="shared" si="59"/>
        <v>14.358974358974359</v>
      </c>
      <c r="AD24" s="14">
        <f t="shared" si="59"/>
        <v>13.621794871794872</v>
      </c>
      <c r="AE24" s="14">
        <f t="shared" si="59"/>
        <v>11.858974358974359</v>
      </c>
      <c r="AF24" s="14">
        <f>AF11/AF18</f>
        <v>48.515151515151516</v>
      </c>
      <c r="AG24" s="14">
        <f t="shared" ref="AG24:AJ24" si="60">AG11/AG18</f>
        <v>47.272727272727273</v>
      </c>
      <c r="AH24" s="14">
        <f t="shared" si="60"/>
        <v>24.242424242424242</v>
      </c>
      <c r="AI24" s="14">
        <f t="shared" si="60"/>
        <v>30.303030303030305</v>
      </c>
      <c r="AJ24" s="14">
        <f t="shared" si="60"/>
        <v>11.515151515151516</v>
      </c>
      <c r="AK24">
        <v>0</v>
      </c>
      <c r="AL24" s="14">
        <f t="shared" ref="AL24:AO24" si="61">AL11/AL18</f>
        <v>10.895522388059701</v>
      </c>
      <c r="AM24" s="14">
        <f t="shared" si="61"/>
        <v>8.9552238805970141</v>
      </c>
      <c r="AN24" s="14">
        <f t="shared" si="61"/>
        <v>8.8059701492537314</v>
      </c>
      <c r="AO24" s="14">
        <f t="shared" si="61"/>
        <v>20.970149253731343</v>
      </c>
      <c r="AP24" s="14">
        <f t="shared" ref="AP24:AT24" si="62">AP11/AP18</f>
        <v>790</v>
      </c>
      <c r="AQ24" s="14">
        <f t="shared" si="62"/>
        <v>620</v>
      </c>
      <c r="AR24" s="14">
        <f t="shared" si="62"/>
        <v>320</v>
      </c>
      <c r="AS24" s="14">
        <f t="shared" si="62"/>
        <v>105</v>
      </c>
      <c r="AT24" s="14">
        <f t="shared" si="62"/>
        <v>105</v>
      </c>
      <c r="AU24">
        <v>25.8</v>
      </c>
      <c r="AV24" s="14">
        <f t="shared" ref="AV24:AY24" si="63">AV11/AV18</f>
        <v>23.118503118503117</v>
      </c>
      <c r="AW24" s="14">
        <f t="shared" si="63"/>
        <v>21.30977130977131</v>
      </c>
      <c r="AX24" s="14">
        <f t="shared" si="63"/>
        <v>13.388773388773389</v>
      </c>
      <c r="AY24" s="14">
        <f t="shared" si="63"/>
        <v>19.002079002079</v>
      </c>
      <c r="AZ24">
        <v>0</v>
      </c>
      <c r="BA24" s="14">
        <f t="shared" ref="BA24:BD24" si="64">BA11/BA18</f>
        <v>43.866666666666667</v>
      </c>
      <c r="BB24" s="14">
        <f t="shared" si="64"/>
        <v>41.866666666666667</v>
      </c>
      <c r="BC24" s="14">
        <f t="shared" si="64"/>
        <v>24.4</v>
      </c>
      <c r="BD24" s="14">
        <f t="shared" si="64"/>
        <v>33.333333333333336</v>
      </c>
      <c r="BE24">
        <v>0</v>
      </c>
      <c r="BF24" s="14">
        <f t="shared" ref="BF24:BI24" si="65">BF11/BF18</f>
        <v>93.461538461538453</v>
      </c>
      <c r="BG24" s="14">
        <f t="shared" si="65"/>
        <v>60.38461538461538</v>
      </c>
      <c r="BH24" s="14">
        <f t="shared" si="65"/>
        <v>29.615384615384613</v>
      </c>
      <c r="BI24" s="14">
        <f t="shared" si="65"/>
        <v>41.92307692307692</v>
      </c>
      <c r="BJ24" s="14">
        <f>BJ11/BJ18</f>
        <v>41.980198019801982</v>
      </c>
      <c r="BK24" s="14">
        <f t="shared" ref="BK24:BN24" si="66">BK11/BK18</f>
        <v>28.514851485148515</v>
      </c>
      <c r="BL24" s="14">
        <f t="shared" si="66"/>
        <v>46.237623762376238</v>
      </c>
      <c r="BM24" s="14">
        <f t="shared" si="66"/>
        <v>38.118811881188122</v>
      </c>
      <c r="BN24" s="14">
        <f t="shared" si="66"/>
        <v>40.396039603960396</v>
      </c>
      <c r="BO24" s="14">
        <f>BO11/BO18</f>
        <v>225</v>
      </c>
      <c r="BP24" s="14">
        <f>BP11/BP18</f>
        <v>242.5</v>
      </c>
      <c r="BQ24" s="14">
        <f t="shared" ref="BQ24:BT24" si="67">BQ11/BQ18</f>
        <v>117.5</v>
      </c>
      <c r="BR24" s="14">
        <f t="shared" si="67"/>
        <v>215</v>
      </c>
      <c r="BS24" s="14">
        <f t="shared" si="67"/>
        <v>227.5</v>
      </c>
      <c r="BT24" s="14">
        <f t="shared" si="67"/>
        <v>48.571428571428569</v>
      </c>
      <c r="BU24" s="14">
        <f t="shared" ref="BU24:BX24" si="68">BU11/BU18</f>
        <v>47.012987012987011</v>
      </c>
      <c r="BV24" s="14">
        <f t="shared" si="68"/>
        <v>44.675324675324674</v>
      </c>
      <c r="BW24" s="14">
        <f t="shared" si="68"/>
        <v>33.766233766233768</v>
      </c>
      <c r="BX24" s="14">
        <f t="shared" si="68"/>
        <v>50.649350649350652</v>
      </c>
      <c r="BY24" s="14">
        <f>BY11/BY18</f>
        <v>49.64497041420119</v>
      </c>
      <c r="BZ24" s="14">
        <f t="shared" ref="BZ24:CD24" si="69">BZ11/BZ18</f>
        <v>46.804733727810657</v>
      </c>
      <c r="CA24" s="14">
        <f t="shared" si="69"/>
        <v>54.970414201183438</v>
      </c>
      <c r="CB24" s="14">
        <f t="shared" si="69"/>
        <v>31.479289940828405</v>
      </c>
      <c r="CC24" s="14">
        <f t="shared" si="69"/>
        <v>35.384615384615387</v>
      </c>
      <c r="CD24" s="14">
        <f t="shared" si="69"/>
        <v>62.352941176470587</v>
      </c>
      <c r="CE24" s="14">
        <f t="shared" ref="CE24:CH24" si="70">CE11/CE18</f>
        <v>50.294117647058826</v>
      </c>
      <c r="CF24" s="14">
        <f t="shared" si="70"/>
        <v>59.852941176470587</v>
      </c>
      <c r="CG24" s="14">
        <f t="shared" si="70"/>
        <v>35.294117647058826</v>
      </c>
      <c r="CH24" s="14">
        <f t="shared" si="70"/>
        <v>58.82352941176471</v>
      </c>
      <c r="CI24" s="14">
        <f>CI11/CI18</f>
        <v>30.688073394495412</v>
      </c>
      <c r="CJ24" s="14">
        <f t="shared" ref="CJ24:CM24" si="71">CJ11/CJ18</f>
        <v>26.972477064220183</v>
      </c>
      <c r="CK24" s="14">
        <f t="shared" si="71"/>
        <v>19.862385321100916</v>
      </c>
      <c r="CL24" s="14">
        <f t="shared" si="71"/>
        <v>14.81651376146789</v>
      </c>
      <c r="CM24" s="14">
        <f t="shared" si="71"/>
        <v>14.954128440366972</v>
      </c>
      <c r="CN24" s="14">
        <f t="shared" ref="CN24" si="72">CN11/CN18</f>
        <v>25.367647058823529</v>
      </c>
      <c r="CO24" s="14">
        <f t="shared" ref="CO24:CR24" si="73">CO11/CO18</f>
        <v>8.5294117647058822</v>
      </c>
      <c r="CP24" s="14">
        <f t="shared" si="73"/>
        <v>12.205882352941178</v>
      </c>
      <c r="CQ24" s="14">
        <f t="shared" si="73"/>
        <v>11.98529411764706</v>
      </c>
      <c r="CR24" s="14">
        <f t="shared" si="73"/>
        <v>17.647058823529413</v>
      </c>
    </row>
    <row r="25" spans="1:111" x14ac:dyDescent="0.3">
      <c r="A25" t="s">
        <v>86</v>
      </c>
      <c r="B25" s="14">
        <f t="shared" ref="B25" si="74">B10/B16</f>
        <v>5.166666666666667</v>
      </c>
      <c r="C25" s="14">
        <f t="shared" ref="C25:G25" si="75">C10/C16</f>
        <v>2</v>
      </c>
      <c r="D25" s="14">
        <v>0</v>
      </c>
      <c r="E25" s="14">
        <f t="shared" si="75"/>
        <v>1.2702702702702702</v>
      </c>
      <c r="F25" s="14">
        <f t="shared" si="75"/>
        <v>3.8181818181818179</v>
      </c>
      <c r="G25" s="14">
        <f t="shared" si="75"/>
        <v>4.625</v>
      </c>
      <c r="H25" s="14">
        <f t="shared" ref="H25:L25" si="76">H10/H16</f>
        <v>4.8888888888888893</v>
      </c>
      <c r="I25" s="14">
        <f t="shared" si="76"/>
        <v>5.5</v>
      </c>
      <c r="J25" s="14">
        <f t="shared" si="76"/>
        <v>2.3333333333333335</v>
      </c>
      <c r="K25" s="14">
        <f t="shared" si="76"/>
        <v>7.5714285714285712</v>
      </c>
      <c r="L25" s="14">
        <f t="shared" si="76"/>
        <v>17.214285714285715</v>
      </c>
      <c r="M25" s="14">
        <f t="shared" ref="M25:P25" si="77">M10/M16</f>
        <v>7.2142857142857144</v>
      </c>
      <c r="N25" s="14">
        <f t="shared" si="77"/>
        <v>3.3684210526315788</v>
      </c>
      <c r="O25" s="14">
        <f t="shared" si="77"/>
        <v>26.447368421052634</v>
      </c>
      <c r="P25" s="14">
        <f t="shared" si="77"/>
        <v>6.0454545454545459</v>
      </c>
      <c r="Q25">
        <v>0</v>
      </c>
      <c r="R25" s="14">
        <f t="shared" ref="R25:U25" si="78">R10/R16</f>
        <v>1.6153846153846154</v>
      </c>
      <c r="S25" s="14">
        <f t="shared" si="78"/>
        <v>2.6923076923076925</v>
      </c>
      <c r="T25" s="14">
        <f t="shared" si="78"/>
        <v>2.75</v>
      </c>
      <c r="U25" s="14">
        <f t="shared" si="78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8">
        <f>AF10/AF16</f>
        <v>3.1666666666666665</v>
      </c>
      <c r="AG25" s="14">
        <f t="shared" ref="AG25:AJ25" si="79">AG10/AG16</f>
        <v>3.3009708737864076</v>
      </c>
      <c r="AH25" s="14">
        <f t="shared" si="79"/>
        <v>0.449438202247191</v>
      </c>
      <c r="AI25" s="14">
        <f t="shared" si="79"/>
        <v>3.9449541284403669</v>
      </c>
      <c r="AJ25" s="14">
        <f t="shared" si="79"/>
        <v>0.18354430379746833</v>
      </c>
      <c r="AK25">
        <v>0</v>
      </c>
      <c r="AL25" s="14">
        <v>0</v>
      </c>
      <c r="AM25" s="14">
        <f t="shared" ref="AM25:AO25" si="80">AM10/AM16</f>
        <v>4.7619047619047619</v>
      </c>
      <c r="AN25" s="14">
        <f t="shared" si="80"/>
        <v>2.875</v>
      </c>
      <c r="AO25" s="14">
        <f t="shared" si="80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81">AV10/AV16</f>
        <v>4.75</v>
      </c>
      <c r="AW25" s="14">
        <f t="shared" si="81"/>
        <v>5.6734693877551017</v>
      </c>
      <c r="AX25" s="14">
        <f t="shared" si="81"/>
        <v>8.5384615384615383</v>
      </c>
      <c r="AY25" s="14">
        <f t="shared" si="81"/>
        <v>9.375</v>
      </c>
      <c r="AZ25">
        <v>0</v>
      </c>
      <c r="BA25" s="14">
        <f t="shared" ref="BA25:BD25" si="82">BA10/BA16</f>
        <v>4.7</v>
      </c>
      <c r="BB25" s="14">
        <f t="shared" si="82"/>
        <v>5.7894736842105265</v>
      </c>
      <c r="BC25" s="14">
        <f t="shared" si="82"/>
        <v>4.5454545454545459</v>
      </c>
      <c r="BD25" s="14">
        <f t="shared" si="82"/>
        <v>6.5625</v>
      </c>
      <c r="BE25">
        <v>0</v>
      </c>
      <c r="BF25" s="14">
        <f t="shared" ref="BF25:BI25" si="83">BF10/BF16</f>
        <v>5</v>
      </c>
      <c r="BG25" s="14">
        <f t="shared" si="83"/>
        <v>1.263157894736842</v>
      </c>
      <c r="BH25" s="14">
        <f t="shared" si="83"/>
        <v>5.5</v>
      </c>
      <c r="BI25" s="14">
        <f t="shared" si="83"/>
        <v>4.0625</v>
      </c>
      <c r="BJ25" s="18">
        <f>BJ10/BJ16</f>
        <v>1.9230769230769231</v>
      </c>
      <c r="BK25" s="18">
        <f t="shared" ref="BK25:BO25" si="84">BK10/BK16</f>
        <v>4.08</v>
      </c>
      <c r="BL25" s="18">
        <f t="shared" si="84"/>
        <v>5.4827586206896548</v>
      </c>
      <c r="BM25" s="18">
        <f t="shared" si="84"/>
        <v>6</v>
      </c>
      <c r="BN25" s="18">
        <f t="shared" si="84"/>
        <v>4.6956521739130439</v>
      </c>
      <c r="BO25" s="14">
        <f t="shared" si="84"/>
        <v>0.9</v>
      </c>
      <c r="BP25" s="14">
        <f t="shared" ref="BP25:BT25" si="85">BP10/BP16</f>
        <v>0.65217391304347827</v>
      </c>
      <c r="BQ25" s="14">
        <f t="shared" si="85"/>
        <v>2.5</v>
      </c>
      <c r="BR25" s="14">
        <f t="shared" si="85"/>
        <v>9.375</v>
      </c>
      <c r="BS25" s="14">
        <f t="shared" si="85"/>
        <v>0.17460317460317462</v>
      </c>
      <c r="BT25" s="14">
        <f t="shared" si="85"/>
        <v>4.0526315789473681</v>
      </c>
      <c r="BU25" s="14">
        <f t="shared" ref="BU25:BX25" si="86">BU10/BU16</f>
        <v>7.8636363636363633</v>
      </c>
      <c r="BV25" s="14">
        <f t="shared" si="86"/>
        <v>4</v>
      </c>
      <c r="BW25" s="14">
        <f t="shared" si="86"/>
        <v>4.5333333333333332</v>
      </c>
      <c r="BX25" s="14">
        <f t="shared" si="86"/>
        <v>6.2962962962962958</v>
      </c>
      <c r="BY25" s="14">
        <f>BY10/BY16</f>
        <v>6.4482758620689653</v>
      </c>
      <c r="BZ25" s="14">
        <f t="shared" ref="BZ25:CD25" si="87">BZ10/BZ16</f>
        <v>5.8</v>
      </c>
      <c r="CA25" s="14">
        <f t="shared" si="87"/>
        <v>4.7931034482758621</v>
      </c>
      <c r="CB25" s="14">
        <f t="shared" si="87"/>
        <v>7.8421052631578947</v>
      </c>
      <c r="CC25" s="14">
        <f t="shared" si="87"/>
        <v>4.1538461538461542</v>
      </c>
      <c r="CD25" s="14">
        <f t="shared" si="87"/>
        <v>14.5</v>
      </c>
      <c r="CE25" s="14">
        <f t="shared" ref="CE25:CH25" si="88">CE10/CE16</f>
        <v>14.7</v>
      </c>
      <c r="CF25" s="14">
        <f t="shared" si="88"/>
        <v>11.382978723404255</v>
      </c>
      <c r="CG25" s="14">
        <f t="shared" si="88"/>
        <v>10.76923076923077</v>
      </c>
      <c r="CH25" s="14">
        <f t="shared" si="88"/>
        <v>24</v>
      </c>
      <c r="CI25" s="14">
        <v>0</v>
      </c>
      <c r="CJ25" s="14">
        <f t="shared" ref="CJ25:CM25" si="89">CJ10/CJ16</f>
        <v>14.3125</v>
      </c>
      <c r="CK25" s="14">
        <f t="shared" si="89"/>
        <v>4.3214285714285712</v>
      </c>
      <c r="CL25" s="14">
        <f t="shared" si="89"/>
        <v>4.1944444444444446</v>
      </c>
      <c r="CM25" s="14">
        <f t="shared" si="89"/>
        <v>2.625</v>
      </c>
      <c r="CN25" s="14">
        <v>0</v>
      </c>
      <c r="CO25" s="14">
        <f t="shared" ref="CO25:CR25" si="90">CO10/CO16</f>
        <v>3.0459770114942533</v>
      </c>
      <c r="CP25" s="14">
        <f t="shared" si="90"/>
        <v>16.944444444444443</v>
      </c>
      <c r="CQ25" s="14">
        <f t="shared" si="90"/>
        <v>3.6666666666666665</v>
      </c>
      <c r="CR25" s="14">
        <f t="shared" si="90"/>
        <v>1.0769230769230769</v>
      </c>
    </row>
    <row r="26" spans="1:111" x14ac:dyDescent="0.3">
      <c r="A26" t="s">
        <v>81</v>
      </c>
      <c r="B26" s="14">
        <f t="shared" ref="B26" si="91">B10/B19</f>
        <v>2.5833333333333335</v>
      </c>
      <c r="C26" s="14">
        <f t="shared" ref="C26:D26" si="92">C10/C19</f>
        <v>0.18867924528301888</v>
      </c>
      <c r="D26" s="14">
        <f t="shared" si="92"/>
        <v>4.5283018867924525E-2</v>
      </c>
      <c r="E26" s="14">
        <v>0</v>
      </c>
      <c r="F26" s="14">
        <v>0</v>
      </c>
      <c r="G26" s="14">
        <f t="shared" ref="G26" si="93">G10/G19</f>
        <v>1.6818181818181819</v>
      </c>
      <c r="H26" s="14">
        <f t="shared" ref="H26:L26" si="94">H10/H19</f>
        <v>1.5172413793103448</v>
      </c>
      <c r="I26" s="14">
        <f t="shared" si="94"/>
        <v>1.1785714285714286</v>
      </c>
      <c r="J26" s="14">
        <f t="shared" si="94"/>
        <v>0.41176470588235292</v>
      </c>
      <c r="K26" s="14">
        <f t="shared" si="94"/>
        <v>2.2083333333333335</v>
      </c>
      <c r="L26" s="14">
        <f t="shared" si="94"/>
        <v>4.3035714285714288</v>
      </c>
      <c r="M26" s="14">
        <f t="shared" ref="M26:P26" si="95">M10/M19</f>
        <v>1.7413793103448276</v>
      </c>
      <c r="N26" s="14">
        <f t="shared" si="95"/>
        <v>0.68085106382978722</v>
      </c>
      <c r="O26" s="14">
        <f t="shared" si="95"/>
        <v>3.7924528301886791</v>
      </c>
      <c r="P26" s="14">
        <f t="shared" si="95"/>
        <v>2.078125</v>
      </c>
      <c r="Q26">
        <v>0</v>
      </c>
      <c r="R26" s="14">
        <v>0</v>
      </c>
      <c r="S26" s="14">
        <f t="shared" ref="S26:U26" si="96">S10/S19</f>
        <v>0.81395348837209303</v>
      </c>
      <c r="T26" s="14">
        <f t="shared" si="96"/>
        <v>0.5</v>
      </c>
      <c r="U26" s="14">
        <f t="shared" si="96"/>
        <v>0.91836734693877553</v>
      </c>
      <c r="V26">
        <v>0</v>
      </c>
      <c r="W26" s="14">
        <f t="shared" ref="W26:AA26" si="97">W10/W19</f>
        <v>0</v>
      </c>
      <c r="X26" s="14">
        <v>0</v>
      </c>
      <c r="Y26" s="14">
        <f t="shared" si="97"/>
        <v>1.5555555555555556</v>
      </c>
      <c r="Z26" s="14">
        <f t="shared" si="97"/>
        <v>0.90697674418604646</v>
      </c>
      <c r="AA26" s="14">
        <f t="shared" si="97"/>
        <v>5.0199999999999996</v>
      </c>
      <c r="AB26" s="14">
        <f t="shared" ref="AB26:AE26" si="98">AB10/AB19</f>
        <v>2.2461538461538462</v>
      </c>
      <c r="AC26" s="14">
        <f t="shared" si="98"/>
        <v>0.49122807017543857</v>
      </c>
      <c r="AD26" s="14">
        <f t="shared" si="98"/>
        <v>3.7058823529411766</v>
      </c>
      <c r="AE26" s="14">
        <f t="shared" si="98"/>
        <v>0.6071428571428571</v>
      </c>
      <c r="AF26" s="18">
        <f>AF10/AF19</f>
        <v>0.5066666666666666</v>
      </c>
      <c r="AG26" s="14">
        <f t="shared" ref="AG26:AI26" si="99">AG10/AG19</f>
        <v>0.80952380952380953</v>
      </c>
      <c r="AH26" s="14">
        <v>0</v>
      </c>
      <c r="AI26" s="14">
        <f t="shared" si="99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100">AO10/AO19</f>
        <v>3</v>
      </c>
      <c r="AP26" s="14">
        <f t="shared" ref="AP26:AR26" si="101">AP10/AP19</f>
        <v>0</v>
      </c>
      <c r="AQ26" s="14">
        <f t="shared" si="101"/>
        <v>0</v>
      </c>
      <c r="AR26" s="14">
        <f t="shared" si="101"/>
        <v>0</v>
      </c>
      <c r="AS26" s="14">
        <v>0</v>
      </c>
      <c r="AT26" s="14">
        <v>0</v>
      </c>
      <c r="AU26">
        <v>4.5999999999999996</v>
      </c>
      <c r="AV26" s="14">
        <f t="shared" ref="AV26:AY26" si="102">AV10/AV19</f>
        <v>2.1451612903225805</v>
      </c>
      <c r="AW26" s="14">
        <f t="shared" si="102"/>
        <v>3.915492957746479</v>
      </c>
      <c r="AX26" s="14">
        <f t="shared" si="102"/>
        <v>3.1267605633802815</v>
      </c>
      <c r="AY26" s="14">
        <f t="shared" si="102"/>
        <v>3.3333333333333335</v>
      </c>
      <c r="AZ26">
        <v>0</v>
      </c>
      <c r="BA26" s="14">
        <f t="shared" ref="BA26:BD26" si="103">BA10/BA19</f>
        <v>1.3428571428571427</v>
      </c>
      <c r="BB26" s="14">
        <f t="shared" si="103"/>
        <v>2.0370370370370372</v>
      </c>
      <c r="BC26" s="14">
        <f t="shared" si="103"/>
        <v>0.78125</v>
      </c>
      <c r="BD26" s="14">
        <f t="shared" si="103"/>
        <v>2.2826086956521738</v>
      </c>
      <c r="BE26">
        <v>0</v>
      </c>
      <c r="BF26" s="14">
        <f t="shared" ref="BF26:BI26" si="104">BF10/BF19</f>
        <v>0.36363636363636365</v>
      </c>
      <c r="BG26" s="14">
        <f t="shared" si="104"/>
        <v>4.1379310344827586E-2</v>
      </c>
      <c r="BH26" s="14">
        <f t="shared" si="104"/>
        <v>0.26829268292682928</v>
      </c>
      <c r="BI26" s="14">
        <f t="shared" si="104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O26" si="105">BM10/BM19</f>
        <v>2.0338983050847457</v>
      </c>
      <c r="BN26" s="18">
        <f t="shared" si="105"/>
        <v>1.6615384615384616</v>
      </c>
      <c r="BO26" s="14">
        <f t="shared" si="105"/>
        <v>0.11842105263157894</v>
      </c>
      <c r="BP26" s="14">
        <f t="shared" ref="BP26:BT26" si="106">BP10/BP19</f>
        <v>6.5217391304347824E-2</v>
      </c>
      <c r="BQ26" s="14">
        <v>0</v>
      </c>
      <c r="BR26" s="14">
        <f t="shared" si="106"/>
        <v>1.2162162162162162</v>
      </c>
      <c r="BS26" s="14">
        <f t="shared" si="106"/>
        <v>2.1153846153846155E-2</v>
      </c>
      <c r="BT26" s="14">
        <f t="shared" si="106"/>
        <v>1.4</v>
      </c>
      <c r="BU26" s="14">
        <f t="shared" ref="BU26:BX26" si="107">BU10/BU19</f>
        <v>2.3698630136986303</v>
      </c>
      <c r="BV26" s="14">
        <f t="shared" si="107"/>
        <v>1.8333333333333333</v>
      </c>
      <c r="BW26" s="14">
        <f t="shared" si="107"/>
        <v>0.97142857142857142</v>
      </c>
      <c r="BX26" s="14">
        <f t="shared" si="107"/>
        <v>2.3859649122807016</v>
      </c>
      <c r="BY26" s="14">
        <f>BY10/BY19</f>
        <v>2.6714285714285713</v>
      </c>
      <c r="BZ26" s="14">
        <f t="shared" ref="BZ26:CD26" si="108">BZ10/BZ19</f>
        <v>2.1481481481481484</v>
      </c>
      <c r="CA26" s="14">
        <f t="shared" si="108"/>
        <v>2.106060606060606</v>
      </c>
      <c r="CB26" s="14">
        <f t="shared" si="108"/>
        <v>2.5689655172413794</v>
      </c>
      <c r="CC26" s="14">
        <f t="shared" si="108"/>
        <v>1.4594594594594594</v>
      </c>
      <c r="CD26" s="14">
        <f t="shared" si="108"/>
        <v>4.0465116279069768</v>
      </c>
      <c r="CE26" s="14">
        <f t="shared" ref="CE26:CH26" si="109">CE10/CE19</f>
        <v>3.1276595744680851</v>
      </c>
      <c r="CF26" s="14">
        <f t="shared" si="109"/>
        <v>2.14</v>
      </c>
      <c r="CG26" s="14">
        <f t="shared" si="109"/>
        <v>1.5555555555555556</v>
      </c>
      <c r="CH26" s="14">
        <f t="shared" si="109"/>
        <v>2.9189189189189189</v>
      </c>
      <c r="CI26" s="14">
        <f>CI10/CI19</f>
        <v>2.2830188679245285</v>
      </c>
      <c r="CJ26" s="14">
        <f t="shared" ref="CJ26:CM26" si="110">CJ10/CJ19</f>
        <v>4.2407407407407405</v>
      </c>
      <c r="CK26" s="14">
        <f t="shared" si="110"/>
        <v>2.5208333333333335</v>
      </c>
      <c r="CL26" s="14">
        <f t="shared" si="110"/>
        <v>2.2878787878787881</v>
      </c>
      <c r="CM26" s="14">
        <f t="shared" si="110"/>
        <v>1.6666666666666667</v>
      </c>
      <c r="CN26" s="14">
        <f>CN10/CN19</f>
        <v>2.7844444444444445</v>
      </c>
      <c r="CO26" s="14">
        <v>0</v>
      </c>
      <c r="CP26" s="14">
        <v>0</v>
      </c>
      <c r="CQ26" s="14">
        <f t="shared" ref="CQ26:CR26" si="111">CQ10/CQ19</f>
        <v>0.80487804878048785</v>
      </c>
      <c r="CR26" s="14">
        <f t="shared" si="111"/>
        <v>0.2857142857142857</v>
      </c>
    </row>
    <row r="27" spans="1:111" x14ac:dyDescent="0.3">
      <c r="A27" t="s">
        <v>82</v>
      </c>
      <c r="B27" s="14">
        <f t="shared" ref="B27" si="112">B7/B12</f>
        <v>0</v>
      </c>
      <c r="C27" s="14">
        <f t="shared" ref="C27:G27" si="113">C7/C12</f>
        <v>0</v>
      </c>
      <c r="D27" s="14">
        <f t="shared" si="113"/>
        <v>0</v>
      </c>
      <c r="E27" s="14">
        <f t="shared" si="113"/>
        <v>0</v>
      </c>
      <c r="F27" s="14">
        <f t="shared" si="113"/>
        <v>0</v>
      </c>
      <c r="G27" s="14">
        <f t="shared" si="113"/>
        <v>0</v>
      </c>
      <c r="H27" s="14">
        <f t="shared" ref="H27:L27" si="114">H7/H12</f>
        <v>0</v>
      </c>
      <c r="I27" s="14">
        <f t="shared" si="114"/>
        <v>0</v>
      </c>
      <c r="J27" s="14">
        <f t="shared" si="114"/>
        <v>0</v>
      </c>
      <c r="K27" s="14">
        <f t="shared" si="114"/>
        <v>0</v>
      </c>
      <c r="L27" s="14">
        <f t="shared" si="114"/>
        <v>0.2781954887218045</v>
      </c>
      <c r="M27" s="14">
        <f t="shared" ref="M27:P27" si="115">M7/M12</f>
        <v>0.4550561797752809</v>
      </c>
      <c r="N27" s="14">
        <f t="shared" si="115"/>
        <v>0.51724137931034486</v>
      </c>
      <c r="O27" s="14">
        <f t="shared" si="115"/>
        <v>0.31868131868131866</v>
      </c>
      <c r="P27" s="14">
        <f t="shared" si="115"/>
        <v>0.61594202898550721</v>
      </c>
      <c r="Q27">
        <v>0</v>
      </c>
      <c r="R27" s="14">
        <f t="shared" ref="R27:U27" si="116">R7/R12</f>
        <v>0</v>
      </c>
      <c r="S27" s="14">
        <f t="shared" si="116"/>
        <v>0</v>
      </c>
      <c r="T27" s="14">
        <f t="shared" si="116"/>
        <v>0</v>
      </c>
      <c r="U27" s="14">
        <f t="shared" si="116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A27" s="14">
        <f t="shared" ref="AA27" si="117">AA7/AA12</f>
        <v>4.5977011494252873E-2</v>
      </c>
      <c r="AB27" s="14">
        <f t="shared" ref="AB27:AE27" si="118">AB7/AB12</f>
        <v>0</v>
      </c>
      <c r="AC27" s="14">
        <f t="shared" si="118"/>
        <v>0</v>
      </c>
      <c r="AD27" s="14">
        <f t="shared" si="118"/>
        <v>0</v>
      </c>
      <c r="AE27" s="14">
        <f t="shared" si="118"/>
        <v>0</v>
      </c>
      <c r="AF27">
        <v>0</v>
      </c>
      <c r="AG27" s="14">
        <f t="shared" ref="AG27:AJ27" si="119">AG7/AG12</f>
        <v>0</v>
      </c>
      <c r="AH27" s="14">
        <f t="shared" si="119"/>
        <v>0</v>
      </c>
      <c r="AI27" s="14">
        <f t="shared" si="119"/>
        <v>0</v>
      </c>
      <c r="AJ27" s="14">
        <f t="shared" si="119"/>
        <v>0</v>
      </c>
      <c r="AK27">
        <v>0</v>
      </c>
      <c r="AL27" s="14">
        <f t="shared" ref="AL27:AO27" si="120">AL7/AL12</f>
        <v>0</v>
      </c>
      <c r="AM27" s="14">
        <f t="shared" si="120"/>
        <v>0</v>
      </c>
      <c r="AN27" s="14">
        <f t="shared" si="120"/>
        <v>0</v>
      </c>
      <c r="AO27" s="14">
        <f t="shared" si="120"/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21">AV7/AV12</f>
        <v>0.56947608200455579</v>
      </c>
      <c r="AW27" s="14">
        <f t="shared" si="121"/>
        <v>0.4096045197740113</v>
      </c>
      <c r="AX27" s="14">
        <f t="shared" si="121"/>
        <v>0.2740963855421687</v>
      </c>
      <c r="AY27" s="14">
        <f t="shared" si="121"/>
        <v>0.53680981595092025</v>
      </c>
      <c r="AZ27">
        <v>0</v>
      </c>
      <c r="BA27" s="14">
        <f t="shared" ref="BA27:BD27" si="122">BA7/BA12</f>
        <v>0</v>
      </c>
      <c r="BB27" s="14">
        <f t="shared" si="122"/>
        <v>0</v>
      </c>
      <c r="BC27" s="14">
        <f t="shared" si="122"/>
        <v>0</v>
      </c>
      <c r="BD27" s="14">
        <f t="shared" si="122"/>
        <v>0</v>
      </c>
      <c r="BE27">
        <v>0</v>
      </c>
      <c r="BF27" s="14">
        <f t="shared" ref="BF27:BI27" si="123">BF7/BF12</f>
        <v>0.42352941176470588</v>
      </c>
      <c r="BG27" s="14">
        <f t="shared" si="123"/>
        <v>0.46052631578947367</v>
      </c>
      <c r="BH27" s="14">
        <f t="shared" si="123"/>
        <v>0</v>
      </c>
      <c r="BI27" s="14">
        <f t="shared" si="123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 s="14">
        <f t="shared" ref="BO27" si="124">BO7/BO12</f>
        <v>0.22</v>
      </c>
      <c r="BP27" s="14">
        <f t="shared" ref="BP27:BT27" si="125">BP7/BP12</f>
        <v>0.2181818181818182</v>
      </c>
      <c r="BQ27" s="14">
        <f t="shared" si="125"/>
        <v>3.3333333333333333E-2</v>
      </c>
      <c r="BR27" s="14">
        <f t="shared" si="125"/>
        <v>8.5106382978723402E-2</v>
      </c>
      <c r="BS27" s="14">
        <f t="shared" si="125"/>
        <v>4.878048780487805E-2</v>
      </c>
      <c r="BT27" s="14">
        <f t="shared" si="125"/>
        <v>0.38265306122448978</v>
      </c>
      <c r="BU27" s="14">
        <f t="shared" ref="BU27:BX27" si="126">BU7/BU12</f>
        <v>7.0707070707070704E-2</v>
      </c>
      <c r="BV27" s="14">
        <f t="shared" si="126"/>
        <v>0.32596685082872928</v>
      </c>
      <c r="BW27" s="14">
        <f t="shared" si="126"/>
        <v>0.17934782608695651</v>
      </c>
      <c r="BX27" s="14">
        <f t="shared" si="126"/>
        <v>0.37894736842105264</v>
      </c>
      <c r="BY27" s="14">
        <f>BY7/BY12</f>
        <v>0.19753086419753085</v>
      </c>
      <c r="BZ27" s="14">
        <f t="shared" ref="BZ27:CD27" si="127">BZ7/BZ12</f>
        <v>0.26027397260273971</v>
      </c>
      <c r="CA27" s="14">
        <f t="shared" si="127"/>
        <v>0.72676056338028172</v>
      </c>
      <c r="CB27" s="14">
        <f t="shared" si="127"/>
        <v>0.14077669902912621</v>
      </c>
      <c r="CC27" s="14">
        <f t="shared" si="127"/>
        <v>8.0321285140562249E-2</v>
      </c>
      <c r="CD27" s="14">
        <f t="shared" si="127"/>
        <v>0</v>
      </c>
      <c r="CE27" s="14">
        <f t="shared" ref="CE27:CH27" si="128">CE7/CE12</f>
        <v>0</v>
      </c>
      <c r="CF27" s="14">
        <f t="shared" si="128"/>
        <v>0</v>
      </c>
      <c r="CG27" s="14">
        <f t="shared" si="128"/>
        <v>0</v>
      </c>
      <c r="CH27" s="14">
        <f t="shared" si="128"/>
        <v>0</v>
      </c>
      <c r="CI27" s="14">
        <v>0</v>
      </c>
      <c r="CJ27" s="14">
        <f t="shared" ref="CJ27:CM27" si="129">CJ7/CJ12</f>
        <v>0.14646464646464646</v>
      </c>
      <c r="CK27" s="14">
        <f t="shared" si="129"/>
        <v>0.21917808219178081</v>
      </c>
      <c r="CL27" s="14">
        <f t="shared" si="129"/>
        <v>2.9940119760479044E-3</v>
      </c>
      <c r="CM27" s="14">
        <f t="shared" si="129"/>
        <v>0.16363636363636364</v>
      </c>
      <c r="CN27" s="14">
        <f t="shared" ref="CN27" si="130">CN7/CN12</f>
        <v>0.125</v>
      </c>
      <c r="CO27" s="14">
        <f t="shared" ref="CO27:CR27" si="131">CO7/CO12</f>
        <v>2.9850746268656716E-2</v>
      </c>
      <c r="CP27" s="14">
        <f t="shared" si="131"/>
        <v>0.1076923076923077</v>
      </c>
      <c r="CQ27" s="14">
        <f t="shared" si="131"/>
        <v>0.15584415584415584</v>
      </c>
      <c r="CR27" s="14">
        <f t="shared" si="131"/>
        <v>0.24719101123595505</v>
      </c>
    </row>
    <row r="28" spans="1:111" x14ac:dyDescent="0.3">
      <c r="A28" t="s">
        <v>135</v>
      </c>
      <c r="B28" s="14">
        <f t="shared" ref="B28" si="132">B12/B19</f>
        <v>3.8333333333333335</v>
      </c>
      <c r="C28" s="14">
        <f t="shared" ref="C28:D28" si="133">C12/C19</f>
        <v>1.1320754716981132</v>
      </c>
      <c r="D28" s="14">
        <f t="shared" si="133"/>
        <v>0.86792452830188682</v>
      </c>
      <c r="E28" s="14">
        <v>0</v>
      </c>
      <c r="F28" s="14">
        <v>0</v>
      </c>
      <c r="G28" s="14">
        <f t="shared" ref="G28" si="134">G12/G19</f>
        <v>3.2727272727272729</v>
      </c>
      <c r="H28" s="14">
        <f t="shared" ref="H28:L28" si="135">H12/H19</f>
        <v>4.3103448275862073</v>
      </c>
      <c r="I28" s="14">
        <f t="shared" si="135"/>
        <v>3.1309523809523809</v>
      </c>
      <c r="J28" s="14">
        <f t="shared" si="135"/>
        <v>2.9411764705882355</v>
      </c>
      <c r="K28" s="14">
        <f t="shared" si="135"/>
        <v>3.25</v>
      </c>
      <c r="L28" s="14">
        <f t="shared" si="135"/>
        <v>2.375</v>
      </c>
      <c r="M28" s="14">
        <f t="shared" ref="M28:P28" si="136">M12/M19</f>
        <v>3.0689655172413794</v>
      </c>
      <c r="N28" s="14">
        <f t="shared" si="136"/>
        <v>3.0851063829787235</v>
      </c>
      <c r="O28" s="14">
        <f t="shared" si="136"/>
        <v>1.7169811320754718</v>
      </c>
      <c r="P28" s="14">
        <f t="shared" si="136"/>
        <v>2.15625</v>
      </c>
      <c r="Q28">
        <v>0</v>
      </c>
      <c r="R28" s="14">
        <v>0</v>
      </c>
      <c r="S28" s="14">
        <f t="shared" ref="S28:U28" si="137">S12/S19</f>
        <v>2.4651162790697674</v>
      </c>
      <c r="T28" s="14">
        <f t="shared" si="137"/>
        <v>2.0681818181818183</v>
      </c>
      <c r="U28" s="14">
        <f t="shared" si="137"/>
        <v>1.8979591836734695</v>
      </c>
      <c r="V28">
        <v>0</v>
      </c>
      <c r="W28" s="14">
        <f t="shared" ref="W28:AA28" si="138">W12/W19</f>
        <v>0</v>
      </c>
      <c r="X28" s="14">
        <v>0</v>
      </c>
      <c r="Y28" s="14">
        <f t="shared" si="138"/>
        <v>2.6518518518518515</v>
      </c>
      <c r="Z28" s="14">
        <f t="shared" si="138"/>
        <v>1.7209302325581395</v>
      </c>
      <c r="AA28" s="14">
        <f t="shared" si="138"/>
        <v>5.22</v>
      </c>
      <c r="AB28" s="14">
        <f t="shared" ref="AB28:AE28" si="139">AB12/AB19</f>
        <v>4.2153846153846155</v>
      </c>
      <c r="AC28" s="14">
        <f t="shared" si="139"/>
        <v>3.6491228070175437</v>
      </c>
      <c r="AD28" s="14">
        <f t="shared" si="139"/>
        <v>3.6862745098039214</v>
      </c>
      <c r="AE28" s="14">
        <f t="shared" si="139"/>
        <v>4</v>
      </c>
      <c r="AF28" s="18">
        <f>AF12/AF19</f>
        <v>3.9699999999999998</v>
      </c>
      <c r="AG28" s="14">
        <f t="shared" ref="AG28:AI28" si="140">AG12/AG19</f>
        <v>1.7380952380952381</v>
      </c>
      <c r="AH28" s="14">
        <v>0</v>
      </c>
      <c r="AI28" s="14">
        <f t="shared" si="140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41">AO12/AO19</f>
        <v>5.8611111111111107</v>
      </c>
      <c r="AP28" s="14">
        <f t="shared" ref="AP28:AR28" si="142">AP12/AP19</f>
        <v>1.9411764705882353</v>
      </c>
      <c r="AQ28" s="14">
        <f t="shared" si="142"/>
        <v>2.0487804878048781</v>
      </c>
      <c r="AR28" s="14">
        <f t="shared" si="142"/>
        <v>1.4042553191489362</v>
      </c>
      <c r="AS28" s="14">
        <v>0</v>
      </c>
      <c r="AT28" s="14">
        <v>0</v>
      </c>
      <c r="AU28">
        <v>7.02</v>
      </c>
      <c r="AV28" s="14">
        <f t="shared" ref="AV28:AY28" si="143">AV12/AV19</f>
        <v>7.080645161290323</v>
      </c>
      <c r="AW28" s="14">
        <f t="shared" si="143"/>
        <v>4.9859154929577461</v>
      </c>
      <c r="AX28" s="14">
        <f t="shared" si="143"/>
        <v>4.676056338028169</v>
      </c>
      <c r="AY28" s="14">
        <f t="shared" si="143"/>
        <v>3.6222222222222222</v>
      </c>
      <c r="AZ28">
        <v>0</v>
      </c>
      <c r="BA28" s="14">
        <f t="shared" ref="BA28:BD28" si="144">BA12/BA19</f>
        <v>1.8571428571428572</v>
      </c>
      <c r="BB28" s="14">
        <f t="shared" si="144"/>
        <v>2.1851851851851851</v>
      </c>
      <c r="BC28" s="14">
        <f t="shared" si="144"/>
        <v>1.15625</v>
      </c>
      <c r="BD28" s="14">
        <f t="shared" si="144"/>
        <v>1.326086956521739</v>
      </c>
      <c r="BE28">
        <v>0</v>
      </c>
      <c r="BF28" s="14">
        <f t="shared" ref="BF28:BI28" si="145">BF12/BF19</f>
        <v>1.5454545454545454</v>
      </c>
      <c r="BG28" s="14">
        <f t="shared" si="145"/>
        <v>1.3103448275862069</v>
      </c>
      <c r="BH28" s="14">
        <f t="shared" si="145"/>
        <v>1.0731707317073171</v>
      </c>
      <c r="BI28" s="14">
        <f t="shared" si="145"/>
        <v>1.3018867924528301</v>
      </c>
      <c r="BJ28" s="18">
        <f>BJ12/BJ19</f>
        <v>3.3970588235294117</v>
      </c>
      <c r="BK28" s="18">
        <v>0</v>
      </c>
      <c r="BL28" s="18">
        <f t="shared" ref="BL28:BO28" si="146">BL12/BL19</f>
        <v>3.13953488372093</v>
      </c>
      <c r="BM28" s="18">
        <f t="shared" si="146"/>
        <v>1.8644067796610169</v>
      </c>
      <c r="BN28" s="18">
        <f t="shared" si="146"/>
        <v>1.676923076923077</v>
      </c>
      <c r="BO28" s="14">
        <f t="shared" si="146"/>
        <v>1.3157894736842106</v>
      </c>
      <c r="BP28" s="14">
        <f t="shared" ref="BP28:BT28" si="147">BP12/BP19</f>
        <v>0.71739130434782605</v>
      </c>
      <c r="BQ28" s="14">
        <v>0</v>
      </c>
      <c r="BR28" s="14">
        <f t="shared" si="147"/>
        <v>1.2702702702702702</v>
      </c>
      <c r="BS28" s="14">
        <f t="shared" si="147"/>
        <v>0.78846153846153844</v>
      </c>
      <c r="BT28" s="14">
        <f t="shared" si="147"/>
        <v>3.5636363636363635</v>
      </c>
      <c r="BU28" s="14">
        <f t="shared" ref="BU28:BX28" si="148">BU12/BU19</f>
        <v>2.7123287671232879</v>
      </c>
      <c r="BV28" s="14">
        <f t="shared" si="148"/>
        <v>3.7708333333333335</v>
      </c>
      <c r="BW28" s="14">
        <f t="shared" si="148"/>
        <v>2.6285714285714286</v>
      </c>
      <c r="BX28" s="14">
        <f t="shared" si="148"/>
        <v>3.3333333333333335</v>
      </c>
      <c r="BY28" s="14">
        <f>BY12/BY19</f>
        <v>5.7857142857142856</v>
      </c>
      <c r="BZ28" s="14">
        <f t="shared" ref="BZ28:CD28" si="149">BZ12/BZ19</f>
        <v>4.5061728395061724</v>
      </c>
      <c r="CA28" s="14">
        <f t="shared" si="149"/>
        <v>5.3787878787878789</v>
      </c>
      <c r="CB28" s="14">
        <f t="shared" si="149"/>
        <v>3.5517241379310347</v>
      </c>
      <c r="CC28" s="14">
        <f t="shared" si="149"/>
        <v>3.3648648648648649</v>
      </c>
      <c r="CD28" s="14">
        <f t="shared" si="149"/>
        <v>3.9883720930232558</v>
      </c>
      <c r="CE28" s="14">
        <f t="shared" ref="CE28:CH28" si="150">CE12/CE19</f>
        <v>2.8936170212765959</v>
      </c>
      <c r="CF28" s="14">
        <f t="shared" si="150"/>
        <v>2.66</v>
      </c>
      <c r="CG28" s="14">
        <f t="shared" si="150"/>
        <v>2.5370370370370372</v>
      </c>
      <c r="CH28" s="14">
        <f t="shared" si="150"/>
        <v>2.2432432432432434</v>
      </c>
      <c r="CI28" s="14">
        <f>CI12/CI19</f>
        <v>5.0188679245283021</v>
      </c>
      <c r="CJ28" s="14">
        <f t="shared" ref="CJ28:CM28" si="151">CJ12/CJ19</f>
        <v>3.6666666666666665</v>
      </c>
      <c r="CK28" s="14">
        <f t="shared" si="151"/>
        <v>4.5625</v>
      </c>
      <c r="CL28" s="14">
        <f t="shared" si="151"/>
        <v>2.5303030303030303</v>
      </c>
      <c r="CM28" s="14">
        <f t="shared" si="151"/>
        <v>2.6190476190476191</v>
      </c>
      <c r="CN28" s="14">
        <f t="shared" ref="CN28" si="152">CN12/CN19</f>
        <v>3.5555555555555554</v>
      </c>
      <c r="CO28" s="14">
        <v>0</v>
      </c>
      <c r="CP28" s="14">
        <v>0</v>
      </c>
      <c r="CQ28" s="14">
        <f t="shared" ref="CQ28:CR28" si="153">CQ12/CQ19</f>
        <v>1.8780487804878048</v>
      </c>
      <c r="CR28" s="14">
        <f t="shared" si="153"/>
        <v>1.8163265306122449</v>
      </c>
    </row>
    <row r="29" spans="1:111" x14ac:dyDescent="0.3">
      <c r="A29" t="s">
        <v>137</v>
      </c>
      <c r="B29" s="14">
        <f t="shared" ref="B29" si="154">B11/B19</f>
        <v>7.833333333333333</v>
      </c>
      <c r="C29" s="14">
        <f t="shared" ref="C29:D29" si="155">C11/C19</f>
        <v>2.7169811320754715</v>
      </c>
      <c r="D29" s="14">
        <f t="shared" si="155"/>
        <v>1.8679245283018868</v>
      </c>
      <c r="E29" s="14">
        <v>0</v>
      </c>
      <c r="F29" s="14">
        <v>0</v>
      </c>
      <c r="G29" s="14">
        <f t="shared" ref="G29" si="156">G11/G19</f>
        <v>5.0909090909090908</v>
      </c>
      <c r="H29" s="14">
        <f t="shared" ref="H29:L29" si="157">H11/H19</f>
        <v>6.6379310344827589</v>
      </c>
      <c r="I29" s="14">
        <f t="shared" si="157"/>
        <v>5.916666666666667</v>
      </c>
      <c r="J29" s="14">
        <f t="shared" si="157"/>
        <v>1.9264705882352942</v>
      </c>
      <c r="K29" s="14">
        <f t="shared" si="157"/>
        <v>5.895833333333333</v>
      </c>
      <c r="L29" s="14">
        <f t="shared" si="157"/>
        <v>9.1678571428571427</v>
      </c>
      <c r="M29" s="14">
        <f t="shared" ref="M29:P29" si="158">M11/M19</f>
        <v>6.0172413793103452</v>
      </c>
      <c r="N29" s="14">
        <f t="shared" si="158"/>
        <v>5.4468085106382977</v>
      </c>
      <c r="O29" s="14">
        <f t="shared" si="158"/>
        <v>6.2075471698113205</v>
      </c>
      <c r="P29" s="14">
        <f t="shared" si="158"/>
        <v>5.921875</v>
      </c>
      <c r="Q29">
        <v>0</v>
      </c>
      <c r="R29" s="14">
        <v>0</v>
      </c>
      <c r="S29" s="14">
        <f t="shared" ref="S29:U29" si="159">S11/S19</f>
        <v>4.5116279069767442</v>
      </c>
      <c r="T29" s="14">
        <f t="shared" si="159"/>
        <v>2.7272727272727271</v>
      </c>
      <c r="U29" s="14">
        <f t="shared" si="159"/>
        <v>3.5510204081632653</v>
      </c>
      <c r="V29">
        <v>0</v>
      </c>
      <c r="W29" s="14">
        <f t="shared" ref="W29:AA29" si="160">W11/W19</f>
        <v>2.6792452830188678</v>
      </c>
      <c r="X29" s="14">
        <v>0</v>
      </c>
      <c r="Y29" s="14">
        <f t="shared" si="160"/>
        <v>5.5925925925925926</v>
      </c>
      <c r="Z29" s="14">
        <f t="shared" si="160"/>
        <v>4.441860465116279</v>
      </c>
      <c r="AA29" s="14">
        <f t="shared" si="160"/>
        <v>16.760000000000002</v>
      </c>
      <c r="AB29" s="14">
        <f t="shared" ref="AB29:AE29" si="161">AB11/AB19</f>
        <v>10.030769230769231</v>
      </c>
      <c r="AC29" s="14">
        <f t="shared" si="161"/>
        <v>7.8596491228070171</v>
      </c>
      <c r="AD29" s="14">
        <f t="shared" si="161"/>
        <v>8.3333333333333339</v>
      </c>
      <c r="AE29" s="14">
        <f t="shared" si="161"/>
        <v>6.6071428571428568</v>
      </c>
      <c r="AF29" s="18">
        <f>AF11/AF19</f>
        <v>5.3366666666666669</v>
      </c>
      <c r="AG29" s="14">
        <f t="shared" ref="AG29:AI29" si="162">AG11/AG19</f>
        <v>3.7142857142857144</v>
      </c>
      <c r="AH29" s="14">
        <v>0</v>
      </c>
      <c r="AI29" s="14">
        <f t="shared" si="162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63">AO11/AO19</f>
        <v>7.8055555555555554</v>
      </c>
      <c r="AP29" s="14">
        <f t="shared" ref="AP29:AR29" si="164">AP11/AP19</f>
        <v>3.0980392156862746</v>
      </c>
      <c r="AQ29" s="14">
        <f t="shared" si="164"/>
        <v>3.024390243902439</v>
      </c>
      <c r="AR29" s="14">
        <f t="shared" si="164"/>
        <v>1.3617021276595744</v>
      </c>
      <c r="AS29" s="14">
        <v>0</v>
      </c>
      <c r="AT29" s="14">
        <v>0</v>
      </c>
      <c r="AU29">
        <v>18.86</v>
      </c>
      <c r="AV29" s="14">
        <f t="shared" ref="AV29:AY29" si="165">AV11/AV19</f>
        <v>17.93548387096774</v>
      </c>
      <c r="AW29" s="14">
        <f t="shared" si="165"/>
        <v>14.43661971830986</v>
      </c>
      <c r="AX29" s="14">
        <f t="shared" si="165"/>
        <v>9.070422535211268</v>
      </c>
      <c r="AY29" s="14">
        <f t="shared" si="165"/>
        <v>10.155555555555555</v>
      </c>
      <c r="AZ29">
        <v>0</v>
      </c>
      <c r="BA29" s="14">
        <f t="shared" ref="BA29:BD29" si="166">BA11/BA19</f>
        <v>4.7</v>
      </c>
      <c r="BB29" s="14">
        <f t="shared" si="166"/>
        <v>5.8148148148148149</v>
      </c>
      <c r="BC29" s="14">
        <f t="shared" si="166"/>
        <v>2.859375</v>
      </c>
      <c r="BD29" s="14">
        <f t="shared" si="166"/>
        <v>5.4347826086956523</v>
      </c>
      <c r="BE29">
        <v>0</v>
      </c>
      <c r="BF29" s="14">
        <f t="shared" ref="BF29:BI29" si="167">BF11/BF19</f>
        <v>4.418181818181818</v>
      </c>
      <c r="BG29" s="14">
        <f t="shared" si="167"/>
        <v>2.7068965517241379</v>
      </c>
      <c r="BH29" s="14">
        <f t="shared" si="167"/>
        <v>1.8780487804878048</v>
      </c>
      <c r="BI29" s="14">
        <f t="shared" si="167"/>
        <v>2.0566037735849059</v>
      </c>
      <c r="BJ29" s="18">
        <f>BJ11/BJ19</f>
        <v>6.2352941176470589</v>
      </c>
      <c r="BK29" s="18">
        <v>0</v>
      </c>
      <c r="BL29" s="18">
        <f t="shared" ref="BL29:BO29" si="168">BL11/BL19</f>
        <v>10.86046511627907</v>
      </c>
      <c r="BM29" s="18">
        <f t="shared" si="168"/>
        <v>6.5254237288135597</v>
      </c>
      <c r="BN29" s="18">
        <f t="shared" si="168"/>
        <v>6.2769230769230768</v>
      </c>
      <c r="BO29" s="14">
        <f t="shared" si="168"/>
        <v>2.3684210526315788</v>
      </c>
      <c r="BP29" s="14">
        <f t="shared" ref="BP29:BT29" si="169">BP11/BP19</f>
        <v>2.1086956521739131</v>
      </c>
      <c r="BQ29" s="14">
        <v>0</v>
      </c>
      <c r="BR29" s="14">
        <f t="shared" si="169"/>
        <v>2.3243243243243241</v>
      </c>
      <c r="BS29" s="14">
        <f t="shared" si="169"/>
        <v>1.75</v>
      </c>
      <c r="BT29" s="14">
        <f t="shared" si="169"/>
        <v>6.8</v>
      </c>
      <c r="BU29" s="14">
        <f t="shared" ref="BU29:BX29" si="170">BU11/BU19</f>
        <v>4.9589041095890414</v>
      </c>
      <c r="BV29" s="14">
        <f t="shared" si="170"/>
        <v>7.166666666666667</v>
      </c>
      <c r="BW29" s="14">
        <f t="shared" si="170"/>
        <v>3.7142857142857144</v>
      </c>
      <c r="BX29" s="14">
        <f t="shared" si="170"/>
        <v>6.8421052631578947</v>
      </c>
      <c r="BY29" s="14">
        <f>BY11/BY19</f>
        <v>11.985714285714286</v>
      </c>
      <c r="BZ29" s="14">
        <f t="shared" ref="BZ29:CD29" si="171">BZ11/BZ19</f>
        <v>9.7654320987654319</v>
      </c>
      <c r="CA29" s="14">
        <f t="shared" si="171"/>
        <v>14.075757575757576</v>
      </c>
      <c r="CB29" s="14">
        <f t="shared" si="171"/>
        <v>9.1724137931034484</v>
      </c>
      <c r="CC29" s="14">
        <f t="shared" si="171"/>
        <v>8.0810810810810807</v>
      </c>
      <c r="CD29" s="14">
        <f t="shared" si="171"/>
        <v>9.8604651162790695</v>
      </c>
      <c r="CE29" s="14">
        <f t="shared" ref="CE29:CH29" si="172">CE11/CE19</f>
        <v>7.2765957446808507</v>
      </c>
      <c r="CF29" s="14">
        <f t="shared" si="172"/>
        <v>8.14</v>
      </c>
      <c r="CG29" s="14">
        <f t="shared" si="172"/>
        <v>4.4444444444444446</v>
      </c>
      <c r="CH29" s="14">
        <f t="shared" si="172"/>
        <v>5.4054054054054053</v>
      </c>
      <c r="CI29" s="14">
        <f>CI11/CI19</f>
        <v>12.622641509433961</v>
      </c>
      <c r="CJ29" s="14">
        <f t="shared" ref="CJ29:CM29" si="173">CJ11/CJ19</f>
        <v>10.888888888888889</v>
      </c>
      <c r="CK29" s="14">
        <f t="shared" si="173"/>
        <v>9.0208333333333339</v>
      </c>
      <c r="CL29" s="14">
        <f t="shared" si="173"/>
        <v>4.8939393939393936</v>
      </c>
      <c r="CM29" s="14">
        <f t="shared" si="173"/>
        <v>5.1746031746031749</v>
      </c>
      <c r="CN29" s="14">
        <f t="shared" ref="CN29" si="174">CN11/CN19</f>
        <v>7.666666666666667</v>
      </c>
      <c r="CO29" s="14">
        <v>0</v>
      </c>
      <c r="CP29" s="14">
        <v>0</v>
      </c>
      <c r="CQ29" s="14">
        <f t="shared" ref="CQ29:CR29" si="175">CQ11/CQ19</f>
        <v>3.975609756097561</v>
      </c>
      <c r="CR29" s="14">
        <f t="shared" si="175"/>
        <v>4.8979591836734695</v>
      </c>
    </row>
    <row r="30" spans="1:111" x14ac:dyDescent="0.3">
      <c r="A30" t="s">
        <v>138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>L3-L7</f>
        <v>80</v>
      </c>
      <c r="M30">
        <f>M3-M7</f>
        <v>48</v>
      </c>
      <c r="N30">
        <f t="shared" ref="N30:P30" si="176">N3-N7</f>
        <v>114</v>
      </c>
      <c r="O30">
        <f t="shared" si="176"/>
        <v>46</v>
      </c>
      <c r="P30">
        <f t="shared" si="176"/>
        <v>75</v>
      </c>
      <c r="R30" s="14">
        <v>0</v>
      </c>
      <c r="S30">
        <v>0</v>
      </c>
      <c r="T30">
        <v>0</v>
      </c>
      <c r="U30">
        <v>0</v>
      </c>
      <c r="W30">
        <v>0</v>
      </c>
      <c r="X30">
        <f t="shared" ref="X30:Z30" si="177">X3-X7</f>
        <v>47</v>
      </c>
      <c r="Y30">
        <f t="shared" si="177"/>
        <v>66</v>
      </c>
      <c r="Z30">
        <f t="shared" si="177"/>
        <v>89</v>
      </c>
      <c r="AA30" s="1">
        <f>AA3-AA7</f>
        <v>307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4">
        <v>0</v>
      </c>
      <c r="AI30">
        <v>0</v>
      </c>
      <c r="AJ30" s="14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14">
        <v>0</v>
      </c>
      <c r="AT30" s="14">
        <v>0</v>
      </c>
      <c r="AU30" s="1">
        <f>AU3-AU7</f>
        <v>326</v>
      </c>
      <c r="AV30" s="1">
        <f t="shared" ref="AV30:AY30" si="178">AV3-AV7</f>
        <v>268</v>
      </c>
      <c r="AW30" s="1">
        <f t="shared" si="178"/>
        <v>258</v>
      </c>
      <c r="AX30" s="1">
        <f t="shared" si="178"/>
        <v>234</v>
      </c>
      <c r="AY30" s="1">
        <f t="shared" si="178"/>
        <v>245</v>
      </c>
      <c r="BA30">
        <v>0</v>
      </c>
      <c r="BB30">
        <v>0</v>
      </c>
      <c r="BC30">
        <v>0</v>
      </c>
      <c r="BD30">
        <v>0</v>
      </c>
      <c r="BF30">
        <f>BF3-BF7</f>
        <v>82</v>
      </c>
      <c r="BG30">
        <f t="shared" ref="BG30:BI30" si="179">BG3-BG7</f>
        <v>74</v>
      </c>
      <c r="BH30">
        <f t="shared" si="179"/>
        <v>31</v>
      </c>
      <c r="BI30">
        <f t="shared" si="179"/>
        <v>34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BO3-BO7</f>
        <v>45.1</v>
      </c>
      <c r="BP30">
        <f>BP3-BP7</f>
        <v>67</v>
      </c>
      <c r="BQ30">
        <f t="shared" ref="BQ30:BS30" si="180">BQ3-BQ7</f>
        <v>29</v>
      </c>
      <c r="BR30">
        <f t="shared" si="180"/>
        <v>30</v>
      </c>
      <c r="BS30">
        <f t="shared" si="180"/>
        <v>67</v>
      </c>
      <c r="BT30">
        <f>BT3-BT7</f>
        <v>75</v>
      </c>
      <c r="BU30">
        <f>BU3-BU7</f>
        <v>141</v>
      </c>
      <c r="BV30">
        <f t="shared" ref="BV30:BX30" si="181">BV3-BV7</f>
        <v>114</v>
      </c>
      <c r="BW30">
        <f t="shared" si="181"/>
        <v>68</v>
      </c>
      <c r="BX30">
        <f t="shared" si="181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D30" s="1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176</v>
      </c>
      <c r="CK30">
        <v>195</v>
      </c>
      <c r="CL30">
        <v>127</v>
      </c>
      <c r="CM30">
        <v>110</v>
      </c>
      <c r="CN30">
        <f>CN3-CN7</f>
        <v>99</v>
      </c>
      <c r="CO30">
        <f>CO3-CO7</f>
        <v>30</v>
      </c>
      <c r="CP30">
        <f t="shared" ref="CP30:CR30" si="182">CP3-CP7</f>
        <v>62</v>
      </c>
      <c r="CQ30">
        <f t="shared" si="182"/>
        <v>86</v>
      </c>
      <c r="CR30">
        <f t="shared" si="182"/>
        <v>97</v>
      </c>
      <c r="CT30">
        <f>CT3-CT7</f>
        <v>70</v>
      </c>
      <c r="CU30">
        <f t="shared" ref="CU30:CW30" si="183">CU3-CU7</f>
        <v>100</v>
      </c>
      <c r="CV30">
        <f t="shared" si="183"/>
        <v>39</v>
      </c>
      <c r="CW30">
        <f t="shared" si="183"/>
        <v>10</v>
      </c>
      <c r="CY30">
        <f>CY3-CY7</f>
        <v>11</v>
      </c>
      <c r="CZ30">
        <f t="shared" ref="CZ30:DB30" si="184">CZ3-CZ7</f>
        <v>7.7</v>
      </c>
      <c r="DA30">
        <f t="shared" si="184"/>
        <v>2.4</v>
      </c>
      <c r="DB30">
        <f t="shared" si="184"/>
        <v>10.8</v>
      </c>
    </row>
    <row r="31" spans="1:111" x14ac:dyDescent="0.3">
      <c r="A31" t="s">
        <v>39</v>
      </c>
      <c r="B31">
        <f>Índices!B50</f>
        <v>104</v>
      </c>
      <c r="C31">
        <v>97</v>
      </c>
      <c r="D31">
        <v>87.9</v>
      </c>
      <c r="E31">
        <v>66.5</v>
      </c>
      <c r="F31">
        <v>63.7</v>
      </c>
      <c r="G31">
        <f>Índices!D50</f>
        <v>1255</v>
      </c>
      <c r="H31">
        <v>1162</v>
      </c>
      <c r="I31">
        <v>887</v>
      </c>
      <c r="J31">
        <v>784</v>
      </c>
      <c r="K31">
        <v>570</v>
      </c>
      <c r="L31">
        <f>Índices!C50</f>
        <v>251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W31">
        <v>0</v>
      </c>
      <c r="X31">
        <v>731</v>
      </c>
      <c r="Y31">
        <v>774</v>
      </c>
      <c r="Z31">
        <v>719</v>
      </c>
      <c r="AA31">
        <v>698</v>
      </c>
      <c r="AB31">
        <v>627</v>
      </c>
      <c r="AC31">
        <v>557</v>
      </c>
      <c r="AD31">
        <v>492</v>
      </c>
      <c r="AE31">
        <v>325</v>
      </c>
      <c r="AF31">
        <f>Índices!H50</f>
        <v>18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P31">
        <v>0.8</v>
      </c>
      <c r="AQ31">
        <v>0.9</v>
      </c>
      <c r="AR31">
        <v>9.1</v>
      </c>
      <c r="AS31">
        <v>0</v>
      </c>
      <c r="AT31">
        <v>0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f>Índices!O50</f>
        <v>61.4</v>
      </c>
      <c r="BP31">
        <v>65.2</v>
      </c>
      <c r="BQ31">
        <v>72.400000000000006</v>
      </c>
      <c r="BR31">
        <v>58.4</v>
      </c>
      <c r="BS31">
        <v>41.400000000000006</v>
      </c>
      <c r="BT31">
        <f>Índices!P50</f>
        <v>438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418</v>
      </c>
      <c r="CE31">
        <v>440</v>
      </c>
      <c r="CF31">
        <v>353</v>
      </c>
      <c r="CG31">
        <v>357</v>
      </c>
      <c r="CH31">
        <v>338</v>
      </c>
      <c r="CI31">
        <v>491</v>
      </c>
      <c r="CJ31">
        <v>517</v>
      </c>
      <c r="CK31">
        <v>479</v>
      </c>
      <c r="CL31">
        <v>361</v>
      </c>
      <c r="CM31">
        <v>355</v>
      </c>
      <c r="CN31">
        <v>631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 s="14">
        <f>B31/B14</f>
        <v>14.857142857142858</v>
      </c>
      <c r="C32" s="14">
        <f t="shared" ref="C32:F32" si="185">C31/C14</f>
        <v>32.333333333333336</v>
      </c>
      <c r="D32" s="14">
        <f t="shared" si="185"/>
        <v>3.9954545454545456</v>
      </c>
      <c r="E32" s="14">
        <f t="shared" si="185"/>
        <v>22.166666666666668</v>
      </c>
      <c r="F32" s="14">
        <f t="shared" si="185"/>
        <v>-7.0777777777777784</v>
      </c>
      <c r="G32" s="14">
        <f>G31/G14</f>
        <v>-5.9198113207547172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f>L31/L14</f>
        <v>0.50401606425702816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f>AA31/AA14</f>
        <v>2.814516129032258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f>AF31/AF14</f>
        <v>0.3</v>
      </c>
      <c r="AG32" s="14">
        <f t="shared" ref="AG32:AJ32" si="186">AG31/AG14</f>
        <v>3.078125</v>
      </c>
      <c r="AH32" s="14">
        <f t="shared" si="186"/>
        <v>10.772727272727273</v>
      </c>
      <c r="AI32" s="14">
        <f t="shared" si="186"/>
        <v>10.958333333333334</v>
      </c>
      <c r="AJ32" s="14">
        <f t="shared" si="186"/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f>AP31/AP14</f>
        <v>2.1621621621621623E-2</v>
      </c>
      <c r="AQ32" s="14">
        <f t="shared" ref="AQ32:AT32" si="187">AQ31/AQ14</f>
        <v>3.4615384615384617E-2</v>
      </c>
      <c r="AR32" s="14">
        <f t="shared" si="187"/>
        <v>2.0222222222222221</v>
      </c>
      <c r="AS32" s="14">
        <f t="shared" si="187"/>
        <v>0</v>
      </c>
      <c r="AT32" s="14">
        <f t="shared" si="187"/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f>BO31/BO14</f>
        <v>-76.75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f>BT31/BT14</f>
        <v>1.4697986577181208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88">BZ31/BZ14</f>
        <v>0.87431693989071035</v>
      </c>
      <c r="CA32" s="14">
        <f t="shared" si="188"/>
        <v>0.55521472392638038</v>
      </c>
      <c r="CB32" s="14">
        <f t="shared" si="188"/>
        <v>1.8013245033112584</v>
      </c>
      <c r="CC32" s="14">
        <f t="shared" si="188"/>
        <v>1.2804232804232805</v>
      </c>
      <c r="CD32" s="14">
        <f t="shared" ref="CD32:CJ32" si="189">CD31/CD14</f>
        <v>2.1770833333333335</v>
      </c>
      <c r="CE32" s="14">
        <f t="shared" si="189"/>
        <v>2.268041237113402</v>
      </c>
      <c r="CF32" s="14">
        <f t="shared" si="189"/>
        <v>1.6495327102803738</v>
      </c>
      <c r="CG32" s="14">
        <f t="shared" si="189"/>
        <v>39.666666666666664</v>
      </c>
      <c r="CH32" s="14">
        <f t="shared" si="189"/>
        <v>1.6568627450980393</v>
      </c>
      <c r="CI32" s="14">
        <f t="shared" si="189"/>
        <v>4.2327586206896548</v>
      </c>
      <c r="CJ32" s="14">
        <f t="shared" si="189"/>
        <v>2.2675438596491229</v>
      </c>
      <c r="CK32" s="14">
        <f t="shared" ref="CK32:CN32" si="190">CK31/CK14</f>
        <v>19.16</v>
      </c>
      <c r="CL32" s="14">
        <f t="shared" si="190"/>
        <v>0.83371824480369516</v>
      </c>
      <c r="CM32" s="14">
        <f t="shared" si="190"/>
        <v>1.0990712074303406</v>
      </c>
      <c r="CN32" s="14">
        <f t="shared" si="190"/>
        <v>-57.363636363636367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 s="14">
        <f>B31/B11</f>
        <v>0.55319148936170215</v>
      </c>
      <c r="C33" s="14">
        <f t="shared" ref="C33:F33" si="191">C31/C11</f>
        <v>0.67361111111111116</v>
      </c>
      <c r="D33" s="14">
        <f t="shared" si="191"/>
        <v>0.88787878787878793</v>
      </c>
      <c r="E33" s="14">
        <f t="shared" si="191"/>
        <v>1.4456521739130435</v>
      </c>
      <c r="F33" s="14">
        <f t="shared" si="191"/>
        <v>2.0548387096774197</v>
      </c>
      <c r="G33" s="14">
        <f>G31/G11</f>
        <v>3.7351190476190474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f>L31/L11</f>
        <v>0.48889754577327621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f>AA31/AA11</f>
        <v>0.83293556085918852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f>AF31/AF11</f>
        <v>0.11242973141786385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f>AP31/AP11</f>
        <v>5.0632911392405064E-3</v>
      </c>
      <c r="AQ33" s="14">
        <f t="shared" ref="AQ33:AT33" si="192">AQ31/AQ11</f>
        <v>7.2580645161290326E-3</v>
      </c>
      <c r="AR33" s="14">
        <f t="shared" si="192"/>
        <v>0.14218749999999999</v>
      </c>
      <c r="AS33" s="14">
        <f t="shared" si="192"/>
        <v>0</v>
      </c>
      <c r="AT33" s="14">
        <f t="shared" si="192"/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f>BO31/BO11</f>
        <v>0.68222222222222217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f>BT31/BT11</f>
        <v>1.1711229946524064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93">BZ31/BZ11</f>
        <v>0.20227560050568899</v>
      </c>
      <c r="CA33" s="14">
        <f t="shared" si="193"/>
        <v>0.19483315392895587</v>
      </c>
      <c r="CB33" s="14">
        <f t="shared" si="193"/>
        <v>0.51127819548872178</v>
      </c>
      <c r="CC33" s="14">
        <f t="shared" si="193"/>
        <v>0.40468227424749165</v>
      </c>
      <c r="CD33" s="14">
        <f t="shared" ref="CD33:CJ33" si="194">CD31/CD11</f>
        <v>0.98584905660377353</v>
      </c>
      <c r="CE33" s="14">
        <f t="shared" si="194"/>
        <v>1.2865497076023391</v>
      </c>
      <c r="CF33" s="14">
        <f t="shared" si="194"/>
        <v>0.86732186732186733</v>
      </c>
      <c r="CG33" s="14">
        <f t="shared" si="194"/>
        <v>1.4875</v>
      </c>
      <c r="CH33" s="14">
        <f t="shared" si="194"/>
        <v>0.84499999999999997</v>
      </c>
      <c r="CI33" s="14">
        <f t="shared" si="194"/>
        <v>0.7339312406576981</v>
      </c>
      <c r="CJ33" s="14">
        <f t="shared" si="194"/>
        <v>0.87925170068027214</v>
      </c>
      <c r="CK33" s="14">
        <f t="shared" ref="CK33:CM33" si="195">CK31/CK11</f>
        <v>1.1062355658198615</v>
      </c>
      <c r="CL33" s="14">
        <f t="shared" si="195"/>
        <v>1.1176470588235294</v>
      </c>
      <c r="CM33" s="14">
        <f t="shared" si="195"/>
        <v>1.0889570552147239</v>
      </c>
      <c r="CN33" s="14">
        <f t="shared" ref="CN33" si="196">CN31/CN11</f>
        <v>1.8289855072463768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 s="14">
        <f>B12/B11</f>
        <v>0.48936170212765956</v>
      </c>
      <c r="C34" s="14">
        <f t="shared" ref="C34:F34" si="197">C12/C11</f>
        <v>0.41666666666666669</v>
      </c>
      <c r="D34" s="14">
        <f t="shared" si="197"/>
        <v>0.46464646464646464</v>
      </c>
      <c r="E34" s="14">
        <f t="shared" si="197"/>
        <v>0.52173913043478259</v>
      </c>
      <c r="F34" s="14">
        <f t="shared" si="197"/>
        <v>0.80645161290322576</v>
      </c>
      <c r="G34" s="14">
        <f>G12/G11</f>
        <v>0.6428571428571429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f>L12/L11</f>
        <v>0.25905726529022205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f>AA12/AA11</f>
        <v>0.31145584725536996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f>AF12/AF11</f>
        <v>0.74391005621486572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f>AP12/AP11</f>
        <v>0.62658227848101267</v>
      </c>
      <c r="AQ34" s="14">
        <f t="shared" ref="AQ34:AT34" si="198">AQ12/AQ11</f>
        <v>0.67741935483870963</v>
      </c>
      <c r="AR34" s="14">
        <f t="shared" si="198"/>
        <v>1.03125</v>
      </c>
      <c r="AS34" s="14">
        <f t="shared" si="198"/>
        <v>0.95238095238095233</v>
      </c>
      <c r="AT34" s="14">
        <f t="shared" si="198"/>
        <v>0.8571428571428571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f>BO12/BO11</f>
        <v>0.55555555555555558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f>BT12/BT11</f>
        <v>0.52406417112299464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99">BZ12/BZ11</f>
        <v>0.46144121365360302</v>
      </c>
      <c r="CA34" s="14">
        <f t="shared" si="199"/>
        <v>0.38213132400430572</v>
      </c>
      <c r="CB34" s="14">
        <f t="shared" si="199"/>
        <v>0.38721804511278196</v>
      </c>
      <c r="CC34" s="14">
        <f t="shared" si="199"/>
        <v>0.41638795986622074</v>
      </c>
      <c r="CD34" s="14">
        <f t="shared" ref="CD34:CJ34" si="200">CD12/CD11</f>
        <v>0.40448113207547171</v>
      </c>
      <c r="CE34" s="14">
        <f t="shared" si="200"/>
        <v>0.39766081871345027</v>
      </c>
      <c r="CF34" s="14">
        <f t="shared" si="200"/>
        <v>0.32678132678132676</v>
      </c>
      <c r="CG34" s="14">
        <f t="shared" si="200"/>
        <v>0.5708333333333333</v>
      </c>
      <c r="CH34" s="14">
        <f t="shared" si="200"/>
        <v>0.41499999999999998</v>
      </c>
      <c r="CI34" s="14">
        <f t="shared" si="200"/>
        <v>0.39760837070254113</v>
      </c>
      <c r="CJ34" s="14">
        <f t="shared" si="200"/>
        <v>0.33673469387755101</v>
      </c>
      <c r="CK34" s="14">
        <f t="shared" ref="CK34:CM34" si="201">CK12/CK11</f>
        <v>0.50577367205542723</v>
      </c>
      <c r="CL34" s="14">
        <f t="shared" si="201"/>
        <v>0.51702786377708976</v>
      </c>
      <c r="CM34" s="14">
        <f t="shared" si="201"/>
        <v>0.50613496932515334</v>
      </c>
      <c r="CN34" s="14">
        <f t="shared" ref="CN34" si="202">CN12/CN11</f>
        <v>0.46376811594202899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>
        <f t="shared" ref="B35:AO35" si="203">(B12+B15)/B11</f>
        <v>0.53723404255319152</v>
      </c>
      <c r="C35" s="18">
        <f t="shared" si="203"/>
        <v>0.52777777777777779</v>
      </c>
      <c r="D35" s="18">
        <f t="shared" si="203"/>
        <v>0.46464646464646464</v>
      </c>
      <c r="E35" s="18">
        <f t="shared" si="203"/>
        <v>0.52826086956521745</v>
      </c>
      <c r="F35" s="18">
        <f t="shared" si="203"/>
        <v>0.83225806451612905</v>
      </c>
      <c r="G35" s="18">
        <f t="shared" si="203"/>
        <v>1.0833333333333333</v>
      </c>
      <c r="H35" s="18">
        <f t="shared" si="203"/>
        <v>1.0337662337662337</v>
      </c>
      <c r="I35" s="18">
        <f t="shared" si="203"/>
        <v>0.75452716297786715</v>
      </c>
      <c r="J35" s="18">
        <f t="shared" si="203"/>
        <v>3.4503816793893129</v>
      </c>
      <c r="K35" s="18">
        <f t="shared" si="203"/>
        <v>0.73498233215547704</v>
      </c>
      <c r="L35" s="18">
        <f t="shared" si="203"/>
        <v>0.33502142578885863</v>
      </c>
      <c r="M35" s="18">
        <f t="shared" si="203"/>
        <v>0.7822349570200573</v>
      </c>
      <c r="N35" s="18">
        <f t="shared" si="203"/>
        <v>0.77734375</v>
      </c>
      <c r="O35" s="18">
        <f t="shared" si="203"/>
        <v>0.39209726443769</v>
      </c>
      <c r="P35" s="18">
        <f t="shared" si="203"/>
        <v>0.44327176781002636</v>
      </c>
      <c r="Q35" s="18" t="e">
        <f t="shared" si="203"/>
        <v>#DIV/0!</v>
      </c>
      <c r="R35" s="18">
        <f t="shared" si="203"/>
        <v>0.72</v>
      </c>
      <c r="S35" s="18">
        <f t="shared" si="203"/>
        <v>0.54639175257731953</v>
      </c>
      <c r="T35" s="18">
        <f t="shared" si="203"/>
        <v>0.84166666666666667</v>
      </c>
      <c r="U35" s="18">
        <f t="shared" si="203"/>
        <v>0.72413793103448276</v>
      </c>
      <c r="V35" s="18" t="e">
        <f t="shared" si="203"/>
        <v>#DIV/0!</v>
      </c>
      <c r="W35" s="18">
        <v>0</v>
      </c>
      <c r="X35" s="18">
        <v>0</v>
      </c>
      <c r="Y35" s="18">
        <v>0</v>
      </c>
      <c r="Z35" s="18">
        <v>0</v>
      </c>
      <c r="AA35" s="18">
        <f t="shared" si="203"/>
        <v>0.37470167064439142</v>
      </c>
      <c r="AB35" s="18">
        <f t="shared" si="203"/>
        <v>0.48466257668711654</v>
      </c>
      <c r="AC35" s="18">
        <f t="shared" si="203"/>
        <v>0.46651785714285715</v>
      </c>
      <c r="AD35" s="18">
        <f t="shared" si="203"/>
        <v>0.59058823529411764</v>
      </c>
      <c r="AE35" s="18">
        <f t="shared" si="203"/>
        <v>0.63513513513513509</v>
      </c>
      <c r="AF35" s="18">
        <f t="shared" si="203"/>
        <v>0.78201124297314173</v>
      </c>
      <c r="AG35" s="18">
        <f t="shared" si="203"/>
        <v>0.51282051282051277</v>
      </c>
      <c r="AH35" s="18">
        <f t="shared" si="203"/>
        <v>0.64</v>
      </c>
      <c r="AI35" s="18">
        <f t="shared" si="203"/>
        <v>0.505</v>
      </c>
      <c r="AJ35" s="18">
        <f t="shared" si="203"/>
        <v>0.99736842105263157</v>
      </c>
      <c r="AK35" s="18">
        <v>0</v>
      </c>
      <c r="AL35" s="18">
        <f t="shared" si="203"/>
        <v>0.3904109589041096</v>
      </c>
      <c r="AM35" s="18">
        <f t="shared" si="203"/>
        <v>0.5083333333333333</v>
      </c>
      <c r="AN35" s="18">
        <f t="shared" si="203"/>
        <v>0.98305084745762716</v>
      </c>
      <c r="AO35" s="18">
        <f t="shared" si="203"/>
        <v>0.95017793594306055</v>
      </c>
      <c r="AP35" s="18">
        <f>AP12/AP11</f>
        <v>0.62658227848101267</v>
      </c>
      <c r="AQ35" s="18">
        <f t="shared" ref="AQ35:AT35" si="204">AQ12/AQ11</f>
        <v>0.67741935483870963</v>
      </c>
      <c r="AR35" s="18">
        <f t="shared" si="204"/>
        <v>1.03125</v>
      </c>
      <c r="AS35" s="18">
        <f t="shared" si="204"/>
        <v>0.95238095238095233</v>
      </c>
      <c r="AT35" s="18">
        <f t="shared" si="204"/>
        <v>0.8571428571428571</v>
      </c>
      <c r="AU35" s="18">
        <f>(AU12+AU15)/AU11</f>
        <v>0.55927051671732519</v>
      </c>
      <c r="AV35" s="18">
        <f t="shared" ref="AV35:CR35" si="205">(AV12+AV15)/AV11</f>
        <v>0.60251798561151082</v>
      </c>
      <c r="AW35" s="18">
        <f t="shared" si="205"/>
        <v>0.46243902439024392</v>
      </c>
      <c r="AX35" s="18">
        <f t="shared" si="205"/>
        <v>0.79192546583850931</v>
      </c>
      <c r="AY35" s="18">
        <f t="shared" si="205"/>
        <v>0.63019693654266962</v>
      </c>
      <c r="AZ35" s="18">
        <v>0</v>
      </c>
      <c r="BA35" s="18">
        <f t="shared" si="205"/>
        <v>0.47720364741641336</v>
      </c>
      <c r="BB35" s="18">
        <f t="shared" si="205"/>
        <v>0.41719745222929938</v>
      </c>
      <c r="BC35" s="18">
        <f t="shared" si="205"/>
        <v>0.45027322404371589</v>
      </c>
      <c r="BD35" s="18">
        <f t="shared" si="205"/>
        <v>0.28799999999999998</v>
      </c>
      <c r="BE35" s="18">
        <v>0</v>
      </c>
      <c r="BF35" s="18">
        <f t="shared" si="205"/>
        <v>0.53909465020576131</v>
      </c>
      <c r="BG35" s="18">
        <f t="shared" si="205"/>
        <v>0.59872611464968151</v>
      </c>
      <c r="BH35" s="18">
        <f t="shared" si="205"/>
        <v>0.66233766233766234</v>
      </c>
      <c r="BI35" s="18">
        <f t="shared" si="205"/>
        <v>0.68440366972477062</v>
      </c>
      <c r="BJ35" s="18">
        <f t="shared" si="205"/>
        <v>0.60141509433962259</v>
      </c>
      <c r="BK35" s="18">
        <f t="shared" si="205"/>
        <v>0.63194444444444442</v>
      </c>
      <c r="BL35" s="18">
        <f t="shared" si="205"/>
        <v>0.42398286937901497</v>
      </c>
      <c r="BM35" s="18">
        <f t="shared" si="205"/>
        <v>0.41038961038961042</v>
      </c>
      <c r="BN35" s="18">
        <f t="shared" si="205"/>
        <v>0.38725490196078433</v>
      </c>
      <c r="BO35" s="18">
        <f t="shared" si="205"/>
        <v>0.55666666666666664</v>
      </c>
      <c r="BP35" s="18">
        <f t="shared" si="205"/>
        <v>0.35876288659793809</v>
      </c>
      <c r="BQ35" s="18">
        <f t="shared" si="205"/>
        <v>0.51063829787234039</v>
      </c>
      <c r="BR35" s="18">
        <f t="shared" si="205"/>
        <v>0.62093023255813951</v>
      </c>
      <c r="BS35" s="18">
        <f t="shared" si="205"/>
        <v>0.51098901098901095</v>
      </c>
      <c r="BT35" s="18">
        <f t="shared" si="205"/>
        <v>0.75133689839572193</v>
      </c>
      <c r="BU35" s="18">
        <f t="shared" si="205"/>
        <v>0.79005524861878451</v>
      </c>
      <c r="BV35" s="18">
        <f t="shared" si="205"/>
        <v>0.6191860465116279</v>
      </c>
      <c r="BW35" s="18">
        <f t="shared" si="205"/>
        <v>0.92307692307692313</v>
      </c>
      <c r="BX35" s="18">
        <f t="shared" si="205"/>
        <v>0.62051282051282053</v>
      </c>
      <c r="BY35" s="18">
        <f>(BY12+BY15)/BY11</f>
        <v>0.66150178784266989</v>
      </c>
      <c r="BZ35" s="18">
        <f t="shared" ref="BZ35:CC35" si="206">(BZ12+BZ15)/BZ11</f>
        <v>0.59418457648546141</v>
      </c>
      <c r="CA35" s="18">
        <f t="shared" si="206"/>
        <v>0.46932185145317545</v>
      </c>
      <c r="CB35" s="18">
        <f t="shared" si="206"/>
        <v>0.61654135338345861</v>
      </c>
      <c r="CC35" s="18">
        <f t="shared" si="206"/>
        <v>0.59866220735785958</v>
      </c>
      <c r="CD35" s="18">
        <f t="shared" ref="CD35:CJ35" si="207">(CD12+CD15)/CD11</f>
        <v>0.63561320754716977</v>
      </c>
      <c r="CE35" s="18">
        <f t="shared" si="207"/>
        <v>0.57894736842105265</v>
      </c>
      <c r="CF35" s="18">
        <f t="shared" si="207"/>
        <v>0.37100737100737102</v>
      </c>
      <c r="CG35" s="18">
        <f t="shared" si="207"/>
        <v>0.7416666666666667</v>
      </c>
      <c r="CH35" s="18">
        <f t="shared" si="207"/>
        <v>0.54749999999999999</v>
      </c>
      <c r="CI35" s="18">
        <f t="shared" si="207"/>
        <v>0.51270553064275037</v>
      </c>
      <c r="CJ35" s="18">
        <f t="shared" si="207"/>
        <v>0.46598639455782315</v>
      </c>
      <c r="CK35" s="18">
        <f t="shared" ref="CK35:CM35" si="208">(CK12+CK15)/CK11</f>
        <v>0.69976905311778292</v>
      </c>
      <c r="CL35" s="18">
        <f t="shared" si="208"/>
        <v>0.84210526315789469</v>
      </c>
      <c r="CM35" s="18">
        <f t="shared" si="208"/>
        <v>0.94785276073619629</v>
      </c>
      <c r="CN35" s="18">
        <f t="shared" ref="CN35" si="209">(CN12+CN15)/CN11</f>
        <v>0.91884057971014488</v>
      </c>
      <c r="CO35" s="18">
        <f t="shared" si="205"/>
        <v>0.80172413793103448</v>
      </c>
      <c r="CP35" s="18">
        <f t="shared" si="205"/>
        <v>0.40602409638554221</v>
      </c>
      <c r="CQ35" s="18">
        <f t="shared" si="205"/>
        <v>0.48159509202453987</v>
      </c>
      <c r="CR35" s="18">
        <f t="shared" si="205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AK9 V9:X9 Q9 BE9 AZ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workbookViewId="0">
      <pane xSplit="1" ySplit="2" topLeftCell="CM19" activePane="bottomRight" state="frozen"/>
      <selection pane="topRight" activeCell="B1" sqref="B1"/>
      <selection pane="bottomLeft" activeCell="A3" sqref="A3"/>
      <selection pane="bottomRight" activeCell="CN31" sqref="CN31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6" width="7.44140625" bestFit="1" customWidth="1"/>
    <col min="7" max="7" width="7.33203125" customWidth="1"/>
    <col min="8" max="8" width="6.6640625" bestFit="1" customWidth="1"/>
    <col min="9" max="9" width="5.6640625" bestFit="1" customWidth="1"/>
    <col min="10" max="10" width="6.33203125" bestFit="1" customWidth="1"/>
    <col min="11" max="11" width="6.5546875" bestFit="1" customWidth="1"/>
    <col min="12" max="12" width="8.5546875" bestFit="1" customWidth="1"/>
    <col min="13" max="13" width="6.33203125" customWidth="1"/>
    <col min="14" max="15" width="5.6640625" bestFit="1" customWidth="1"/>
    <col min="16" max="16" width="6.21875" customWidth="1"/>
    <col min="17" max="17" width="6.44140625" bestFit="1" customWidth="1"/>
    <col min="18" max="18" width="7.44140625" bestFit="1" customWidth="1"/>
    <col min="19" max="19" width="5.5546875" bestFit="1" customWidth="1"/>
    <col min="20" max="20" width="6.21875" bestFit="1" customWidth="1"/>
    <col min="21" max="21" width="6.33203125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6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3" width="6.21875" customWidth="1"/>
    <col min="44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3" width="7.109375" customWidth="1"/>
    <col min="54" max="54" width="5.5546875" bestFit="1" customWidth="1"/>
    <col min="55" max="55" width="6.21875" bestFit="1" customWidth="1"/>
    <col min="56" max="56" width="6.6640625" customWidth="1"/>
    <col min="57" max="57" width="8.6640625" bestFit="1" customWidth="1"/>
    <col min="58" max="58" width="6.6640625" customWidth="1"/>
    <col min="59" max="59" width="5.5546875" bestFit="1" customWidth="1"/>
    <col min="60" max="60" width="6.21875" bestFit="1" customWidth="1"/>
    <col min="61" max="61" width="6.6640625" customWidth="1"/>
    <col min="62" max="62" width="7.109375" bestFit="1" customWidth="1"/>
    <col min="63" max="63" width="7.33203125" bestFit="1" customWidth="1"/>
    <col min="64" max="65" width="5.5546875" bestFit="1" customWidth="1"/>
    <col min="66" max="66" width="6.5546875" customWidth="1"/>
    <col min="67" max="67" width="6.88671875" customWidth="1"/>
    <col min="68" max="68" width="5.5546875" bestFit="1" customWidth="1"/>
    <col min="69" max="69" width="7.33203125" bestFit="1" customWidth="1"/>
    <col min="70" max="70" width="5.5546875" bestFit="1" customWidth="1"/>
    <col min="71" max="71" width="7" customWidth="1"/>
    <col min="72" max="72" width="11.88671875" bestFit="1" customWidth="1"/>
    <col min="73" max="73" width="6.5546875" customWidth="1"/>
    <col min="74" max="74" width="5.5546875" bestFit="1" customWidth="1"/>
    <col min="75" max="75" width="6.21875" bestFit="1" customWidth="1"/>
    <col min="76" max="76" width="7" customWidth="1"/>
    <col min="77" max="77" width="9" bestFit="1" customWidth="1"/>
    <col min="78" max="78" width="6.33203125" customWidth="1"/>
    <col min="79" max="79" width="6.5546875" bestFit="1" customWidth="1"/>
    <col min="80" max="80" width="6.21875" bestFit="1" customWidth="1"/>
    <col min="81" max="81" width="6.5546875" customWidth="1"/>
    <col min="82" max="82" width="7.33203125" bestFit="1" customWidth="1"/>
    <col min="83" max="83" width="6.33203125" customWidth="1"/>
    <col min="84" max="84" width="5.5546875" bestFit="1" customWidth="1"/>
    <col min="85" max="85" width="6.109375" bestFit="1" customWidth="1"/>
    <col min="86" max="86" width="6.77734375" customWidth="1"/>
    <col min="87" max="87" width="9.109375" bestFit="1" customWidth="1"/>
    <col min="88" max="88" width="6.77734375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>
        <f>Painel!B3</f>
        <v>73</v>
      </c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>
        <f>Painel!G3</f>
        <v>98</v>
      </c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6">
        <f>Painel!L3</f>
        <v>117</v>
      </c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>
        <f>Painel!W3*IPC!G$3</f>
        <v>0</v>
      </c>
      <c r="X3" s="14">
        <f>Painel!X3*IPC!H$3</f>
        <v>54.334262500000008</v>
      </c>
      <c r="Y3" s="14">
        <f>Painel!Y3*IPC!I$3</f>
        <v>88.962618143910007</v>
      </c>
      <c r="Z3" s="14">
        <f>Painel!Z3*IPC!J$3</f>
        <v>127.23848646822897</v>
      </c>
      <c r="AA3" s="14">
        <f>Painel!AA3</f>
        <v>319</v>
      </c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>
        <f>Painel!AF3</f>
        <v>51</v>
      </c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>
        <f>Painel!AP3</f>
        <v>75</v>
      </c>
      <c r="AQ3" s="14">
        <f>Painel!AQ3*IPC!G$3</f>
        <v>90.772000000000006</v>
      </c>
      <c r="AR3" s="14">
        <f>Painel!AR3*IPC!H$3</f>
        <v>43.467410000000008</v>
      </c>
      <c r="AS3" s="14">
        <f>Painel!AS3*IPC!I$3</f>
        <v>0</v>
      </c>
      <c r="AT3" s="14">
        <f>Painel!AT3*IPC!J$3</f>
        <v>0</v>
      </c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>
        <f>Painel!BO3</f>
        <v>56.1</v>
      </c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>
        <f>Painel!BT3</f>
        <v>150</v>
      </c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>
        <f>Painel!CD3+Painel!CD7</f>
        <v>97</v>
      </c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>
        <f>Painel!CI3+Painel!CI7</f>
        <v>259</v>
      </c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>
        <f>Painel!CN3</f>
        <v>119</v>
      </c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>
        <f>Painel!B4</f>
        <v>33</v>
      </c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>
        <f>Painel!G4</f>
        <v>47</v>
      </c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6">
        <f>Painel!L4</f>
        <v>39</v>
      </c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>
        <f>Painel!W4*IPC!G$3</f>
        <v>0</v>
      </c>
      <c r="X4" s="14">
        <f>Painel!X4*IPC!H$3</f>
        <v>9.1281561000000018</v>
      </c>
      <c r="Y4" s="14">
        <f>Painel!Y4*IPC!I$3</f>
        <v>7.1551703601000014</v>
      </c>
      <c r="Z4" s="14">
        <f>Painel!Z4*IPC!J$3</f>
        <v>11.338082952614462</v>
      </c>
      <c r="AA4" s="14">
        <f>Painel!AA4</f>
        <v>117</v>
      </c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>
        <f>Painel!AF4</f>
        <v>14</v>
      </c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>
        <f>Painel!AP4</f>
        <v>6.3</v>
      </c>
      <c r="AQ4" s="14">
        <f>Painel!AQ4*IPC!G$3</f>
        <v>5.6732500000000003</v>
      </c>
      <c r="AR4" s="14">
        <f>Painel!AR4*IPC!H$3</f>
        <v>9.5628302000000023</v>
      </c>
      <c r="AS4" s="14">
        <f>Painel!AS4*IPC!I$3</f>
        <v>9.5402271468000013</v>
      </c>
      <c r="AT4" s="14">
        <f>Painel!AT4*IPC!J$3</f>
        <v>30.234887873638566</v>
      </c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>
        <f>Painel!BO4</f>
        <v>23.35</v>
      </c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>
        <f>Painel!BT4</f>
        <v>65</v>
      </c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>
        <f>Painel!CD4</f>
        <v>78</v>
      </c>
      <c r="CE4" s="14">
        <f>Painel!CE4*IPC!G$3</f>
        <v>69.110500000000002</v>
      </c>
      <c r="CF4" s="14">
        <f>Painel!CF4*IPC!H$3</f>
        <v>54.334262500000008</v>
      </c>
      <c r="CG4" s="14">
        <f>Painel!CG4*IPC!I$3</f>
        <v>28.620681440400006</v>
      </c>
      <c r="CH4" s="14">
        <f>Painel!CH4*IPC!J$3</f>
        <v>28.975100878903625</v>
      </c>
      <c r="CI4" s="14">
        <f>Painel!CI4</f>
        <v>46</v>
      </c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>
        <f>Painel!CN4</f>
        <v>49</v>
      </c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>
        <f>Painel!B5</f>
        <v>3.1</v>
      </c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>
        <f>Painel!G5</f>
        <v>47</v>
      </c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6">
        <f>Painel!L5</f>
        <v>33</v>
      </c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>
        <f>Painel!W5*IPC!G$3</f>
        <v>0</v>
      </c>
      <c r="X5" s="14">
        <f>Painel!X5*IPC!H$3</f>
        <v>2.7167131250000005</v>
      </c>
      <c r="Y5" s="14">
        <f>Painel!Y5*IPC!I$3</f>
        <v>2.3850567867000003</v>
      </c>
      <c r="Z5" s="14">
        <f>Painel!Z5*IPC!J$3</f>
        <v>13.857656942084343</v>
      </c>
      <c r="AA5" s="14">
        <f>Painel!AA5</f>
        <v>91</v>
      </c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>
        <f>Painel!AF5</f>
        <v>12</v>
      </c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>
        <f>Painel!AP5</f>
        <v>16.600000000000001</v>
      </c>
      <c r="AQ5" s="14">
        <f>Painel!AQ5*IPC!G$3</f>
        <v>13.718950000000001</v>
      </c>
      <c r="AR5" s="14">
        <f>Painel!AR5*IPC!H$3</f>
        <v>4.2380724750000009</v>
      </c>
      <c r="AS5" s="14">
        <f>Painel!AS5*IPC!I$3</f>
        <v>4.7701135734000005E-2</v>
      </c>
      <c r="AT5" s="14">
        <f>Painel!AT5*IPC!J$3</f>
        <v>1.6377230931554223</v>
      </c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>
        <f>Painel!BO5</f>
        <v>6.75</v>
      </c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>
        <f>Painel!BT5</f>
        <v>20</v>
      </c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>
        <f>Painel!CD5</f>
        <v>26</v>
      </c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>
        <f>Painel!CI5</f>
        <v>110</v>
      </c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>
        <f>Painel!CN5</f>
        <v>25</v>
      </c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>
        <f>Painel!B6</f>
        <v>0</v>
      </c>
      <c r="C6" s="14">
        <v>0</v>
      </c>
      <c r="D6" s="14">
        <v>0</v>
      </c>
      <c r="E6" s="14">
        <v>0</v>
      </c>
      <c r="F6" s="14">
        <v>0</v>
      </c>
      <c r="G6" s="14">
        <f>Painel!G6</f>
        <v>27</v>
      </c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6">
        <f>Painel!L6</f>
        <v>45</v>
      </c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>
        <f>Painel!W6*IPC!G$3</f>
        <v>0</v>
      </c>
      <c r="X6" s="14">
        <f>Painel!X6*IPC!H$3</f>
        <v>4.2380724750000009</v>
      </c>
      <c r="Y6" s="14">
        <f>Painel!Y6*IPC!I$3</f>
        <v>6.6781590027600002</v>
      </c>
      <c r="Z6" s="14">
        <f>Painel!Z6*IPC!J$3</f>
        <v>7.5587219684096416</v>
      </c>
      <c r="AA6" s="14">
        <f>Painel!AA6</f>
        <v>43</v>
      </c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>
        <f>Painel!AF6</f>
        <v>27</v>
      </c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>
        <f>Painel!AP6</f>
        <v>0</v>
      </c>
      <c r="AQ6" s="14">
        <f>Painel!AQ6*IPC!G$3</f>
        <v>0</v>
      </c>
      <c r="AR6" s="14">
        <f>Painel!AR6*IPC!H$3</f>
        <v>0</v>
      </c>
      <c r="AS6" s="14">
        <f>Painel!AS6*IPC!I$3</f>
        <v>0</v>
      </c>
      <c r="AT6" s="14">
        <f>Painel!AT6*IPC!J$3</f>
        <v>0</v>
      </c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>
        <f>Painel!BO6</f>
        <v>8</v>
      </c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>
        <f>Painel!BT6</f>
        <v>73</v>
      </c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>
        <f>Painel!CI6</f>
        <v>21</v>
      </c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>
        <f>Painel!CN6</f>
        <v>32</v>
      </c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>
        <f>Painel!B7</f>
        <v>0</v>
      </c>
      <c r="C7" s="14">
        <v>0</v>
      </c>
      <c r="D7" s="14">
        <v>0</v>
      </c>
      <c r="E7" s="14">
        <v>0</v>
      </c>
      <c r="F7" s="14">
        <v>0</v>
      </c>
      <c r="G7" s="14">
        <f>Painel!G7</f>
        <v>0</v>
      </c>
      <c r="H7" s="14">
        <f>Painel!H7</f>
        <v>0</v>
      </c>
      <c r="I7" s="14">
        <f>Painel!I7</f>
        <v>0</v>
      </c>
      <c r="J7" s="14">
        <f>Painel!J7</f>
        <v>0</v>
      </c>
      <c r="K7" s="14">
        <f>Painel!K7</f>
        <v>0</v>
      </c>
      <c r="L7" s="6">
        <f>Painel!L7</f>
        <v>37</v>
      </c>
      <c r="M7" s="14">
        <f>Painel!M7*IPC!G$3</f>
        <v>83.551500000000004</v>
      </c>
      <c r="N7" s="14">
        <f>Painel!N7*IPC!H$3</f>
        <v>81.501393750000005</v>
      </c>
      <c r="O7" s="14">
        <f>Painel!O7*IPC!I$3</f>
        <v>34.583323407150004</v>
      </c>
      <c r="P7" s="14">
        <f>Painel!P7*IPC!J$3</f>
        <v>107.08189455246992</v>
      </c>
      <c r="Q7" s="14"/>
      <c r="R7" s="14"/>
      <c r="S7" s="14"/>
      <c r="T7" s="14"/>
      <c r="U7" s="14"/>
      <c r="V7" s="14"/>
      <c r="W7" s="14">
        <f>Painel!W7*IPC!G$3</f>
        <v>0</v>
      </c>
      <c r="X7" s="14">
        <f>Painel!X7*IPC!H$3</f>
        <v>3.2600557500000003</v>
      </c>
      <c r="Y7" s="14">
        <f>Painel!Y7*IPC!I$3</f>
        <v>10.255744182810002</v>
      </c>
      <c r="Z7" s="14">
        <f>Painel!Z7*IPC!J$3</f>
        <v>15.117443936819283</v>
      </c>
      <c r="AA7" s="14">
        <f>Painel!AA7</f>
        <v>12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/>
      <c r="AL7" s="14">
        <v>0</v>
      </c>
      <c r="AM7" s="14">
        <v>0</v>
      </c>
      <c r="AN7" s="14">
        <v>0</v>
      </c>
      <c r="AO7" s="14">
        <v>0</v>
      </c>
      <c r="AP7" s="14">
        <f>Painel!AP7</f>
        <v>0</v>
      </c>
      <c r="AQ7" s="14">
        <f>Painel!AQ7*IPC!G$3</f>
        <v>0</v>
      </c>
      <c r="AR7" s="14">
        <f>Painel!AR7*IPC!H$3</f>
        <v>0</v>
      </c>
      <c r="AS7" s="14">
        <f>Painel!AS7*IPC!I$3</f>
        <v>0</v>
      </c>
      <c r="AT7" s="14">
        <f>Painel!AT7*IPC!J$3</f>
        <v>0</v>
      </c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>
        <f>Painel!BO7</f>
        <v>11</v>
      </c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>
        <f>Painel!BT7</f>
        <v>75</v>
      </c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>
        <f>Painel!CI7</f>
        <v>0</v>
      </c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>
        <f>Painel!CN7</f>
        <v>20</v>
      </c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>
        <f>Painel!B8</f>
        <v>0</v>
      </c>
      <c r="C8" s="14">
        <v>0</v>
      </c>
      <c r="D8" s="14">
        <v>0</v>
      </c>
      <c r="E8" s="14">
        <v>0</v>
      </c>
      <c r="F8" s="14">
        <v>0</v>
      </c>
      <c r="G8" s="14">
        <f>Painel!G8</f>
        <v>0</v>
      </c>
      <c r="H8" s="14">
        <f>Painel!H8</f>
        <v>0</v>
      </c>
      <c r="I8" s="14">
        <f>Painel!I8</f>
        <v>0</v>
      </c>
      <c r="J8" s="14">
        <f>Painel!J8</f>
        <v>0</v>
      </c>
      <c r="K8" s="14">
        <f>Painel!K8</f>
        <v>0</v>
      </c>
      <c r="L8" s="6">
        <f>Painel!L8</f>
        <v>27.4</v>
      </c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>
        <f>Painel!W8*IPC!G$3</f>
        <v>0</v>
      </c>
      <c r="X8" s="14">
        <f>Painel!X8*IPC!H$3</f>
        <v>1.6300278750000001</v>
      </c>
      <c r="Y8" s="14">
        <f>Painel!Y8*IPC!I$3</f>
        <v>2.0272982686950001</v>
      </c>
      <c r="Z8" s="14">
        <f>Painel!Z8*IPC!J$3</f>
        <v>2.5195739894698805</v>
      </c>
      <c r="AA8" s="14">
        <f>Painel!AA8</f>
        <v>17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/>
      <c r="AL8" s="14">
        <f>Painel!AL8*IPC!G$3</f>
        <v>14.441000000000001</v>
      </c>
      <c r="AM8" s="14">
        <v>0</v>
      </c>
      <c r="AN8" s="14">
        <v>0</v>
      </c>
      <c r="AO8" s="14">
        <v>0</v>
      </c>
      <c r="AP8" s="14">
        <f>Painel!AP8</f>
        <v>0</v>
      </c>
      <c r="AQ8" s="14">
        <f>Painel!AQ8*IPC!G$3</f>
        <v>0</v>
      </c>
      <c r="AR8" s="14">
        <f>Painel!AR8*IPC!H$3</f>
        <v>0</v>
      </c>
      <c r="AS8" s="14">
        <f>Painel!AS8*IPC!I$3</f>
        <v>0</v>
      </c>
      <c r="AT8" s="14">
        <f>Painel!AT8*IPC!J$3</f>
        <v>0</v>
      </c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>
        <f>Painel!BO8</f>
        <v>2.5500000000000003</v>
      </c>
      <c r="BP8" s="14"/>
      <c r="BQ8" s="14"/>
      <c r="BR8" s="14"/>
      <c r="BS8" s="14"/>
      <c r="BT8" s="14">
        <f>Painel!BT8</f>
        <v>14</v>
      </c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>
        <f>Painel!CD8</f>
        <v>1.4</v>
      </c>
      <c r="CE8" s="14">
        <f>Painel!CE8*IPC!G$3</f>
        <v>1.8567000000000002</v>
      </c>
      <c r="CF8" s="14">
        <f>Painel!CF8*IPC!H$3</f>
        <v>1.7386964000000003</v>
      </c>
      <c r="CG8" s="14">
        <f>Painel!CG8*IPC!I$3</f>
        <v>2.1465511080300002</v>
      </c>
      <c r="CH8" s="14">
        <f>Painel!CH8*IPC!J$3</f>
        <v>3.1494674868373504</v>
      </c>
      <c r="CI8" s="14">
        <f>Painel!CI8</f>
        <v>18</v>
      </c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>
        <f>Painel!CN8</f>
        <v>8.6</v>
      </c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>
        <f>Painel!B9</f>
        <v>109.1</v>
      </c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>
        <f>Painel!G9</f>
        <v>219</v>
      </c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6">
        <f>Painel!L9</f>
        <v>224.4</v>
      </c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:Z9" si="9">SUM(U3:U8)-U7</f>
        <v>143.61571739978319</v>
      </c>
      <c r="V9" s="14"/>
      <c r="W9" s="14">
        <f t="shared" si="9"/>
        <v>0</v>
      </c>
      <c r="X9" s="14">
        <f t="shared" si="9"/>
        <v>72.047232074999997</v>
      </c>
      <c r="Y9" s="14">
        <f t="shared" si="9"/>
        <v>107.20830256216502</v>
      </c>
      <c r="Z9" s="14">
        <f t="shared" si="9"/>
        <v>162.51252232080728</v>
      </c>
      <c r="AA9" s="14">
        <f>Painel!AA9</f>
        <v>587</v>
      </c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>
        <f>Painel!AF9</f>
        <v>104</v>
      </c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>
        <f>Painel!AP9</f>
        <v>97.9</v>
      </c>
      <c r="AQ9" s="14">
        <f>Painel!AQ9*IPC!G$3</f>
        <v>110.16420000000001</v>
      </c>
      <c r="AR9" s="14">
        <f>Painel!AR9*IPC!H$3</f>
        <v>57.268312675000004</v>
      </c>
      <c r="AS9" s="14">
        <f>Painel!AS9*IPC!I$3</f>
        <v>9.5879282825339995</v>
      </c>
      <c r="AT9" s="14">
        <f>Painel!AT9*IPC!J$3</f>
        <v>31.872610966793989</v>
      </c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>
        <f>Painel!BO9</f>
        <v>96.75</v>
      </c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>
        <f>Painel!BT9</f>
        <v>322</v>
      </c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>
        <f>Painel!CD9</f>
        <v>202.4</v>
      </c>
      <c r="CE9" s="14">
        <f t="shared" si="38"/>
        <v>224.66069999999999</v>
      </c>
      <c r="CF9" s="14">
        <f t="shared" ref="CF9" si="39">SUM(CF3:CF8)-CF7</f>
        <v>295.14371390000002</v>
      </c>
      <c r="CG9" s="14">
        <f t="shared" ref="CG9" si="40">SUM(CG3:CG8)-CG7</f>
        <v>153.59765706348003</v>
      </c>
      <c r="CH9" s="14">
        <f t="shared" ref="CH9" si="41">SUM(CH3:CH8)-CH7</f>
        <v>200.93602566022298</v>
      </c>
      <c r="CI9" s="14">
        <f>Painel!CI9</f>
        <v>454</v>
      </c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>
        <f>Painel!CN9</f>
        <v>234</v>
      </c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>
        <f>Painel!B10</f>
        <v>62</v>
      </c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>
        <f>Painel!G10</f>
        <v>111</v>
      </c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6">
        <f>Painel!L10</f>
        <v>241</v>
      </c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>
        <f>Painel!W10*IPC!G$3</f>
        <v>0</v>
      </c>
      <c r="X10" s="14">
        <f>Painel!X10*IPC!H$3</f>
        <v>39.120669000000007</v>
      </c>
      <c r="Y10" s="14">
        <f>Painel!Y10*IPC!I$3</f>
        <v>50.08619252070001</v>
      </c>
      <c r="Z10" s="14">
        <f>Painel!Z10*IPC!J$3</f>
        <v>49.131692794662669</v>
      </c>
      <c r="AA10" s="14">
        <f>Painel!AA10</f>
        <v>251</v>
      </c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>
        <f>Painel!AF10</f>
        <v>15.2</v>
      </c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>
        <f>Painel!AP10</f>
        <v>0</v>
      </c>
      <c r="AQ10" s="14">
        <f>Painel!AQ10*IPC!G$3</f>
        <v>0</v>
      </c>
      <c r="AR10" s="14">
        <f>Painel!AR10*IPC!H$3</f>
        <v>0</v>
      </c>
      <c r="AS10" s="14">
        <f>Painel!AS10*IPC!I$3</f>
        <v>0</v>
      </c>
      <c r="AT10" s="14">
        <f>Painel!AT10*IPC!J$3</f>
        <v>0</v>
      </c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>
        <f>Painel!BO10</f>
        <v>4.5</v>
      </c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>
        <f>Painel!BT10</f>
        <v>77</v>
      </c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>
        <f>Painel!CD10</f>
        <v>174</v>
      </c>
      <c r="CE10" s="14">
        <f>Painel!CE10*IPC!G$3</f>
        <v>151.63050000000001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>
        <f>Painel!CI10</f>
        <v>121</v>
      </c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>
        <f>Painel!CN10</f>
        <v>125.3</v>
      </c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>
        <f>Painel!B11</f>
        <v>188</v>
      </c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>
        <f>Painel!G11</f>
        <v>336</v>
      </c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6">
        <f>Painel!L11</f>
        <v>513.4</v>
      </c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>
        <f>Painel!W11*IPC!G$3</f>
        <v>146.47300000000001</v>
      </c>
      <c r="X11" s="14">
        <f>Painel!X11*IPC!H$3</f>
        <v>128.22885950000003</v>
      </c>
      <c r="Y11" s="14">
        <f>Painel!Y11*IPC!I$3</f>
        <v>180.07178739585004</v>
      </c>
      <c r="Z11" s="14">
        <f>Painel!Z11*IPC!J$3</f>
        <v>240.61931599437358</v>
      </c>
      <c r="AA11" s="14">
        <f>Painel!AA11</f>
        <v>838</v>
      </c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>
        <f>Painel!AF11</f>
        <v>160.1</v>
      </c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>
        <f>Painel!AP11</f>
        <v>158</v>
      </c>
      <c r="AQ11" s="14">
        <f>Painel!AQ11*IPC!G$3</f>
        <v>127.90600000000001</v>
      </c>
      <c r="AR11" s="14">
        <f>Painel!AR11*IPC!H$3</f>
        <v>69.54785600000001</v>
      </c>
      <c r="AS11" s="14">
        <f>Painel!AS11*IPC!I$3</f>
        <v>25.043096260350005</v>
      </c>
      <c r="AT11" s="14">
        <f>Painel!AT11*IPC!J$3</f>
        <v>26.455526889433745</v>
      </c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>
        <f>Painel!BO11</f>
        <v>90</v>
      </c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>
        <f>Painel!BT11</f>
        <v>374</v>
      </c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>
        <f>Painel!CD11</f>
        <v>424</v>
      </c>
      <c r="CE11" s="14">
        <f>Painel!CE11*IPC!G$3</f>
        <v>352.77300000000002</v>
      </c>
      <c r="CF11" s="14">
        <f>Painel!CF11*IPC!H$3</f>
        <v>442.28089675000007</v>
      </c>
      <c r="CG11" s="14">
        <f>Painel!CG11*IPC!I$3</f>
        <v>286.20681440400006</v>
      </c>
      <c r="CH11" s="14">
        <f>Painel!CH11*IPC!J$3</f>
        <v>503.91479789397613</v>
      </c>
      <c r="CI11" s="14">
        <f>Painel!CI11</f>
        <v>669</v>
      </c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>
        <f>Painel!CN11</f>
        <v>345</v>
      </c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>
        <f>Painel!B12</f>
        <v>92</v>
      </c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>
        <f>Painel!G12</f>
        <v>216</v>
      </c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6">
        <f>Painel!L12</f>
        <v>133</v>
      </c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>
        <f>Painel!W12*IPC!G$3</f>
        <v>0</v>
      </c>
      <c r="X12" s="14">
        <f>Painel!X12*IPC!H$3</f>
        <v>69.982530100000005</v>
      </c>
      <c r="Y12" s="14">
        <f>Painel!Y12*IPC!I$3</f>
        <v>85.385032963859999</v>
      </c>
      <c r="Z12" s="14">
        <f>Painel!Z12*IPC!J$3</f>
        <v>93.224237610385586</v>
      </c>
      <c r="AA12" s="14">
        <f>Painel!AA12</f>
        <v>261</v>
      </c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>
        <f>Painel!AF12</f>
        <v>119.1</v>
      </c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>
        <f>Painel!AP12</f>
        <v>99</v>
      </c>
      <c r="AQ12" s="14">
        <f>Painel!AQ12*IPC!G$3</f>
        <v>86.646000000000001</v>
      </c>
      <c r="AR12" s="14">
        <f>Painel!AR12*IPC!H$3</f>
        <v>71.721226500000014</v>
      </c>
      <c r="AS12" s="14">
        <f>Painel!AS12*IPC!I$3</f>
        <v>23.850567867000002</v>
      </c>
      <c r="AT12" s="14">
        <f>Painel!AT12*IPC!J$3</f>
        <v>22.676165905228924</v>
      </c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>
        <f>Painel!BO12</f>
        <v>50</v>
      </c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>
        <f>Painel!BT12</f>
        <v>196</v>
      </c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>
        <f>Painel!CD12</f>
        <v>171.5</v>
      </c>
      <c r="CE12" s="14">
        <f>Painel!CE12*IPC!G$3</f>
        <v>140.28400000000002</v>
      </c>
      <c r="CF12" s="14">
        <f>Painel!CF12*IPC!H$3</f>
        <v>144.52913825000002</v>
      </c>
      <c r="CG12" s="14">
        <f>Painel!CG12*IPC!I$3</f>
        <v>163.37638988895003</v>
      </c>
      <c r="CH12" s="14">
        <f>Painel!CH12*IPC!J$3</f>
        <v>209.12464112600009</v>
      </c>
      <c r="CI12" s="14">
        <f>Painel!CI12</f>
        <v>266</v>
      </c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>
        <f>Painel!CN12</f>
        <v>160</v>
      </c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>
        <f>Painel!B13</f>
        <v>-9</v>
      </c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>
        <f>Painel!G13</f>
        <v>309</v>
      </c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6">
        <f>Painel!L13</f>
        <v>383</v>
      </c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>
        <f>Painel!W13*IPC!G$3</f>
        <v>-255.81200000000001</v>
      </c>
      <c r="X13" s="14">
        <f>Painel!X13*IPC!H$3</f>
        <v>84.761449500000012</v>
      </c>
      <c r="Y13" s="14">
        <f>Painel!Y13*IPC!I$3</f>
        <v>-165.76144667565003</v>
      </c>
      <c r="Z13" s="14">
        <f>Painel!Z13*IPC!J$3</f>
        <v>-27.715313884168687</v>
      </c>
      <c r="AA13" s="14">
        <f>Painel!AA13</f>
        <v>121</v>
      </c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>
        <f>Painel!AF13</f>
        <v>50</v>
      </c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>
        <f>Painel!AP13</f>
        <v>37</v>
      </c>
      <c r="AQ13" s="14">
        <f>Painel!AQ13*IPC!G$3</f>
        <v>26.819000000000003</v>
      </c>
      <c r="AR13" s="14">
        <f>Painel!AR13*IPC!H$3</f>
        <v>-5.433426250000001</v>
      </c>
      <c r="AS13" s="14">
        <f>Painel!AS13*IPC!I$3</f>
        <v>-0.23850567867000005</v>
      </c>
      <c r="AT13" s="14">
        <f>Painel!AT13*IPC!J$3</f>
        <v>2.1416378910493985</v>
      </c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>
        <f>Painel!BO13</f>
        <v>124</v>
      </c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>
        <f>Painel!BT13</f>
        <v>170</v>
      </c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>
        <f>Painel!CD13</f>
        <v>1</v>
      </c>
      <c r="CE13" s="14">
        <f>Painel!CE13*IPC!G$3</f>
        <v>17.535500000000003</v>
      </c>
      <c r="CF13" s="14">
        <f>Painel!CF13*IPC!H$3</f>
        <v>47.81415100000001</v>
      </c>
      <c r="CG13" s="14">
        <f>Painel!CG13*IPC!I$3</f>
        <v>-177.68673060915003</v>
      </c>
      <c r="CH13" s="14">
        <f>Painel!CH13*IPC!J$3</f>
        <v>30.234887873638566</v>
      </c>
      <c r="CI13" s="14">
        <f>Painel!CI13</f>
        <v>62</v>
      </c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>
        <f>Painel!CN13</f>
        <v>-70</v>
      </c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>
        <f>Painel!B14</f>
        <v>7</v>
      </c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>
        <f>Painel!G14</f>
        <v>-212</v>
      </c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6">
        <f>Painel!L14</f>
        <v>498</v>
      </c>
      <c r="M14" s="14">
        <f>Painel!M14*IPC!G$3</f>
        <v>89.740500000000011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>
        <f>Painel!W14*IPC!G$3</f>
        <v>0</v>
      </c>
      <c r="X14" s="14">
        <f>Painel!X14*IPC!H$3</f>
        <v>-21.733705000000004</v>
      </c>
      <c r="Y14" s="14">
        <f>Painel!Y14*IPC!I$3</f>
        <v>15.502869113550002</v>
      </c>
      <c r="Z14" s="14">
        <f>Painel!Z14*IPC!J$3</f>
        <v>64.249136731481954</v>
      </c>
      <c r="AA14" s="14">
        <f>Painel!AA14</f>
        <v>248</v>
      </c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>
        <f>Painel!AF14</f>
        <v>60</v>
      </c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>
        <f>Painel!AP14</f>
        <v>37</v>
      </c>
      <c r="AQ14" s="14">
        <f>Painel!AQ14*IPC!G$3</f>
        <v>26.819000000000003</v>
      </c>
      <c r="AR14" s="14">
        <f>Painel!AR14*IPC!H$3</f>
        <v>4.8900836250000008</v>
      </c>
      <c r="AS14" s="14">
        <f>Painel!AS14*IPC!I$3</f>
        <v>2.146551108030001</v>
      </c>
      <c r="AT14" s="14">
        <f>Painel!AT14*IPC!J$3</f>
        <v>7.5587219684096416</v>
      </c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>
        <f>Painel!BO14</f>
        <v>-0.8</v>
      </c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>
        <f>Painel!BT14</f>
        <v>298</v>
      </c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>
        <f>Painel!CD14</f>
        <v>192</v>
      </c>
      <c r="CE14" s="14">
        <f>Painel!CE14*IPC!G$3</f>
        <v>200.11100000000002</v>
      </c>
      <c r="CF14" s="14">
        <f>Painel!CF14*IPC!H$3</f>
        <v>232.55064350000004</v>
      </c>
      <c r="CG14" s="14">
        <f>Painel!CG14*IPC!I$3</f>
        <v>10.732755540150002</v>
      </c>
      <c r="CH14" s="14">
        <f>Painel!CH14*IPC!J$3</f>
        <v>256.99654692592782</v>
      </c>
      <c r="CI14" s="14">
        <f>Painel!CI14</f>
        <v>116</v>
      </c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>
        <f>Painel!CN14</f>
        <v>-11</v>
      </c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>
        <f>Painel!B15</f>
        <v>9</v>
      </c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>
        <f>Painel!G15</f>
        <v>148</v>
      </c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6">
        <f>Painel!L15</f>
        <v>39</v>
      </c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>
        <f>Painel!W15*IPC!G$3</f>
        <v>0</v>
      </c>
      <c r="X15" s="14">
        <f>Painel!X15*IPC!H$3</f>
        <v>5.433426250000001</v>
      </c>
      <c r="Y15" s="14">
        <f>Painel!Y15*IPC!I$3</f>
        <v>5.6048834487450012</v>
      </c>
      <c r="Z15" s="14">
        <f>Painel!Z15*IPC!J$3</f>
        <v>7.054807170515665</v>
      </c>
      <c r="AA15" s="14">
        <f>Painel!AA15</f>
        <v>53</v>
      </c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>
        <f>Painel!AF15</f>
        <v>6.1</v>
      </c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>
        <f>Painel!AP15</f>
        <v>0</v>
      </c>
      <c r="AQ15" s="14">
        <f>Painel!AQ15*IPC!G$3</f>
        <v>0</v>
      </c>
      <c r="AR15" s="14">
        <f>Painel!AR15*IPC!H$3</f>
        <v>0</v>
      </c>
      <c r="AS15" s="14">
        <f>Painel!AS15*IPC!I$3</f>
        <v>0</v>
      </c>
      <c r="AT15" s="14">
        <f>Painel!AT15*IPC!J$3</f>
        <v>0</v>
      </c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>
        <f>Painel!BO15</f>
        <v>0.1</v>
      </c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>
        <f>Painel!BT15</f>
        <v>85</v>
      </c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>
        <f>Painel!CD15</f>
        <v>98</v>
      </c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>
        <f>Painel!CI15</f>
        <v>77</v>
      </c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>
        <f>Painel!CN15</f>
        <v>157</v>
      </c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>
        <f>Painel!B16</f>
        <v>12</v>
      </c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>
        <f>Painel!G16</f>
        <v>24</v>
      </c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6">
        <f>Painel!L16</f>
        <v>14</v>
      </c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>
        <f>Painel!W16*IPC!G$3</f>
        <v>0</v>
      </c>
      <c r="X16" s="14">
        <f>Painel!X16*IPC!H$3</f>
        <v>0</v>
      </c>
      <c r="Y16" s="14">
        <f>Painel!Y16*IPC!I$3</f>
        <v>0</v>
      </c>
      <c r="Z16" s="14">
        <f>Painel!Z16*IPC!J$3</f>
        <v>2.2676165905228927</v>
      </c>
      <c r="AA16" s="14">
        <f>Painel!AA16</f>
        <v>0</v>
      </c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>
        <f>Painel!AF16</f>
        <v>4.8</v>
      </c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>
        <f>Painel!AP16</f>
        <v>0</v>
      </c>
      <c r="AQ16" s="14">
        <f>Painel!AQ16*IPC!G$3</f>
        <v>0</v>
      </c>
      <c r="AR16" s="14">
        <f>Painel!AR16*IPC!H$3</f>
        <v>0</v>
      </c>
      <c r="AS16" s="14">
        <f>Painel!AS16*IPC!I$3</f>
        <v>0</v>
      </c>
      <c r="AT16" s="14">
        <f>Painel!AT16*IPC!J$3</f>
        <v>0</v>
      </c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>
        <f>Painel!BO16</f>
        <v>5</v>
      </c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>
        <f>Painel!BT16</f>
        <v>19</v>
      </c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>
        <f>Painel!CD16</f>
        <v>12</v>
      </c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>
        <f>Painel!CI16</f>
        <v>34</v>
      </c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>
        <f>Painel!CN16</f>
        <v>0</v>
      </c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>
        <v>0.1</v>
      </c>
      <c r="AR17" s="14">
        <v>0.1</v>
      </c>
      <c r="AS17" s="14">
        <v>0.1</v>
      </c>
      <c r="AT17" s="14">
        <v>0.1</v>
      </c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>
        <v>0.2</v>
      </c>
      <c r="AR18" s="14">
        <v>0.2</v>
      </c>
      <c r="AS18" s="14">
        <v>0.2</v>
      </c>
      <c r="AT18" s="14">
        <v>0.2</v>
      </c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>
        <v>0</v>
      </c>
      <c r="AI20" s="6">
        <v>3.2873286567669809E-2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>
        <v>0</v>
      </c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>
        <v>0</v>
      </c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>
        <v>0</v>
      </c>
      <c r="CP20" s="6">
        <v>0</v>
      </c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>
        <f>Painel!W21*IPC!G$3</f>
        <v>11.037050000000001</v>
      </c>
      <c r="X21" s="14">
        <f>Painel!X21*IPC!H$3</f>
        <v>0</v>
      </c>
      <c r="Y21" s="14">
        <f>Painel!Y21*IPC!I$3</f>
        <v>0</v>
      </c>
      <c r="Z21" s="14">
        <f>Painel!Z21*IPC!J$3</f>
        <v>13.353742144190367</v>
      </c>
      <c r="AA21" s="6">
        <v>42.9</v>
      </c>
      <c r="AB21" s="6">
        <f>Painel!AB21*IPC!G$3</f>
        <v>47.861600000000003</v>
      </c>
      <c r="AC21" s="6">
        <f>Painel!AC21*IPC!H$3</f>
        <v>0</v>
      </c>
      <c r="AD21" s="6">
        <f>Painel!AD21*IPC!I$3</f>
        <v>0</v>
      </c>
      <c r="AE21" s="6">
        <f>Painel!AE21*IPC!J$3</f>
        <v>39.809269033624112</v>
      </c>
      <c r="AF21" s="6">
        <v>12</v>
      </c>
      <c r="AG21" s="6">
        <f>Painel!AG21*IPC!G$3</f>
        <v>8.2520000000000007</v>
      </c>
      <c r="AH21" s="6">
        <f>Painel!AH21*IPC!H$3</f>
        <v>0</v>
      </c>
      <c r="AI21" s="6">
        <f>Painel!AI21*IPC!I$3</f>
        <v>0</v>
      </c>
      <c r="AJ21" s="6">
        <f>Painel!AJ21*IPC!J$3</f>
        <v>0</v>
      </c>
      <c r="AK21" s="6">
        <v>25.6</v>
      </c>
      <c r="AL21" s="6">
        <f>Painel!AL21*IPC!G$3</f>
        <v>0</v>
      </c>
      <c r="AM21" s="6">
        <f>Painel!AM21*IPC!H$3</f>
        <v>0</v>
      </c>
      <c r="AN21" s="6">
        <f>Painel!AN21*IPC!I$3</f>
        <v>0</v>
      </c>
      <c r="AO21" s="6">
        <f>Painel!AO21*IPC!J$3</f>
        <v>9.4484024605120513</v>
      </c>
      <c r="AP21" s="6">
        <v>14.9</v>
      </c>
      <c r="AQ21" s="14">
        <f>Painel!AQ21*IPC!G$3</f>
        <v>12.378</v>
      </c>
      <c r="AR21" s="14">
        <v>0</v>
      </c>
      <c r="AS21" s="14">
        <v>0</v>
      </c>
      <c r="AT21" s="14">
        <v>0</v>
      </c>
      <c r="AU21" s="6">
        <v>69.599999999999994</v>
      </c>
      <c r="AV21" s="6">
        <f>Painel!AV21*IPC!G$3</f>
        <v>49.202550000000009</v>
      </c>
      <c r="AW21" s="6">
        <f>Painel!AW21*IPC!H$3</f>
        <v>0</v>
      </c>
      <c r="AX21" s="6">
        <f>Painel!AX21*IPC!I$3</f>
        <v>0</v>
      </c>
      <c r="AY21" s="6">
        <f>Painel!AY21*IPC!J$3</f>
        <v>67.398604218319306</v>
      </c>
      <c r="AZ21" s="6">
        <v>25.9</v>
      </c>
      <c r="BA21" s="6">
        <f>Painel!BA21*IPC!G$3</f>
        <v>17.43235</v>
      </c>
      <c r="BB21" s="6">
        <f>Painel!BB21*IPC!H$3</f>
        <v>0</v>
      </c>
      <c r="BC21" s="6">
        <f>Painel!BC21*IPC!I$3</f>
        <v>0</v>
      </c>
      <c r="BD21" s="6">
        <f>Painel!BD21*IPC!J$3</f>
        <v>12.345912548402415</v>
      </c>
      <c r="BE21" s="6">
        <v>10.7</v>
      </c>
      <c r="BF21" s="6">
        <f>Painel!BF21*IPC!G$3</f>
        <v>11.346500000000001</v>
      </c>
      <c r="BG21" s="6">
        <f>Painel!BG21*IPC!H$3</f>
        <v>0</v>
      </c>
      <c r="BH21" s="6">
        <f>Painel!BH21*IPC!I$3</f>
        <v>0</v>
      </c>
      <c r="BI21" s="6">
        <f>Painel!BI21*IPC!J$3</f>
        <v>11.464061652087956</v>
      </c>
      <c r="BJ21" s="6">
        <v>38</v>
      </c>
      <c r="BK21" s="6">
        <f>Painel!BK21*IPC!G$3</f>
        <v>0</v>
      </c>
      <c r="BL21" s="6">
        <f>Painel!BL21*IPC!H$3</f>
        <v>0</v>
      </c>
      <c r="BM21" s="6">
        <f>Painel!BM21*IPC!I$3</f>
        <v>0</v>
      </c>
      <c r="BN21" s="6">
        <f>Painel!BN21*IPC!J$3</f>
        <v>14.487550439451812</v>
      </c>
      <c r="BO21" s="6">
        <v>5</v>
      </c>
      <c r="BP21" s="6">
        <f>Painel!BP21*IPC!G$3</f>
        <v>4.4354500000000003</v>
      </c>
      <c r="BQ21" s="6">
        <f>Painel!BQ21*IPC!H$3</f>
        <v>0</v>
      </c>
      <c r="BR21" s="6">
        <f>Painel!BR21*IPC!I$3</f>
        <v>0</v>
      </c>
      <c r="BS21" s="6">
        <f>Painel!BS21*IPC!J$3</f>
        <v>10.078295957879522</v>
      </c>
      <c r="BT21" s="6">
        <v>23.3</v>
      </c>
      <c r="BU21" s="6">
        <f>Painel!BU21*IPC!G$3</f>
        <v>20.114250000000002</v>
      </c>
      <c r="BV21" s="6">
        <f>Painel!BV21*IPC!H$3</f>
        <v>0</v>
      </c>
      <c r="BW21" s="6">
        <f>Painel!BW21*IPC!I$3</f>
        <v>0</v>
      </c>
      <c r="BX21" s="6">
        <f>Painel!BX21*IPC!J$3</f>
        <v>19.022783620497599</v>
      </c>
      <c r="BY21" s="6">
        <v>45.9</v>
      </c>
      <c r="BZ21" s="6">
        <f>Painel!BZ21*IPC!G$3</f>
        <v>46.830100000000002</v>
      </c>
      <c r="CA21" s="6">
        <f>Painel!CA21*IPC!H$3</f>
        <v>0</v>
      </c>
      <c r="CB21" s="6">
        <f>Painel!CB21*IPC!I$3</f>
        <v>0</v>
      </c>
      <c r="CC21" s="6">
        <f>Painel!CC21*IPC!J$3</f>
        <v>37.163716344680736</v>
      </c>
      <c r="CD21" s="6">
        <v>8.4</v>
      </c>
      <c r="CE21" s="6">
        <f>Painel!CE21*IPC!G$3</f>
        <v>8.4582999999999995</v>
      </c>
      <c r="CF21" s="6">
        <f>Painel!CF21*IPC!H$3</f>
        <v>0</v>
      </c>
      <c r="CG21" s="6">
        <f>Painel!CG21*IPC!I$3</f>
        <v>0</v>
      </c>
      <c r="CH21" s="6">
        <f>Painel!CH21*IPC!J$3</f>
        <v>9.322423761038559</v>
      </c>
      <c r="CI21" s="6">
        <v>47.8</v>
      </c>
      <c r="CJ21" s="6">
        <f>Painel!CJ21*IPC!G$3</f>
        <v>26.303250000000002</v>
      </c>
      <c r="CK21" s="6">
        <f>Painel!CK21*IPC!H$3</f>
        <v>0</v>
      </c>
      <c r="CL21" s="6">
        <f>Painel!CL21*IPC!I$3</f>
        <v>0</v>
      </c>
      <c r="CM21" s="6">
        <f>Painel!CM21*IPC!J$3</f>
        <v>30.234887873638566</v>
      </c>
      <c r="CN21" s="6">
        <v>21.5</v>
      </c>
      <c r="CO21" s="6">
        <f>Painel!CO21*IPC!G$3</f>
        <v>0</v>
      </c>
      <c r="CP21" s="6">
        <f>Painel!CP21*IPC!H$3</f>
        <v>0</v>
      </c>
      <c r="CQ21" s="6">
        <f>Painel!CQ21*IPC!I$3</f>
        <v>0</v>
      </c>
      <c r="CR21" s="6">
        <f>Painel!CR21*IPC!J$3</f>
        <v>22.424208506281939</v>
      </c>
    </row>
    <row r="22" spans="1:111" x14ac:dyDescent="0.3">
      <c r="A22" t="s">
        <v>62</v>
      </c>
      <c r="B22" s="6">
        <v>386</v>
      </c>
      <c r="C22" s="6">
        <f>Painel!C22*IPC!G$3</f>
        <v>119.43684210526318</v>
      </c>
      <c r="D22" s="6">
        <f>Painel!D22*IPC!H$3</f>
        <v>0</v>
      </c>
      <c r="E22" s="6">
        <f>Painel!E22*IPC!I$3</f>
        <v>0</v>
      </c>
      <c r="F22" s="6">
        <f>Painel!F22*IPC!J$3</f>
        <v>0</v>
      </c>
      <c r="G22" s="6">
        <v>1645</v>
      </c>
      <c r="H22" s="6">
        <f>Painel!H22*IPC!G$3</f>
        <v>1036.9289473684212</v>
      </c>
      <c r="I22" s="6">
        <f>Painel!I22*IPC!H$3</f>
        <v>0</v>
      </c>
      <c r="J22" s="6">
        <f>Painel!J22*IPC!I$3</f>
        <v>0</v>
      </c>
      <c r="K22" s="6">
        <f>Painel!K22*IPC!J$3</f>
        <v>324.89243548427407</v>
      </c>
      <c r="L22" s="6">
        <v>977</v>
      </c>
      <c r="M22" s="6">
        <f>Painel!M22*IPC!G$3</f>
        <v>553.75263157894744</v>
      </c>
      <c r="N22" s="6">
        <f>Painel!N22*IPC!H$3</f>
        <v>0</v>
      </c>
      <c r="O22" s="6">
        <f>Painel!O22*IPC!I$3</f>
        <v>0</v>
      </c>
      <c r="P22" s="6">
        <f>Painel!P22*IPC!J$3</f>
        <v>530.43662936208011</v>
      </c>
      <c r="Q22" s="6">
        <v>1189</v>
      </c>
      <c r="R22" s="6">
        <f>Painel!R22*IPC!G$3</f>
        <v>0</v>
      </c>
      <c r="S22" s="6">
        <f>Painel!S22*IPC!H$3</f>
        <v>0</v>
      </c>
      <c r="T22" s="6">
        <f>Painel!T22*IPC!I$3</f>
        <v>0</v>
      </c>
      <c r="U22" s="6">
        <f>Painel!U22*IPC!J$3</f>
        <v>649.78487096854815</v>
      </c>
      <c r="V22" s="6">
        <v>1271</v>
      </c>
      <c r="W22" s="14">
        <f>Painel!W22*IPC!G$3</f>
        <v>0</v>
      </c>
      <c r="X22" s="14">
        <f>Painel!X22*IPC!H$3</f>
        <v>0</v>
      </c>
      <c r="Y22" s="14">
        <f>Painel!Y22*IPC!I$3</f>
        <v>0</v>
      </c>
      <c r="Z22" s="14">
        <f>Painel!Z22*IPC!J$3</f>
        <v>702.82853390475611</v>
      </c>
      <c r="AA22" s="6">
        <v>2384</v>
      </c>
      <c r="AB22" s="6">
        <f>Painel!AB22*IPC!G$3</f>
        <v>2519.0315789473684</v>
      </c>
      <c r="AC22" s="6">
        <f>Painel!AC22*IPC!H$3</f>
        <v>0</v>
      </c>
      <c r="AD22" s="6">
        <f>Painel!AD22*IPC!I$3</f>
        <v>0</v>
      </c>
      <c r="AE22" s="6">
        <f>Painel!AE22*IPC!J$3</f>
        <v>2095.2246859802162</v>
      </c>
      <c r="AF22" s="6">
        <v>704</v>
      </c>
      <c r="AG22" s="6">
        <f>Painel!AG22*IPC!G$3</f>
        <v>434.31578947368422</v>
      </c>
      <c r="AH22" s="6">
        <f>Painel!AH22*IPC!H$3</f>
        <v>0</v>
      </c>
      <c r="AI22" s="6">
        <f>Painel!AI22*IPC!I$3</f>
        <v>0</v>
      </c>
      <c r="AJ22" s="6">
        <f>Painel!AJ22*IPC!J$3</f>
        <v>0</v>
      </c>
      <c r="AK22" s="6">
        <v>1436</v>
      </c>
      <c r="AL22" s="6">
        <f>Painel!AL22*IPC!G$3</f>
        <v>0</v>
      </c>
      <c r="AM22" s="6">
        <f>Painel!AM22*IPC!H$3</f>
        <v>0</v>
      </c>
      <c r="AN22" s="6">
        <f>Painel!AN22*IPC!I$3</f>
        <v>0</v>
      </c>
      <c r="AO22" s="6">
        <f>Painel!AO22*IPC!J$3</f>
        <v>497.28434002695013</v>
      </c>
      <c r="AP22" s="6">
        <v>782</v>
      </c>
      <c r="AQ22" s="14">
        <f>Painel!AQ22*IPC!G$3</f>
        <v>651.47368421052636</v>
      </c>
      <c r="AR22" s="14">
        <v>0</v>
      </c>
      <c r="AS22" s="14">
        <v>0</v>
      </c>
      <c r="AT22" s="14">
        <v>0</v>
      </c>
      <c r="AU22" s="6">
        <v>3661</v>
      </c>
      <c r="AV22" s="6">
        <f>Painel!AV22*IPC!G$3</f>
        <v>2589.6078947368424</v>
      </c>
      <c r="AW22" s="6">
        <f>Painel!AW22*IPC!H$3</f>
        <v>0</v>
      </c>
      <c r="AX22" s="6">
        <f>Painel!AX22*IPC!I$3</f>
        <v>0</v>
      </c>
      <c r="AY22" s="6">
        <f>Painel!AY22*IPC!J$3</f>
        <v>3547.2949588589108</v>
      </c>
      <c r="AZ22" s="6">
        <v>1363</v>
      </c>
      <c r="BA22" s="6">
        <f>Painel!BA22*IPC!G$3</f>
        <v>917.4921052631579</v>
      </c>
      <c r="BB22" s="6">
        <f>Painel!BB22*IPC!H$3</f>
        <v>0</v>
      </c>
      <c r="BC22" s="6">
        <f>Painel!BC22*IPC!I$3</f>
        <v>0</v>
      </c>
      <c r="BD22" s="6">
        <f>Painel!BD22*IPC!J$3</f>
        <v>649.78487096854815</v>
      </c>
      <c r="BE22" s="6">
        <v>564</v>
      </c>
      <c r="BF22" s="6">
        <f>Painel!BF22*IPC!G$3</f>
        <v>597.18421052631584</v>
      </c>
      <c r="BG22" s="6">
        <f>Painel!BG22*IPC!H$3</f>
        <v>0</v>
      </c>
      <c r="BH22" s="6">
        <f>Painel!BH22*IPC!I$3</f>
        <v>0</v>
      </c>
      <c r="BI22" s="6">
        <f>Painel!BI22*IPC!J$3</f>
        <v>603.37166589936612</v>
      </c>
      <c r="BJ22" s="6">
        <v>2001</v>
      </c>
      <c r="BK22" s="6">
        <f>Painel!BK22*IPC!G$3</f>
        <v>0</v>
      </c>
      <c r="BL22" s="6">
        <f>Painel!BL22*IPC!H$3</f>
        <v>0</v>
      </c>
      <c r="BM22" s="6">
        <f>Painel!BM22*IPC!I$3</f>
        <v>0</v>
      </c>
      <c r="BN22" s="6">
        <f>Painel!BN22*IPC!J$3</f>
        <v>762.50265470799025</v>
      </c>
      <c r="BO22" s="6">
        <v>266</v>
      </c>
      <c r="BP22" s="6">
        <f>Painel!BP22*IPC!G$3</f>
        <v>233.44473684210527</v>
      </c>
      <c r="BQ22" s="6">
        <f>Painel!BQ22*IPC!H$3</f>
        <v>0</v>
      </c>
      <c r="BR22" s="6">
        <f>Painel!BR22*IPC!I$3</f>
        <v>0</v>
      </c>
      <c r="BS22" s="6">
        <f>Painel!BS22*IPC!J$3</f>
        <v>530.43662936208011</v>
      </c>
      <c r="BT22" s="6">
        <v>1226</v>
      </c>
      <c r="BU22" s="6">
        <f>Painel!BU22*IPC!G$3</f>
        <v>1058.6447368421054</v>
      </c>
      <c r="BV22" s="6">
        <f>Painel!BV22*IPC!H$3</f>
        <v>0</v>
      </c>
      <c r="BW22" s="6">
        <f>Painel!BW22*IPC!I$3</f>
        <v>0</v>
      </c>
      <c r="BX22" s="6">
        <f>Painel!BX22*IPC!J$3</f>
        <v>1001.1991379209263</v>
      </c>
      <c r="BY22" s="6">
        <v>2416</v>
      </c>
      <c r="BZ22" s="6">
        <f>Painel!BZ22*IPC!G$3</f>
        <v>2464.742105263158</v>
      </c>
      <c r="CA22" s="6">
        <f>Painel!CA22*IPC!H$3</f>
        <v>0</v>
      </c>
      <c r="CB22" s="6">
        <f>Painel!CB22*IPC!I$3</f>
        <v>0</v>
      </c>
      <c r="CC22" s="6">
        <f>Painel!CC22*IPC!J$3</f>
        <v>1955.9850707726703</v>
      </c>
      <c r="CD22" s="6">
        <v>558</v>
      </c>
      <c r="CE22" s="6">
        <f>Painel!CE22*IPC!G$3</f>
        <v>445.17368421052629</v>
      </c>
      <c r="CF22" s="6">
        <f>Painel!CF22*IPC!H$3</f>
        <v>0</v>
      </c>
      <c r="CG22" s="6">
        <f>Painel!CG22*IPC!I$3</f>
        <v>0</v>
      </c>
      <c r="CH22" s="6">
        <f>Painel!CH22*IPC!J$3</f>
        <v>490.65388215992414</v>
      </c>
      <c r="CI22" s="6">
        <v>2515</v>
      </c>
      <c r="CJ22" s="6">
        <f>Painel!CJ22*IPC!G$3</f>
        <v>1384.3815789473686</v>
      </c>
      <c r="CK22" s="6">
        <f>Painel!CK22*IPC!H$3</f>
        <v>0</v>
      </c>
      <c r="CL22" s="6">
        <f>Painel!CL22*IPC!I$3</f>
        <v>0</v>
      </c>
      <c r="CM22" s="6">
        <f>Painel!CM22*IPC!J$3</f>
        <v>1591.3098880862403</v>
      </c>
      <c r="CN22" s="6">
        <v>1435</v>
      </c>
      <c r="CO22" s="6">
        <f>Painel!CO22*IPC!G$3</f>
        <v>0</v>
      </c>
      <c r="CP22" s="6">
        <f>Painel!CP22*IPC!H$3</f>
        <v>0</v>
      </c>
      <c r="CQ22" s="6">
        <f>Painel!CQ22*IPC!I$3</f>
        <v>0</v>
      </c>
      <c r="CR22" s="6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T24" si="62">B11/B18</f>
        <v>188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35.368421052631582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155.57575757575756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33.289318181818182</v>
      </c>
      <c r="X24" s="14">
        <f t="shared" si="62"/>
        <v>29.142922613636369</v>
      </c>
      <c r="Y24" s="14">
        <f t="shared" si="62"/>
        <v>40.925406226329549</v>
      </c>
      <c r="Z24" s="14">
        <f t="shared" si="62"/>
        <v>54.686208180539445</v>
      </c>
      <c r="AA24" s="14">
        <f t="shared" si="62"/>
        <v>26.858974358974361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48.515151515151516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790</v>
      </c>
      <c r="AQ24" s="14">
        <f t="shared" si="62"/>
        <v>639.53</v>
      </c>
      <c r="AR24" s="14">
        <f t="shared" si="62"/>
        <v>347.73928000000001</v>
      </c>
      <c r="AS24" s="14">
        <f t="shared" si="62"/>
        <v>125.21548130175002</v>
      </c>
      <c r="AT24" s="14">
        <f t="shared" si="62"/>
        <v>132.27763444716871</v>
      </c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225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48.571428571428569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62.352941176470587</v>
      </c>
      <c r="CE24" s="14">
        <f t="shared" ref="CE24:CH24" si="67">CE11/CE18</f>
        <v>51.87838235294118</v>
      </c>
      <c r="CF24" s="14">
        <f t="shared" si="67"/>
        <v>65.041308345588249</v>
      </c>
      <c r="CG24" s="14">
        <f t="shared" si="67"/>
        <v>42.089237412352951</v>
      </c>
      <c r="CH24" s="14">
        <f t="shared" si="67"/>
        <v>74.105117337349427</v>
      </c>
      <c r="CI24" s="14">
        <f>CI11/CI18</f>
        <v>30.688073394495412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25.367647058823529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>
        <f t="shared" ref="B25:F25" si="69">B10/B16</f>
        <v>5.166666666666667</v>
      </c>
      <c r="C25" s="14">
        <f t="shared" si="69"/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>
        <f t="shared" ref="G25:L25" si="70">G10/G16</f>
        <v>4.625</v>
      </c>
      <c r="H25" s="14">
        <f t="shared" si="70"/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>
        <f t="shared" si="70"/>
        <v>17.214285714285715</v>
      </c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f t="shared" ref="AF25:AJ25" si="73">AF10/AF16</f>
        <v>3.1666666666666665</v>
      </c>
      <c r="AG25" s="14">
        <f t="shared" si="73"/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>
        <f t="shared" ref="BO25:BS25" si="79">BO10/BO16</f>
        <v>0.9</v>
      </c>
      <c r="BP25" s="14">
        <f t="shared" si="79"/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>
        <f t="shared" ref="BT25:BX25" si="80">BT10/BT16</f>
        <v>4.0526315789473681</v>
      </c>
      <c r="BU25" s="14">
        <f t="shared" si="80"/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14.7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>
        <f t="shared" ref="CI25:CN25" si="83">CI10/CI16</f>
        <v>3.5588235294117645</v>
      </c>
      <c r="CJ25" s="14">
        <f t="shared" si="83"/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>
        <v>0</v>
      </c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f t="shared" ref="B26:D26" si="85">B10/B19</f>
        <v>2.5833333333333335</v>
      </c>
      <c r="C26" s="14">
        <f t="shared" si="85"/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f t="shared" ref="G26:K26" si="86">G10/G19</f>
        <v>1.6818181818181819</v>
      </c>
      <c r="H26" s="14">
        <f t="shared" si="86"/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f t="shared" ref="L26" si="87">L10/L19</f>
        <v>4.3035714285714288</v>
      </c>
      <c r="M26" s="14">
        <f t="shared" ref="M26:P26" si="88">M10/M19</f>
        <v>1.7962327586206899</v>
      </c>
      <c r="N26" s="14">
        <f t="shared" si="88"/>
        <v>0.73987080851063836</v>
      </c>
      <c r="O26" s="14">
        <f t="shared" si="88"/>
        <v>4.5226076804405668</v>
      </c>
      <c r="P26" s="14">
        <f t="shared" si="88"/>
        <v>2.6179948484335478</v>
      </c>
      <c r="Q26" s="14">
        <v>0</v>
      </c>
      <c r="R26" s="14">
        <v>0</v>
      </c>
      <c r="S26" s="14">
        <f t="shared" ref="S26:U26" si="89">S10/S19</f>
        <v>0.88451125000000008</v>
      </c>
      <c r="T26" s="14">
        <f t="shared" si="89"/>
        <v>0.59626419667500008</v>
      </c>
      <c r="U26" s="14">
        <f t="shared" si="89"/>
        <v>1.1569472400627003</v>
      </c>
      <c r="V26" s="14">
        <v>0</v>
      </c>
      <c r="W26" s="14">
        <f t="shared" ref="W26:Z26" si="90">W10/W19</f>
        <v>0</v>
      </c>
      <c r="X26" s="14">
        <v>0</v>
      </c>
      <c r="Y26" s="14">
        <f t="shared" si="90"/>
        <v>1.8550441674333338</v>
      </c>
      <c r="Z26" s="14">
        <f t="shared" si="90"/>
        <v>1.1425975068526202</v>
      </c>
      <c r="AA26" s="14">
        <f t="shared" ref="AA26:AE26" si="91">AA10/AA19</f>
        <v>5.0199999999999996</v>
      </c>
      <c r="AB26" s="14">
        <f t="shared" si="91"/>
        <v>2.3169076923076926</v>
      </c>
      <c r="AC26" s="14">
        <f t="shared" si="91"/>
        <v>0.5338102982456141</v>
      </c>
      <c r="AD26" s="14">
        <f t="shared" si="91"/>
        <v>4.4193699282970593</v>
      </c>
      <c r="AE26" s="14">
        <f t="shared" si="91"/>
        <v>0.76487067537478526</v>
      </c>
      <c r="AF26" s="14">
        <f t="shared" ref="AF26:AI26" si="92">AF10/AF19</f>
        <v>0.5066666666666666</v>
      </c>
      <c r="AG26" s="14">
        <f t="shared" si="92"/>
        <v>0.83502380952380961</v>
      </c>
      <c r="AH26" s="14">
        <v>0</v>
      </c>
      <c r="AI26" s="14">
        <f t="shared" si="92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3">AO10/AO19</f>
        <v>3.7793609842048204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f>AU10/AU19</f>
        <v>4.5909090909090908</v>
      </c>
      <c r="AV26" s="14">
        <f t="shared" ref="AV26:AY26" si="94">AV10/AV19</f>
        <v>2.212733870967742</v>
      </c>
      <c r="AW26" s="14">
        <f t="shared" si="94"/>
        <v>4.2549084436619724</v>
      </c>
      <c r="AX26" s="14">
        <f t="shared" si="94"/>
        <v>3.7287507510380289</v>
      </c>
      <c r="AY26" s="14">
        <f t="shared" si="94"/>
        <v>4.1992899824498009</v>
      </c>
      <c r="AZ26" s="14">
        <v>0</v>
      </c>
      <c r="BA26" s="14">
        <f t="shared" ref="BA26:BD26" si="95">BA10/BA19</f>
        <v>1.385157142857143</v>
      </c>
      <c r="BB26" s="14">
        <f t="shared" si="95"/>
        <v>2.2136181018518521</v>
      </c>
      <c r="BC26" s="14">
        <f t="shared" si="95"/>
        <v>0.93166280730468765</v>
      </c>
      <c r="BD26" s="14">
        <f t="shared" si="95"/>
        <v>2.8756007488514941</v>
      </c>
      <c r="BE26" s="14">
        <v>0</v>
      </c>
      <c r="BF26" s="14">
        <f t="shared" ref="BF26:BI26" si="96">BF10/BF19</f>
        <v>0.37509090909090914</v>
      </c>
      <c r="BG26" s="14">
        <f t="shared" si="96"/>
        <v>4.4966286206896557E-2</v>
      </c>
      <c r="BH26" s="14">
        <f t="shared" si="96"/>
        <v>0.31994664211829271</v>
      </c>
      <c r="BI26" s="14">
        <f t="shared" si="96"/>
        <v>0.15450217859956814</v>
      </c>
      <c r="BJ26" s="14">
        <f>BJ10/BJ19</f>
        <v>0.73529411764705888</v>
      </c>
      <c r="BK26" s="14">
        <v>0</v>
      </c>
      <c r="BL26" s="14">
        <f t="shared" ref="BL26:BO26" si="97">BL10/BL19</f>
        <v>4.0182082500000007</v>
      </c>
      <c r="BM26" s="14">
        <f t="shared" si="97"/>
        <v>2.4254814780000005</v>
      </c>
      <c r="BN26" s="14">
        <f t="shared" si="97"/>
        <v>2.0931845450980546</v>
      </c>
      <c r="BO26" s="14">
        <f t="shared" si="97"/>
        <v>0.11842105263157894</v>
      </c>
      <c r="BP26" s="14">
        <f t="shared" ref="BP26:BT26" si="98">BP10/BP19</f>
        <v>6.7271739130434785E-2</v>
      </c>
      <c r="BQ26" s="14">
        <v>0</v>
      </c>
      <c r="BR26" s="14">
        <f t="shared" si="98"/>
        <v>1.4503723702905409</v>
      </c>
      <c r="BS26" s="14">
        <f t="shared" si="98"/>
        <v>2.6649340273239123E-2</v>
      </c>
      <c r="BT26" s="14">
        <f t="shared" si="98"/>
        <v>1.4</v>
      </c>
      <c r="BU26" s="14">
        <f t="shared" ref="BU26:BX26" si="99">BU10/BU19</f>
        <v>2.444513698630137</v>
      </c>
      <c r="BV26" s="14">
        <f t="shared" si="99"/>
        <v>1.9922562916666671</v>
      </c>
      <c r="BW26" s="14">
        <f t="shared" si="99"/>
        <v>1.1584561535400002</v>
      </c>
      <c r="BX26" s="14">
        <f t="shared" si="99"/>
        <v>3.0058075663851209</v>
      </c>
      <c r="BY26" s="14">
        <f>BY10/BY19</f>
        <v>2.6714285714285713</v>
      </c>
      <c r="BZ26" s="14">
        <f t="shared" ref="BZ26:CC26" si="100">BZ10/BZ19</f>
        <v>2.2158148148148151</v>
      </c>
      <c r="CA26" s="14">
        <f t="shared" si="100"/>
        <v>2.2886249962121217</v>
      </c>
      <c r="CB26" s="14">
        <f t="shared" si="100"/>
        <v>3.0635643208474144</v>
      </c>
      <c r="CC26" s="14">
        <f t="shared" si="100"/>
        <v>1.8386080463699126</v>
      </c>
      <c r="CD26" s="14">
        <f>CD10/CD19</f>
        <v>4.0465116279069768</v>
      </c>
      <c r="CE26" s="14">
        <f t="shared" ref="CE26:CH26" si="101">CE10/CE19</f>
        <v>3.2261808510638299</v>
      </c>
      <c r="CF26" s="14">
        <f t="shared" si="101"/>
        <v>2.3255064350000003</v>
      </c>
      <c r="CG26" s="14">
        <f t="shared" si="101"/>
        <v>1.8550441674333338</v>
      </c>
      <c r="CH26" s="14">
        <f t="shared" si="101"/>
        <v>3.6772160927398252</v>
      </c>
      <c r="CI26" s="14">
        <f>CI10/CI19</f>
        <v>2.2830188679245285</v>
      </c>
      <c r="CJ26" s="14">
        <f t="shared" ref="CJ26:CM26" si="102">CJ10/CJ19</f>
        <v>4.3743240740740745</v>
      </c>
      <c r="CK26" s="14">
        <f t="shared" si="102"/>
        <v>2.7393524010416672</v>
      </c>
      <c r="CL26" s="14">
        <f t="shared" si="102"/>
        <v>2.7283604150886371</v>
      </c>
      <c r="CM26" s="14">
        <f t="shared" si="102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3">CQ10/CQ19</f>
        <v>0.95983992635487825</v>
      </c>
      <c r="CR26" s="14">
        <f t="shared" si="103"/>
        <v>0.35993914135284011</v>
      </c>
    </row>
    <row r="27" spans="1:111" x14ac:dyDescent="0.3">
      <c r="A27" t="s">
        <v>82</v>
      </c>
      <c r="B27" s="14">
        <f t="shared" ref="B27" si="104">B7/B12</f>
        <v>0</v>
      </c>
      <c r="C27" s="14">
        <f t="shared" ref="C27:F27" si="105">C7/C12</f>
        <v>0</v>
      </c>
      <c r="D27" s="14">
        <f t="shared" si="105"/>
        <v>0</v>
      </c>
      <c r="E27" s="14">
        <f t="shared" si="105"/>
        <v>0</v>
      </c>
      <c r="F27" s="14">
        <f t="shared" si="105"/>
        <v>0</v>
      </c>
      <c r="G27" s="14">
        <f t="shared" ref="G27:K27" si="106">G7/G12</f>
        <v>0</v>
      </c>
      <c r="H27" s="14">
        <f t="shared" si="106"/>
        <v>0</v>
      </c>
      <c r="I27" s="14">
        <f t="shared" si="106"/>
        <v>0</v>
      </c>
      <c r="J27" s="14">
        <f t="shared" si="106"/>
        <v>0</v>
      </c>
      <c r="K27" s="14">
        <f t="shared" si="106"/>
        <v>0</v>
      </c>
      <c r="L27" s="14">
        <f t="shared" ref="L27:P27" si="107">L7/L12</f>
        <v>0.2781954887218045</v>
      </c>
      <c r="M27" s="14">
        <f t="shared" si="107"/>
        <v>0.45505617977528084</v>
      </c>
      <c r="N27" s="14">
        <f t="shared" si="107"/>
        <v>0.51724137931034486</v>
      </c>
      <c r="O27" s="14">
        <f t="shared" si="107"/>
        <v>0.31868131868131871</v>
      </c>
      <c r="P27" s="14">
        <f t="shared" si="107"/>
        <v>0.61594202898550721</v>
      </c>
      <c r="Q27" s="5"/>
      <c r="R27" s="14">
        <f t="shared" ref="R27:U27" si="108">R7/R12</f>
        <v>0</v>
      </c>
      <c r="S27" s="14">
        <f t="shared" si="108"/>
        <v>0</v>
      </c>
      <c r="T27" s="14">
        <f t="shared" si="108"/>
        <v>0</v>
      </c>
      <c r="U27" s="14">
        <f t="shared" si="108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14">
        <f t="shared" ref="AA27:AE27" si="109">AA7/AA12</f>
        <v>4.5977011494252873E-2</v>
      </c>
      <c r="AB27" s="14">
        <f t="shared" si="109"/>
        <v>0</v>
      </c>
      <c r="AC27" s="14">
        <f t="shared" si="109"/>
        <v>0</v>
      </c>
      <c r="AD27" s="14">
        <f t="shared" si="109"/>
        <v>0</v>
      </c>
      <c r="AE27" s="14">
        <f t="shared" si="109"/>
        <v>0</v>
      </c>
      <c r="AF27" s="14">
        <f t="shared" ref="AF27:AJ27" si="110">AF7/AF12</f>
        <v>0</v>
      </c>
      <c r="AG27" s="14">
        <f t="shared" si="110"/>
        <v>0</v>
      </c>
      <c r="AH27" s="14">
        <f t="shared" si="110"/>
        <v>0</v>
      </c>
      <c r="AI27" s="14">
        <f t="shared" si="110"/>
        <v>0</v>
      </c>
      <c r="AJ27" s="14">
        <f t="shared" si="110"/>
        <v>0</v>
      </c>
      <c r="AK27" s="5"/>
      <c r="AL27" s="14">
        <f t="shared" ref="AL27:AO27" si="111">AL7/AL12</f>
        <v>0</v>
      </c>
      <c r="AM27" s="14">
        <f t="shared" si="111"/>
        <v>0</v>
      </c>
      <c r="AN27" s="14">
        <f t="shared" si="111"/>
        <v>0</v>
      </c>
      <c r="AO27" s="14">
        <f t="shared" si="111"/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14">
        <f>AU7/AU12</f>
        <v>0.29589632829373652</v>
      </c>
      <c r="AV27" s="14">
        <f t="shared" ref="AV27:AY27" si="112">AV7/AV12</f>
        <v>0.56947608200455579</v>
      </c>
      <c r="AW27" s="14">
        <f t="shared" si="112"/>
        <v>0.4096045197740113</v>
      </c>
      <c r="AX27" s="14">
        <f t="shared" si="112"/>
        <v>0.27409638554216864</v>
      </c>
      <c r="AY27" s="14">
        <f t="shared" si="112"/>
        <v>0.53680981595092025</v>
      </c>
      <c r="AZ27" s="5"/>
      <c r="BA27" s="14">
        <f t="shared" ref="BA27:BD27" si="113">BA7/BA12</f>
        <v>0</v>
      </c>
      <c r="BB27" s="14">
        <f t="shared" si="113"/>
        <v>0</v>
      </c>
      <c r="BC27" s="14">
        <f t="shared" si="113"/>
        <v>0</v>
      </c>
      <c r="BD27" s="14">
        <f t="shared" si="113"/>
        <v>0</v>
      </c>
      <c r="BE27" s="5"/>
      <c r="BF27" s="14">
        <f t="shared" ref="BF27:BI27" si="114">BF7/BF12</f>
        <v>0.42352941176470582</v>
      </c>
      <c r="BG27" s="14">
        <f t="shared" si="114"/>
        <v>0.46052631578947367</v>
      </c>
      <c r="BH27" s="14">
        <f t="shared" si="114"/>
        <v>0</v>
      </c>
      <c r="BI27" s="14">
        <f t="shared" si="114"/>
        <v>0.17391304347826086</v>
      </c>
      <c r="BJ27" s="14">
        <f>BJ7/BJ12</f>
        <v>0</v>
      </c>
      <c r="BK27" s="14">
        <f t="shared" ref="BK27:BO27" si="115">BK7/BK12</f>
        <v>0</v>
      </c>
      <c r="BL27" s="14">
        <f t="shared" si="115"/>
        <v>0</v>
      </c>
      <c r="BM27" s="14">
        <f t="shared" si="115"/>
        <v>0</v>
      </c>
      <c r="BN27" s="14">
        <f t="shared" si="115"/>
        <v>0</v>
      </c>
      <c r="BO27" s="14">
        <f t="shared" si="115"/>
        <v>0.22</v>
      </c>
      <c r="BP27" s="14">
        <f t="shared" ref="BP27:BT27" si="116">BP7/BP12</f>
        <v>0.2181818181818182</v>
      </c>
      <c r="BQ27" s="14">
        <f t="shared" si="116"/>
        <v>3.3333333333333333E-2</v>
      </c>
      <c r="BR27" s="14">
        <f t="shared" si="116"/>
        <v>8.5106382978723402E-2</v>
      </c>
      <c r="BS27" s="14">
        <f t="shared" si="116"/>
        <v>4.878048780487805E-2</v>
      </c>
      <c r="BT27" s="14">
        <f t="shared" si="116"/>
        <v>0.38265306122448978</v>
      </c>
      <c r="BU27" s="14">
        <f t="shared" ref="BU27:BX27" si="117">BU7/BU12</f>
        <v>7.0707070707070704E-2</v>
      </c>
      <c r="BV27" s="14">
        <f t="shared" si="117"/>
        <v>0.32596685082872928</v>
      </c>
      <c r="BW27" s="14">
        <f t="shared" si="117"/>
        <v>0.17934782608695654</v>
      </c>
      <c r="BX27" s="14">
        <f t="shared" si="117"/>
        <v>0.37894736842105259</v>
      </c>
      <c r="BY27" s="14">
        <f>BY7/BY12</f>
        <v>0.19753086419753085</v>
      </c>
      <c r="BZ27" s="14">
        <f t="shared" ref="BZ27:CC27" si="118">BZ7/BZ12</f>
        <v>0.26027397260273977</v>
      </c>
      <c r="CA27" s="14">
        <f t="shared" si="118"/>
        <v>0.72676056338028161</v>
      </c>
      <c r="CB27" s="14">
        <f t="shared" si="118"/>
        <v>0.14077669902912621</v>
      </c>
      <c r="CC27" s="14">
        <f t="shared" si="118"/>
        <v>8.0321285140562249E-2</v>
      </c>
      <c r="CD27" s="14">
        <v>0</v>
      </c>
      <c r="CE27" s="14">
        <f t="shared" ref="CE27:CH27" si="119">CE7/CE12</f>
        <v>0</v>
      </c>
      <c r="CF27" s="14">
        <f t="shared" si="119"/>
        <v>0</v>
      </c>
      <c r="CG27" s="14">
        <f t="shared" si="119"/>
        <v>0</v>
      </c>
      <c r="CH27" s="14">
        <f t="shared" si="119"/>
        <v>0</v>
      </c>
      <c r="CI27" s="14">
        <f t="shared" ref="CI27:CN27" si="120">CI7/CI12</f>
        <v>0</v>
      </c>
      <c r="CJ27" s="14">
        <f t="shared" si="120"/>
        <v>0.14646464646464646</v>
      </c>
      <c r="CK27" s="14">
        <f t="shared" si="120"/>
        <v>0.21917808219178081</v>
      </c>
      <c r="CL27" s="14">
        <f t="shared" si="120"/>
        <v>2.9940119760479044E-3</v>
      </c>
      <c r="CM27" s="14">
        <f t="shared" si="120"/>
        <v>0.16363636363636364</v>
      </c>
      <c r="CN27" s="18">
        <f t="shared" si="120"/>
        <v>0.125</v>
      </c>
      <c r="CO27" s="18">
        <f t="shared" ref="CO27:CR27" si="121">CO7/CO12</f>
        <v>2.9850746268656719E-2</v>
      </c>
      <c r="CP27" s="14">
        <f t="shared" si="121"/>
        <v>0.10769230769230768</v>
      </c>
      <c r="CQ27" s="14">
        <f t="shared" si="121"/>
        <v>0.15584415584415584</v>
      </c>
      <c r="CR27" s="14">
        <f t="shared" si="121"/>
        <v>0.24719101123595505</v>
      </c>
    </row>
    <row r="28" spans="1:111" x14ac:dyDescent="0.3">
      <c r="A28" t="s">
        <v>135</v>
      </c>
      <c r="B28" s="14">
        <f t="shared" ref="B28" si="122">B12/B19</f>
        <v>3.8333333333333335</v>
      </c>
      <c r="C28" s="14">
        <f t="shared" ref="C28:D28" si="123">C12/C19</f>
        <v>1.1677358490566039</v>
      </c>
      <c r="D28" s="14">
        <f t="shared" si="123"/>
        <v>0.94316078301886808</v>
      </c>
      <c r="E28" s="14">
        <v>0</v>
      </c>
      <c r="F28" s="14">
        <v>0</v>
      </c>
      <c r="G28" s="14">
        <v>0</v>
      </c>
      <c r="H28" s="14">
        <f t="shared" ref="H28:K28" si="124">H12/H19</f>
        <v>4.4461206896551726</v>
      </c>
      <c r="I28" s="14">
        <f t="shared" si="124"/>
        <v>3.4023597708333337</v>
      </c>
      <c r="J28" s="14">
        <f t="shared" si="124"/>
        <v>3.5074364510294123</v>
      </c>
      <c r="K28" s="14">
        <f t="shared" si="124"/>
        <v>4.0943077328885558</v>
      </c>
      <c r="L28" s="14">
        <f t="shared" ref="L28:P28" si="125">L12/L19</f>
        <v>2.375</v>
      </c>
      <c r="M28" s="14">
        <f t="shared" si="125"/>
        <v>3.1656379310344831</v>
      </c>
      <c r="N28" s="14">
        <f t="shared" si="125"/>
        <v>3.35253960106383</v>
      </c>
      <c r="O28" s="14">
        <f t="shared" si="125"/>
        <v>2.0475487508462265</v>
      </c>
      <c r="P28" s="14">
        <f t="shared" si="125"/>
        <v>2.7164157073972151</v>
      </c>
      <c r="Q28" s="14">
        <v>0</v>
      </c>
      <c r="R28" s="14">
        <v>0</v>
      </c>
      <c r="S28" s="14">
        <f t="shared" ref="S28:U28" si="126">S12/S19</f>
        <v>2.6788055000000002</v>
      </c>
      <c r="T28" s="14">
        <f t="shared" si="126"/>
        <v>2.4663655407920455</v>
      </c>
      <c r="U28" s="14">
        <f t="shared" si="126"/>
        <v>2.3910242961295807</v>
      </c>
      <c r="V28" s="14">
        <v>0</v>
      </c>
      <c r="W28" s="14">
        <f t="shared" ref="W28:AA28" si="127">W12/W19</f>
        <v>0</v>
      </c>
      <c r="X28" s="14">
        <v>0</v>
      </c>
      <c r="Y28" s="14">
        <f t="shared" si="127"/>
        <v>3.1624086282911112</v>
      </c>
      <c r="Z28" s="14">
        <f t="shared" si="127"/>
        <v>2.1680055258229207</v>
      </c>
      <c r="AA28" s="14">
        <f t="shared" si="127"/>
        <v>5.22</v>
      </c>
      <c r="AB28" s="14">
        <f t="shared" ref="AB28:AE28" si="128">AB12/AB19</f>
        <v>4.3481692307692308</v>
      </c>
      <c r="AC28" s="14">
        <f t="shared" si="128"/>
        <v>3.965447929824562</v>
      </c>
      <c r="AD28" s="14">
        <f t="shared" si="128"/>
        <v>4.3959870186235301</v>
      </c>
      <c r="AE28" s="14">
        <f t="shared" si="128"/>
        <v>5.0391479789397611</v>
      </c>
      <c r="AF28" s="14">
        <f t="shared" ref="AF28:AI28" si="129">AF12/AF19</f>
        <v>3.9699999999999998</v>
      </c>
      <c r="AG28" s="14">
        <f t="shared" si="129"/>
        <v>1.7928452380952382</v>
      </c>
      <c r="AH28" s="14">
        <v>0</v>
      </c>
      <c r="AI28" s="14">
        <f t="shared" si="129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30">AO12/AO19</f>
        <v>7.3837515524742328</v>
      </c>
      <c r="AP28" s="14">
        <f>AP12/AP19</f>
        <v>1.9411764705882353</v>
      </c>
      <c r="AQ28" s="14">
        <f t="shared" ref="AQ28:AR28" si="131">AQ12/AQ19</f>
        <v>2.1133170731707316</v>
      </c>
      <c r="AR28" s="14">
        <f t="shared" si="131"/>
        <v>1.5259835425531918</v>
      </c>
      <c r="AS28" s="14">
        <v>0</v>
      </c>
      <c r="AT28" s="14">
        <v>0</v>
      </c>
      <c r="AU28" s="14">
        <f>AU12/AU19</f>
        <v>7.0151515151515156</v>
      </c>
      <c r="AV28" s="14">
        <f t="shared" ref="AV28:AY28" si="132">AV12/AV19</f>
        <v>7.3036854838709679</v>
      </c>
      <c r="AW28" s="14">
        <f t="shared" si="132"/>
        <v>5.4181208239436627</v>
      </c>
      <c r="AX28" s="14">
        <f t="shared" si="132"/>
        <v>5.5763299520028182</v>
      </c>
      <c r="AY28" s="14">
        <f t="shared" si="132"/>
        <v>4.5632284475954501</v>
      </c>
      <c r="AZ28" s="14">
        <v>0</v>
      </c>
      <c r="BA28" s="14">
        <f t="shared" ref="BA28:BD28" si="133">BA12/BA19</f>
        <v>1.9156428571428572</v>
      </c>
      <c r="BB28" s="14">
        <f t="shared" si="133"/>
        <v>2.3746085092592599</v>
      </c>
      <c r="BC28" s="14">
        <f t="shared" si="133"/>
        <v>1.3788609548109376</v>
      </c>
      <c r="BD28" s="14">
        <f t="shared" si="133"/>
        <v>1.6705871017137253</v>
      </c>
      <c r="BE28" s="14">
        <v>0</v>
      </c>
      <c r="BF28" s="14">
        <f t="shared" ref="BF28:BI28" si="134">BF12/BF19</f>
        <v>1.5941363636363639</v>
      </c>
      <c r="BG28" s="14">
        <f t="shared" si="134"/>
        <v>1.4239323965517243</v>
      </c>
      <c r="BH28" s="14">
        <f t="shared" si="134"/>
        <v>1.2797865684731708</v>
      </c>
      <c r="BI28" s="14">
        <f t="shared" si="134"/>
        <v>1.6401000497492619</v>
      </c>
      <c r="BJ28" s="14">
        <f>BJ12/BJ19</f>
        <v>3.3970588235294117</v>
      </c>
      <c r="BK28" s="14">
        <v>0</v>
      </c>
      <c r="BL28" s="14">
        <f t="shared" ref="BL28:BO28" si="135">BL12/BL19</f>
        <v>3.4116862500000007</v>
      </c>
      <c r="BM28" s="14">
        <f t="shared" si="135"/>
        <v>2.2233580215000006</v>
      </c>
      <c r="BN28" s="14">
        <f t="shared" si="135"/>
        <v>2.1125658834785921</v>
      </c>
      <c r="BO28" s="14">
        <f t="shared" si="135"/>
        <v>1.3157894736842106</v>
      </c>
      <c r="BP28" s="14">
        <f t="shared" ref="BP28:BT28" si="136">BP12/BP19</f>
        <v>0.73998913043478265</v>
      </c>
      <c r="BQ28" s="14">
        <v>0</v>
      </c>
      <c r="BR28" s="14">
        <f t="shared" si="136"/>
        <v>1.514833364525676</v>
      </c>
      <c r="BS28" s="14">
        <f t="shared" si="136"/>
        <v>0.99329359200254908</v>
      </c>
      <c r="BT28" s="14">
        <f t="shared" si="136"/>
        <v>3.5636363636363635</v>
      </c>
      <c r="BU28" s="14">
        <f t="shared" ref="BU28:BX28" si="137">BU12/BU19</f>
        <v>2.7977671232876715</v>
      </c>
      <c r="BV28" s="14">
        <f t="shared" si="137"/>
        <v>4.0977089635416677</v>
      </c>
      <c r="BW28" s="14">
        <f t="shared" si="137"/>
        <v>3.1346460625200003</v>
      </c>
      <c r="BX28" s="14">
        <f t="shared" si="137"/>
        <v>4.1992899824498009</v>
      </c>
      <c r="BY28" s="14">
        <f>BY12/BY19</f>
        <v>5.7857142857142856</v>
      </c>
      <c r="BZ28" s="14">
        <f t="shared" ref="BZ28:CC28" si="138">BZ12/BZ19</f>
        <v>4.6481172839506177</v>
      </c>
      <c r="CA28" s="14">
        <f t="shared" si="138"/>
        <v>5.8450494507575765</v>
      </c>
      <c r="CB28" s="14">
        <f t="shared" si="138"/>
        <v>4.2355318798293107</v>
      </c>
      <c r="CC28" s="14">
        <f t="shared" si="138"/>
        <v>4.2390129957972986</v>
      </c>
      <c r="CD28" s="14">
        <f>CD12/CD19</f>
        <v>3.9883720930232558</v>
      </c>
      <c r="CE28" s="14">
        <f t="shared" ref="CE28:CH28" si="139">CE12/CE19</f>
        <v>2.9847659574468088</v>
      </c>
      <c r="CF28" s="14">
        <f t="shared" si="139"/>
        <v>2.8905827650000004</v>
      </c>
      <c r="CG28" s="14">
        <f t="shared" si="139"/>
        <v>3.0254887016472227</v>
      </c>
      <c r="CH28" s="14">
        <f t="shared" si="139"/>
        <v>2.826008663864866</v>
      </c>
      <c r="CI28" s="14">
        <f>CI12/CI19</f>
        <v>5.0188679245283021</v>
      </c>
      <c r="CJ28" s="14">
        <f t="shared" ref="CJ28:CM28" si="140">CJ12/CJ19</f>
        <v>3.7821666666666669</v>
      </c>
      <c r="CK28" s="14">
        <f t="shared" si="140"/>
        <v>4.958001453125001</v>
      </c>
      <c r="CL28" s="14">
        <f t="shared" si="140"/>
        <v>3.0174582074159093</v>
      </c>
      <c r="CM28" s="14">
        <f t="shared" si="140"/>
        <v>3.2994421290677005</v>
      </c>
      <c r="CN28" s="14">
        <f t="shared" ref="CN28" si="141">CN12/CN19</f>
        <v>3.5555555555555554</v>
      </c>
      <c r="CO28" s="14">
        <v>0</v>
      </c>
      <c r="CP28" s="14">
        <v>0</v>
      </c>
      <c r="CQ28" s="14">
        <f t="shared" ref="CQ28:CR28" si="142">CQ12/CQ19</f>
        <v>2.2396264948280491</v>
      </c>
      <c r="CR28" s="14">
        <f t="shared" si="142"/>
        <v>2.2881845414573405</v>
      </c>
    </row>
    <row r="29" spans="1:111" x14ac:dyDescent="0.3">
      <c r="A29" t="s">
        <v>136</v>
      </c>
      <c r="B29" s="14">
        <f t="shared" ref="B29" si="143">B11/B19</f>
        <v>7.833333333333333</v>
      </c>
      <c r="C29" s="14">
        <f t="shared" ref="C29:D29" si="144">C11/C19</f>
        <v>2.8025660377358492</v>
      </c>
      <c r="D29" s="14">
        <f t="shared" si="144"/>
        <v>2.0298460330188681</v>
      </c>
      <c r="E29" s="14">
        <v>0</v>
      </c>
      <c r="F29" s="14">
        <v>0</v>
      </c>
      <c r="G29" s="14">
        <v>0</v>
      </c>
      <c r="H29" s="14">
        <f t="shared" ref="H29:K29" si="145">H11/H19</f>
        <v>6.8470258620689668</v>
      </c>
      <c r="I29" s="14">
        <f t="shared" si="145"/>
        <v>6.4295543958333345</v>
      </c>
      <c r="J29" s="14">
        <f t="shared" si="145"/>
        <v>2.297370875424265</v>
      </c>
      <c r="K29" s="14">
        <f t="shared" si="145"/>
        <v>7.427494156458085</v>
      </c>
      <c r="L29" s="14">
        <f t="shared" ref="L29:P29" si="146">L11/L19</f>
        <v>9.1678571428571427</v>
      </c>
      <c r="M29" s="14">
        <f t="shared" si="146"/>
        <v>6.2067844827586214</v>
      </c>
      <c r="N29" s="14">
        <f t="shared" si="146"/>
        <v>5.9189664680851068</v>
      </c>
      <c r="O29" s="14">
        <f t="shared" si="146"/>
        <v>7.4026762530594352</v>
      </c>
      <c r="P29" s="14">
        <f t="shared" si="146"/>
        <v>7.4603011094459744</v>
      </c>
      <c r="Q29" s="14">
        <v>0</v>
      </c>
      <c r="R29" s="14">
        <v>0</v>
      </c>
      <c r="S29" s="14">
        <f t="shared" ref="S29:U29" si="147">S11/S19</f>
        <v>4.9027195000000008</v>
      </c>
      <c r="T29" s="14">
        <f t="shared" si="147"/>
        <v>3.2523501636818186</v>
      </c>
      <c r="U29" s="14">
        <f t="shared" si="147"/>
        <v>4.4735293282424413</v>
      </c>
      <c r="V29" s="14">
        <v>0</v>
      </c>
      <c r="W29" s="14">
        <f t="shared" ref="W29:AA29" si="148">W11/W19</f>
        <v>2.7636415094339624</v>
      </c>
      <c r="X29" s="14">
        <v>0</v>
      </c>
      <c r="Y29" s="14">
        <f t="shared" si="148"/>
        <v>6.6693254591055569</v>
      </c>
      <c r="Z29" s="14">
        <f t="shared" si="148"/>
        <v>5.5957980463807813</v>
      </c>
      <c r="AA29" s="14">
        <f t="shared" si="148"/>
        <v>16.760000000000002</v>
      </c>
      <c r="AB29" s="14">
        <f t="shared" ref="AB29:AE29" si="149">AB11/AB19</f>
        <v>10.346738461538461</v>
      </c>
      <c r="AC29" s="14">
        <f t="shared" si="149"/>
        <v>8.5409647719298256</v>
      </c>
      <c r="AD29" s="14">
        <f t="shared" si="149"/>
        <v>9.937736611250001</v>
      </c>
      <c r="AE29" s="14">
        <f t="shared" si="149"/>
        <v>8.3235926437844263</v>
      </c>
      <c r="AF29" s="14">
        <f t="shared" ref="AF29:AI29" si="150">AF11/AF19</f>
        <v>5.3366666666666669</v>
      </c>
      <c r="AG29" s="14">
        <f t="shared" si="150"/>
        <v>3.8312857142857148</v>
      </c>
      <c r="AH29" s="14">
        <v>0</v>
      </c>
      <c r="AI29" s="14">
        <f t="shared" si="150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51">AO11/AO19</f>
        <v>9.8333373755699505</v>
      </c>
      <c r="AP29" s="14">
        <f>AP11/AP19</f>
        <v>3.0980392156862746</v>
      </c>
      <c r="AQ29" s="14">
        <f t="shared" ref="AQ29:AR29" si="152">AQ11/AQ19</f>
        <v>3.1196585365853662</v>
      </c>
      <c r="AR29" s="14">
        <f t="shared" si="152"/>
        <v>1.4797416170212767</v>
      </c>
      <c r="AS29" s="14">
        <v>0</v>
      </c>
      <c r="AT29" s="14">
        <v>0</v>
      </c>
      <c r="AU29" s="14">
        <f>AU11/AU19</f>
        <v>19.939393939393938</v>
      </c>
      <c r="AV29" s="14">
        <f t="shared" ref="AV29:AY29" si="153">AV11/AV19</f>
        <v>18.500451612903227</v>
      </c>
      <c r="AW29" s="14">
        <f t="shared" si="153"/>
        <v>15.688061707746483</v>
      </c>
      <c r="AX29" s="14">
        <f t="shared" si="153"/>
        <v>10.816736412921129</v>
      </c>
      <c r="AY29" s="14">
        <f t="shared" si="153"/>
        <v>12.793836813197059</v>
      </c>
      <c r="AZ29" s="14">
        <v>0</v>
      </c>
      <c r="BA29" s="14">
        <f t="shared" ref="BA29:BD29" si="154">BA11/BA19</f>
        <v>4.8480500000000006</v>
      </c>
      <c r="BB29" s="14">
        <f t="shared" si="154"/>
        <v>6.3188734907407413</v>
      </c>
      <c r="BC29" s="14">
        <f t="shared" si="154"/>
        <v>3.4098858747351568</v>
      </c>
      <c r="BD29" s="14">
        <f t="shared" si="154"/>
        <v>6.8466684496464145</v>
      </c>
      <c r="BE29" s="14">
        <v>0</v>
      </c>
      <c r="BF29" s="14">
        <f t="shared" ref="BF29:BI29" si="155">BF11/BF19</f>
        <v>4.5573545454545457</v>
      </c>
      <c r="BG29" s="14">
        <f t="shared" si="155"/>
        <v>2.9415445560344828</v>
      </c>
      <c r="BH29" s="14">
        <f t="shared" si="155"/>
        <v>2.2396264948280491</v>
      </c>
      <c r="BI29" s="14">
        <f t="shared" si="155"/>
        <v>2.5908826872850659</v>
      </c>
      <c r="BJ29" s="14">
        <f>BJ11/BJ19</f>
        <v>6.2352941176470589</v>
      </c>
      <c r="BK29" s="14">
        <v>0</v>
      </c>
      <c r="BL29" s="14">
        <f t="shared" ref="BL29:BO29" si="156">BL11/BL19</f>
        <v>11.801907250000001</v>
      </c>
      <c r="BM29" s="14">
        <f t="shared" si="156"/>
        <v>7.781753075250001</v>
      </c>
      <c r="BN29" s="14">
        <f t="shared" si="156"/>
        <v>7.9075860592593177</v>
      </c>
      <c r="BO29" s="14">
        <f t="shared" si="156"/>
        <v>2.3684210526315788</v>
      </c>
      <c r="BP29" s="14">
        <f t="shared" ref="BP29:BT29" si="157">BP11/BP19</f>
        <v>2.1751195652173916</v>
      </c>
      <c r="BQ29" s="14">
        <v>0</v>
      </c>
      <c r="BR29" s="14">
        <f t="shared" si="157"/>
        <v>2.7718227521108112</v>
      </c>
      <c r="BS29" s="14">
        <f t="shared" si="157"/>
        <v>2.2046272407861456</v>
      </c>
      <c r="BT29" s="14">
        <f t="shared" si="157"/>
        <v>6.8</v>
      </c>
      <c r="BU29" s="14">
        <f t="shared" ref="BU29:BX29" si="158">BU11/BU19</f>
        <v>5.1151095890410962</v>
      </c>
      <c r="BV29" s="14">
        <f t="shared" si="158"/>
        <v>7.7879109583333346</v>
      </c>
      <c r="BW29" s="14">
        <f t="shared" si="158"/>
        <v>4.429391175300001</v>
      </c>
      <c r="BX29" s="14">
        <f t="shared" si="158"/>
        <v>8.6195952271338019</v>
      </c>
      <c r="BY29" s="14">
        <f>BY11/BY19</f>
        <v>11.985714285714286</v>
      </c>
      <c r="BZ29" s="14">
        <f t="shared" ref="BZ29:CC29" si="159">BZ11/BZ19</f>
        <v>10.073043209876543</v>
      </c>
      <c r="CA29" s="14">
        <f t="shared" si="159"/>
        <v>15.295918140151517</v>
      </c>
      <c r="CB29" s="14">
        <f t="shared" si="159"/>
        <v>10.938363883831036</v>
      </c>
      <c r="CC29" s="14">
        <f t="shared" si="159"/>
        <v>10.180440849344517</v>
      </c>
      <c r="CD29" s="14">
        <f>CD11/CD19</f>
        <v>9.8604651162790695</v>
      </c>
      <c r="CE29" s="14">
        <f t="shared" ref="CE29:CH29" si="160">CE11/CE19</f>
        <v>7.5058085106382988</v>
      </c>
      <c r="CF29" s="14">
        <f t="shared" si="160"/>
        <v>8.8456179350000017</v>
      </c>
      <c r="CG29" s="14">
        <f t="shared" si="160"/>
        <v>5.3001261926666681</v>
      </c>
      <c r="CH29" s="14">
        <f t="shared" si="160"/>
        <v>6.8096594309996776</v>
      </c>
      <c r="CI29" s="14">
        <f>CI11/CI19</f>
        <v>12.622641509433961</v>
      </c>
      <c r="CJ29" s="14">
        <f t="shared" ref="CJ29:CM29" si="161">CJ11/CJ19</f>
        <v>11.231888888888889</v>
      </c>
      <c r="CK29" s="14">
        <f t="shared" si="161"/>
        <v>9.8028065260416692</v>
      </c>
      <c r="CL29" s="14">
        <f t="shared" si="161"/>
        <v>5.8361616826068188</v>
      </c>
      <c r="CM29" s="14">
        <f t="shared" si="161"/>
        <v>6.5188977822792147</v>
      </c>
      <c r="CN29" s="14">
        <f t="shared" ref="CN29" si="162">CN11/CN19</f>
        <v>7.666666666666667</v>
      </c>
      <c r="CO29" s="14">
        <v>0</v>
      </c>
      <c r="CP29" s="14">
        <v>0</v>
      </c>
      <c r="CQ29" s="14">
        <f t="shared" ref="CQ29:CR29" si="163">CQ11/CQ19</f>
        <v>4.7410275150256105</v>
      </c>
      <c r="CR29" s="14">
        <f t="shared" si="163"/>
        <v>6.1703852803344006</v>
      </c>
    </row>
    <row r="30" spans="1:111" x14ac:dyDescent="0.3">
      <c r="A30" t="s">
        <v>138</v>
      </c>
      <c r="B30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6">
        <f>Painel!L30</f>
        <v>80</v>
      </c>
      <c r="M30" s="6">
        <f>Painel!M30</f>
        <v>48</v>
      </c>
      <c r="N30" s="6">
        <f>Painel!N30</f>
        <v>114</v>
      </c>
      <c r="O30" s="6">
        <f>Painel!O30</f>
        <v>46</v>
      </c>
      <c r="P30" s="6">
        <f>Painel!P30</f>
        <v>75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>
        <f>Painel!AA30</f>
        <v>307</v>
      </c>
      <c r="AB30" s="14">
        <v>0</v>
      </c>
      <c r="AC30" s="14">
        <v>0</v>
      </c>
      <c r="AD30" s="14">
        <v>0</v>
      </c>
      <c r="AE30" s="14">
        <v>0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f>Painel!BO30</f>
        <v>45.1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>
        <f>Painel!BT30</f>
        <v>75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>
        <v>0</v>
      </c>
      <c r="CE30" s="14">
        <f>Painel!CE30*IPC!G$3</f>
        <v>0</v>
      </c>
      <c r="CF30" s="14">
        <f>Painel!CF30*IPC!H$3</f>
        <v>0</v>
      </c>
      <c r="CG30" s="14">
        <f>Painel!CG30*IPC!I$3</f>
        <v>0</v>
      </c>
      <c r="CH30" s="14">
        <f>Painel!CH30*IPC!J$3</f>
        <v>0</v>
      </c>
      <c r="CI30" s="14">
        <v>259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>
        <f>CN3-CN7</f>
        <v>99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B31">
        <f>Painel!B31</f>
        <v>104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>
        <f>Painel!G31</f>
        <v>1255</v>
      </c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6">
        <f>Painel!L31</f>
        <v>251</v>
      </c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>
        <f>Painel!AA31</f>
        <v>698</v>
      </c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>
        <f>Painel!AF31</f>
        <v>18</v>
      </c>
      <c r="AG31" s="14">
        <f>Painel!AG31*IPC!G$3</f>
        <v>203.20550000000003</v>
      </c>
      <c r="AH31" s="14">
        <f>Painel!AH31*IPC!H$3</f>
        <v>257.54440425000001</v>
      </c>
      <c r="AI31" s="14">
        <f>Painel!AI31*IPC!I$3</f>
        <v>313.63496745105004</v>
      </c>
      <c r="AJ31" s="14">
        <f>Painel!AJ31*IPC!J$3</f>
        <v>268.33462987854227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>
        <f>Painel!AP31</f>
        <v>0.8</v>
      </c>
      <c r="AQ31" s="14">
        <f>Painel!AQ31*IPC!G$3</f>
        <v>0.92835000000000012</v>
      </c>
      <c r="AR31" s="14">
        <f>Painel!AR31*IPC!H$3</f>
        <v>9.8888357750000004</v>
      </c>
      <c r="AS31" s="14">
        <f>Painel!AS31*IPC!I$3</f>
        <v>0</v>
      </c>
      <c r="AT31" s="14">
        <f>Painel!AT31*IPC!J$3</f>
        <v>0</v>
      </c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>
        <f>Painel!BO31</f>
        <v>61.4</v>
      </c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>
        <f>Painel!BT31</f>
        <v>438</v>
      </c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>
        <f>Painel!CD31</f>
        <v>418</v>
      </c>
      <c r="CE31" s="14">
        <f>Painel!CE31*IPC!G$3</f>
        <v>453.86</v>
      </c>
      <c r="CF31" s="14">
        <f>Painel!CF31*IPC!H$3</f>
        <v>383.59989325000004</v>
      </c>
      <c r="CG31" s="14">
        <f>Painel!CG31*IPC!I$3</f>
        <v>425.73263642595003</v>
      </c>
      <c r="CH31" s="14">
        <f>Painel!CH31*IPC!J$3</f>
        <v>425.80800422040983</v>
      </c>
      <c r="CI31" s="14">
        <f>Painel!CI31</f>
        <v>491</v>
      </c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>
        <f>Painel!CN31</f>
        <v>631</v>
      </c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20">
        <f t="shared" ref="B32:C32" si="164">B31/B14</f>
        <v>14.857142857142858</v>
      </c>
      <c r="C32" s="20">
        <f t="shared" si="164"/>
        <v>32.333333333333336</v>
      </c>
      <c r="D32" s="20">
        <f t="shared" ref="D32" si="165">D31/D14</f>
        <v>3.9954545454545456</v>
      </c>
      <c r="E32" s="20">
        <f t="shared" ref="E32" si="166">E31/E14</f>
        <v>22.166666666666664</v>
      </c>
      <c r="F32" s="20">
        <f t="shared" ref="F32" si="167">F31/F14</f>
        <v>-7.0777777777777784</v>
      </c>
      <c r="G32" s="14">
        <f>Painel!G32</f>
        <v>-5.9198113207547172</v>
      </c>
      <c r="H32" s="20">
        <f t="shared" ref="H32" si="168">H31/H14</f>
        <v>29.794871794871792</v>
      </c>
      <c r="I32" s="20">
        <f t="shared" ref="I32" si="169">I31/I14</f>
        <v>8.137614678899082</v>
      </c>
      <c r="J32" s="20">
        <f t="shared" ref="J32" si="170">J31/J14</f>
        <v>-5.0580645161290327</v>
      </c>
      <c r="K32" s="20">
        <f t="shared" ref="K32" si="171">K31/K14</f>
        <v>4.5600000000000005</v>
      </c>
      <c r="L32" s="20">
        <f t="shared" ref="L32:M32" si="172">L31/L14</f>
        <v>0.50401606425702816</v>
      </c>
      <c r="M32" s="20">
        <f t="shared" si="172"/>
        <v>3.7241379310344827</v>
      </c>
      <c r="N32" s="20">
        <f t="shared" ref="N32" si="173">N31/N14</f>
        <v>4.6769230769230763</v>
      </c>
      <c r="O32" s="20">
        <f t="shared" ref="O32" si="174">O31/O14</f>
        <v>2.2686567164179108</v>
      </c>
      <c r="P32" s="20">
        <f t="shared" ref="P32" si="175">P31/P14</f>
        <v>2.5765765765765769</v>
      </c>
      <c r="Q32" s="14"/>
      <c r="R32" s="20">
        <f t="shared" ref="R32" si="176">R31/R14</f>
        <v>200</v>
      </c>
      <c r="S32" s="20">
        <f t="shared" ref="S32" si="177">S31/S14</f>
        <v>3.486486486486486</v>
      </c>
      <c r="T32" s="20">
        <f t="shared" ref="T32" si="178">T31/T14</f>
        <v>-12.076923076923077</v>
      </c>
      <c r="U32" s="20">
        <f t="shared" ref="U32" si="179">U31/U14</f>
        <v>3.641025641025641</v>
      </c>
      <c r="V32" s="14"/>
      <c r="W32" s="14"/>
      <c r="X32" s="14"/>
      <c r="Y32" s="14"/>
      <c r="Z32" s="14"/>
      <c r="AA32" s="20">
        <f t="shared" ref="AA32:AB32" si="180">AA31/AA14</f>
        <v>2.814516129032258</v>
      </c>
      <c r="AB32" s="20">
        <f t="shared" si="180"/>
        <v>3.6707317073170729</v>
      </c>
      <c r="AC32" s="20">
        <f t="shared" ref="AC32" si="181">AC31/AC14</f>
        <v>2.915730337078652</v>
      </c>
      <c r="AD32" s="20">
        <f t="shared" ref="AD32" si="182">AD31/AD14</f>
        <v>10.75</v>
      </c>
      <c r="AE32" s="20">
        <f t="shared" ref="AE32" si="183">AE31/AE14</f>
        <v>-17.777777777777779</v>
      </c>
      <c r="AF32" s="20">
        <f t="shared" ref="AF32:AG32" si="184">AF31/AF14</f>
        <v>0.3</v>
      </c>
      <c r="AG32" s="20">
        <f t="shared" si="184"/>
        <v>3.078125</v>
      </c>
      <c r="AH32" s="20">
        <f t="shared" ref="AH32" si="185">AH31/AH14</f>
        <v>10.772727272727272</v>
      </c>
      <c r="AI32" s="20">
        <f t="shared" ref="AI32" si="186">AI31/AI14</f>
        <v>10.958333333333332</v>
      </c>
      <c r="AJ32" s="20">
        <f t="shared" ref="AJ32" si="187">AJ31/AJ14</f>
        <v>-19.363636363636363</v>
      </c>
      <c r="AK32" s="14"/>
      <c r="AL32" s="20">
        <f t="shared" ref="AL32" si="188">AL31/AL14</f>
        <v>4.5273972602739718</v>
      </c>
      <c r="AM32" s="20">
        <f t="shared" ref="AM32" si="189">AM31/AM14</f>
        <v>-8.4938271604938276</v>
      </c>
      <c r="AN32" s="20">
        <f t="shared" ref="AN32" si="190">AN31/AN14</f>
        <v>-2.7277777777777774</v>
      </c>
      <c r="AO32" s="20">
        <f t="shared" ref="AO32:AT32" si="191">AO31/AO14</f>
        <v>2.8367346938775513</v>
      </c>
      <c r="AP32" s="20">
        <f t="shared" si="191"/>
        <v>2.1621621621621623E-2</v>
      </c>
      <c r="AQ32" s="20">
        <f t="shared" si="191"/>
        <v>3.4615384615384617E-2</v>
      </c>
      <c r="AR32" s="20">
        <f>AR31/AR14</f>
        <v>2.0222222222222221</v>
      </c>
      <c r="AS32" s="20">
        <f t="shared" si="191"/>
        <v>0</v>
      </c>
      <c r="AT32" s="20">
        <f t="shared" si="191"/>
        <v>0</v>
      </c>
      <c r="AU32" s="20">
        <f>AU31/AU14</f>
        <v>0.52577319587628868</v>
      </c>
      <c r="AV32" s="20">
        <f t="shared" ref="AV32" si="192">AV31/AV14</f>
        <v>1.0526125730994154</v>
      </c>
      <c r="AW32" s="20">
        <f t="shared" ref="AW32" si="193">AW31/AW14</f>
        <v>1.364207944615385</v>
      </c>
      <c r="AX32" s="20">
        <f t="shared" ref="AX32" si="194">AX31/AX14</f>
        <v>3.0725143311017651</v>
      </c>
      <c r="AY32" s="20">
        <f t="shared" ref="AY32" si="195">AY31/AY14</f>
        <v>2.1690687369024979</v>
      </c>
      <c r="AZ32" s="14"/>
      <c r="BA32" s="20">
        <f t="shared" ref="BA32" si="196">BA31/BA14</f>
        <v>9.109375</v>
      </c>
      <c r="BB32" s="20">
        <f t="shared" ref="BB32" si="197">BB31/BB14</f>
        <v>-6.814814814814814</v>
      </c>
      <c r="BC32" s="20">
        <f t="shared" ref="BC32" si="198">BC31/BC14</f>
        <v>-3.3166666666666669</v>
      </c>
      <c r="BD32" s="20">
        <f t="shared" ref="BD32" si="199">BD31/BD14</f>
        <v>7.628571428571429</v>
      </c>
      <c r="BE32" s="14"/>
      <c r="BF32" s="20">
        <f t="shared" ref="BF32" si="200">BF31/BF14</f>
        <v>0.17719298245614037</v>
      </c>
      <c r="BG32" s="20">
        <f t="shared" ref="BG32" si="201">BG31/BG14</f>
        <v>-0.15185185185185185</v>
      </c>
      <c r="BH32" s="20">
        <f t="shared" ref="BH32" si="202">BH31/BH14</f>
        <v>-9.6666666666666651E-2</v>
      </c>
      <c r="BI32" s="20">
        <f t="shared" ref="BI32" si="203">BI31/BI14</f>
        <v>1.711111111111111</v>
      </c>
      <c r="BJ32" s="20">
        <f>BJ31/BJ14</f>
        <v>2.9225806451612901</v>
      </c>
      <c r="BK32" s="20">
        <f t="shared" ref="BK32" si="204">BK31/BK14</f>
        <v>13.818181818181818</v>
      </c>
      <c r="BL32" s="20">
        <f t="shared" ref="BL32" si="205">BL31/BL14</f>
        <v>2.0057803468208095</v>
      </c>
      <c r="BM32" s="20">
        <f t="shared" ref="BM32" si="206">BM31/BM14</f>
        <v>2.5538461538461537</v>
      </c>
      <c r="BN32" s="20">
        <f t="shared" ref="BN32" si="207">BN31/BN14</f>
        <v>2.2088607594936707</v>
      </c>
      <c r="BO32" s="20">
        <f t="shared" ref="BO32:BP32" si="208">BO31/BO14</f>
        <v>-76.75</v>
      </c>
      <c r="BP32" s="20">
        <f t="shared" si="208"/>
        <v>1.3225152129817446</v>
      </c>
      <c r="BQ32" s="20">
        <f t="shared" ref="BQ32" si="209">BQ31/BQ14</f>
        <v>3.6200000000000006</v>
      </c>
      <c r="BR32" s="20">
        <f t="shared" ref="BR32" si="210">BR31/BR14</f>
        <v>2.0137931034482759</v>
      </c>
      <c r="BS32" s="20">
        <f t="shared" ref="BS32" si="211">BS31/BS14</f>
        <v>1.0894736842105266</v>
      </c>
      <c r="BT32" s="20">
        <f t="shared" ref="BT32:BU32" si="212">BT31/BT14</f>
        <v>1.4697986577181208</v>
      </c>
      <c r="BU32" s="20">
        <f t="shared" si="212"/>
        <v>2.8596491228070176</v>
      </c>
      <c r="BV32" s="20">
        <f t="shared" ref="BV32" si="213">BV31/BV14</f>
        <v>3.4949494949494948</v>
      </c>
      <c r="BW32" s="20">
        <f t="shared" ref="BW32" si="214">BW31/BW14</f>
        <v>166</v>
      </c>
      <c r="BX32" s="20">
        <f t="shared" ref="BX32" si="215">BX31/BX14</f>
        <v>2.202247191011236</v>
      </c>
      <c r="BY32" s="20">
        <f>BY31/BY14</f>
        <v>0.68817204301075274</v>
      </c>
      <c r="BZ32" s="20">
        <f t="shared" ref="BZ32:CC32" si="216">BZ31/BZ14</f>
        <v>0.87431693989071035</v>
      </c>
      <c r="CA32" s="20">
        <f t="shared" si="216"/>
        <v>0.55521472392638038</v>
      </c>
      <c r="CB32" s="20">
        <f t="shared" si="216"/>
        <v>1.8013245033112582</v>
      </c>
      <c r="CC32" s="20">
        <f t="shared" si="216"/>
        <v>1.2804232804232805</v>
      </c>
      <c r="CD32" s="14">
        <f>Painel!CD32</f>
        <v>2.1770833333333335</v>
      </c>
      <c r="CE32" s="20">
        <f t="shared" ref="CE32" si="217">CE31/CE14</f>
        <v>2.268041237113402</v>
      </c>
      <c r="CF32" s="20">
        <f t="shared" ref="CF32" si="218">CF31/CF14</f>
        <v>1.6495327102803738</v>
      </c>
      <c r="CG32" s="20">
        <v>0</v>
      </c>
      <c r="CH32" s="20">
        <f t="shared" ref="CH32" si="219">CH31/CH14</f>
        <v>1.6568627450980393</v>
      </c>
      <c r="CI32" s="20">
        <f t="shared" ref="CI32:CJ32" si="220">CI31/CI14</f>
        <v>4.2327586206896548</v>
      </c>
      <c r="CJ32" s="20">
        <f t="shared" si="220"/>
        <v>2.2675438596491229</v>
      </c>
      <c r="CK32" s="20">
        <f t="shared" ref="CK32" si="221">CK31/CK14</f>
        <v>19.16</v>
      </c>
      <c r="CL32" s="20">
        <f t="shared" ref="CL32" si="222">CL31/CL14</f>
        <v>0.83371824480369505</v>
      </c>
      <c r="CM32" s="20">
        <f t="shared" ref="CM32" si="223">CM31/CM14</f>
        <v>1.0990712074303406</v>
      </c>
      <c r="CN32" s="20">
        <f t="shared" ref="CN32:CO32" si="224">CN31/CN14</f>
        <v>-57.363636363636367</v>
      </c>
      <c r="CO32" s="20">
        <f t="shared" si="224"/>
        <v>26.125000000000004</v>
      </c>
      <c r="CP32" s="20">
        <f t="shared" ref="CP32" si="225">CP31/CP14</f>
        <v>8.1071428571428577</v>
      </c>
      <c r="CQ32" s="20">
        <f t="shared" ref="CQ32" si="226">CQ31/CQ14</f>
        <v>11.6056338028169</v>
      </c>
      <c r="CR32" s="20">
        <f t="shared" ref="CR32" si="227">CR31/CR14</f>
        <v>4.6806722689075633</v>
      </c>
    </row>
    <row r="33" spans="1:96" s="18" customFormat="1" x14ac:dyDescent="0.3">
      <c r="A33" s="18" t="s">
        <v>110</v>
      </c>
      <c r="B33" s="18">
        <f t="shared" ref="B33" si="228">B31/B11</f>
        <v>0.55319148936170215</v>
      </c>
      <c r="C33" s="18">
        <f t="shared" ref="C33:F33" si="229">C31/C11</f>
        <v>0.67361111111111116</v>
      </c>
      <c r="D33" s="18">
        <f t="shared" si="229"/>
        <v>0.88787878787878793</v>
      </c>
      <c r="E33" s="18">
        <f t="shared" si="229"/>
        <v>1.4456521739130435</v>
      </c>
      <c r="F33" s="18">
        <f t="shared" si="229"/>
        <v>2.0548387096774192</v>
      </c>
      <c r="G33" s="14">
        <f>Painel!G33</f>
        <v>3.7351190476190474</v>
      </c>
      <c r="H33" s="18">
        <f t="shared" ref="H33:K33" si="230">H31/H11</f>
        <v>3.0181818181818181</v>
      </c>
      <c r="I33" s="18">
        <f t="shared" si="230"/>
        <v>1.7847082494969817</v>
      </c>
      <c r="J33" s="18">
        <f t="shared" si="230"/>
        <v>5.9847328244274811</v>
      </c>
      <c r="K33" s="18">
        <f t="shared" si="230"/>
        <v>2.0141342756183747</v>
      </c>
      <c r="L33" s="18">
        <f t="shared" ref="L33:P33" si="231">L31/L11</f>
        <v>0.48889754577327621</v>
      </c>
      <c r="M33" s="18">
        <f t="shared" si="231"/>
        <v>0.92836676217765035</v>
      </c>
      <c r="N33" s="18">
        <f t="shared" si="231"/>
        <v>1.1875</v>
      </c>
      <c r="O33" s="18">
        <f t="shared" si="231"/>
        <v>0.92401215805471115</v>
      </c>
      <c r="P33" s="18">
        <f t="shared" si="231"/>
        <v>0.7546174142480212</v>
      </c>
      <c r="R33" s="18">
        <f t="shared" ref="R33:U33" si="232">R31/R11</f>
        <v>2</v>
      </c>
      <c r="S33" s="18">
        <f t="shared" si="232"/>
        <v>0.66494845360824739</v>
      </c>
      <c r="T33" s="18">
        <f t="shared" si="232"/>
        <v>1.3083333333333333</v>
      </c>
      <c r="U33" s="18">
        <f t="shared" si="232"/>
        <v>0.8160919540229884</v>
      </c>
      <c r="AA33" s="18">
        <f t="shared" ref="AA33" si="233">AA31/AA11</f>
        <v>0.83293556085918852</v>
      </c>
      <c r="AB33" s="18">
        <f t="shared" ref="AB33:AE33" si="234">AB31/AB11</f>
        <v>0.92331288343558293</v>
      </c>
      <c r="AC33" s="18">
        <f t="shared" si="234"/>
        <v>1.158482142857143</v>
      </c>
      <c r="AD33" s="18">
        <f t="shared" si="234"/>
        <v>1.0117647058823529</v>
      </c>
      <c r="AE33" s="18">
        <f t="shared" si="234"/>
        <v>0.8648648648648648</v>
      </c>
      <c r="AF33" s="18">
        <f t="shared" ref="AF33:AJ33" si="235">AF31/AF11</f>
        <v>0.11242973141786385</v>
      </c>
      <c r="AG33" s="18">
        <f t="shared" si="235"/>
        <v>1.2628205128205128</v>
      </c>
      <c r="AH33" s="18">
        <f t="shared" si="235"/>
        <v>2.9624999999999995</v>
      </c>
      <c r="AI33" s="18">
        <f t="shared" si="235"/>
        <v>2.63</v>
      </c>
      <c r="AJ33" s="18">
        <f t="shared" si="235"/>
        <v>5.6052631578947363</v>
      </c>
      <c r="AL33" s="18">
        <f t="shared" ref="AL33:AT33" si="236">AL31/AL11</f>
        <v>4.5273972602739718</v>
      </c>
      <c r="AM33" s="18">
        <f t="shared" si="236"/>
        <v>5.7333333333333325</v>
      </c>
      <c r="AN33" s="18">
        <f t="shared" si="236"/>
        <v>4.1610169491525424</v>
      </c>
      <c r="AO33" s="18">
        <f t="shared" si="236"/>
        <v>1.4839857651245552</v>
      </c>
      <c r="AP33" s="18">
        <f t="shared" si="236"/>
        <v>5.0632911392405064E-3</v>
      </c>
      <c r="AQ33" s="18">
        <f t="shared" si="236"/>
        <v>7.2580645161290326E-3</v>
      </c>
      <c r="AR33" s="18">
        <f t="shared" si="236"/>
        <v>0.14218749999999999</v>
      </c>
      <c r="AS33" s="18">
        <f t="shared" si="236"/>
        <v>0</v>
      </c>
      <c r="AT33" s="18">
        <f t="shared" si="236"/>
        <v>0</v>
      </c>
      <c r="AU33" s="18">
        <f>AU31/AU11</f>
        <v>0.19376899696048633</v>
      </c>
      <c r="AV33" s="18">
        <f t="shared" ref="AV33:AY33" si="237">AV31/AV11</f>
        <v>0.3138489208633094</v>
      </c>
      <c r="AW33" s="18">
        <f t="shared" si="237"/>
        <v>0.39804878048780484</v>
      </c>
      <c r="AX33" s="18">
        <f t="shared" si="237"/>
        <v>0.68012422360248448</v>
      </c>
      <c r="AY33" s="18">
        <f t="shared" si="237"/>
        <v>0.46717724288840262</v>
      </c>
      <c r="BA33" s="18">
        <f t="shared" ref="BA33:BD33" si="238">BA31/BA11</f>
        <v>1.7720364741641335</v>
      </c>
      <c r="BB33" s="18">
        <f t="shared" si="238"/>
        <v>1.7579617834394905</v>
      </c>
      <c r="BC33" s="18">
        <f t="shared" si="238"/>
        <v>3.2622950819672134</v>
      </c>
      <c r="BD33" s="18">
        <f t="shared" si="238"/>
        <v>2.1360000000000001</v>
      </c>
      <c r="BF33" s="18">
        <f t="shared" ref="BF33:BI33" si="239">BF31/BF11</f>
        <v>4.1563786008230463E-2</v>
      </c>
      <c r="BG33" s="18">
        <f t="shared" si="239"/>
        <v>7.8343949044585998E-2</v>
      </c>
      <c r="BH33" s="18">
        <f t="shared" si="239"/>
        <v>0.22597402597402597</v>
      </c>
      <c r="BI33" s="18">
        <f t="shared" si="239"/>
        <v>0.14128440366972478</v>
      </c>
      <c r="BJ33" s="18">
        <f>BJ31/BJ11</f>
        <v>1.0683962264150944</v>
      </c>
      <c r="BK33" s="18">
        <f t="shared" ref="BK33:BO33" si="240">BK31/BK11</f>
        <v>1.5833333333333335</v>
      </c>
      <c r="BL33" s="18">
        <f t="shared" si="240"/>
        <v>0.74304068522483935</v>
      </c>
      <c r="BM33" s="18">
        <f t="shared" si="240"/>
        <v>0.8623376623376624</v>
      </c>
      <c r="BN33" s="18">
        <f t="shared" si="240"/>
        <v>0.85539215686274506</v>
      </c>
      <c r="BO33" s="18">
        <f t="shared" si="240"/>
        <v>0.68222222222222217</v>
      </c>
      <c r="BP33" s="18">
        <f t="shared" ref="BP33:BT33" si="241">BP31/BP11</f>
        <v>0.6721649484536083</v>
      </c>
      <c r="BQ33" s="18">
        <f t="shared" si="241"/>
        <v>1.5404255319148938</v>
      </c>
      <c r="BR33" s="18">
        <f t="shared" si="241"/>
        <v>0.67906976744186054</v>
      </c>
      <c r="BS33" s="18">
        <f t="shared" si="241"/>
        <v>0.45494505494505505</v>
      </c>
      <c r="BT33" s="18">
        <f t="shared" si="241"/>
        <v>1.1711229946524064</v>
      </c>
      <c r="BU33" s="18">
        <f t="shared" ref="BU33:BX33" si="242">BU31/BU11</f>
        <v>0.90055248618784522</v>
      </c>
      <c r="BV33" s="18">
        <f t="shared" si="242"/>
        <v>1.0058139534883721</v>
      </c>
      <c r="BW33" s="18">
        <f t="shared" si="242"/>
        <v>1.2769230769230768</v>
      </c>
      <c r="BX33" s="18">
        <f t="shared" si="242"/>
        <v>0.50256410256410255</v>
      </c>
      <c r="BY33" s="18">
        <f>BY31/BY11</f>
        <v>0.15256257449344457</v>
      </c>
      <c r="BZ33" s="18">
        <f t="shared" ref="BZ33:CC33" si="243">BZ31/BZ11</f>
        <v>0.20227560050568902</v>
      </c>
      <c r="CA33" s="18">
        <f t="shared" si="243"/>
        <v>0.19483315392895587</v>
      </c>
      <c r="CB33" s="18">
        <f t="shared" si="243"/>
        <v>0.51127819548872178</v>
      </c>
      <c r="CC33" s="18">
        <f t="shared" si="243"/>
        <v>0.40468227424749165</v>
      </c>
      <c r="CD33" s="14">
        <f>Painel!CD33</f>
        <v>0.98584905660377353</v>
      </c>
      <c r="CE33" s="18">
        <f t="shared" ref="CE33:CH33" si="244">CE31/CE11</f>
        <v>1.2865497076023391</v>
      </c>
      <c r="CF33" s="18">
        <f t="shared" si="244"/>
        <v>0.86732186732186722</v>
      </c>
      <c r="CG33" s="18">
        <f t="shared" si="244"/>
        <v>1.4874999999999998</v>
      </c>
      <c r="CH33" s="18">
        <f t="shared" si="244"/>
        <v>0.84499999999999997</v>
      </c>
      <c r="CI33" s="18">
        <f t="shared" ref="CI33:CN33" si="245">CI31/CI11</f>
        <v>0.7339312406576981</v>
      </c>
      <c r="CJ33" s="18">
        <f t="shared" si="245"/>
        <v>0.87925170068027214</v>
      </c>
      <c r="CK33" s="18">
        <f t="shared" si="245"/>
        <v>1.1062355658198613</v>
      </c>
      <c r="CL33" s="18">
        <f t="shared" si="245"/>
        <v>1.1176470588235294</v>
      </c>
      <c r="CM33" s="18">
        <f t="shared" si="245"/>
        <v>1.0889570552147239</v>
      </c>
      <c r="CN33" s="18">
        <f t="shared" si="245"/>
        <v>1.8289855072463768</v>
      </c>
      <c r="CO33" s="18">
        <f t="shared" ref="CO33:CR33" si="246">CO31/CO11</f>
        <v>5.4051724137931041</v>
      </c>
      <c r="CP33" s="18">
        <f t="shared" si="246"/>
        <v>4.1024096385542173</v>
      </c>
      <c r="CQ33" s="18">
        <f t="shared" si="246"/>
        <v>5.0552147239263805</v>
      </c>
      <c r="CR33" s="18">
        <f t="shared" si="246"/>
        <v>2.3208333333333337</v>
      </c>
    </row>
    <row r="34" spans="1:96" x14ac:dyDescent="0.3">
      <c r="A34" t="s">
        <v>128</v>
      </c>
      <c r="B34" s="18">
        <f t="shared" ref="B34" si="247">B12/B11</f>
        <v>0.48936170212765956</v>
      </c>
      <c r="C34" s="18">
        <f t="shared" ref="C34:F34" si="248">C12/C11</f>
        <v>0.41666666666666674</v>
      </c>
      <c r="D34" s="18">
        <f t="shared" si="248"/>
        <v>0.46464646464646464</v>
      </c>
      <c r="E34" s="18">
        <f t="shared" si="248"/>
        <v>0.52173913043478271</v>
      </c>
      <c r="F34" s="18">
        <f t="shared" si="248"/>
        <v>0.80645161290322576</v>
      </c>
      <c r="G34" s="14">
        <f>Painel!G34</f>
        <v>0.6428571428571429</v>
      </c>
      <c r="H34" s="18">
        <f t="shared" ref="H34:K34" si="249">H12/H11</f>
        <v>0.64935064935064923</v>
      </c>
      <c r="I34" s="18">
        <f t="shared" si="249"/>
        <v>0.52917505030181078</v>
      </c>
      <c r="J34" s="18">
        <f t="shared" si="249"/>
        <v>1.5267175572519085</v>
      </c>
      <c r="K34" s="18">
        <f t="shared" si="249"/>
        <v>0.5512367491166078</v>
      </c>
      <c r="L34" s="18">
        <v>0</v>
      </c>
      <c r="M34" s="18">
        <f t="shared" ref="M34:P34" si="250">M12/M11</f>
        <v>0.51002865329512892</v>
      </c>
      <c r="N34" s="18">
        <f t="shared" si="250"/>
        <v>0.56640625</v>
      </c>
      <c r="O34" s="18">
        <f t="shared" si="250"/>
        <v>0.27659574468085102</v>
      </c>
      <c r="P34" s="18">
        <f t="shared" si="250"/>
        <v>0.36411609498680741</v>
      </c>
      <c r="Q34" s="18">
        <v>0</v>
      </c>
      <c r="R34" s="18">
        <f t="shared" ref="R34:U34" si="251">R12/R11</f>
        <v>0.72</v>
      </c>
      <c r="S34" s="18">
        <f t="shared" si="251"/>
        <v>0.54639175257731964</v>
      </c>
      <c r="T34" s="18">
        <f t="shared" si="251"/>
        <v>0.7583333333333333</v>
      </c>
      <c r="U34" s="18">
        <f t="shared" si="251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52">AB12/AB11</f>
        <v>0.42024539877300615</v>
      </c>
      <c r="AC34" s="18">
        <f t="shared" si="252"/>
        <v>0.4642857142857143</v>
      </c>
      <c r="AD34" s="18">
        <f t="shared" si="252"/>
        <v>0.44235294117647062</v>
      </c>
      <c r="AE34" s="18">
        <f t="shared" si="252"/>
        <v>0.60540540540540544</v>
      </c>
      <c r="AF34" s="18">
        <v>0</v>
      </c>
      <c r="AG34" s="18">
        <f t="shared" ref="AG34:AJ34" si="253">AG12/AG11</f>
        <v>0.46794871794871795</v>
      </c>
      <c r="AH34" s="18">
        <f t="shared" si="253"/>
        <v>0.61249999999999993</v>
      </c>
      <c r="AI34" s="18">
        <f t="shared" si="253"/>
        <v>0.49</v>
      </c>
      <c r="AJ34" s="18">
        <f t="shared" si="253"/>
        <v>0.97368421052631582</v>
      </c>
      <c r="AK34" s="18">
        <v>0</v>
      </c>
      <c r="AL34" s="18">
        <f t="shared" ref="AL34:AP34" si="254">AL12/AL11</f>
        <v>0.3904109589041096</v>
      </c>
      <c r="AM34" s="18">
        <f t="shared" si="254"/>
        <v>0.5</v>
      </c>
      <c r="AN34" s="18">
        <f t="shared" si="254"/>
        <v>0.83050847457627119</v>
      </c>
      <c r="AO34" s="18">
        <f t="shared" si="254"/>
        <v>0.7508896797153024</v>
      </c>
      <c r="AP34" s="18">
        <f t="shared" si="254"/>
        <v>0.62658227848101267</v>
      </c>
      <c r="AQ34" s="18">
        <f t="shared" ref="AQ34:AT34" si="255">AQ12/AQ11</f>
        <v>0.67741935483870963</v>
      </c>
      <c r="AR34" s="18">
        <f t="shared" si="255"/>
        <v>1.03125</v>
      </c>
      <c r="AS34" s="18">
        <f t="shared" si="255"/>
        <v>0.95238095238095233</v>
      </c>
      <c r="AT34" s="18">
        <f t="shared" si="255"/>
        <v>0.8571428571428571</v>
      </c>
      <c r="AU34" s="18">
        <f>AU12/AU11</f>
        <v>0.3518237082066869</v>
      </c>
      <c r="AV34" s="18">
        <f t="shared" ref="AV34:AY34" si="256">AV12/AV11</f>
        <v>0.39478417266187049</v>
      </c>
      <c r="AW34" s="18">
        <f t="shared" si="256"/>
        <v>0.34536585365853656</v>
      </c>
      <c r="AX34" s="18">
        <f t="shared" si="256"/>
        <v>0.51552795031055898</v>
      </c>
      <c r="AY34" s="18">
        <f t="shared" si="256"/>
        <v>0.35667396061269147</v>
      </c>
      <c r="AZ34" s="18">
        <v>0</v>
      </c>
      <c r="BA34" s="18">
        <f t="shared" ref="BA34:BD34" si="257">BA12/BA11</f>
        <v>0.39513677811550146</v>
      </c>
      <c r="BB34" s="18">
        <f t="shared" si="257"/>
        <v>0.37579617834394907</v>
      </c>
      <c r="BC34" s="18">
        <f t="shared" si="257"/>
        <v>0.4043715846994535</v>
      </c>
      <c r="BD34" s="18">
        <f t="shared" si="257"/>
        <v>0.24400000000000002</v>
      </c>
      <c r="BE34" s="18">
        <v>0</v>
      </c>
      <c r="BF34" s="18">
        <f t="shared" ref="BF34:BI34" si="258">BF12/BF11</f>
        <v>0.34979423868312759</v>
      </c>
      <c r="BG34" s="18">
        <f t="shared" si="258"/>
        <v>0.48407643312101911</v>
      </c>
      <c r="BH34" s="18">
        <f t="shared" si="258"/>
        <v>0.5714285714285714</v>
      </c>
      <c r="BI34" s="18">
        <f t="shared" si="258"/>
        <v>0.6330275229357798</v>
      </c>
      <c r="BJ34" s="18">
        <f>BJ12/BJ11</f>
        <v>0.54481132075471694</v>
      </c>
      <c r="BK34" s="18">
        <f t="shared" ref="BK34:BO34" si="259">BK12/BK11</f>
        <v>0.40277777777777779</v>
      </c>
      <c r="BL34" s="18">
        <f t="shared" si="259"/>
        <v>0.28907922912205569</v>
      </c>
      <c r="BM34" s="18">
        <f t="shared" si="259"/>
        <v>0.28571428571428575</v>
      </c>
      <c r="BN34" s="18">
        <f t="shared" si="259"/>
        <v>0.26715686274509803</v>
      </c>
      <c r="BO34" s="18">
        <f t="shared" si="259"/>
        <v>0.55555555555555558</v>
      </c>
      <c r="BP34" s="18">
        <f t="shared" ref="BP34:BT34" si="260">BP12/BP11</f>
        <v>0.34020618556701032</v>
      </c>
      <c r="BQ34" s="18">
        <f t="shared" si="260"/>
        <v>0.51063829787234039</v>
      </c>
      <c r="BR34" s="18">
        <f t="shared" si="260"/>
        <v>0.54651162790697683</v>
      </c>
      <c r="BS34" s="18">
        <f t="shared" si="260"/>
        <v>0.45054945054945056</v>
      </c>
      <c r="BT34" s="18">
        <f t="shared" si="260"/>
        <v>0.52406417112299464</v>
      </c>
      <c r="BU34" s="18">
        <f t="shared" ref="BU34:BX34" si="261">BU12/BU11</f>
        <v>0.54696132596685088</v>
      </c>
      <c r="BV34" s="18">
        <f t="shared" si="261"/>
        <v>0.52616279069767447</v>
      </c>
      <c r="BW34" s="18">
        <f t="shared" si="261"/>
        <v>0.70769230769230762</v>
      </c>
      <c r="BX34" s="18">
        <f t="shared" si="261"/>
        <v>0.48717948717948717</v>
      </c>
      <c r="BY34" s="18">
        <f>BY12/BY11</f>
        <v>0.48271752085816449</v>
      </c>
      <c r="BZ34" s="18">
        <f t="shared" ref="BZ34:CC34" si="262">BZ12/BZ11</f>
        <v>0.46144121365360302</v>
      </c>
      <c r="CA34" s="18">
        <f t="shared" si="262"/>
        <v>0.38213132400430572</v>
      </c>
      <c r="CB34" s="18">
        <f t="shared" si="262"/>
        <v>0.38721804511278196</v>
      </c>
      <c r="CC34" s="18">
        <f t="shared" si="262"/>
        <v>0.41638795986622068</v>
      </c>
      <c r="CD34" s="14">
        <f>Painel!CD34</f>
        <v>0.40448113207547171</v>
      </c>
      <c r="CE34" s="18">
        <f t="shared" ref="CE34:CH34" si="263">CE12/CE11</f>
        <v>0.39766081871345033</v>
      </c>
      <c r="CF34" s="18">
        <f t="shared" si="263"/>
        <v>0.32678132678132676</v>
      </c>
      <c r="CG34" s="18">
        <f t="shared" si="263"/>
        <v>0.5708333333333333</v>
      </c>
      <c r="CH34" s="18">
        <f t="shared" si="263"/>
        <v>0.41499999999999998</v>
      </c>
      <c r="CI34" s="18">
        <f t="shared" ref="CI34:CN34" si="264">CI12/CI11</f>
        <v>0.39760837070254113</v>
      </c>
      <c r="CJ34" s="18">
        <f t="shared" si="264"/>
        <v>0.33673469387755101</v>
      </c>
      <c r="CK34" s="18">
        <f t="shared" si="264"/>
        <v>0.50577367205542723</v>
      </c>
      <c r="CL34" s="18">
        <f t="shared" si="264"/>
        <v>0.51702786377708976</v>
      </c>
      <c r="CM34" s="18">
        <f t="shared" si="264"/>
        <v>0.50613496932515334</v>
      </c>
      <c r="CN34" s="18">
        <f>CN12/CN11</f>
        <v>0.46376811594202899</v>
      </c>
      <c r="CO34" s="18">
        <f t="shared" ref="CO34:CR34" si="265">CO12/CO11</f>
        <v>0.57758620689655171</v>
      </c>
      <c r="CP34" s="18">
        <f t="shared" si="265"/>
        <v>0.391566265060241</v>
      </c>
      <c r="CQ34" s="18">
        <f t="shared" si="265"/>
        <v>0.47239263803680986</v>
      </c>
      <c r="CR34" s="18">
        <f t="shared" si="265"/>
        <v>0.37083333333333335</v>
      </c>
    </row>
    <row r="35" spans="1:96" x14ac:dyDescent="0.3">
      <c r="A35" t="s">
        <v>133</v>
      </c>
      <c r="B35" s="18">
        <f t="shared" ref="B35" si="266">(B12+B15)/B11</f>
        <v>0.53723404255319152</v>
      </c>
      <c r="C35" s="18">
        <f t="shared" ref="C35:F35" si="267">(C12+C15)/C11</f>
        <v>0.52777777777777779</v>
      </c>
      <c r="D35" s="18">
        <f t="shared" si="267"/>
        <v>0.46464646464646464</v>
      </c>
      <c r="E35" s="18">
        <f t="shared" si="267"/>
        <v>0.52826086956521745</v>
      </c>
      <c r="F35" s="18">
        <f t="shared" si="267"/>
        <v>0.83225806451612905</v>
      </c>
      <c r="G35" s="14">
        <f>Painel!G35</f>
        <v>1.0833333333333333</v>
      </c>
      <c r="H35" s="18">
        <f t="shared" ref="H35:K35" si="268">(H12+H15)/H11</f>
        <v>1.0337662337662337</v>
      </c>
      <c r="I35" s="18">
        <f t="shared" si="268"/>
        <v>0.75452716297786715</v>
      </c>
      <c r="J35" s="18">
        <f t="shared" si="268"/>
        <v>3.4503816793893134</v>
      </c>
      <c r="K35" s="18">
        <f t="shared" si="268"/>
        <v>0.73498233215547704</v>
      </c>
      <c r="L35" s="18">
        <v>0</v>
      </c>
      <c r="M35" s="18">
        <f t="shared" ref="M35:P35" si="269">(M12+M15)/M11</f>
        <v>0.7822349570200573</v>
      </c>
      <c r="N35" s="18">
        <f t="shared" si="269"/>
        <v>0.77734375</v>
      </c>
      <c r="O35" s="18">
        <f t="shared" si="269"/>
        <v>0.39209726443768994</v>
      </c>
      <c r="P35" s="18">
        <f t="shared" si="269"/>
        <v>0.44327176781002636</v>
      </c>
      <c r="Q35" s="18">
        <v>0</v>
      </c>
      <c r="R35" s="18">
        <f t="shared" ref="R35:U35" si="270">(R12+R15)/R11</f>
        <v>0.72</v>
      </c>
      <c r="S35" s="18">
        <f t="shared" si="270"/>
        <v>0.54639175257731964</v>
      </c>
      <c r="T35" s="18">
        <f t="shared" si="270"/>
        <v>0.84166666666666656</v>
      </c>
      <c r="U35" s="18">
        <f t="shared" si="270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71">(AB12+AB15)/AB11</f>
        <v>0.48466257668711654</v>
      </c>
      <c r="AC35" s="18">
        <f t="shared" si="271"/>
        <v>0.4665178571428571</v>
      </c>
      <c r="AD35" s="18">
        <f t="shared" si="271"/>
        <v>0.59058823529411764</v>
      </c>
      <c r="AE35" s="18">
        <f t="shared" si="271"/>
        <v>0.6351351351351352</v>
      </c>
      <c r="AF35" s="18">
        <v>0</v>
      </c>
      <c r="AG35" s="18">
        <f t="shared" ref="AG35:AJ35" si="272">(AG12+AG15)/AG11</f>
        <v>0.51282051282051289</v>
      </c>
      <c r="AH35" s="18">
        <f t="shared" si="272"/>
        <v>0.64</v>
      </c>
      <c r="AI35" s="18">
        <f t="shared" si="272"/>
        <v>0.505</v>
      </c>
      <c r="AJ35" s="18">
        <f t="shared" si="272"/>
        <v>0.99736842105263157</v>
      </c>
      <c r="AK35" s="18">
        <v>0</v>
      </c>
      <c r="AL35" s="18">
        <f t="shared" ref="AL35:AP35" si="273">(AL12+AL15)/AL11</f>
        <v>0.3904109589041096</v>
      </c>
      <c r="AM35" s="18">
        <f t="shared" si="273"/>
        <v>0.5083333333333333</v>
      </c>
      <c r="AN35" s="18">
        <f t="shared" si="273"/>
        <v>0.98305084745762705</v>
      </c>
      <c r="AO35" s="18">
        <f t="shared" si="273"/>
        <v>0.95017793594306033</v>
      </c>
      <c r="AP35" s="18">
        <f t="shared" si="273"/>
        <v>0.62658227848101267</v>
      </c>
      <c r="AQ35" s="18">
        <f t="shared" ref="AQ35:AT35" si="274">(AQ12+AQ15)/AQ11</f>
        <v>0.67741935483870963</v>
      </c>
      <c r="AR35" s="18">
        <f t="shared" si="274"/>
        <v>1.03125</v>
      </c>
      <c r="AS35" s="18">
        <f t="shared" si="274"/>
        <v>0.95238095238095233</v>
      </c>
      <c r="AT35" s="18">
        <f t="shared" si="274"/>
        <v>0.8571428571428571</v>
      </c>
      <c r="AU35" s="18">
        <f>(AU12+AU15)/AU11</f>
        <v>0.55927051671732519</v>
      </c>
      <c r="AV35" s="18">
        <f t="shared" ref="AV35:AY35" si="275">(AV12+AV15)/AV11</f>
        <v>0.60251798561151082</v>
      </c>
      <c r="AW35" s="18">
        <f t="shared" si="275"/>
        <v>0.46243902439024392</v>
      </c>
      <c r="AX35" s="18">
        <f t="shared" si="275"/>
        <v>0.79192546583850942</v>
      </c>
      <c r="AY35" s="18">
        <f t="shared" si="275"/>
        <v>0.63019693654266962</v>
      </c>
      <c r="AZ35" s="18">
        <v>0</v>
      </c>
      <c r="BA35" s="18">
        <f t="shared" ref="BA35:BD35" si="276">(BA12+BA15)/BA11</f>
        <v>0.47720364741641336</v>
      </c>
      <c r="BB35" s="18">
        <f t="shared" si="276"/>
        <v>0.41719745222929944</v>
      </c>
      <c r="BC35" s="18">
        <f t="shared" si="276"/>
        <v>0.45027322404371578</v>
      </c>
      <c r="BD35" s="18">
        <f t="shared" si="276"/>
        <v>0.28800000000000003</v>
      </c>
      <c r="BE35" s="18">
        <v>0</v>
      </c>
      <c r="BF35" s="18">
        <f t="shared" ref="BF35:BI35" si="277">(BF12+BF15)/BF11</f>
        <v>0.53909465020576142</v>
      </c>
      <c r="BG35" s="18">
        <f t="shared" si="277"/>
        <v>0.59872611464968151</v>
      </c>
      <c r="BH35" s="18">
        <f t="shared" si="277"/>
        <v>0.66233766233766223</v>
      </c>
      <c r="BI35" s="18">
        <f t="shared" si="277"/>
        <v>0.68440366972477062</v>
      </c>
      <c r="BJ35" s="18">
        <f>(BJ12+BJ15)/BJ11</f>
        <v>0.60141509433962259</v>
      </c>
      <c r="BK35" s="18">
        <f t="shared" ref="BK35:BO35" si="278">(BK12+BK15)/BK11</f>
        <v>0.63194444444444442</v>
      </c>
      <c r="BL35" s="18">
        <f t="shared" si="278"/>
        <v>0.42398286937901497</v>
      </c>
      <c r="BM35" s="18">
        <f t="shared" si="278"/>
        <v>0.41038961038961042</v>
      </c>
      <c r="BN35" s="18">
        <f t="shared" si="278"/>
        <v>0.38725490196078427</v>
      </c>
      <c r="BO35" s="18">
        <f t="shared" si="278"/>
        <v>0.55666666666666664</v>
      </c>
      <c r="BP35" s="18">
        <f t="shared" ref="BP35:BT35" si="279">(BP12+BP15)/BP11</f>
        <v>0.3587628865979382</v>
      </c>
      <c r="BQ35" s="18">
        <f t="shared" si="279"/>
        <v>0.51063829787234039</v>
      </c>
      <c r="BR35" s="18">
        <f t="shared" si="279"/>
        <v>0.62093023255813962</v>
      </c>
      <c r="BS35" s="18">
        <f t="shared" si="279"/>
        <v>0.51098901098901106</v>
      </c>
      <c r="BT35" s="18">
        <f t="shared" si="279"/>
        <v>0.75133689839572193</v>
      </c>
      <c r="BU35" s="18">
        <f t="shared" ref="BU35:BX35" si="280">(BU12+BU15)/BU11</f>
        <v>0.79005524861878451</v>
      </c>
      <c r="BV35" s="18">
        <f t="shared" si="280"/>
        <v>0.6191860465116279</v>
      </c>
      <c r="BW35" s="18">
        <f t="shared" si="280"/>
        <v>0.92307692307692313</v>
      </c>
      <c r="BX35" s="18">
        <f t="shared" si="280"/>
        <v>0.62051282051282053</v>
      </c>
      <c r="BY35" s="18">
        <f>(BY12+BY15)/BY11</f>
        <v>0.66150178784266989</v>
      </c>
      <c r="BZ35" s="18">
        <f t="shared" ref="BZ35:CC35" si="281">(BZ12+BZ15)/BZ11</f>
        <v>0.59418457648546141</v>
      </c>
      <c r="CA35" s="18">
        <f t="shared" si="281"/>
        <v>0.46932185145317545</v>
      </c>
      <c r="CB35" s="18">
        <f t="shared" si="281"/>
        <v>0.61654135338345861</v>
      </c>
      <c r="CC35" s="18">
        <f t="shared" si="281"/>
        <v>0.59866220735785947</v>
      </c>
      <c r="CD35" s="14">
        <f>Painel!CD35</f>
        <v>0.63561320754716977</v>
      </c>
      <c r="CE35" s="18">
        <f t="shared" ref="CE35:CH35" si="282">(CE12+CE15)/CE11</f>
        <v>0.57894736842105265</v>
      </c>
      <c r="CF35" s="18">
        <f t="shared" si="282"/>
        <v>0.37100737100737102</v>
      </c>
      <c r="CG35" s="18">
        <f t="shared" si="282"/>
        <v>0.7416666666666667</v>
      </c>
      <c r="CH35" s="18">
        <f t="shared" si="282"/>
        <v>0.54749999999999999</v>
      </c>
      <c r="CI35" s="18">
        <f t="shared" ref="CI35:CN35" si="283">(CI12+CI15)/CI11</f>
        <v>0.51270553064275037</v>
      </c>
      <c r="CJ35" s="18">
        <f t="shared" si="283"/>
        <v>0.46598639455782315</v>
      </c>
      <c r="CK35" s="18">
        <f t="shared" si="283"/>
        <v>0.69976905311778281</v>
      </c>
      <c r="CL35" s="18">
        <f t="shared" si="283"/>
        <v>0.84210526315789469</v>
      </c>
      <c r="CM35" s="18">
        <f t="shared" si="283"/>
        <v>0.9478527607361964</v>
      </c>
      <c r="CN35" s="18">
        <f t="shared" si="283"/>
        <v>0.91884057971014488</v>
      </c>
      <c r="CO35" s="18">
        <f t="shared" ref="CO35:CR35" si="284">(CO12+CO15)/CO11</f>
        <v>0.80172413793103448</v>
      </c>
      <c r="CP35" s="18">
        <f t="shared" si="284"/>
        <v>0.40602409638554221</v>
      </c>
      <c r="CQ35" s="18">
        <f t="shared" si="284"/>
        <v>0.48159509202453993</v>
      </c>
      <c r="CR35" s="18">
        <f t="shared" si="284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  <c r="CD36" s="14"/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  <c r="CD37" s="14"/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85">BZ10/BZ37</f>
        <v>2.71875</v>
      </c>
      <c r="CA38" s="14">
        <f t="shared" si="285"/>
        <v>2.6226415094339623</v>
      </c>
      <c r="CB38" s="14">
        <f t="shared" si="285"/>
        <v>2.8653846153846154</v>
      </c>
      <c r="CC38" s="14">
        <f t="shared" si="285"/>
        <v>2.0377358490566038</v>
      </c>
      <c r="CD38" s="14"/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B5D-EA92-4165-B3F7-5826A0789D8F}">
  <sheetPr codeName="Planilha8"/>
  <dimension ref="A1:BU39"/>
  <sheetViews>
    <sheetView workbookViewId="0">
      <pane xSplit="1" ySplit="2" topLeftCell="BD20" activePane="bottomRight" state="frozen"/>
      <selection pane="topRight" activeCell="B1" sqref="B1"/>
      <selection pane="bottomLeft" activeCell="A3" sqref="A3"/>
      <selection pane="bottomRight" activeCell="BE32" sqref="BE32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4" width="7.44140625" bestFit="1" customWidth="1"/>
    <col min="5" max="5" width="7.33203125" customWidth="1"/>
    <col min="6" max="6" width="6.6640625" bestFit="1" customWidth="1"/>
    <col min="7" max="7" width="6.5546875" bestFit="1" customWidth="1"/>
    <col min="8" max="8" width="8.5546875" bestFit="1" customWidth="1"/>
    <col min="9" max="9" width="6.33203125" customWidth="1"/>
    <col min="10" max="10" width="6.21875" customWidth="1"/>
    <col min="11" max="11" width="6.44140625" bestFit="1" customWidth="1"/>
    <col min="12" max="12" width="7.44140625" bestFit="1" customWidth="1"/>
    <col min="13" max="13" width="6.33203125" customWidth="1"/>
    <col min="14" max="14" width="8.77734375" bestFit="1" customWidth="1"/>
    <col min="15" max="16" width="7.33203125" bestFit="1" customWidth="1"/>
    <col min="17" max="17" width="10.33203125" bestFit="1" customWidth="1"/>
    <col min="18" max="19" width="7.33203125" bestFit="1" customWidth="1"/>
    <col min="20" max="20" width="7.44140625" customWidth="1"/>
    <col min="21" max="21" width="6" customWidth="1"/>
    <col min="22" max="22" width="7.33203125" bestFit="1" customWidth="1"/>
    <col min="23" max="23" width="7.88671875" bestFit="1" customWidth="1"/>
    <col min="24" max="24" width="7.33203125" bestFit="1" customWidth="1"/>
    <col min="25" max="25" width="6.109375" bestFit="1" customWidth="1"/>
    <col min="26" max="26" width="7.77734375" customWidth="1"/>
    <col min="27" max="27" width="7.5546875" customWidth="1"/>
    <col min="28" max="28" width="5.44140625" bestFit="1" customWidth="1"/>
    <col min="29" max="29" width="9" bestFit="1" customWidth="1"/>
    <col min="30" max="31" width="6.5546875" bestFit="1" customWidth="1"/>
    <col min="32" max="32" width="10.21875" bestFit="1" customWidth="1"/>
    <col min="33" max="33" width="7.109375" customWidth="1"/>
    <col min="34" max="34" width="6.6640625" customWidth="1"/>
    <col min="35" max="35" width="8.6640625" bestFit="1" customWidth="1"/>
    <col min="36" max="37" width="6.6640625" customWidth="1"/>
    <col min="38" max="38" width="7.109375" bestFit="1" customWidth="1"/>
    <col min="39" max="39" width="7.33203125" bestFit="1" customWidth="1"/>
    <col min="40" max="40" width="6.5546875" customWidth="1"/>
    <col min="41" max="41" width="6.109375" bestFit="1" customWidth="1"/>
    <col min="42" max="42" width="5.5546875" bestFit="1" customWidth="1"/>
    <col min="43" max="43" width="7" customWidth="1"/>
    <col min="44" max="44" width="11.88671875" bestFit="1" customWidth="1"/>
    <col min="45" max="45" width="6.5546875" customWidth="1"/>
    <col min="46" max="46" width="7" customWidth="1"/>
    <col min="47" max="47" width="9" bestFit="1" customWidth="1"/>
    <col min="48" max="48" width="6.33203125" customWidth="1"/>
    <col min="49" max="49" width="6.5546875" customWidth="1"/>
    <col min="50" max="50" width="7.33203125" bestFit="1" customWidth="1"/>
    <col min="51" max="51" width="6.33203125" customWidth="1"/>
    <col min="52" max="52" width="6.77734375" customWidth="1"/>
    <col min="53" max="53" width="9.109375" bestFit="1" customWidth="1"/>
    <col min="54" max="54" width="6.77734375" customWidth="1"/>
    <col min="55" max="55" width="6.21875" bestFit="1" customWidth="1"/>
    <col min="56" max="56" width="13.77734375" bestFit="1" customWidth="1"/>
    <col min="57" max="57" width="7.33203125" bestFit="1" customWidth="1"/>
    <col min="58" max="58" width="6.77734375" customWidth="1"/>
    <col min="59" max="59" width="10.33203125" bestFit="1" customWidth="1"/>
    <col min="60" max="61" width="5.44140625" bestFit="1" customWidth="1"/>
    <col min="62" max="63" width="5" bestFit="1" customWidth="1"/>
    <col min="64" max="64" width="8.109375" bestFit="1" customWidth="1"/>
    <col min="65" max="68" width="5" bestFit="1" customWidth="1"/>
    <col min="69" max="69" width="9.21875" bestFit="1" customWidth="1"/>
    <col min="70" max="73" width="5" bestFit="1" customWidth="1"/>
  </cols>
  <sheetData>
    <row r="1" spans="1:73" x14ac:dyDescent="0.3">
      <c r="A1" s="1"/>
      <c r="B1" s="1" t="s">
        <v>35</v>
      </c>
      <c r="E1" s="1" t="s">
        <v>27</v>
      </c>
      <c r="F1" s="1"/>
      <c r="G1" s="1"/>
      <c r="H1" t="s">
        <v>79</v>
      </c>
      <c r="K1" s="1" t="s">
        <v>31</v>
      </c>
      <c r="L1" s="1"/>
      <c r="N1" s="1" t="s">
        <v>26</v>
      </c>
      <c r="O1" s="1"/>
      <c r="P1" s="1"/>
      <c r="Q1" s="1" t="s">
        <v>23</v>
      </c>
      <c r="R1" s="1"/>
      <c r="S1" s="1"/>
      <c r="T1" s="1" t="s">
        <v>34</v>
      </c>
      <c r="W1" s="1" t="s">
        <v>28</v>
      </c>
      <c r="X1" s="1"/>
      <c r="Y1" s="1"/>
      <c r="Z1" s="1" t="s">
        <v>37</v>
      </c>
      <c r="AA1" s="1"/>
      <c r="AC1" s="1" t="s">
        <v>18</v>
      </c>
      <c r="AD1" s="1"/>
      <c r="AE1" s="1"/>
      <c r="AF1" s="1" t="s">
        <v>25</v>
      </c>
      <c r="AG1" s="1"/>
      <c r="AH1" s="1"/>
      <c r="AI1" s="1" t="s">
        <v>32</v>
      </c>
      <c r="AL1" s="1" t="s">
        <v>29</v>
      </c>
      <c r="AM1" s="1"/>
      <c r="AN1" s="1"/>
      <c r="AO1" s="1" t="s">
        <v>36</v>
      </c>
      <c r="AP1" s="1"/>
      <c r="AR1" s="1" t="s">
        <v>30</v>
      </c>
      <c r="AS1" s="1"/>
      <c r="AT1" s="1"/>
      <c r="AU1" s="1" t="s">
        <v>15</v>
      </c>
      <c r="AV1" s="1"/>
      <c r="AW1" s="1"/>
      <c r="AX1" s="1" t="s">
        <v>33</v>
      </c>
      <c r="BA1" s="1" t="s">
        <v>22</v>
      </c>
      <c r="BB1" s="1"/>
      <c r="BC1" s="1"/>
      <c r="BD1" s="1" t="s">
        <v>24</v>
      </c>
      <c r="BG1" s="1"/>
    </row>
    <row r="2" spans="1:73" x14ac:dyDescent="0.3">
      <c r="A2" s="1" t="s">
        <v>21</v>
      </c>
      <c r="B2" s="6">
        <v>2023</v>
      </c>
      <c r="C2" s="6">
        <v>2022</v>
      </c>
      <c r="D2" s="6">
        <v>2019</v>
      </c>
      <c r="E2" s="6">
        <v>2023</v>
      </c>
      <c r="F2" s="6">
        <v>2022</v>
      </c>
      <c r="G2" s="6">
        <v>2019</v>
      </c>
      <c r="H2" s="6">
        <v>2023</v>
      </c>
      <c r="I2" s="6">
        <v>2022</v>
      </c>
      <c r="J2" s="6">
        <v>2019</v>
      </c>
      <c r="K2" s="6">
        <v>2023</v>
      </c>
      <c r="L2" s="6">
        <v>2022</v>
      </c>
      <c r="M2" s="6">
        <v>2019</v>
      </c>
      <c r="N2" s="6">
        <v>2023</v>
      </c>
      <c r="O2" s="6">
        <v>2022</v>
      </c>
      <c r="P2" s="6">
        <v>2019</v>
      </c>
      <c r="Q2" s="6">
        <v>2023</v>
      </c>
      <c r="R2" s="6">
        <v>2022</v>
      </c>
      <c r="S2" s="6">
        <v>2019</v>
      </c>
      <c r="T2" s="6">
        <v>2023</v>
      </c>
      <c r="U2" s="6">
        <v>2022</v>
      </c>
      <c r="V2" s="6">
        <v>2019</v>
      </c>
      <c r="W2" s="6">
        <v>2023</v>
      </c>
      <c r="X2" s="6">
        <v>2022</v>
      </c>
      <c r="Y2" s="6">
        <v>2019</v>
      </c>
      <c r="Z2" s="6">
        <v>2023</v>
      </c>
      <c r="AA2" s="6">
        <v>2022</v>
      </c>
      <c r="AB2" s="6">
        <v>2019</v>
      </c>
      <c r="AC2" s="6">
        <v>2023</v>
      </c>
      <c r="AD2" s="6">
        <v>2022</v>
      </c>
      <c r="AE2" s="6">
        <v>2019</v>
      </c>
      <c r="AF2" s="6">
        <v>2023</v>
      </c>
      <c r="AG2" s="6">
        <v>2022</v>
      </c>
      <c r="AH2" s="6">
        <v>2019</v>
      </c>
      <c r="AI2" s="6">
        <v>2023</v>
      </c>
      <c r="AJ2" s="6">
        <v>2022</v>
      </c>
      <c r="AK2" s="6">
        <v>2019</v>
      </c>
      <c r="AL2" s="6">
        <v>2023</v>
      </c>
      <c r="AM2" s="6">
        <v>2022</v>
      </c>
      <c r="AN2" s="6">
        <v>2019</v>
      </c>
      <c r="AO2" s="6">
        <v>2023</v>
      </c>
      <c r="AP2" s="6">
        <v>2022</v>
      </c>
      <c r="AQ2" s="6">
        <v>2019</v>
      </c>
      <c r="AR2" s="6">
        <v>2023</v>
      </c>
      <c r="AS2" s="6">
        <v>2022</v>
      </c>
      <c r="AT2" s="6">
        <v>2019</v>
      </c>
      <c r="AU2" s="6">
        <v>2023</v>
      </c>
      <c r="AV2" s="6">
        <v>2022</v>
      </c>
      <c r="AW2" s="6">
        <v>2019</v>
      </c>
      <c r="AX2" s="6">
        <v>2023</v>
      </c>
      <c r="AY2" s="6">
        <v>2022</v>
      </c>
      <c r="AZ2" s="6">
        <v>2019</v>
      </c>
      <c r="BA2" s="6">
        <v>2023</v>
      </c>
      <c r="BB2" s="6">
        <v>2022</v>
      </c>
      <c r="BC2" s="6">
        <v>2019</v>
      </c>
      <c r="BD2" s="6">
        <v>2023</v>
      </c>
      <c r="BE2" s="6">
        <v>2022</v>
      </c>
      <c r="BF2" s="6">
        <v>2019</v>
      </c>
    </row>
    <row r="3" spans="1:73" x14ac:dyDescent="0.3">
      <c r="A3" s="8" t="s">
        <v>95</v>
      </c>
      <c r="B3" s="14">
        <f>Painel_Cte!B3</f>
        <v>73</v>
      </c>
      <c r="C3" s="14">
        <f>Painel!C3*IPC!G$3</f>
        <v>105.21300000000001</v>
      </c>
      <c r="D3" s="14">
        <f>Painel!F3*IPC!J$3</f>
        <v>13.101784745243378</v>
      </c>
      <c r="E3" s="14">
        <f>Painel!G3</f>
        <v>98</v>
      </c>
      <c r="F3" s="14">
        <f>Painel!H3*IPC!G$3</f>
        <v>159.88250000000002</v>
      </c>
      <c r="G3" s="14">
        <f>Painel!K3*IPC!J$3</f>
        <v>152.43422636292777</v>
      </c>
      <c r="H3" s="14">
        <f>Painel!L3</f>
        <v>117</v>
      </c>
      <c r="I3" s="14">
        <f>Painel!M3*IPC!G$3</f>
        <v>133.0635</v>
      </c>
      <c r="J3" s="14">
        <f>Painel!P3*IPC!J$3</f>
        <v>201.56591915759043</v>
      </c>
      <c r="K3" s="14"/>
      <c r="L3" s="14">
        <f>Painel!R3*IPC!G$3</f>
        <v>22.693000000000001</v>
      </c>
      <c r="M3" s="14">
        <f>Painel!U3*IPC!J$3</f>
        <v>102.04274657353017</v>
      </c>
      <c r="N3" s="14"/>
      <c r="O3" s="14"/>
      <c r="P3" s="14"/>
      <c r="Q3" s="14">
        <f>Painel_Cte!AA3</f>
        <v>319</v>
      </c>
      <c r="R3" s="14">
        <f>Painel!AB3*IPC!G$3</f>
        <v>328.01700000000005</v>
      </c>
      <c r="S3" s="14">
        <f>Painel!AE3*IPC!J$3</f>
        <v>238.0997420049037</v>
      </c>
      <c r="T3" s="14">
        <f>Painel!AF3</f>
        <v>51</v>
      </c>
      <c r="U3" s="14">
        <f>Painel!AG3*IPC!G$3</f>
        <v>50.543500000000002</v>
      </c>
      <c r="V3" s="14">
        <f>Painel!AJ3*IPC!J$3</f>
        <v>18.896804921024103</v>
      </c>
      <c r="W3" s="14"/>
      <c r="X3" s="14">
        <f>Painel!AL3*IPC!G$3</f>
        <v>29.913500000000003</v>
      </c>
      <c r="Y3" s="14">
        <f>Painel!AO3*IPC!J$3</f>
        <v>128.49827346296391</v>
      </c>
      <c r="Z3" s="14">
        <f>Painel_Cte!AP3</f>
        <v>75</v>
      </c>
      <c r="AA3" s="14">
        <f>Painel_Cte!AQ3</f>
        <v>90.772000000000006</v>
      </c>
      <c r="AB3" s="14">
        <f>Painel_Cte!AT3</f>
        <v>0</v>
      </c>
      <c r="AC3" s="1">
        <v>425</v>
      </c>
      <c r="AD3">
        <v>518</v>
      </c>
      <c r="AE3">
        <v>420</v>
      </c>
      <c r="AF3" s="14"/>
      <c r="AG3" s="14">
        <f>Painel!BA3*IPC!G$3</f>
        <v>155.75650000000002</v>
      </c>
      <c r="AH3" s="14">
        <f>Painel!BD3*IPC!J$3</f>
        <v>136.05699543137354</v>
      </c>
      <c r="AI3" s="14"/>
      <c r="AJ3" s="14">
        <f>Painel!BF3*IPC!G$3</f>
        <v>121.71700000000001</v>
      </c>
      <c r="AK3" s="14">
        <f>Painel!BI3*IPC!J$3</f>
        <v>57.95020175780725</v>
      </c>
      <c r="AL3" s="14">
        <f>Painel!BJ3</f>
        <v>193</v>
      </c>
      <c r="AM3" s="14">
        <f>Painel!BK3*IPC!G$3</f>
        <v>72.205000000000013</v>
      </c>
      <c r="AN3" s="14">
        <f>Painel!BN3*IPC!J$3</f>
        <v>207.86485413126513</v>
      </c>
      <c r="AO3" s="14">
        <f>Painel_Cte!BO3</f>
        <v>56.1</v>
      </c>
      <c r="AP3" s="14">
        <f>Painel!BP3*IPC!G$3</f>
        <v>76.537300000000016</v>
      </c>
      <c r="AQ3" s="14">
        <f>Painel!BS3*IPC!J$3</f>
        <v>86.925302636710882</v>
      </c>
      <c r="AR3" s="14">
        <f>Painel_Cte!BT3</f>
        <v>150</v>
      </c>
      <c r="AS3" s="14">
        <f>Painel!BU3*IPC!G$3</f>
        <v>159.88250000000002</v>
      </c>
      <c r="AT3" s="14">
        <f>Painel!BX3*IPC!J$3</f>
        <v>195.26698418391575</v>
      </c>
      <c r="AU3" s="14">
        <f>Resultado!Q2+Resultado!Q6</f>
        <v>263</v>
      </c>
      <c r="AV3" s="14">
        <f>Painel!BZ3*IPC!G$3</f>
        <v>271.28450000000004</v>
      </c>
      <c r="AW3" s="14">
        <f>Painel!CC3*IPC!J$3</f>
        <v>274.63356485221698</v>
      </c>
      <c r="AX3" s="14"/>
      <c r="AY3" s="14">
        <f>Painel!CE3*IPC!G$3</f>
        <v>108.3075</v>
      </c>
      <c r="AZ3" s="14">
        <f>Painel!CH3*IPC!J$3</f>
        <v>138.57656942084344</v>
      </c>
      <c r="BA3" s="14">
        <f>Painel!CI3</f>
        <v>259</v>
      </c>
      <c r="BB3" s="14">
        <f>Painel!CJ3*IPC!G$3</f>
        <v>211.45750000000001</v>
      </c>
      <c r="BC3" s="14">
        <f>Painel!CM3*IPC!J$3</f>
        <v>172.59081827868681</v>
      </c>
      <c r="BD3" s="14">
        <f>Painel_Cte!CN3</f>
        <v>119</v>
      </c>
      <c r="BE3" s="14">
        <f>Painel!CO3*IPC!G$3</f>
        <v>33.008000000000003</v>
      </c>
      <c r="BF3" s="14">
        <f>Painel!CR3*IPC!J$3</f>
        <v>149.9146523734579</v>
      </c>
      <c r="BH3" s="14"/>
      <c r="BI3" s="14"/>
      <c r="BJ3" s="14"/>
      <c r="BK3" s="14"/>
      <c r="BM3" s="14"/>
      <c r="BN3" s="14"/>
      <c r="BO3" s="14"/>
      <c r="BP3" s="14"/>
      <c r="BR3" s="14"/>
      <c r="BS3" s="14"/>
      <c r="BT3" s="14"/>
      <c r="BU3" s="14"/>
    </row>
    <row r="4" spans="1:73" x14ac:dyDescent="0.3">
      <c r="A4" s="8" t="s">
        <v>0</v>
      </c>
      <c r="B4" s="14">
        <f>Painel_Cte!B4</f>
        <v>33</v>
      </c>
      <c r="C4" s="14">
        <f>Painel!C4*IPC!G$3</f>
        <v>18.154400000000003</v>
      </c>
      <c r="D4" s="14">
        <f>Painel!F4*IPC!J$3</f>
        <v>7.18078586998916</v>
      </c>
      <c r="E4" s="14">
        <f>Painel!G4</f>
        <v>47</v>
      </c>
      <c r="F4" s="14">
        <f>Painel!H4*IPC!G$3</f>
        <v>71.173500000000004</v>
      </c>
      <c r="G4" s="14">
        <f>Painel!K4*IPC!J$3</f>
        <v>27.715313884168687</v>
      </c>
      <c r="H4" s="14">
        <f>Painel!L4</f>
        <v>39</v>
      </c>
      <c r="I4" s="14">
        <f>Painel!M4*IPC!G$3</f>
        <v>72.205000000000013</v>
      </c>
      <c r="J4" s="14">
        <f>Painel!P4*IPC!J$3</f>
        <v>21.416378910493986</v>
      </c>
      <c r="K4" s="14"/>
      <c r="L4" s="14">
        <f>Painel!R4*IPC!G$3</f>
        <v>18.567</v>
      </c>
      <c r="M4" s="14">
        <f>Painel!U4*IPC!J$3</f>
        <v>20.156591915759044</v>
      </c>
      <c r="N4" s="14"/>
      <c r="O4" s="14"/>
      <c r="P4" s="14"/>
      <c r="Q4" s="14">
        <f>Painel_Cte!AA4</f>
        <v>117</v>
      </c>
      <c r="R4" s="14">
        <f>Painel!AB4*IPC!G$3</f>
        <v>96.961000000000013</v>
      </c>
      <c r="S4" s="14">
        <f>Painel!AE4*IPC!J$3</f>
        <v>91.964450615650634</v>
      </c>
      <c r="T4" s="14">
        <f>Painel!AF4</f>
        <v>14</v>
      </c>
      <c r="U4" s="14">
        <f>Painel!AG4*IPC!G$3</f>
        <v>16.504000000000001</v>
      </c>
      <c r="V4" s="14">
        <f>Painel!AJ4*IPC!J$3</f>
        <v>5.0391479789397611</v>
      </c>
      <c r="W4" s="14"/>
      <c r="X4" s="14">
        <f>Painel!AL4*IPC!G$3</f>
        <v>29.913500000000003</v>
      </c>
      <c r="Y4" s="14">
        <f>Painel!AO4*IPC!J$3</f>
        <v>32.754461863108446</v>
      </c>
      <c r="Z4" s="14">
        <f>Painel_Cte!AP4</f>
        <v>6.3</v>
      </c>
      <c r="AA4" s="14">
        <f>Painel_Cte!AQ4</f>
        <v>5.6732500000000003</v>
      </c>
      <c r="AB4" s="14">
        <f>Painel_Cte!AT4</f>
        <v>30.234887873638566</v>
      </c>
      <c r="AC4" s="14">
        <f>Resultado!K3</f>
        <v>183</v>
      </c>
      <c r="AD4" s="14">
        <f>Painel!AV4*IPC!G$3</f>
        <v>154.72500000000002</v>
      </c>
      <c r="AE4" s="14">
        <f>Painel!AY4*IPC!J$3</f>
        <v>99.523172584060276</v>
      </c>
      <c r="AF4" s="14"/>
      <c r="AG4" s="14">
        <f>Painel!BA4*IPC!G$3</f>
        <v>34.039500000000004</v>
      </c>
      <c r="AH4" s="14">
        <f>Painel!BD4*IPC!J$3</f>
        <v>11.338082952614462</v>
      </c>
      <c r="AI4" s="14"/>
      <c r="AJ4" s="14">
        <f>Painel!BF4*IPC!G$3</f>
        <v>22.693000000000001</v>
      </c>
      <c r="AK4" s="14">
        <f>Painel!BI4*IPC!J$3</f>
        <v>9.4484024605120513</v>
      </c>
      <c r="AL4" s="14">
        <f>Painel!BJ4</f>
        <v>74</v>
      </c>
      <c r="AM4" s="14">
        <f>Painel!BK4*IPC!G$3</f>
        <v>45.386000000000003</v>
      </c>
      <c r="AN4" s="14">
        <f>Painel!BN4*IPC!J$3</f>
        <v>46.612118805192793</v>
      </c>
      <c r="AO4" s="14">
        <f>Painel_Cte!BO4</f>
        <v>23.35</v>
      </c>
      <c r="AP4" s="14">
        <f>Painel!BP4*IPC!G$3</f>
        <v>13.409500000000001</v>
      </c>
      <c r="AQ4" s="14">
        <f>Painel!BS4*IPC!J$3</f>
        <v>7.5587219684096416</v>
      </c>
      <c r="AR4" s="14">
        <f>Painel_Cte!BT4</f>
        <v>65</v>
      </c>
      <c r="AS4" s="14">
        <f>Painel!BU4*IPC!G$3</f>
        <v>48.480500000000006</v>
      </c>
      <c r="AT4" s="14">
        <f>Painel!BX4*IPC!J$3</f>
        <v>59.209988752542195</v>
      </c>
      <c r="AU4" s="14">
        <f>Resultado!Q3</f>
        <v>121</v>
      </c>
      <c r="AV4" s="14">
        <f>Painel!BZ4*IPC!G$3</f>
        <v>140.28400000000002</v>
      </c>
      <c r="AW4" s="14">
        <f>Painel!CC4*IPC!J$3</f>
        <v>142.35593040504824</v>
      </c>
      <c r="AX4" s="14"/>
      <c r="AY4" s="14">
        <f>Painel!CE4*IPC!G$3</f>
        <v>69.110500000000002</v>
      </c>
      <c r="AZ4" s="14">
        <f>Painel!CH4*IPC!J$3</f>
        <v>28.975100878903625</v>
      </c>
      <c r="BA4" s="14">
        <f>Painel!CI4</f>
        <v>46</v>
      </c>
      <c r="BB4" s="14">
        <f>Painel!CJ4*IPC!G$3</f>
        <v>55.701000000000008</v>
      </c>
      <c r="BC4" s="14">
        <f>Painel!CM4*IPC!J$3</f>
        <v>26.455526889433745</v>
      </c>
      <c r="BD4" s="14">
        <f>Painel_Cte!CN4</f>
        <v>49</v>
      </c>
      <c r="BE4" s="14">
        <f>Painel!CO4*IPC!G$3</f>
        <v>24.343400000000003</v>
      </c>
      <c r="BF4" s="14">
        <f>Painel!CR4*IPC!J$3</f>
        <v>20.156591915759044</v>
      </c>
      <c r="BH4" s="14"/>
      <c r="BI4" s="14"/>
      <c r="BJ4" s="14"/>
      <c r="BK4" s="14"/>
      <c r="BM4" s="14"/>
      <c r="BN4" s="14"/>
      <c r="BO4" s="14"/>
      <c r="BP4" s="14"/>
      <c r="BR4" s="14"/>
      <c r="BS4" s="14"/>
      <c r="BT4" s="14"/>
      <c r="BU4" s="14"/>
    </row>
    <row r="5" spans="1:73" x14ac:dyDescent="0.3">
      <c r="A5" s="9" t="s">
        <v>87</v>
      </c>
      <c r="B5" s="14">
        <f>Painel_Cte!B5</f>
        <v>3.1</v>
      </c>
      <c r="C5" s="14">
        <f>Painel!C5*IPC!G$3</f>
        <v>3.6102500000000002</v>
      </c>
      <c r="D5" s="14">
        <f>Painel!F5*IPC!J$3</f>
        <v>0.37793609842048209</v>
      </c>
      <c r="E5" s="14">
        <f>Painel!G5</f>
        <v>47</v>
      </c>
      <c r="F5" s="14">
        <f>Painel!H5*IPC!G$3</f>
        <v>40.228500000000004</v>
      </c>
      <c r="G5" s="14">
        <f>Painel!K5*IPC!J$3</f>
        <v>21.416378910493986</v>
      </c>
      <c r="H5" s="14">
        <f>Painel!L5</f>
        <v>33</v>
      </c>
      <c r="I5" s="14">
        <f>Painel!M5*IPC!G$3</f>
        <v>24.756</v>
      </c>
      <c r="J5" s="14">
        <f>Painel!P5*IPC!J$3</f>
        <v>30.234887873638566</v>
      </c>
      <c r="K5" s="14"/>
      <c r="L5" s="14">
        <f>Painel!R5*IPC!G$3</f>
        <v>18.567</v>
      </c>
      <c r="M5" s="14">
        <f>Painel!U5*IPC!J$3</f>
        <v>21.416378910493986</v>
      </c>
      <c r="N5" s="14"/>
      <c r="O5" s="14"/>
      <c r="P5" s="14"/>
      <c r="Q5" s="14">
        <f>Painel_Cte!AA5</f>
        <v>91</v>
      </c>
      <c r="R5" s="14">
        <f>Painel!AB5*IPC!G$3</f>
        <v>101.087</v>
      </c>
      <c r="S5" s="14">
        <f>Painel!AE5*IPC!J$3</f>
        <v>78.106793673566301</v>
      </c>
      <c r="T5" s="14">
        <f>Painel!AF5</f>
        <v>12</v>
      </c>
      <c r="U5" s="14">
        <f>Painel!AG5*IPC!G$3</f>
        <v>27.850500000000004</v>
      </c>
      <c r="V5" s="14">
        <f>Painel!AJ5*IPC!J$3</f>
        <v>6.5508923726216892</v>
      </c>
      <c r="W5" s="14"/>
      <c r="X5" s="14">
        <f>Painel!AL5*IPC!G$3</f>
        <v>33.008000000000003</v>
      </c>
      <c r="Y5" s="14">
        <f>Painel!AO5*IPC!J$3</f>
        <v>22.676165905228924</v>
      </c>
      <c r="Z5" s="14">
        <f>Painel_Cte!AP5</f>
        <v>16.600000000000001</v>
      </c>
      <c r="AA5" s="14">
        <f>Painel_Cte!AQ5</f>
        <v>13.718950000000001</v>
      </c>
      <c r="AB5" s="14">
        <f>Painel_Cte!AT5</f>
        <v>1.6377230931554223</v>
      </c>
      <c r="AC5" s="14">
        <f>Resultado!K4</f>
        <v>169</v>
      </c>
      <c r="AD5" s="14">
        <f>Painel!AV5*IPC!G$3</f>
        <v>131.00050000000002</v>
      </c>
      <c r="AE5" s="14">
        <f>Painel!AY5*IPC!J$3</f>
        <v>143.61571739978319</v>
      </c>
      <c r="AF5" s="14"/>
      <c r="AG5" s="14">
        <f>Painel!BA5*IPC!G$3</f>
        <v>24.756</v>
      </c>
      <c r="AH5" s="14">
        <f>Painel!BD5*IPC!J$3</f>
        <v>20.156591915759044</v>
      </c>
      <c r="AI5" s="14"/>
      <c r="AJ5" s="14">
        <f>Painel!BF5*IPC!G$3</f>
        <v>19.598500000000001</v>
      </c>
      <c r="AK5" s="14">
        <f>Painel!BI5*IPC!J$3</f>
        <v>15.117443936819283</v>
      </c>
      <c r="AL5" s="14">
        <f>Painel!BJ5</f>
        <v>2.4</v>
      </c>
      <c r="AM5" s="14">
        <f>Painel!BK5*IPC!G$3</f>
        <v>0</v>
      </c>
      <c r="AN5" s="14">
        <f>Painel!BN5*IPC!J$3</f>
        <v>0.25195739894698804</v>
      </c>
      <c r="AO5" s="14">
        <f>Painel_Cte!BO5</f>
        <v>6.75</v>
      </c>
      <c r="AP5" s="14">
        <f>Painel!BP5*IPC!G$3</f>
        <v>5.7763999999999998</v>
      </c>
      <c r="AQ5" s="14">
        <f>Painel!BS5*IPC!J$3</f>
        <v>10.834168154720485</v>
      </c>
      <c r="AR5" s="14">
        <f>Painel_Cte!BT5</f>
        <v>20</v>
      </c>
      <c r="AS5" s="14">
        <f>Painel!BU5*IPC!G$3</f>
        <v>15.472500000000002</v>
      </c>
      <c r="AT5" s="14">
        <f>Painel!BX5*IPC!J$3</f>
        <v>25.195739894698804</v>
      </c>
      <c r="AU5" s="14">
        <f>Resultado!Q4</f>
        <v>63</v>
      </c>
      <c r="AV5" s="14">
        <f>Painel!BZ5*IPC!G$3</f>
        <v>57.764000000000003</v>
      </c>
      <c r="AW5" s="14">
        <f>Painel!CC5*IPC!J$3</f>
        <v>56.690414763072312</v>
      </c>
      <c r="AX5" s="14"/>
      <c r="AY5" s="14">
        <f>Painel!CE5*IPC!G$3</f>
        <v>45.386000000000003</v>
      </c>
      <c r="AZ5" s="14">
        <f>Painel!CH5*IPC!J$3</f>
        <v>30.234887873638566</v>
      </c>
      <c r="BA5" s="14">
        <f>Painel!CI5</f>
        <v>110</v>
      </c>
      <c r="BB5" s="14">
        <f>Painel!CJ5*IPC!G$3</f>
        <v>66.016000000000005</v>
      </c>
      <c r="BC5" s="14">
        <f>Painel!CM5*IPC!J$3</f>
        <v>49.131692794662669</v>
      </c>
      <c r="BD5" s="14">
        <f>Painel_Cte!CN5</f>
        <v>25</v>
      </c>
      <c r="BE5" s="14">
        <f>Painel!CO5*IPC!G$3</f>
        <v>11.44965</v>
      </c>
      <c r="BF5" s="14">
        <f>Painel!CR5*IPC!J$3</f>
        <v>20.156591915759044</v>
      </c>
      <c r="BH5" s="14"/>
      <c r="BI5" s="14"/>
      <c r="BJ5" s="14"/>
      <c r="BK5" s="14"/>
      <c r="BM5" s="14"/>
      <c r="BN5" s="14"/>
      <c r="BO5" s="14"/>
      <c r="BP5" s="14"/>
      <c r="BR5" s="14"/>
      <c r="BS5" s="14"/>
      <c r="BT5" s="14"/>
      <c r="BU5" s="14"/>
    </row>
    <row r="6" spans="1:73" x14ac:dyDescent="0.3">
      <c r="A6" s="9" t="s">
        <v>3</v>
      </c>
      <c r="B6" s="14">
        <f>Painel_Cte!B6</f>
        <v>0</v>
      </c>
      <c r="C6" s="14">
        <v>0</v>
      </c>
      <c r="D6" s="14">
        <v>0</v>
      </c>
      <c r="E6" s="14">
        <f>Painel!G6</f>
        <v>27</v>
      </c>
      <c r="F6" s="14">
        <f>Painel!H6*IPC!G$3</f>
        <v>29.913500000000003</v>
      </c>
      <c r="G6" s="14">
        <f>Painel!K6*IPC!J$3</f>
        <v>12.597869947349402</v>
      </c>
      <c r="H6" s="14">
        <f>Painel!L6</f>
        <v>45</v>
      </c>
      <c r="I6" s="14">
        <f>Painel!M6*IPC!G$3</f>
        <v>39.197000000000003</v>
      </c>
      <c r="J6" s="14">
        <f>Painel!P6*IPC!J$3</f>
        <v>34.014248857843384</v>
      </c>
      <c r="K6" s="14"/>
      <c r="L6" s="14"/>
      <c r="M6" s="14"/>
      <c r="N6" s="14"/>
      <c r="O6" s="14"/>
      <c r="P6" s="14"/>
      <c r="Q6" s="14">
        <f>Painel_Cte!AA6</f>
        <v>43</v>
      </c>
      <c r="R6" s="14">
        <f>Painel!AB6*IPC!G$3</f>
        <v>33.008000000000003</v>
      </c>
      <c r="S6" s="14">
        <f>Painel!AE6*IPC!J$3</f>
        <v>26.455526889433745</v>
      </c>
      <c r="T6" s="14">
        <f>Painel!AF6</f>
        <v>27</v>
      </c>
      <c r="U6" s="14">
        <f>Painel!AG6*IPC!G$3</f>
        <v>22.693000000000001</v>
      </c>
      <c r="V6" s="14">
        <f>Painel!AJ6*IPC!J$3</f>
        <v>12.597869947349402</v>
      </c>
      <c r="W6" s="14"/>
      <c r="X6" s="14">
        <f>Painel!AL6*IPC!G$3</f>
        <v>30.945000000000004</v>
      </c>
      <c r="Y6" s="14">
        <f>Painel!AO6*IPC!J$3</f>
        <v>17.637017926289165</v>
      </c>
      <c r="Z6" s="14">
        <f>Painel_Cte!AP6</f>
        <v>0</v>
      </c>
      <c r="AA6" s="14">
        <f>Painel_Cte!AQ6</f>
        <v>0</v>
      </c>
      <c r="AB6" s="14">
        <f>Painel_Cte!AT6</f>
        <v>0</v>
      </c>
      <c r="AC6" s="14">
        <f>Resultado!K5</f>
        <v>90</v>
      </c>
      <c r="AD6" s="14">
        <f>Painel!AV6*IPC!G$3</f>
        <v>74.268000000000001</v>
      </c>
      <c r="AE6" s="14">
        <f>Painel!AY6*IPC!J$3</f>
        <v>78.106793673566301</v>
      </c>
      <c r="AF6" s="14"/>
      <c r="AG6" s="14">
        <f>Painel!BA6*IPC!G$3</f>
        <v>22.693000000000001</v>
      </c>
      <c r="AH6" s="14">
        <f>Painel!BD6*IPC!J$3</f>
        <v>6.2989349736747009</v>
      </c>
      <c r="AI6" s="14"/>
      <c r="AJ6" s="14">
        <f>Painel!BF6*IPC!G$3</f>
        <v>36.102500000000006</v>
      </c>
      <c r="AK6" s="14">
        <f>Painel!BI6*IPC!J$3</f>
        <v>23.935952899963866</v>
      </c>
      <c r="AL6" s="14">
        <f>Painel!BJ6</f>
        <v>86</v>
      </c>
      <c r="AM6" s="14">
        <f>Painel!BK6*IPC!G$3</f>
        <v>54.669500000000006</v>
      </c>
      <c r="AN6" s="14">
        <f>Painel!BN6*IPC!J$3</f>
        <v>104.56232056300004</v>
      </c>
      <c r="AO6" s="14">
        <f>Painel_Cte!BO6</f>
        <v>8</v>
      </c>
      <c r="AP6" s="14">
        <f>Painel!BP6*IPC!G$3</f>
        <v>1.3409500000000001</v>
      </c>
      <c r="AQ6" s="14">
        <f>Painel!BS6*IPC!J$3</f>
        <v>1.1338082952614463</v>
      </c>
      <c r="AR6" s="14">
        <f>Painel_Cte!BT6</f>
        <v>73</v>
      </c>
      <c r="AS6" s="14"/>
      <c r="AT6" s="14"/>
      <c r="AU6" s="14">
        <f>Resultado!Q5</f>
        <v>59</v>
      </c>
      <c r="AV6" s="14">
        <f>Painel!BZ6*IPC!G$3</f>
        <v>51.575000000000003</v>
      </c>
      <c r="AW6" s="14">
        <f>Painel!CC6*IPC!J$3</f>
        <v>57.95020175780725</v>
      </c>
      <c r="AX6" s="14"/>
      <c r="AY6" s="14"/>
      <c r="AZ6" s="14"/>
      <c r="BA6" s="14">
        <f>Painel!CI6</f>
        <v>21</v>
      </c>
      <c r="BB6" s="14">
        <f>Painel!CJ6*IPC!G$3</f>
        <v>18.567</v>
      </c>
      <c r="BC6" s="14">
        <f>Painel!CM6*IPC!J$3</f>
        <v>12.597869947349402</v>
      </c>
      <c r="BD6" s="14">
        <f>Painel_Cte!CN6</f>
        <v>32</v>
      </c>
      <c r="BE6" s="14">
        <f>Painel!CO6*IPC!G$3</f>
        <v>27.850500000000004</v>
      </c>
      <c r="BF6" s="14">
        <f>Painel!CR6*IPC!J$3</f>
        <v>45.352331810457848</v>
      </c>
      <c r="BH6" s="14"/>
      <c r="BI6" s="14"/>
      <c r="BJ6" s="14"/>
      <c r="BK6" s="14"/>
      <c r="BM6" s="14"/>
      <c r="BN6" s="14"/>
      <c r="BO6" s="14"/>
      <c r="BP6" s="14"/>
      <c r="BR6" s="14"/>
      <c r="BS6" s="14"/>
      <c r="BT6" s="14"/>
      <c r="BU6" s="14"/>
    </row>
    <row r="7" spans="1:73" x14ac:dyDescent="0.3">
      <c r="A7" s="9" t="s">
        <v>4</v>
      </c>
      <c r="B7" s="14">
        <f>Painel_Cte!B7</f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f>Painel!L7</f>
        <v>37</v>
      </c>
      <c r="I7" s="14">
        <f>Painel!M7*IPC!G$3</f>
        <v>83.551500000000004</v>
      </c>
      <c r="J7" s="14">
        <f>Painel!P7*IPC!J$3</f>
        <v>107.08189455246992</v>
      </c>
      <c r="K7" s="14"/>
      <c r="L7" s="14"/>
      <c r="M7" s="14"/>
      <c r="N7" s="14"/>
      <c r="O7" s="14"/>
      <c r="P7" s="14"/>
      <c r="Q7" s="14">
        <f>Painel_Cte!AA7</f>
        <v>12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/>
      <c r="X7" s="14"/>
      <c r="Y7" s="14"/>
      <c r="Z7" s="14">
        <f>Painel_Cte!AP7</f>
        <v>0</v>
      </c>
      <c r="AA7" s="14">
        <f>Painel_Cte!AQ7</f>
        <v>0</v>
      </c>
      <c r="AB7" s="14">
        <f>Painel_Cte!AT7</f>
        <v>0</v>
      </c>
      <c r="AC7" s="14">
        <f>Resultado!K6</f>
        <v>137</v>
      </c>
      <c r="AD7" s="14">
        <f>Painel!AV7*IPC!G$3</f>
        <v>257.875</v>
      </c>
      <c r="AE7" s="14">
        <f>Painel!AY7*IPC!J$3</f>
        <v>220.46272407861454</v>
      </c>
      <c r="AF7" s="14"/>
      <c r="AG7" s="14"/>
      <c r="AH7" s="14"/>
      <c r="AI7" s="14"/>
      <c r="AJ7" s="14">
        <f>Painel!BF7*IPC!G$3</f>
        <v>37.134</v>
      </c>
      <c r="AK7" s="14">
        <f>Painel!BI7*IPC!J$3</f>
        <v>15.117443936819283</v>
      </c>
      <c r="AL7" s="14">
        <f>Painel!BJ7</f>
        <v>0</v>
      </c>
      <c r="AM7" s="14">
        <f>Painel!BK7*IPC!G$3</f>
        <v>0</v>
      </c>
      <c r="AN7" s="14">
        <f>Painel!BN7*IPC!J$3</f>
        <v>0</v>
      </c>
      <c r="AO7" s="14">
        <f>Painel_Cte!BO7</f>
        <v>11</v>
      </c>
      <c r="AP7" s="14">
        <f>Painel!BP7*IPC!G$3</f>
        <v>7.426800000000001</v>
      </c>
      <c r="AQ7" s="14">
        <f>Painel!BS7*IPC!J$3</f>
        <v>2.5195739894698805</v>
      </c>
      <c r="AR7" s="14">
        <f>Painel_Cte!BT7</f>
        <v>75</v>
      </c>
      <c r="AS7" s="14">
        <f>Painel!BU7*IPC!G$3</f>
        <v>14.441000000000001</v>
      </c>
      <c r="AT7" s="14">
        <f>Painel!BX7*IPC!J$3</f>
        <v>90.704663620915696</v>
      </c>
      <c r="AU7" s="14">
        <f>Resultado!Q6</f>
        <v>80</v>
      </c>
      <c r="AV7" s="14">
        <f>Painel!BZ7*IPC!G$3</f>
        <v>97.992500000000007</v>
      </c>
      <c r="AW7" s="14">
        <f>Painel!CC7*IPC!J$3</f>
        <v>25.195739894698804</v>
      </c>
      <c r="AX7" s="14"/>
      <c r="AY7" s="14"/>
      <c r="AZ7" s="14"/>
      <c r="BA7" s="14">
        <f>Painel!CI7</f>
        <v>0</v>
      </c>
      <c r="BB7" s="14">
        <f>Painel!CJ7*IPC!G$3</f>
        <v>29.913500000000003</v>
      </c>
      <c r="BC7" s="14">
        <f>Painel!CM7*IPC!J$3</f>
        <v>34.014248857843384</v>
      </c>
      <c r="BD7" s="14">
        <f>Painel_Cte!CN7</f>
        <v>20</v>
      </c>
      <c r="BE7" s="14">
        <f>Painel!CO7*IPC!G$3</f>
        <v>2.0630000000000002</v>
      </c>
      <c r="BF7" s="14">
        <f>Painel!CR7*IPC!J$3</f>
        <v>27.715313884168687</v>
      </c>
      <c r="BH7" s="14"/>
      <c r="BI7" s="14"/>
      <c r="BJ7" s="14"/>
      <c r="BK7" s="14"/>
      <c r="BM7" s="14"/>
      <c r="BN7" s="14"/>
      <c r="BO7" s="14"/>
      <c r="BP7" s="14"/>
      <c r="BR7" s="14"/>
      <c r="BS7" s="14"/>
      <c r="BT7" s="14"/>
      <c r="BU7" s="14"/>
    </row>
    <row r="8" spans="1:73" x14ac:dyDescent="0.3">
      <c r="A8" s="9" t="s">
        <v>5</v>
      </c>
      <c r="B8" s="14">
        <f>Painel_Cte!B8</f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f>Painel!L8</f>
        <v>27.4</v>
      </c>
      <c r="I8" s="14">
        <f>Painel!M8*IPC!G$3</f>
        <v>80.457000000000008</v>
      </c>
      <c r="J8" s="14">
        <f>Painel!P8*IPC!J$3</f>
        <v>34.014248857843384</v>
      </c>
      <c r="K8" s="14"/>
      <c r="L8" s="14"/>
      <c r="M8" s="14"/>
      <c r="N8" s="14"/>
      <c r="O8" s="14"/>
      <c r="P8" s="14"/>
      <c r="Q8" s="14">
        <f>Painel_Cte!AA8</f>
        <v>17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/>
      <c r="X8" s="14">
        <f>Painel!AL8*IPC!G$3</f>
        <v>14.441000000000001</v>
      </c>
      <c r="Y8" s="14"/>
      <c r="Z8" s="14">
        <f>Painel_Cte!AP8</f>
        <v>0</v>
      </c>
      <c r="AA8" s="14">
        <f>Painel_Cte!AQ8</f>
        <v>0</v>
      </c>
      <c r="AB8" s="14">
        <f>Painel_Cte!AT8</f>
        <v>0</v>
      </c>
      <c r="AC8" s="14">
        <f>Resultado!K7</f>
        <v>59</v>
      </c>
      <c r="AD8" s="14">
        <f>Painel!AV8*IPC!G$3</f>
        <v>90.772000000000006</v>
      </c>
      <c r="AE8" s="14">
        <f>Painel!AY8*IPC!J$3</f>
        <v>17.637017926289165</v>
      </c>
      <c r="AF8" s="14"/>
      <c r="AG8" s="14"/>
      <c r="AH8" s="14"/>
      <c r="AI8" s="14"/>
      <c r="AJ8" s="14"/>
      <c r="AK8" s="14"/>
      <c r="AL8" s="14">
        <f>Painel!BJ8</f>
        <v>31</v>
      </c>
      <c r="AM8" s="14">
        <f>Painel!BK8*IPC!G$3</f>
        <v>11.346500000000001</v>
      </c>
      <c r="AN8" s="14">
        <f>Painel!BN8*IPC!J$3</f>
        <v>23.935952899963866</v>
      </c>
      <c r="AO8" s="14">
        <f>Painel_Cte!BO8</f>
        <v>2.5500000000000003</v>
      </c>
      <c r="AP8" s="14"/>
      <c r="AQ8" s="14"/>
      <c r="AR8" s="14">
        <f>Painel_Cte!BT8</f>
        <v>14</v>
      </c>
      <c r="AS8" s="14">
        <f>Painel!BU8*IPC!G$3</f>
        <v>13.409500000000001</v>
      </c>
      <c r="AT8" s="14">
        <f>Painel!BX8*IPC!J$3</f>
        <v>3.7793609842048208</v>
      </c>
      <c r="AU8" s="14">
        <f>Resultado!Q7</f>
        <v>36</v>
      </c>
      <c r="AV8" s="14">
        <f>Painel!BZ8*IPC!G$3</f>
        <v>22.693000000000001</v>
      </c>
      <c r="AW8" s="14">
        <f>Painel!CC8*IPC!J$3</f>
        <v>18.896804921024103</v>
      </c>
      <c r="AX8" s="14"/>
      <c r="AY8" s="14"/>
      <c r="AZ8" s="14"/>
      <c r="BA8" s="14">
        <f>Painel!CI8</f>
        <v>18</v>
      </c>
      <c r="BB8" s="14">
        <f>Painel!CJ8*IPC!G$3</f>
        <v>16.504000000000001</v>
      </c>
      <c r="BC8" s="14">
        <f>Painel!CM8*IPC!J$3</f>
        <v>16.377230931554223</v>
      </c>
      <c r="BD8" s="14">
        <f>Painel_Cte!CN8</f>
        <v>8.6</v>
      </c>
      <c r="BE8" s="14">
        <f>Painel!CO8*IPC!G$3</f>
        <v>4.1260000000000003</v>
      </c>
      <c r="BF8" s="14">
        <f>Painel!CR8*IPC!J$3</f>
        <v>3.7793609842048208</v>
      </c>
      <c r="BH8" s="14"/>
      <c r="BI8" s="14"/>
      <c r="BJ8" s="14"/>
      <c r="BK8" s="14"/>
      <c r="BM8" s="14"/>
      <c r="BN8" s="14"/>
      <c r="BO8" s="14"/>
      <c r="BP8" s="14"/>
      <c r="BR8" s="14"/>
      <c r="BS8" s="14"/>
      <c r="BT8" s="14"/>
      <c r="BU8" s="14"/>
    </row>
    <row r="9" spans="1:73" x14ac:dyDescent="0.3">
      <c r="A9" s="9" t="s">
        <v>75</v>
      </c>
      <c r="B9" s="14">
        <f>Painel_Cte!B9</f>
        <v>109.1</v>
      </c>
      <c r="C9" s="14">
        <f>SUM(C3:C8)-C7</f>
        <v>126.97765</v>
      </c>
      <c r="D9" s="14">
        <f t="shared" ref="D9" si="0">SUM(D3:D8)-D7</f>
        <v>20.660506713653017</v>
      </c>
      <c r="E9" s="14">
        <f>Painel!G9</f>
        <v>219</v>
      </c>
      <c r="F9" s="14">
        <f>SUM(F3:F8)-F7</f>
        <v>301.19800000000004</v>
      </c>
      <c r="G9" s="14">
        <f t="shared" ref="G9" si="1">SUM(G3:G8)-G7</f>
        <v>214.16378910493987</v>
      </c>
      <c r="H9" s="14">
        <f>Painel!L9</f>
        <v>224.4</v>
      </c>
      <c r="I9" s="14">
        <f>SUM(I3:I8)-I7</f>
        <v>349.67849999999999</v>
      </c>
      <c r="J9" s="14">
        <f t="shared" ref="J9" si="2">SUM(J3:J8)-J7</f>
        <v>321.24568365740976</v>
      </c>
      <c r="K9" s="14"/>
      <c r="L9" s="14">
        <f>SUM(L3:L8)-L7</f>
        <v>59.827000000000005</v>
      </c>
      <c r="M9" s="14">
        <f t="shared" ref="M9" si="3">SUM(M3:M8)-M7</f>
        <v>143.61571739978319</v>
      </c>
      <c r="N9" s="14"/>
      <c r="O9" s="14"/>
      <c r="P9" s="14"/>
      <c r="Q9" s="14">
        <f>Painel_Cte!AA9</f>
        <v>587</v>
      </c>
      <c r="R9" s="14">
        <f>SUM(R3:R8)-R7</f>
        <v>559.07300000000009</v>
      </c>
      <c r="S9" s="14">
        <f t="shared" ref="S9" si="4">SUM(S3:S8)-S7</f>
        <v>434.62651318355438</v>
      </c>
      <c r="T9" s="14">
        <f>Painel!AF9</f>
        <v>104</v>
      </c>
      <c r="U9" s="14">
        <f>SUM(U3:U8)-U7</f>
        <v>117.59099999999999</v>
      </c>
      <c r="V9" s="14">
        <f t="shared" ref="V9" si="5">SUM(V3:V8)-V7</f>
        <v>43.084715219934957</v>
      </c>
      <c r="W9" s="14"/>
      <c r="X9" s="14">
        <f>SUM(X3:X8)-X7</f>
        <v>138.221</v>
      </c>
      <c r="Y9" s="14">
        <f t="shared" ref="Y9" si="6">SUM(Y3:Y8)-Y7</f>
        <v>201.56591915759043</v>
      </c>
      <c r="Z9" s="14">
        <f>Painel_Cte!AP9</f>
        <v>97.9</v>
      </c>
      <c r="AA9" s="14">
        <f>Painel_Cte!AQ9</f>
        <v>110.16420000000001</v>
      </c>
      <c r="AB9" s="14">
        <f>Painel_Cte!AT9</f>
        <v>31.872610966793989</v>
      </c>
      <c r="AC9" s="14">
        <f>SUM(AC3:AC8)-AC7</f>
        <v>926</v>
      </c>
      <c r="AD9" s="14">
        <f t="shared" ref="AD9" si="7">SUM(AD3:AD8)-AD7</f>
        <v>968.76549999999997</v>
      </c>
      <c r="AE9" s="14">
        <f t="shared" ref="AE9" si="8">SUM(AE3:AE8)-AE7</f>
        <v>758.88270158369892</v>
      </c>
      <c r="AF9" s="14"/>
      <c r="AG9" s="14">
        <f>SUM(AG3:AG8)-AG7</f>
        <v>237.24500000000003</v>
      </c>
      <c r="AH9" s="14">
        <f t="shared" ref="AH9" si="9">SUM(AH3:AH8)-AH7</f>
        <v>173.85060527342173</v>
      </c>
      <c r="AI9" s="14"/>
      <c r="AJ9" s="14">
        <f>SUM(AJ3:AJ8)-AJ7</f>
        <v>200.11100000000005</v>
      </c>
      <c r="AK9" s="14">
        <f t="shared" ref="AK9" si="10">SUM(AK3:AK8)-AK7</f>
        <v>106.45200105510246</v>
      </c>
      <c r="AL9" s="14">
        <f>Painel!BJ9</f>
        <v>386.4</v>
      </c>
      <c r="AM9" s="14">
        <f>SUM(AM3:AM8)-AM7</f>
        <v>183.607</v>
      </c>
      <c r="AN9" s="14">
        <f t="shared" ref="AN9" si="11">SUM(AN3:AN8)-AN7</f>
        <v>383.22720379836881</v>
      </c>
      <c r="AO9" s="14">
        <f>Painel_Cte!BO9</f>
        <v>96.75</v>
      </c>
      <c r="AP9" s="14">
        <f>SUM(AP3:AP8)-AP7</f>
        <v>97.064150000000026</v>
      </c>
      <c r="AQ9" s="14">
        <f t="shared" ref="AQ9" si="12">SUM(AQ3:AQ8)-AQ7</f>
        <v>106.45200105510246</v>
      </c>
      <c r="AR9" s="14">
        <f>Painel_Cte!BT9</f>
        <v>322</v>
      </c>
      <c r="AS9" s="14">
        <f>SUM(AS3:AS8)-AS7</f>
        <v>237.24500000000003</v>
      </c>
      <c r="AT9" s="14">
        <f t="shared" ref="AT9:AZ9" si="13">SUM(AT3:AT8)-AT7</f>
        <v>283.45207381536153</v>
      </c>
      <c r="AU9" s="14">
        <f t="shared" si="13"/>
        <v>542</v>
      </c>
      <c r="AV9" s="14">
        <f t="shared" si="13"/>
        <v>543.60050000000001</v>
      </c>
      <c r="AW9" s="14">
        <f t="shared" si="13"/>
        <v>550.52691669916885</v>
      </c>
      <c r="AX9" s="14"/>
      <c r="AY9" s="14">
        <f t="shared" si="13"/>
        <v>222.804</v>
      </c>
      <c r="AZ9" s="14">
        <f t="shared" si="13"/>
        <v>197.78655817338563</v>
      </c>
      <c r="BA9" s="14">
        <f>Painel!CI9</f>
        <v>454</v>
      </c>
      <c r="BB9" s="14">
        <f t="shared" ref="BB9:BC9" si="14">SUM(BB3:BB8)-BB7</f>
        <v>368.24550000000005</v>
      </c>
      <c r="BC9" s="14">
        <f t="shared" si="14"/>
        <v>277.15313884168683</v>
      </c>
      <c r="BD9" s="14">
        <f>Painel_Cte!CN9</f>
        <v>234</v>
      </c>
      <c r="BE9" s="14">
        <f t="shared" ref="BE9:BF9" si="15">SUM(BE3:BE8)-BE7</f>
        <v>100.77755000000002</v>
      </c>
      <c r="BF9" s="14">
        <f t="shared" si="15"/>
        <v>239.35952899963863</v>
      </c>
      <c r="BH9" s="14"/>
      <c r="BI9" s="14"/>
      <c r="BJ9" s="14"/>
      <c r="BK9" s="14"/>
      <c r="BM9" s="14"/>
      <c r="BN9" s="14"/>
      <c r="BO9" s="14"/>
      <c r="BP9" s="14"/>
      <c r="BR9" s="14"/>
      <c r="BS9" s="14"/>
      <c r="BT9" s="14"/>
      <c r="BU9" s="14"/>
    </row>
    <row r="10" spans="1:73" x14ac:dyDescent="0.3">
      <c r="A10" s="9" t="s">
        <v>2</v>
      </c>
      <c r="B10" s="14">
        <f>Painel_Cte!B10</f>
        <v>62</v>
      </c>
      <c r="C10" s="14">
        <f>Painel!C10*IPC!G$3</f>
        <v>10.315000000000001</v>
      </c>
      <c r="D10" s="14">
        <f>Painel!F10*IPC!J$3</f>
        <v>5.2911053778867494</v>
      </c>
      <c r="E10" s="14">
        <f>Painel!G10</f>
        <v>111</v>
      </c>
      <c r="F10" s="14">
        <f>Painel!H10*IPC!G$3</f>
        <v>90.772000000000006</v>
      </c>
      <c r="G10" s="14">
        <f>Painel!K10*IPC!J$3</f>
        <v>133.53742144190366</v>
      </c>
      <c r="H10" s="14">
        <f>Painel!L10</f>
        <v>241</v>
      </c>
      <c r="I10" s="14">
        <f>Painel!M10*IPC!G$3</f>
        <v>104.18150000000001</v>
      </c>
      <c r="J10" s="14">
        <f>Painel!P10*IPC!J$3</f>
        <v>167.55167029974706</v>
      </c>
      <c r="K10" s="14"/>
      <c r="L10" s="14">
        <f>Painel!R10*IPC!G$3</f>
        <v>21.6615</v>
      </c>
      <c r="M10" s="14">
        <f>Painel!U10*IPC!J$3</f>
        <v>56.690414763072312</v>
      </c>
      <c r="N10" s="14"/>
      <c r="O10" s="14"/>
      <c r="P10" s="14"/>
      <c r="Q10" s="14">
        <f>Painel_Cte!AA10</f>
        <v>251</v>
      </c>
      <c r="R10" s="14">
        <f>Painel!AB10*IPC!G$3</f>
        <v>150.59900000000002</v>
      </c>
      <c r="S10" s="14">
        <f>Painel!AE10*IPC!J$3</f>
        <v>42.832757820987972</v>
      </c>
      <c r="T10" s="14">
        <f>Painel!AF10</f>
        <v>15.2</v>
      </c>
      <c r="U10" s="14">
        <f>Painel!AG10*IPC!G$3</f>
        <v>35.071000000000005</v>
      </c>
      <c r="V10" s="14">
        <f>Painel!AJ10*IPC!J$3</f>
        <v>3.6533822847313266</v>
      </c>
      <c r="W10" s="14"/>
      <c r="X10" s="14">
        <f>Painel!AL10*IPC!G$3</f>
        <v>16.504000000000001</v>
      </c>
      <c r="Y10" s="14">
        <f>Painel!AO10*IPC!J$3</f>
        <v>136.05699543137354</v>
      </c>
      <c r="Z10" s="14">
        <f>Painel_Cte!AP10</f>
        <v>0</v>
      </c>
      <c r="AA10" s="14">
        <f>Painel_Cte!AQ10</f>
        <v>0</v>
      </c>
      <c r="AB10" s="14">
        <f>Painel_Cte!AT10</f>
        <v>0</v>
      </c>
      <c r="AC10" s="14">
        <f>Resultado!K9</f>
        <v>303</v>
      </c>
      <c r="AD10" s="14">
        <f>Painel!AV10*IPC!G$3</f>
        <v>137.18950000000001</v>
      </c>
      <c r="AE10" s="14">
        <f>Painel!AY10*IPC!J$3</f>
        <v>377.9360984204821</v>
      </c>
      <c r="AF10" s="14"/>
      <c r="AG10" s="14">
        <f>Painel!BA10*IPC!G$3</f>
        <v>96.961000000000013</v>
      </c>
      <c r="AH10" s="14">
        <f>Painel!BD10*IPC!J$3</f>
        <v>132.27763444716874</v>
      </c>
      <c r="AI10" s="14"/>
      <c r="AJ10" s="14">
        <f>Painel!BF10*IPC!G$3</f>
        <v>20.630000000000003</v>
      </c>
      <c r="AK10" s="14">
        <f>Painel!BI10*IPC!J$3</f>
        <v>8.1886154657771115</v>
      </c>
      <c r="AL10" s="14">
        <f>Painel!BJ10</f>
        <v>50</v>
      </c>
      <c r="AM10" s="14">
        <f>Painel!BK10*IPC!G$3</f>
        <v>105.21300000000001</v>
      </c>
      <c r="AN10" s="14">
        <f>Painel!BN10*IPC!J$3</f>
        <v>136.05699543137354</v>
      </c>
      <c r="AO10" s="14">
        <f>Painel_Cte!BO10</f>
        <v>4.5</v>
      </c>
      <c r="AP10" s="14">
        <f>Painel!BP10*IPC!G$3</f>
        <v>3.0945</v>
      </c>
      <c r="AQ10" s="14">
        <f>Painel!BS10*IPC!J$3</f>
        <v>1.3857656942084344</v>
      </c>
      <c r="AR10" s="14">
        <f>Painel_Cte!BT10</f>
        <v>77</v>
      </c>
      <c r="AS10" s="14">
        <f>Painel!BU10*IPC!G$3</f>
        <v>178.4495</v>
      </c>
      <c r="AT10" s="14">
        <f>Painel!BX10*IPC!J$3</f>
        <v>171.33103128395189</v>
      </c>
      <c r="AU10" s="14">
        <f>Resultado!Q9</f>
        <v>187</v>
      </c>
      <c r="AV10" s="14">
        <f>Painel!BZ10*IPC!G$3</f>
        <v>179.48100000000002</v>
      </c>
      <c r="AW10" s="14">
        <f>Painel!CC10*IPC!J$3</f>
        <v>136.05699543137354</v>
      </c>
      <c r="AX10" s="14"/>
      <c r="AY10" s="14">
        <f>Painel!CE10*IPC!G$3</f>
        <v>151.63050000000001</v>
      </c>
      <c r="AZ10" s="14">
        <f>Painel!CH10*IPC!J$3</f>
        <v>272.11399086274707</v>
      </c>
      <c r="BA10" s="14">
        <f>Painel!CI10</f>
        <v>121</v>
      </c>
      <c r="BB10" s="14">
        <f>Painel!CJ10*IPC!G$3</f>
        <v>236.21350000000001</v>
      </c>
      <c r="BC10" s="14">
        <f>Painel!CM10*IPC!J$3</f>
        <v>132.27763444716874</v>
      </c>
      <c r="BD10" s="14">
        <f>Painel_Cte!CN10</f>
        <v>125.3</v>
      </c>
      <c r="BE10" s="14">
        <f>Painel!CO10*IPC!G$3</f>
        <v>27.334750000000003</v>
      </c>
      <c r="BF10" s="14">
        <f>Painel!CR10*IPC!J$3</f>
        <v>17.637017926289165</v>
      </c>
      <c r="BH10" s="14"/>
      <c r="BI10" s="14"/>
      <c r="BJ10" s="14"/>
      <c r="BK10" s="14"/>
      <c r="BM10" s="14"/>
      <c r="BN10" s="14"/>
      <c r="BO10" s="14"/>
      <c r="BP10" s="14"/>
      <c r="BR10" s="14"/>
      <c r="BS10" s="14"/>
      <c r="BT10" s="14"/>
      <c r="BU10" s="14"/>
    </row>
    <row r="11" spans="1:73" x14ac:dyDescent="0.3">
      <c r="A11" s="9" t="s">
        <v>72</v>
      </c>
      <c r="B11" s="14">
        <f>Painel_Cte!B11</f>
        <v>188</v>
      </c>
      <c r="C11" s="14">
        <f>Painel!C11*IPC!G$3</f>
        <v>148.536</v>
      </c>
      <c r="D11" s="14">
        <f>Painel!F11*IPC!J$3</f>
        <v>39.053396836783151</v>
      </c>
      <c r="E11" s="14">
        <f>Painel!G11</f>
        <v>336</v>
      </c>
      <c r="F11" s="14">
        <f>Painel!H11*IPC!G$3</f>
        <v>397.12750000000005</v>
      </c>
      <c r="G11" s="14">
        <f>Painel!K11*IPC!J$3</f>
        <v>356.51971950998808</v>
      </c>
      <c r="H11" s="14">
        <f>Painel!L11</f>
        <v>513.4</v>
      </c>
      <c r="I11" s="14">
        <f>Painel!M11*IPC!G$3</f>
        <v>359.99350000000004</v>
      </c>
      <c r="J11" s="14">
        <f>Painel!P11*IPC!J$3</f>
        <v>477.45927100454236</v>
      </c>
      <c r="K11" s="14"/>
      <c r="L11" s="14">
        <f>Painel!R11*IPC!G$3</f>
        <v>103.15</v>
      </c>
      <c r="M11" s="14">
        <f>Painel!U11*IPC!J$3</f>
        <v>219.20293708387962</v>
      </c>
      <c r="N11" s="14"/>
      <c r="O11" s="14"/>
      <c r="P11" s="14"/>
      <c r="Q11" s="14">
        <f>Painel_Cte!AA11</f>
        <v>838</v>
      </c>
      <c r="R11" s="14">
        <f>Painel!AB11*IPC!G$3</f>
        <v>672.53800000000001</v>
      </c>
      <c r="S11" s="14">
        <f>Painel!AE11*IPC!J$3</f>
        <v>466.1211880519279</v>
      </c>
      <c r="T11" s="14">
        <f>Painel!AF11</f>
        <v>160.1</v>
      </c>
      <c r="U11" s="14">
        <f>Painel!AG11*IPC!G$3</f>
        <v>160.91400000000002</v>
      </c>
      <c r="V11" s="14">
        <f>Painel!AJ11*IPC!J$3</f>
        <v>47.871905799927731</v>
      </c>
      <c r="W11" s="14"/>
      <c r="X11" s="14">
        <f>Painel!AL11*IPC!G$3</f>
        <v>150.59900000000002</v>
      </c>
      <c r="Y11" s="14">
        <f>Painel!AO11*IPC!J$3</f>
        <v>354.00014552051823</v>
      </c>
      <c r="Z11" s="14">
        <f>Painel_Cte!AP11</f>
        <v>158</v>
      </c>
      <c r="AA11" s="14">
        <f>Painel_Cte!AQ11</f>
        <v>127.90600000000001</v>
      </c>
      <c r="AB11" s="14">
        <f>Painel_Cte!AT11</f>
        <v>26.455526889433745</v>
      </c>
      <c r="AC11" s="14">
        <f>Resultado!K11</f>
        <v>1316</v>
      </c>
      <c r="AD11" s="14">
        <f>Painel!AV11*IPC!G$3</f>
        <v>1147.028</v>
      </c>
      <c r="AE11" s="14">
        <f>Painel!AY11*IPC!J$3</f>
        <v>1151.4453131877353</v>
      </c>
      <c r="AF11" s="14"/>
      <c r="AG11" s="14">
        <f>Painel!BA11*IPC!G$3</f>
        <v>339.36350000000004</v>
      </c>
      <c r="AH11" s="14">
        <f>Painel!BD11*IPC!J$3</f>
        <v>314.94674868373505</v>
      </c>
      <c r="AI11" s="14"/>
      <c r="AJ11" s="14">
        <f>Painel!BF11*IPC!G$3</f>
        <v>250.65450000000001</v>
      </c>
      <c r="AK11" s="14">
        <f>Painel!BI11*IPC!J$3</f>
        <v>137.31678242610849</v>
      </c>
      <c r="AL11" s="14">
        <f>Painel!BJ11</f>
        <v>424</v>
      </c>
      <c r="AM11" s="14">
        <f>Painel!BK11*IPC!G$3</f>
        <v>297.072</v>
      </c>
      <c r="AN11" s="14">
        <f>Painel!BN11*IPC!J$3</f>
        <v>513.99309385185563</v>
      </c>
      <c r="AO11" s="14">
        <f>Painel_Cte!BO11</f>
        <v>90</v>
      </c>
      <c r="AP11" s="14">
        <f>Painel!BP11*IPC!G$3</f>
        <v>100.05550000000001</v>
      </c>
      <c r="AQ11" s="14">
        <f>Painel!BS11*IPC!J$3</f>
        <v>114.64061652087956</v>
      </c>
      <c r="AR11" s="14">
        <f>Painel_Cte!BT11</f>
        <v>374</v>
      </c>
      <c r="AS11" s="14">
        <f>Painel!BU11*IPC!G$3</f>
        <v>373.40300000000002</v>
      </c>
      <c r="AT11" s="14">
        <f>Painel!BX11*IPC!J$3</f>
        <v>491.31692794662672</v>
      </c>
      <c r="AU11" s="14">
        <f>Resultado!Q11</f>
        <v>839</v>
      </c>
      <c r="AV11" s="14">
        <f>Painel!BZ11*IPC!G$3</f>
        <v>815.91650000000004</v>
      </c>
      <c r="AW11" s="14">
        <f>Painel!CC11*IPC!J$3</f>
        <v>753.35262285149429</v>
      </c>
      <c r="AX11" s="14"/>
      <c r="AY11" s="14">
        <f>Painel!CE11*IPC!G$3</f>
        <v>352.77300000000002</v>
      </c>
      <c r="AZ11" s="14">
        <f>Painel!CH11*IPC!J$3</f>
        <v>503.91479789397613</v>
      </c>
      <c r="BA11" s="14">
        <f>Painel!CI11</f>
        <v>669</v>
      </c>
      <c r="BB11" s="14">
        <f>Painel!CJ11*IPC!G$3</f>
        <v>606.52200000000005</v>
      </c>
      <c r="BC11" s="14">
        <f>Painel!CM11*IPC!J$3</f>
        <v>410.69056028359051</v>
      </c>
      <c r="BD11" s="14">
        <f>Painel_Cte!CN11</f>
        <v>345</v>
      </c>
      <c r="BE11" s="14">
        <f>Painel!CO11*IPC!G$3</f>
        <v>119.65400000000001</v>
      </c>
      <c r="BF11" s="14">
        <f>Painel!CR11*IPC!J$3</f>
        <v>302.34887873638564</v>
      </c>
      <c r="BH11" s="14"/>
      <c r="BI11" s="14"/>
      <c r="BJ11" s="14"/>
      <c r="BK11" s="14"/>
      <c r="BM11" s="14"/>
      <c r="BN11" s="14"/>
      <c r="BO11" s="14"/>
      <c r="BP11" s="14"/>
      <c r="BR11" s="14"/>
      <c r="BS11" s="14"/>
      <c r="BT11" s="14"/>
      <c r="BU11" s="14"/>
    </row>
    <row r="12" spans="1:73" x14ac:dyDescent="0.3">
      <c r="A12" s="10" t="s">
        <v>65</v>
      </c>
      <c r="B12" s="14">
        <f>Painel_Cte!B12</f>
        <v>92</v>
      </c>
      <c r="C12" s="14">
        <f>Painel!C12*IPC!G$3</f>
        <v>61.890000000000008</v>
      </c>
      <c r="D12" s="14">
        <f>Painel!F12*IPC!J$3</f>
        <v>31.494674868373508</v>
      </c>
      <c r="E12" s="14">
        <f>Painel!G12</f>
        <v>216</v>
      </c>
      <c r="F12" s="14">
        <f>Painel!H12*IPC!G$3</f>
        <v>257.875</v>
      </c>
      <c r="G12" s="14">
        <f>Painel!K12*IPC!J$3</f>
        <v>196.52677117865068</v>
      </c>
      <c r="H12" s="14">
        <f>Painel!L12</f>
        <v>133</v>
      </c>
      <c r="I12" s="14">
        <f>Painel!M12*IPC!G$3</f>
        <v>183.60700000000003</v>
      </c>
      <c r="J12" s="14">
        <f>Painel!P12*IPC!J$3</f>
        <v>173.85060527342176</v>
      </c>
      <c r="K12" s="14"/>
      <c r="L12" s="14">
        <f>Painel!R12*IPC!G$3</f>
        <v>74.268000000000001</v>
      </c>
      <c r="M12" s="14">
        <f>Painel!U12*IPC!J$3</f>
        <v>117.16019051034945</v>
      </c>
      <c r="N12" s="14"/>
      <c r="O12" s="14"/>
      <c r="P12" s="14"/>
      <c r="Q12" s="14">
        <f>Painel_Cte!AA12</f>
        <v>261</v>
      </c>
      <c r="R12" s="14">
        <f>Painel!AB12*IPC!G$3</f>
        <v>282.63100000000003</v>
      </c>
      <c r="S12" s="14">
        <f>Painel!AE12*IPC!J$3</f>
        <v>282.19228682062663</v>
      </c>
      <c r="T12" s="14">
        <f>Painel!AF12</f>
        <v>119.1</v>
      </c>
      <c r="U12" s="14">
        <f>Painel!AG12*IPC!G$3</f>
        <v>75.299500000000009</v>
      </c>
      <c r="V12" s="14">
        <f>Painel!AJ12*IPC!J$3</f>
        <v>46.612118805192793</v>
      </c>
      <c r="W12" s="14"/>
      <c r="X12" s="14">
        <f>Painel!AL12*IPC!G$3</f>
        <v>58.795500000000004</v>
      </c>
      <c r="Y12" s="14">
        <f>Painel!AO12*IPC!J$3</f>
        <v>265.81505588907237</v>
      </c>
      <c r="Z12" s="14">
        <f>Painel_Cte!AP12</f>
        <v>99</v>
      </c>
      <c r="AA12" s="14">
        <f>Painel_Cte!AQ12</f>
        <v>86.646000000000001</v>
      </c>
      <c r="AB12" s="14">
        <f>Painel_Cte!AT12</f>
        <v>22.676165905228924</v>
      </c>
      <c r="AC12" s="14">
        <f>Índices!K28</f>
        <v>463</v>
      </c>
      <c r="AD12" s="14">
        <f>Painel!AV12*IPC!G$3</f>
        <v>452.82850000000002</v>
      </c>
      <c r="AE12" s="14">
        <f>Painel!AY12*IPC!J$3</f>
        <v>410.69056028359051</v>
      </c>
      <c r="AF12" s="14"/>
      <c r="AG12" s="14">
        <f>Painel!BA12*IPC!G$3</f>
        <v>134.095</v>
      </c>
      <c r="AH12" s="14">
        <f>Painel!BD12*IPC!J$3</f>
        <v>76.847006678831363</v>
      </c>
      <c r="AI12" s="14"/>
      <c r="AJ12" s="14">
        <f>Painel!BF12*IPC!G$3</f>
        <v>87.677500000000009</v>
      </c>
      <c r="AK12" s="14">
        <f>Painel!BI12*IPC!J$3</f>
        <v>86.925302636710882</v>
      </c>
      <c r="AL12" s="14">
        <f>Painel!BJ12</f>
        <v>231</v>
      </c>
      <c r="AM12" s="14">
        <f>Painel!BK12*IPC!G$3</f>
        <v>119.65400000000001</v>
      </c>
      <c r="AN12" s="14">
        <f>Painel!BN12*IPC!J$3</f>
        <v>137.31678242610849</v>
      </c>
      <c r="AO12" s="14">
        <f>Painel_Cte!BO12</f>
        <v>50</v>
      </c>
      <c r="AP12" s="14">
        <f>Painel!BP12*IPC!G$3</f>
        <v>34.039500000000004</v>
      </c>
      <c r="AQ12" s="14">
        <f>Painel!BS12*IPC!J$3</f>
        <v>51.651266784132552</v>
      </c>
      <c r="AR12" s="14">
        <f>Painel_Cte!BT12</f>
        <v>196</v>
      </c>
      <c r="AS12" s="14">
        <f>Painel!BU12*IPC!G$3</f>
        <v>204.23700000000002</v>
      </c>
      <c r="AT12" s="14">
        <f>Painel!BX12*IPC!J$3</f>
        <v>239.35952899963866</v>
      </c>
      <c r="AU12" s="14">
        <f>Índices!Q28</f>
        <v>405</v>
      </c>
      <c r="AV12" s="14">
        <f>Painel!BZ12*IPC!G$3</f>
        <v>376.4975</v>
      </c>
      <c r="AW12" s="14">
        <f>Painel!CC12*IPC!J$3</f>
        <v>313.6869616890001</v>
      </c>
      <c r="AX12" s="14"/>
      <c r="AY12" s="14">
        <f>Painel!CE12*IPC!G$3</f>
        <v>140.28400000000002</v>
      </c>
      <c r="AZ12" s="14">
        <f>Painel!CH12*IPC!J$3</f>
        <v>209.12464112600009</v>
      </c>
      <c r="BA12" s="14">
        <f>Painel!CI12</f>
        <v>266</v>
      </c>
      <c r="BB12" s="14">
        <f>Painel!CJ12*IPC!G$3</f>
        <v>204.23700000000002</v>
      </c>
      <c r="BC12" s="14">
        <f>Painel!CM12*IPC!J$3</f>
        <v>207.86485413126513</v>
      </c>
      <c r="BD12" s="14">
        <f>Painel_Cte!CN12</f>
        <v>160</v>
      </c>
      <c r="BE12" s="14">
        <f>Painel!CO12*IPC!G$3</f>
        <v>69.110500000000002</v>
      </c>
      <c r="BF12" s="14">
        <f>Painel!CR12*IPC!J$3</f>
        <v>112.12104253140969</v>
      </c>
      <c r="BH12" s="14"/>
      <c r="BI12" s="14"/>
      <c r="BJ12" s="14"/>
      <c r="BK12" s="14"/>
      <c r="BM12" s="14"/>
      <c r="BN12" s="14"/>
      <c r="BO12" s="14"/>
      <c r="BP12" s="14"/>
      <c r="BR12" s="14"/>
      <c r="BS12" s="14"/>
      <c r="BT12" s="14"/>
      <c r="BU12" s="14"/>
    </row>
    <row r="13" spans="1:73" x14ac:dyDescent="0.3">
      <c r="A13" t="s">
        <v>74</v>
      </c>
      <c r="B13" s="14">
        <f>Painel_Cte!B13</f>
        <v>-9</v>
      </c>
      <c r="C13" s="14">
        <f>Painel!C13*IPC!G$3</f>
        <v>-21.6615</v>
      </c>
      <c r="D13" s="14">
        <f>Painel!F13*IPC!J$3</f>
        <v>-21.416378910493986</v>
      </c>
      <c r="E13" s="14">
        <f>Painel!G13</f>
        <v>309</v>
      </c>
      <c r="F13" s="14">
        <f>Painel!H13*IPC!G$3</f>
        <v>73.236500000000007</v>
      </c>
      <c r="G13" s="14">
        <f>Painel!K13*IPC!J$3</f>
        <v>-59.209988752542195</v>
      </c>
      <c r="H13" s="14">
        <f>Painel!L13</f>
        <v>383</v>
      </c>
      <c r="I13" s="14">
        <f>Painel!M13*IPC!G$3</f>
        <v>49.512</v>
      </c>
      <c r="J13" s="14">
        <f>Painel!P13*IPC!J$3</f>
        <v>79.366580668301239</v>
      </c>
      <c r="K13" s="14"/>
      <c r="L13" s="14">
        <f>Painel!R13*IPC!G$3</f>
        <v>-80.457000000000008</v>
      </c>
      <c r="M13" s="14">
        <f>Painel!U13*IPC!J$3</f>
        <v>4.7871905799927728</v>
      </c>
      <c r="N13" s="14"/>
      <c r="O13" s="14"/>
      <c r="P13" s="14"/>
      <c r="Q13" s="14">
        <f>Painel_Cte!AA13</f>
        <v>121</v>
      </c>
      <c r="R13" s="15">
        <f>Painel!AB13*IPC!G$3</f>
        <v>15.472500000000002</v>
      </c>
      <c r="S13" s="15">
        <f>Painel!AE13*IPC!J$3</f>
        <v>-246.91825096804828</v>
      </c>
      <c r="T13" s="14">
        <f>Painel!AF13</f>
        <v>50</v>
      </c>
      <c r="U13" s="14">
        <f>Painel!AG13*IPC!G$3</f>
        <v>62.921500000000002</v>
      </c>
      <c r="V13" s="14">
        <f>Painel!AJ13*IPC!J$3</f>
        <v>-62.989349736747016</v>
      </c>
      <c r="W13" s="14"/>
      <c r="X13" s="14">
        <f>Painel!AL13*IPC!G$3</f>
        <v>-25.787500000000001</v>
      </c>
      <c r="Y13" s="14">
        <f>Painel!AO13*IPC!J$3</f>
        <v>-496.35607592556647</v>
      </c>
      <c r="Z13" s="14">
        <f>Painel_Cte!AP13</f>
        <v>37</v>
      </c>
      <c r="AA13" s="14">
        <f>Painel_Cte!AQ13</f>
        <v>26.819000000000003</v>
      </c>
      <c r="AB13" s="14">
        <f>Painel_Cte!AT13</f>
        <v>2.1416378910493985</v>
      </c>
      <c r="AC13" s="14">
        <f>Resultado!K21</f>
        <v>320</v>
      </c>
      <c r="AD13" s="14">
        <f>Painel!AV13*IPC!G$3</f>
        <v>140.28400000000002</v>
      </c>
      <c r="AE13" s="14">
        <f>Painel!AY13*IPC!J$3</f>
        <v>79.366580668301239</v>
      </c>
      <c r="AF13" s="14"/>
      <c r="AG13" s="14">
        <f>Painel!BA13*IPC!G$3</f>
        <v>7.2205000000000004</v>
      </c>
      <c r="AH13" s="14">
        <f>Painel!BD13*IPC!J$3</f>
        <v>-11.338082952614462</v>
      </c>
      <c r="AI13" s="14"/>
      <c r="AJ13" s="14">
        <f>Painel!BF13*IPC!G$3</f>
        <v>33.008000000000003</v>
      </c>
      <c r="AK13" s="14">
        <f>Painel!BI13*IPC!J$3</f>
        <v>4.283275782098797</v>
      </c>
      <c r="AL13" s="14">
        <f>Painel!BJ13</f>
        <v>45</v>
      </c>
      <c r="AM13" s="14">
        <f>Painel!BK13*IPC!G$3</f>
        <v>-99.024000000000001</v>
      </c>
      <c r="AN13" s="14">
        <f>Painel!BN13*IPC!J$3</f>
        <v>27.715313884168687</v>
      </c>
      <c r="AO13" s="14">
        <f>Painel_Cte!BO13</f>
        <v>124</v>
      </c>
      <c r="AP13" s="14">
        <f>Painel!BP13*IPC!G$3</f>
        <v>13.409500000000001</v>
      </c>
      <c r="AQ13" s="14">
        <f>Painel!BS13*IPC!J$3</f>
        <v>3.5274035852578325</v>
      </c>
      <c r="AR13" s="14">
        <f>Painel_Cte!BT13</f>
        <v>170</v>
      </c>
      <c r="AS13" s="14">
        <f>Painel!BU13*IPC!G$3</f>
        <v>1.0315000000000001</v>
      </c>
      <c r="AT13" s="14">
        <f>Painel!BX13*IPC!J$3</f>
        <v>-3.7793609842048208</v>
      </c>
      <c r="AU13" s="14">
        <f>Resultado!Q21</f>
        <v>8.5</v>
      </c>
      <c r="AV13" s="14">
        <f>Painel!BZ13*IPC!G$3</f>
        <v>18.567</v>
      </c>
      <c r="AW13" s="14">
        <f>Painel!CC13*IPC!J$3</f>
        <v>2.5195739894698805</v>
      </c>
      <c r="AX13" s="14"/>
      <c r="AY13" s="14">
        <f>Painel!CE13*IPC!G$3</f>
        <v>17.535500000000003</v>
      </c>
      <c r="AZ13" s="14">
        <f>Painel!CH13*IPC!J$3</f>
        <v>30.234887873638566</v>
      </c>
      <c r="BA13" s="14">
        <f>Painel!CI13</f>
        <v>62</v>
      </c>
      <c r="BB13" s="14">
        <f>Painel!CJ13*IPC!G$3</f>
        <v>38.165500000000002</v>
      </c>
      <c r="BC13" s="14">
        <f>Painel!CM13*IPC!J$3</f>
        <v>-196.52677117865068</v>
      </c>
      <c r="BD13" s="14">
        <f>Painel_Cte!CN13</f>
        <v>-70</v>
      </c>
      <c r="BE13" s="14">
        <f>Painel!CO13*IPC!G$3</f>
        <v>-90.772000000000006</v>
      </c>
      <c r="BF13" s="14">
        <f>Painel!CR13*IPC!J$3</f>
        <v>-6.2989349736747009</v>
      </c>
      <c r="BH13" s="14"/>
      <c r="BI13" s="14"/>
      <c r="BJ13" s="14"/>
      <c r="BK13" s="14"/>
      <c r="BM13" s="14"/>
      <c r="BN13" s="14"/>
      <c r="BO13" s="14"/>
      <c r="BP13" s="14"/>
      <c r="BR13" s="14"/>
      <c r="BS13" s="14"/>
      <c r="BT13" s="14"/>
      <c r="BU13" s="14"/>
    </row>
    <row r="14" spans="1:73" x14ac:dyDescent="0.3">
      <c r="A14" t="s">
        <v>38</v>
      </c>
      <c r="B14" s="14">
        <f>Painel_Cte!B14</f>
        <v>7</v>
      </c>
      <c r="C14" s="14">
        <f>Painel!C14*IPC!G$3</f>
        <v>3.0945</v>
      </c>
      <c r="D14" s="14">
        <f>Painel!F14*IPC!J$3</f>
        <v>-11.338082952614462</v>
      </c>
      <c r="E14" s="14">
        <f>Painel!G14</f>
        <v>-212</v>
      </c>
      <c r="F14" s="14">
        <f>Painel!H14*IPC!G$3</f>
        <v>40.228500000000004</v>
      </c>
      <c r="G14" s="14">
        <f>Painel!K14*IPC!J$3</f>
        <v>157.47337434186753</v>
      </c>
      <c r="H14" s="14">
        <f>Painel!L14</f>
        <v>498</v>
      </c>
      <c r="I14" s="14">
        <f>Painel!M14*IPC!G$3</f>
        <v>89.740500000000011</v>
      </c>
      <c r="J14" s="14">
        <f>Painel!P14*IPC!J$3</f>
        <v>139.83635641557836</v>
      </c>
      <c r="K14" s="14"/>
      <c r="L14" s="14">
        <f>Painel!R14*IPC!G$3</f>
        <v>1.0315000000000001</v>
      </c>
      <c r="M14" s="14">
        <f>Painel!U14*IPC!J$3</f>
        <v>49.131692794662669</v>
      </c>
      <c r="N14" s="14"/>
      <c r="O14" s="14"/>
      <c r="P14" s="14"/>
      <c r="Q14" s="14">
        <f>Painel_Cte!AA14</f>
        <v>248</v>
      </c>
      <c r="R14" s="14">
        <f>Painel!AB14*IPC!G$3</f>
        <v>169.16600000000003</v>
      </c>
      <c r="S14" s="14">
        <f>Painel!AE14*IPC!J$3</f>
        <v>-22.676165905228924</v>
      </c>
      <c r="T14" s="14">
        <f>Painel!AF14</f>
        <v>60</v>
      </c>
      <c r="U14" s="14">
        <f>Painel!AG14*IPC!G$3</f>
        <v>66.016000000000005</v>
      </c>
      <c r="V14" s="14">
        <f>Painel!AJ14*IPC!J$3</f>
        <v>-13.857656942084343</v>
      </c>
      <c r="W14" s="14"/>
      <c r="X14" s="14">
        <f>Painel!AL14*IPC!G$3</f>
        <v>150.59900000000002</v>
      </c>
      <c r="Y14" s="14">
        <f>Painel!AO14*IPC!J$3</f>
        <v>185.18868822603622</v>
      </c>
      <c r="Z14" s="14">
        <f>Painel_Cte!AP14</f>
        <v>37</v>
      </c>
      <c r="AA14" s="14">
        <f>Painel_Cte!AQ14</f>
        <v>26.819000000000003</v>
      </c>
      <c r="AB14" s="14">
        <f>Painel_Cte!AT14</f>
        <v>7.5587219684096416</v>
      </c>
      <c r="AC14" s="14">
        <v>485</v>
      </c>
      <c r="AD14" s="14">
        <v>342</v>
      </c>
      <c r="AE14" s="14">
        <v>248</v>
      </c>
      <c r="AF14" s="14"/>
      <c r="AG14" s="14">
        <f>Painel!BA14*IPC!G$3</f>
        <v>66.016000000000005</v>
      </c>
      <c r="AH14" s="14">
        <f>Painel!BD14*IPC!J$3</f>
        <v>88.18508963144582</v>
      </c>
      <c r="AI14" s="14"/>
      <c r="AJ14" s="14">
        <f>Painel!BF14*IPC!G$3</f>
        <v>58.795500000000004</v>
      </c>
      <c r="AK14" s="14">
        <f>Painel!BI14*IPC!J$3</f>
        <v>11.338082952614462</v>
      </c>
      <c r="AL14" s="14">
        <f>Painel!BJ14</f>
        <v>155</v>
      </c>
      <c r="AM14" s="14">
        <f>Painel!BK14*IPC!G$3</f>
        <v>34.039500000000004</v>
      </c>
      <c r="AN14" s="14">
        <f>Painel!BN14*IPC!J$3</f>
        <v>199.04634516812055</v>
      </c>
      <c r="AO14" s="14">
        <f>Painel_Cte!BO14</f>
        <v>-0.8</v>
      </c>
      <c r="AP14" s="14">
        <f>Painel!BP14*IPC!G$3</f>
        <v>50.85295</v>
      </c>
      <c r="AQ14" s="14">
        <f>Painel!BS14*IPC!J$3</f>
        <v>47.871905799927731</v>
      </c>
      <c r="AR14" s="14">
        <f>Painel_Cte!BT14</f>
        <v>298</v>
      </c>
      <c r="AS14" s="14">
        <f>Painel!BU14*IPC!G$3</f>
        <v>117.59100000000001</v>
      </c>
      <c r="AT14" s="14">
        <f>Painel!BX14*IPC!J$3</f>
        <v>112.12104253140969</v>
      </c>
      <c r="AU14" s="14">
        <f>Painel!BY14</f>
        <v>186</v>
      </c>
      <c r="AV14" s="14">
        <f>Painel!BZ14*IPC!G$3</f>
        <v>188.76450000000003</v>
      </c>
      <c r="AW14" s="14">
        <f>Painel!CC14*IPC!J$3</f>
        <v>238.0997420049037</v>
      </c>
      <c r="AX14" s="14"/>
      <c r="AY14" s="14">
        <f>Painel!CE14*IPC!G$3</f>
        <v>200.11100000000002</v>
      </c>
      <c r="AZ14" s="14">
        <f>Painel!CH14*IPC!J$3</f>
        <v>256.99654692592782</v>
      </c>
      <c r="BA14" s="14">
        <f>Painel!CI14</f>
        <v>116</v>
      </c>
      <c r="BB14" s="14">
        <f>Painel!CJ14*IPC!G$3</f>
        <v>235.18200000000002</v>
      </c>
      <c r="BC14" s="14">
        <f>Painel!CM14*IPC!J$3</f>
        <v>406.91119929938571</v>
      </c>
      <c r="BD14" s="14">
        <f>Painel_Cte!CN14</f>
        <v>-11</v>
      </c>
      <c r="BE14" s="14">
        <f>Painel!CO14*IPC!G$3</f>
        <v>24.756</v>
      </c>
      <c r="BF14" s="14">
        <f>Painel!CR14*IPC!J$3</f>
        <v>149.9146523734579</v>
      </c>
      <c r="BH14" s="14"/>
      <c r="BI14" s="14"/>
      <c r="BJ14" s="14"/>
      <c r="BK14" s="14"/>
      <c r="BM14" s="14"/>
      <c r="BN14" s="14"/>
      <c r="BO14" s="14"/>
      <c r="BP14" s="14"/>
      <c r="BR14" s="14"/>
      <c r="BS14" s="14"/>
      <c r="BT14" s="14"/>
      <c r="BU14" s="14"/>
    </row>
    <row r="15" spans="1:73" x14ac:dyDescent="0.3">
      <c r="A15" t="s">
        <v>66</v>
      </c>
      <c r="B15" s="14">
        <f>Painel_Cte!B15</f>
        <v>9</v>
      </c>
      <c r="C15" s="14">
        <f>Painel!C15*IPC!G$3</f>
        <v>16.504000000000001</v>
      </c>
      <c r="D15" s="14">
        <f>Painel!F15*IPC!J$3</f>
        <v>1.0078295957879522</v>
      </c>
      <c r="E15" s="14">
        <f>Painel!G15</f>
        <v>148</v>
      </c>
      <c r="F15" s="14">
        <f>Painel!H15*IPC!G$3</f>
        <v>152.66200000000001</v>
      </c>
      <c r="G15" s="14">
        <f>Painel!K15*IPC!J$3</f>
        <v>65.508923726216892</v>
      </c>
      <c r="H15" s="14">
        <f>Painel!L15</f>
        <v>39</v>
      </c>
      <c r="I15" s="14">
        <f>Painel!M15*IPC!G$3</f>
        <v>97.992500000000007</v>
      </c>
      <c r="J15" s="14">
        <f>Painel!P15*IPC!J$3</f>
        <v>37.793609842048205</v>
      </c>
      <c r="K15" s="14"/>
      <c r="L15" s="14">
        <f>Painel!R15*IPC!G$3</f>
        <v>0</v>
      </c>
      <c r="M15" s="14">
        <f>Painel!U15*IPC!J$3</f>
        <v>41.572970826253027</v>
      </c>
      <c r="N15" s="14"/>
      <c r="O15" s="14"/>
      <c r="P15" s="14"/>
      <c r="Q15" s="14">
        <f>Painel_Cte!AA15</f>
        <v>53</v>
      </c>
      <c r="R15" s="14">
        <f>Painel!AB15*IPC!G$3</f>
        <v>43.323</v>
      </c>
      <c r="S15" s="14">
        <f>Painel!AE15*IPC!J$3</f>
        <v>13.857656942084343</v>
      </c>
      <c r="T15" s="14">
        <f>Painel!AF15</f>
        <v>6.1</v>
      </c>
      <c r="U15" s="14">
        <f>Painel!AG15*IPC!G$3</f>
        <v>7.2205000000000004</v>
      </c>
      <c r="V15" s="14">
        <f>Painel!AJ15*IPC!J$3</f>
        <v>1.1338082952614463</v>
      </c>
      <c r="W15" s="14"/>
      <c r="X15" s="14">
        <f>Painel!AL15*IPC!G$3</f>
        <v>0</v>
      </c>
      <c r="Y15" s="14">
        <f>Painel!AO15*IPC!J$3</f>
        <v>70.548071705156659</v>
      </c>
      <c r="Z15" s="14">
        <f>Painel_Cte!AP15</f>
        <v>0</v>
      </c>
      <c r="AA15" s="14">
        <f>Painel_Cte!AQ15</f>
        <v>0</v>
      </c>
      <c r="AB15" s="14">
        <f>Painel_Cte!AT15</f>
        <v>0</v>
      </c>
      <c r="AC15" s="14">
        <v>273</v>
      </c>
      <c r="AD15" s="14">
        <f>Painel!AV15*IPC!G$3</f>
        <v>238.27650000000003</v>
      </c>
      <c r="AE15" s="14">
        <f>Painel!AY15*IPC!J$3</f>
        <v>314.94674868373505</v>
      </c>
      <c r="AF15" s="14"/>
      <c r="AG15" s="14">
        <f>Painel!BA15*IPC!G$3</f>
        <v>27.850500000000004</v>
      </c>
      <c r="AH15" s="14">
        <f>Painel!BD15*IPC!J$3</f>
        <v>13.857656942084343</v>
      </c>
      <c r="AI15" s="14"/>
      <c r="AJ15" s="14">
        <f>Painel!BF15*IPC!G$3</f>
        <v>47.449000000000005</v>
      </c>
      <c r="AK15" s="14">
        <f>Painel!BI15*IPC!J$3</f>
        <v>7.054807170515665</v>
      </c>
      <c r="AL15" s="14">
        <f>Painel!BJ15</f>
        <v>24</v>
      </c>
      <c r="AM15" s="14">
        <f>Painel!BK15*IPC!G$3</f>
        <v>68.079000000000008</v>
      </c>
      <c r="AN15" s="14">
        <f>Painel!BN15*IPC!J$3</f>
        <v>61.729562742012071</v>
      </c>
      <c r="AO15" s="14">
        <f>Painel_Cte!BO15</f>
        <v>0.1</v>
      </c>
      <c r="AP15" s="14">
        <f>Painel!BP15*IPC!G$3</f>
        <v>1.8567000000000002</v>
      </c>
      <c r="AQ15" s="14">
        <f>Painel!BS15*IPC!J$3</f>
        <v>6.9288284710421717</v>
      </c>
      <c r="AR15" s="14">
        <f>Painel_Cte!BT15</f>
        <v>85</v>
      </c>
      <c r="AS15" s="14">
        <f>Painel!BU15*IPC!G$3</f>
        <v>90.772000000000006</v>
      </c>
      <c r="AT15" s="14">
        <f>Painel!BX15*IPC!J$3</f>
        <v>65.508923726216892</v>
      </c>
      <c r="AU15" s="14">
        <v>150</v>
      </c>
      <c r="AV15" s="14">
        <f>Painel!BZ15*IPC!G$3</f>
        <v>108.3075</v>
      </c>
      <c r="AW15" s="14">
        <f>Painel!CC15*IPC!J$3</f>
        <v>137.31678242610849</v>
      </c>
      <c r="AX15" s="14"/>
      <c r="AY15" s="14">
        <f>Painel!CE15*IPC!G$3</f>
        <v>63.953000000000003</v>
      </c>
      <c r="AZ15" s="14">
        <f>Painel!CH15*IPC!J$3</f>
        <v>66.76871072095183</v>
      </c>
      <c r="BA15" s="14">
        <f>Painel!CI15</f>
        <v>77</v>
      </c>
      <c r="BB15" s="14">
        <f>Painel!CJ15*IPC!G$3</f>
        <v>78.394000000000005</v>
      </c>
      <c r="BC15" s="14">
        <f>Painel!CM15*IPC!J$3</f>
        <v>181.40932724183139</v>
      </c>
      <c r="BD15" s="14">
        <f>Painel_Cte!CN15</f>
        <v>157</v>
      </c>
      <c r="BE15" s="14">
        <f>Painel!CO15*IPC!G$3</f>
        <v>26.819000000000003</v>
      </c>
      <c r="BF15" s="14">
        <f>Painel!CR15*IPC!J$3</f>
        <v>4.283275782098797</v>
      </c>
      <c r="BH15" s="14"/>
      <c r="BI15" s="14"/>
      <c r="BJ15" s="14"/>
      <c r="BK15" s="14"/>
      <c r="BM15" s="14"/>
      <c r="BN15" s="14"/>
      <c r="BO15" s="14"/>
      <c r="BP15" s="14"/>
      <c r="BR15" s="14"/>
      <c r="BS15" s="14"/>
      <c r="BT15" s="14"/>
      <c r="BU15" s="14"/>
    </row>
    <row r="16" spans="1:73" x14ac:dyDescent="0.3">
      <c r="A16" t="s">
        <v>85</v>
      </c>
      <c r="B16" s="14">
        <f>Painel_Cte!B16</f>
        <v>12</v>
      </c>
      <c r="C16" s="14">
        <f>Painel!C16*IPC!G$3</f>
        <v>5.1575000000000006</v>
      </c>
      <c r="D16" s="14">
        <f>Painel!F16*IPC!J$3</f>
        <v>1.3857656942084344</v>
      </c>
      <c r="E16" s="14">
        <f>Painel!G16</f>
        <v>24</v>
      </c>
      <c r="F16" s="14">
        <f>Painel!H16*IPC!G$3</f>
        <v>18.567</v>
      </c>
      <c r="G16" s="14">
        <f>Painel!K16*IPC!J$3</f>
        <v>17.637017926289165</v>
      </c>
      <c r="H16" s="14">
        <f>Painel!L16</f>
        <v>14</v>
      </c>
      <c r="I16" s="14">
        <f>Painel!M16*IPC!G$3</f>
        <v>14.441000000000001</v>
      </c>
      <c r="J16" s="14">
        <f>Painel!P16*IPC!J$3</f>
        <v>27.715313884168687</v>
      </c>
      <c r="K16" s="14"/>
      <c r="L16" s="14">
        <f>Painel!R16*IPC!G$3</f>
        <v>13.409500000000001</v>
      </c>
      <c r="M16" s="14">
        <f>Painel!U16*IPC!J$3</f>
        <v>17.637017926289165</v>
      </c>
      <c r="N16" s="14"/>
      <c r="O16" s="14"/>
      <c r="P16" s="14"/>
      <c r="Q16" s="14">
        <f>Painel_Cte!AA16</f>
        <v>0</v>
      </c>
      <c r="R16" s="14">
        <f>Painel!AB16*IPC!G$3</f>
        <v>0</v>
      </c>
      <c r="S16" s="14">
        <f>Painel!AE16*IPC!J$3</f>
        <v>0</v>
      </c>
      <c r="T16" s="14">
        <f>Painel!AF16</f>
        <v>4.8</v>
      </c>
      <c r="U16" s="14">
        <f>Painel!AG16*IPC!G$3</f>
        <v>10.624450000000001</v>
      </c>
      <c r="V16" s="14">
        <f>Painel!AJ16*IPC!J$3</f>
        <v>19.904634516812056</v>
      </c>
      <c r="W16" s="14"/>
      <c r="X16" s="14">
        <f>Painel!AL16*IPC!G$3</f>
        <v>0</v>
      </c>
      <c r="Y16" s="14">
        <f>Painel!AO16*IPC!J$3</f>
        <v>23.935952899963866</v>
      </c>
      <c r="Z16" s="14">
        <f>Painel_Cte!AP16</f>
        <v>0</v>
      </c>
      <c r="AA16" s="14">
        <f>Painel_Cte!AQ16</f>
        <v>0</v>
      </c>
      <c r="AB16" s="14">
        <f>Painel_Cte!AT16</f>
        <v>0</v>
      </c>
      <c r="AC16" s="22">
        <v>16</v>
      </c>
      <c r="AD16" s="14">
        <f>Painel!AV16*IPC!G$3</f>
        <v>28.882000000000001</v>
      </c>
      <c r="AE16" s="14">
        <f>Painel!AY16*IPC!J$3</f>
        <v>40.313183831518089</v>
      </c>
      <c r="AF16" s="14"/>
      <c r="AG16" s="14">
        <f>Painel!BA16*IPC!G$3</f>
        <v>20.630000000000003</v>
      </c>
      <c r="AH16" s="14">
        <f>Painel!BD16*IPC!J$3</f>
        <v>20.156591915759044</v>
      </c>
      <c r="AI16" s="14"/>
      <c r="AJ16" s="14">
        <f>Painel!BF16*IPC!G$3</f>
        <v>4.1260000000000003</v>
      </c>
      <c r="AK16" s="14">
        <f>Painel!BI16*IPC!J$3</f>
        <v>2.0156591915759043</v>
      </c>
      <c r="AL16" s="14">
        <f>Painel!BJ16</f>
        <v>26</v>
      </c>
      <c r="AM16" s="14">
        <f>Painel!BK16*IPC!G$3</f>
        <v>25.787500000000001</v>
      </c>
      <c r="AN16" s="14">
        <f>Painel!BN16*IPC!J$3</f>
        <v>28.975100878903625</v>
      </c>
      <c r="AO16" s="14">
        <f>Painel_Cte!BO16</f>
        <v>5</v>
      </c>
      <c r="AP16" s="14">
        <f>Painel!BP16*IPC!G$3</f>
        <v>4.7449000000000003</v>
      </c>
      <c r="AQ16" s="14">
        <f>Painel!BS16*IPC!J$3</f>
        <v>7.9366580668301232</v>
      </c>
      <c r="AR16" s="14">
        <f>Painel_Cte!BT16</f>
        <v>19</v>
      </c>
      <c r="AS16" s="14">
        <f>Painel!BU16*IPC!G$3</f>
        <v>22.693000000000001</v>
      </c>
      <c r="AT16" s="14">
        <f>Painel!BX16*IPC!J$3</f>
        <v>27.21139908627471</v>
      </c>
      <c r="AU16" s="15">
        <v>29</v>
      </c>
      <c r="AV16" s="14">
        <f>Painel!BZ16*IPC!G$3</f>
        <v>30.945000000000004</v>
      </c>
      <c r="AW16" s="14">
        <f>Painel!CC16*IPC!J$3</f>
        <v>32.754461863108446</v>
      </c>
      <c r="AX16" s="14"/>
      <c r="AY16" s="14">
        <f>Painel!CE16*IPC!G$3</f>
        <v>10.315000000000001</v>
      </c>
      <c r="AZ16" s="14">
        <f>Painel!CH16*IPC!J$3</f>
        <v>11.338082952614462</v>
      </c>
      <c r="BA16" s="14">
        <f>Painel!CI16</f>
        <v>34</v>
      </c>
      <c r="BB16" s="14">
        <f>Painel!CJ16*IPC!G$3</f>
        <v>16.504000000000001</v>
      </c>
      <c r="BC16" s="14">
        <f>Painel!CM16*IPC!J$3</f>
        <v>50.391479789397607</v>
      </c>
      <c r="BD16" s="14">
        <f>Painel_Cte!CN16</f>
        <v>0</v>
      </c>
      <c r="BE16" s="14">
        <f>Painel!CO16*IPC!G$3</f>
        <v>8.9740500000000001</v>
      </c>
      <c r="BF16" s="14">
        <f>Painel!CR16*IPC!J$3</f>
        <v>16.377230931554223</v>
      </c>
      <c r="BH16" s="14"/>
      <c r="BI16" s="14"/>
      <c r="BJ16" s="14"/>
      <c r="BK16" s="14"/>
      <c r="BM16" s="14"/>
      <c r="BN16" s="14"/>
      <c r="BO16" s="14"/>
      <c r="BP16" s="14"/>
      <c r="BR16" s="14"/>
      <c r="BS16" s="14"/>
      <c r="BT16" s="14"/>
      <c r="BU16" s="14"/>
    </row>
    <row r="17" spans="1:7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4.3</v>
      </c>
      <c r="F17" s="14">
        <v>4.3</v>
      </c>
      <c r="G17" s="14">
        <v>4.3</v>
      </c>
      <c r="H17" s="14">
        <v>1.5</v>
      </c>
      <c r="I17" s="14">
        <v>1.5</v>
      </c>
      <c r="J17" s="14">
        <v>1.5</v>
      </c>
      <c r="K17" s="14">
        <v>3.6</v>
      </c>
      <c r="L17" s="14">
        <v>3.6</v>
      </c>
      <c r="M17" s="14">
        <v>3.6</v>
      </c>
      <c r="N17" s="14">
        <v>2</v>
      </c>
      <c r="O17" s="14">
        <v>2</v>
      </c>
      <c r="P17" s="14">
        <v>2</v>
      </c>
      <c r="Q17" s="14">
        <v>14.2</v>
      </c>
      <c r="R17" s="14">
        <v>14.2</v>
      </c>
      <c r="S17" s="14">
        <v>14.2</v>
      </c>
      <c r="T17" s="14">
        <v>0.1</v>
      </c>
      <c r="U17" s="14">
        <v>0.1</v>
      </c>
      <c r="V17" s="14">
        <v>0.1</v>
      </c>
      <c r="W17" s="14">
        <v>6.1</v>
      </c>
      <c r="X17" s="14">
        <v>6.1</v>
      </c>
      <c r="Y17" s="14">
        <v>6.1</v>
      </c>
      <c r="Z17" s="14">
        <v>0.1</v>
      </c>
      <c r="AA17" s="14">
        <v>0.1</v>
      </c>
      <c r="AB17" s="14">
        <v>0.1</v>
      </c>
      <c r="AC17" s="14">
        <v>21.9</v>
      </c>
      <c r="AD17" s="14">
        <v>21.9</v>
      </c>
      <c r="AE17" s="14">
        <v>21.9</v>
      </c>
      <c r="AF17" s="14">
        <v>3.4</v>
      </c>
      <c r="AG17" s="14">
        <v>3.4</v>
      </c>
      <c r="AH17" s="14">
        <v>3.4</v>
      </c>
      <c r="AI17" s="14">
        <v>1.2</v>
      </c>
      <c r="AJ17" s="14">
        <v>1.2</v>
      </c>
      <c r="AK17" s="14">
        <v>1.2</v>
      </c>
      <c r="AL17" s="14">
        <v>4.5999999999999996</v>
      </c>
      <c r="AM17" s="14">
        <v>4.5999999999999996</v>
      </c>
      <c r="AN17" s="14">
        <v>4.5999999999999996</v>
      </c>
      <c r="AO17" s="14">
        <v>0.2</v>
      </c>
      <c r="AP17" s="14">
        <v>0.2</v>
      </c>
      <c r="AQ17" s="14">
        <v>0.2</v>
      </c>
      <c r="AR17" s="14">
        <v>3.5</v>
      </c>
      <c r="AS17" s="14">
        <v>3.5</v>
      </c>
      <c r="AT17" s="14">
        <v>3.5</v>
      </c>
      <c r="AU17" s="14">
        <v>7.7</v>
      </c>
      <c r="AV17" s="14">
        <v>7.7</v>
      </c>
      <c r="AW17" s="14">
        <v>7.7</v>
      </c>
      <c r="AX17" s="14">
        <v>3.1</v>
      </c>
      <c r="AY17" s="14">
        <v>3.1</v>
      </c>
      <c r="AZ17" s="14">
        <v>3.1</v>
      </c>
      <c r="BA17" s="14">
        <v>9.9</v>
      </c>
      <c r="BB17" s="14">
        <v>9.9</v>
      </c>
      <c r="BC17" s="14">
        <v>9.9</v>
      </c>
      <c r="BD17" s="14">
        <v>6.2</v>
      </c>
      <c r="BE17" s="14">
        <v>6.2</v>
      </c>
      <c r="BF17" s="14">
        <v>6.2</v>
      </c>
    </row>
    <row r="18" spans="1:71" x14ac:dyDescent="0.3">
      <c r="A18" t="s">
        <v>76</v>
      </c>
      <c r="B18" s="14">
        <v>1</v>
      </c>
      <c r="C18" s="14">
        <v>1</v>
      </c>
      <c r="D18" s="14">
        <v>1</v>
      </c>
      <c r="E18" s="14">
        <v>9.5</v>
      </c>
      <c r="F18" s="14">
        <v>9.5</v>
      </c>
      <c r="G18" s="14">
        <v>9.5</v>
      </c>
      <c r="H18" s="14">
        <v>3.3</v>
      </c>
      <c r="I18" s="14">
        <v>3.3</v>
      </c>
      <c r="J18" s="14">
        <v>3.3</v>
      </c>
      <c r="K18" s="14">
        <v>7.9</v>
      </c>
      <c r="L18" s="14">
        <v>7.9</v>
      </c>
      <c r="M18" s="14">
        <v>7.9</v>
      </c>
      <c r="N18" s="14">
        <v>4.4000000000000004</v>
      </c>
      <c r="O18" s="14">
        <v>4.4000000000000004</v>
      </c>
      <c r="P18" s="14">
        <v>4.4000000000000004</v>
      </c>
      <c r="Q18" s="14">
        <v>31.2</v>
      </c>
      <c r="R18" s="14">
        <v>31.2</v>
      </c>
      <c r="S18" s="14">
        <v>31.2</v>
      </c>
      <c r="T18" s="14">
        <v>3.3</v>
      </c>
      <c r="U18" s="14">
        <v>3.3</v>
      </c>
      <c r="V18" s="14">
        <v>3.3</v>
      </c>
      <c r="W18" s="14">
        <v>13.4</v>
      </c>
      <c r="X18" s="14">
        <v>13.4</v>
      </c>
      <c r="Y18" s="14">
        <v>13.4</v>
      </c>
      <c r="Z18" s="14">
        <v>0.2</v>
      </c>
      <c r="AA18" s="14">
        <v>0.2</v>
      </c>
      <c r="AB18" s="14">
        <v>0.2</v>
      </c>
      <c r="AC18" s="14">
        <v>48.1</v>
      </c>
      <c r="AD18" s="14">
        <v>48.1</v>
      </c>
      <c r="AE18" s="14">
        <v>48.1</v>
      </c>
      <c r="AF18" s="14">
        <v>7.5</v>
      </c>
      <c r="AG18" s="14">
        <v>7.5</v>
      </c>
      <c r="AH18" s="14">
        <v>7.5</v>
      </c>
      <c r="AI18" s="14">
        <v>2.6</v>
      </c>
      <c r="AJ18" s="14">
        <v>2.6</v>
      </c>
      <c r="AK18" s="14">
        <v>2.6</v>
      </c>
      <c r="AL18" s="14">
        <v>10.1</v>
      </c>
      <c r="AM18" s="14">
        <v>10.1</v>
      </c>
      <c r="AN18" s="14">
        <v>10.1</v>
      </c>
      <c r="AO18" s="14">
        <v>0.4</v>
      </c>
      <c r="AP18" s="14">
        <v>0.4</v>
      </c>
      <c r="AQ18" s="14">
        <v>0.4</v>
      </c>
      <c r="AR18" s="14">
        <v>7.7</v>
      </c>
      <c r="AS18" s="14">
        <v>7.7</v>
      </c>
      <c r="AT18" s="14">
        <v>7.7</v>
      </c>
      <c r="AU18" s="14">
        <v>16.899999999999999</v>
      </c>
      <c r="AV18" s="14">
        <v>16.899999999999999</v>
      </c>
      <c r="AW18" s="14">
        <v>16.899999999999999</v>
      </c>
      <c r="AX18" s="14">
        <v>6.8</v>
      </c>
      <c r="AY18" s="14">
        <v>6.8</v>
      </c>
      <c r="AZ18" s="14">
        <v>6.8</v>
      </c>
      <c r="BA18" s="14">
        <v>21.8</v>
      </c>
      <c r="BB18" s="14">
        <v>21.8</v>
      </c>
      <c r="BC18" s="14">
        <v>21.8</v>
      </c>
      <c r="BD18" s="14">
        <v>13.6</v>
      </c>
      <c r="BE18" s="14">
        <v>13.6</v>
      </c>
      <c r="BF18" s="14">
        <v>13.6</v>
      </c>
    </row>
    <row r="19" spans="1:71" x14ac:dyDescent="0.3">
      <c r="A19" t="s">
        <v>88</v>
      </c>
      <c r="B19">
        <v>24</v>
      </c>
      <c r="C19">
        <v>53</v>
      </c>
      <c r="D19">
        <v>0</v>
      </c>
      <c r="E19">
        <v>66</v>
      </c>
      <c r="F19">
        <v>58</v>
      </c>
      <c r="G19">
        <v>48</v>
      </c>
      <c r="H19">
        <v>56</v>
      </c>
      <c r="I19">
        <v>58</v>
      </c>
      <c r="J19">
        <v>64</v>
      </c>
      <c r="K19">
        <v>44</v>
      </c>
      <c r="L19">
        <v>0</v>
      </c>
      <c r="M19">
        <v>49</v>
      </c>
      <c r="N19">
        <v>64</v>
      </c>
      <c r="O19">
        <v>53</v>
      </c>
      <c r="P19">
        <v>43</v>
      </c>
      <c r="Q19">
        <v>50</v>
      </c>
      <c r="R19">
        <v>65</v>
      </c>
      <c r="S19">
        <v>56</v>
      </c>
      <c r="T19">
        <v>30</v>
      </c>
      <c r="U19">
        <v>42</v>
      </c>
      <c r="V19">
        <v>0</v>
      </c>
      <c r="W19">
        <v>47</v>
      </c>
      <c r="X19">
        <v>0</v>
      </c>
      <c r="Y19">
        <v>36</v>
      </c>
      <c r="Z19">
        <v>51</v>
      </c>
      <c r="AA19">
        <v>41</v>
      </c>
      <c r="AB19">
        <v>0</v>
      </c>
      <c r="AC19">
        <v>66</v>
      </c>
      <c r="AD19">
        <v>62</v>
      </c>
      <c r="AE19">
        <v>90</v>
      </c>
      <c r="AF19">
        <v>56</v>
      </c>
      <c r="AG19">
        <v>70</v>
      </c>
      <c r="AH19">
        <v>46</v>
      </c>
      <c r="AI19">
        <v>54</v>
      </c>
      <c r="AJ19">
        <v>55</v>
      </c>
      <c r="AK19">
        <v>53</v>
      </c>
      <c r="AL19">
        <v>68</v>
      </c>
      <c r="AM19">
        <v>0</v>
      </c>
      <c r="AN19">
        <v>65</v>
      </c>
      <c r="AO19">
        <v>38</v>
      </c>
      <c r="AP19">
        <v>46</v>
      </c>
      <c r="AQ19">
        <v>52</v>
      </c>
      <c r="AR19">
        <v>55</v>
      </c>
      <c r="AS19">
        <v>73</v>
      </c>
      <c r="AT19">
        <v>57</v>
      </c>
      <c r="AU19">
        <v>70</v>
      </c>
      <c r="AV19">
        <v>81</v>
      </c>
      <c r="AW19">
        <v>74</v>
      </c>
      <c r="AX19">
        <v>43</v>
      </c>
      <c r="AY19">
        <v>47</v>
      </c>
      <c r="AZ19">
        <v>74</v>
      </c>
      <c r="BA19">
        <v>53</v>
      </c>
      <c r="BB19">
        <v>54</v>
      </c>
      <c r="BC19">
        <v>63</v>
      </c>
      <c r="BD19">
        <v>45</v>
      </c>
      <c r="BE19">
        <v>0</v>
      </c>
      <c r="BF19">
        <v>49</v>
      </c>
    </row>
    <row r="20" spans="1:71" x14ac:dyDescent="0.3">
      <c r="A20" t="s">
        <v>89</v>
      </c>
      <c r="B20" s="6">
        <v>0</v>
      </c>
      <c r="C20" s="6">
        <v>0.24369580448359887</v>
      </c>
      <c r="D20" s="6">
        <v>0</v>
      </c>
      <c r="E20" s="6">
        <v>0.94936786212601332</v>
      </c>
      <c r="F20" s="6">
        <v>0.36084880671453018</v>
      </c>
      <c r="G20" s="6">
        <v>0.15751996908273488</v>
      </c>
      <c r="H20" s="6">
        <v>0.84248003091726509</v>
      </c>
      <c r="I20" s="6">
        <v>0.41148094458851686</v>
      </c>
      <c r="J20" s="6">
        <v>0.47136605318055197</v>
      </c>
      <c r="K20" s="6">
        <v>0.52863394681944809</v>
      </c>
      <c r="L20" s="6">
        <v>0</v>
      </c>
      <c r="M20" s="6">
        <v>0.21239034303474383</v>
      </c>
      <c r="N20" s="6">
        <v>0.91068099478781195</v>
      </c>
      <c r="O20" s="6">
        <v>0.21239034303474383</v>
      </c>
      <c r="P20" s="6">
        <v>0.11051724646602176</v>
      </c>
      <c r="Q20" s="6">
        <v>0.68301074609085888</v>
      </c>
      <c r="R20" s="6">
        <v>0.54465950260609397</v>
      </c>
      <c r="S20" s="6">
        <v>0.31698925390914107</v>
      </c>
      <c r="T20" s="6">
        <v>0.22767024869695299</v>
      </c>
      <c r="U20" s="6">
        <v>0.11051724646602176</v>
      </c>
      <c r="V20" s="6">
        <v>0</v>
      </c>
      <c r="W20" s="6">
        <v>0.63915119328546977</v>
      </c>
      <c r="X20" s="6">
        <v>0</v>
      </c>
      <c r="Y20" s="6">
        <v>6.9406318392981087E-2</v>
      </c>
      <c r="Z20" s="6">
        <v>0.72169761342906036</v>
      </c>
      <c r="AA20" s="6">
        <v>8.9319005212188038E-2</v>
      </c>
      <c r="AB20" s="6">
        <v>0</v>
      </c>
      <c r="AC20" s="6">
        <v>0.93059368160701894</v>
      </c>
      <c r="AD20" s="6">
        <v>0.47136605318055197</v>
      </c>
      <c r="AE20" s="6">
        <v>1</v>
      </c>
      <c r="AF20" s="6">
        <v>0.86682144198242272</v>
      </c>
      <c r="AG20" s="6">
        <v>0.63915119328546977</v>
      </c>
      <c r="AH20" s="6">
        <v>0.13317855801757725</v>
      </c>
      <c r="AI20" s="6">
        <v>0.7876096569652562</v>
      </c>
      <c r="AJ20" s="6">
        <v>0.31698925390914107</v>
      </c>
      <c r="AK20" s="6">
        <v>0.27830238657093959</v>
      </c>
      <c r="AL20" s="6">
        <v>0.96712671343233014</v>
      </c>
      <c r="AM20" s="6">
        <v>0</v>
      </c>
      <c r="AN20" s="6">
        <v>0.54465950260609397</v>
      </c>
      <c r="AO20" s="6">
        <v>0.36084880671453018</v>
      </c>
      <c r="AP20" s="6">
        <v>0.15751996908273488</v>
      </c>
      <c r="AQ20" s="6">
        <v>0.24369580448359887</v>
      </c>
      <c r="AR20" s="6">
        <v>0.81618930410843615</v>
      </c>
      <c r="AS20" s="6">
        <v>0.77232975130304693</v>
      </c>
      <c r="AT20" s="6">
        <v>0.36084880671453018</v>
      </c>
      <c r="AU20" s="6">
        <v>0.983974444213354</v>
      </c>
      <c r="AV20" s="6">
        <v>1</v>
      </c>
      <c r="AW20" s="6">
        <v>0.63915119328546977</v>
      </c>
      <c r="AX20" s="6">
        <v>0.45534049739390597</v>
      </c>
      <c r="AY20" s="6">
        <v>0.18381069589156382</v>
      </c>
      <c r="AZ20" s="6">
        <v>0.77232975130304693</v>
      </c>
      <c r="BA20" s="6">
        <v>0.75630419551640116</v>
      </c>
      <c r="BB20" s="6">
        <v>0.27830238657093959</v>
      </c>
      <c r="BC20" s="6">
        <v>0.41148094458851686</v>
      </c>
      <c r="BD20" s="6">
        <v>0.58851905541148319</v>
      </c>
      <c r="BE20" s="6">
        <v>0</v>
      </c>
      <c r="BF20" s="6">
        <v>0.18381069589156382</v>
      </c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Painel!F21*IPC!J$3</f>
        <v>0</v>
      </c>
      <c r="E21" s="14">
        <v>31.2</v>
      </c>
      <c r="F21" s="14">
        <f>Painel!H21*IPC!G$3</f>
        <v>19.701650000000004</v>
      </c>
      <c r="G21" s="14">
        <f>Painel!K21*IPC!J$3</f>
        <v>6.1729562742012076</v>
      </c>
      <c r="H21" s="14">
        <v>18.600000000000001</v>
      </c>
      <c r="I21" s="14">
        <f>Painel!M21*IPC!G$3</f>
        <v>10.5213</v>
      </c>
      <c r="J21" s="14">
        <f>Painel!P21*IPC!J$3</f>
        <v>10.078295957879522</v>
      </c>
      <c r="K21" s="14">
        <v>22.6</v>
      </c>
      <c r="L21" s="14">
        <f>Painel!R21*IPC!G$3</f>
        <v>0</v>
      </c>
      <c r="M21" s="14">
        <f>Painel!U21*IPC!J$3</f>
        <v>12.345912548402415</v>
      </c>
      <c r="N21" s="14">
        <v>24.1</v>
      </c>
      <c r="O21" s="14">
        <f>Painel_Cte!W21</f>
        <v>11.037050000000001</v>
      </c>
      <c r="P21" s="14">
        <f>Painel_Cte!Z21</f>
        <v>13.353742144190367</v>
      </c>
      <c r="Q21" s="6">
        <v>42.9</v>
      </c>
      <c r="R21" s="6">
        <f>Painel!AB21*IPC!G$3</f>
        <v>47.861600000000003</v>
      </c>
      <c r="S21" s="6">
        <f>Painel!AE21*IPC!J$3</f>
        <v>39.809269033624112</v>
      </c>
      <c r="T21" s="6">
        <v>12</v>
      </c>
      <c r="U21" s="6">
        <f>Painel!AG21*IPC!G$3</f>
        <v>8.2520000000000007</v>
      </c>
      <c r="V21" s="6">
        <f>Painel!AJ21*IPC!J$3</f>
        <v>0</v>
      </c>
      <c r="W21" s="6">
        <v>25.6</v>
      </c>
      <c r="X21" s="6">
        <f>Painel!AL21*IPC!G$3</f>
        <v>0</v>
      </c>
      <c r="Y21" s="6">
        <f>Painel!AO21*IPC!J$3</f>
        <v>9.4484024605120513</v>
      </c>
      <c r="Z21" s="6">
        <v>14.9</v>
      </c>
      <c r="AA21" s="14">
        <v>12</v>
      </c>
      <c r="AB21" s="6">
        <v>0</v>
      </c>
      <c r="AC21" s="6">
        <v>69.599999999999994</v>
      </c>
      <c r="AD21" s="6">
        <f>Painel!AV21*IPC!G$3</f>
        <v>49.202550000000009</v>
      </c>
      <c r="AE21" s="6">
        <f>Painel!AY21*IPC!J$3</f>
        <v>67.398604218319306</v>
      </c>
      <c r="AF21" s="6">
        <v>25.9</v>
      </c>
      <c r="AG21" s="6">
        <f>Painel!BA21*IPC!G$3</f>
        <v>17.43235</v>
      </c>
      <c r="AH21" s="6">
        <f>Painel!BD21*IPC!J$3</f>
        <v>12.345912548402415</v>
      </c>
      <c r="AI21" s="6">
        <v>10.7</v>
      </c>
      <c r="AJ21" s="6">
        <f>Painel!BF21*IPC!G$3</f>
        <v>11.346500000000001</v>
      </c>
      <c r="AK21" s="6">
        <f>Painel!BI21*IPC!J$3</f>
        <v>11.464061652087956</v>
      </c>
      <c r="AL21" s="6">
        <v>38</v>
      </c>
      <c r="AM21" s="6">
        <f>Painel!BK21*IPC!G$3</f>
        <v>0</v>
      </c>
      <c r="AN21" s="6">
        <f>Painel!BN21*IPC!J$3</f>
        <v>14.487550439451812</v>
      </c>
      <c r="AO21" s="6">
        <v>5</v>
      </c>
      <c r="AP21" s="6">
        <f>Painel!BP21*IPC!G$3</f>
        <v>4.4354500000000003</v>
      </c>
      <c r="AQ21" s="6">
        <f>Painel!BS21*IPC!J$3</f>
        <v>10.078295957879522</v>
      </c>
      <c r="AR21" s="6">
        <v>23.3</v>
      </c>
      <c r="AS21" s="6">
        <f>Painel!BU21*IPC!G$3</f>
        <v>20.114250000000002</v>
      </c>
      <c r="AT21" s="6">
        <f>Painel!BX21*IPC!J$3</f>
        <v>19.022783620497599</v>
      </c>
      <c r="AU21" s="6">
        <v>45.9</v>
      </c>
      <c r="AV21" s="6">
        <f>Painel!BZ21*IPC!G$3</f>
        <v>46.830100000000002</v>
      </c>
      <c r="AW21" s="6">
        <f>Painel!CC21*IPC!J$3</f>
        <v>37.163716344680736</v>
      </c>
      <c r="AX21" s="6">
        <v>8.4</v>
      </c>
      <c r="AY21" s="6">
        <f>Painel!CE21*IPC!G$3</f>
        <v>8.4582999999999995</v>
      </c>
      <c r="AZ21" s="6">
        <f>Painel!CH21*IPC!J$3</f>
        <v>9.322423761038559</v>
      </c>
      <c r="BA21" s="6">
        <v>47.8</v>
      </c>
      <c r="BB21" s="6">
        <f>Painel!CJ21*IPC!G$3</f>
        <v>26.303250000000002</v>
      </c>
      <c r="BC21" s="6">
        <f>Painel!CM21*IPC!J$3</f>
        <v>30.234887873638566</v>
      </c>
      <c r="BD21" s="6">
        <v>21.5</v>
      </c>
      <c r="BE21" s="6">
        <f>Painel!CO21*IPC!G$3</f>
        <v>0</v>
      </c>
      <c r="BF21" s="6">
        <f>Painel!CR21*IPC!J$3</f>
        <v>22.424208506281939</v>
      </c>
    </row>
    <row r="22" spans="1:71" x14ac:dyDescent="0.3">
      <c r="A22" t="s">
        <v>62</v>
      </c>
      <c r="B22" s="6">
        <v>386</v>
      </c>
      <c r="C22" s="6">
        <f>Painel!C22*IPC!G$3</f>
        <v>119.43684210526318</v>
      </c>
      <c r="D22" s="6">
        <f>Painel!F22*IPC!J$3</f>
        <v>0</v>
      </c>
      <c r="E22" s="6">
        <v>1645</v>
      </c>
      <c r="F22" s="6">
        <f>Painel!H22*IPC!G$3</f>
        <v>1036.9289473684212</v>
      </c>
      <c r="G22" s="6">
        <f>Painel!K22*IPC!J$3</f>
        <v>324.89243548427407</v>
      </c>
      <c r="H22" s="6">
        <v>977</v>
      </c>
      <c r="I22" s="6">
        <f>Painel!M22*IPC!G$3</f>
        <v>553.75263157894744</v>
      </c>
      <c r="J22" s="6">
        <f>Painel!P22*IPC!J$3</f>
        <v>530.43662936208011</v>
      </c>
      <c r="K22" s="6">
        <v>1189</v>
      </c>
      <c r="L22" s="6">
        <f>Painel!R22*IPC!G$3</f>
        <v>0</v>
      </c>
      <c r="M22" s="6">
        <f>Painel!U22*IPC!J$3</f>
        <v>649.78487096854815</v>
      </c>
      <c r="N22" s="6">
        <v>1271</v>
      </c>
      <c r="O22" s="6">
        <f>(O21/19)*1000</f>
        <v>580.89736842105265</v>
      </c>
      <c r="P22" s="6">
        <f>(P21/19)*1000</f>
        <v>702.82853390475623</v>
      </c>
      <c r="Q22" s="6">
        <v>2384</v>
      </c>
      <c r="R22" s="6">
        <f>Painel!AB22*IPC!G$3</f>
        <v>2519.0315789473684</v>
      </c>
      <c r="S22" s="6">
        <f>Painel!AE22*IPC!J$3</f>
        <v>2095.2246859802162</v>
      </c>
      <c r="T22" s="6">
        <v>704</v>
      </c>
      <c r="U22" s="6">
        <f>Painel!AG22*IPC!G$3</f>
        <v>434.31578947368422</v>
      </c>
      <c r="V22" s="6">
        <f>Painel!AJ22*IPC!J$3</f>
        <v>0</v>
      </c>
      <c r="W22" s="6">
        <v>1436</v>
      </c>
      <c r="X22" s="6">
        <f>Painel!AL22*IPC!G$3</f>
        <v>0</v>
      </c>
      <c r="Y22" s="6">
        <f>Painel!AO22*IPC!J$3</f>
        <v>497.28434002695013</v>
      </c>
      <c r="Z22" s="6">
        <v>782</v>
      </c>
      <c r="AA22" s="6">
        <f>(AA21/19)*1000</f>
        <v>631.57894736842104</v>
      </c>
      <c r="AB22" s="6">
        <v>0</v>
      </c>
      <c r="AC22" s="6">
        <v>3661</v>
      </c>
      <c r="AD22" s="6">
        <f>Painel!AV22*IPC!G$3</f>
        <v>2589.6078947368424</v>
      </c>
      <c r="AE22" s="6">
        <f>Painel!AY22*IPC!J$3</f>
        <v>3547.2949588589108</v>
      </c>
      <c r="AF22" s="6">
        <v>1363</v>
      </c>
      <c r="AG22" s="6">
        <f>Painel!BA22*IPC!G$3</f>
        <v>917.4921052631579</v>
      </c>
      <c r="AH22" s="6">
        <f>Painel!BD22*IPC!J$3</f>
        <v>649.78487096854815</v>
      </c>
      <c r="AI22" s="6">
        <v>564</v>
      </c>
      <c r="AJ22" s="6">
        <f>Painel!BF22*IPC!G$3</f>
        <v>597.18421052631584</v>
      </c>
      <c r="AK22" s="6">
        <f>Painel!BI22*IPC!J$3</f>
        <v>603.37166589936612</v>
      </c>
      <c r="AL22" s="6">
        <v>2001</v>
      </c>
      <c r="AM22" s="6">
        <f>Painel!BK22*IPC!G$3</f>
        <v>0</v>
      </c>
      <c r="AN22" s="6">
        <f>Painel!BN22*IPC!J$3</f>
        <v>762.50265470799025</v>
      </c>
      <c r="AO22" s="6">
        <v>266</v>
      </c>
      <c r="AP22" s="6">
        <f>Painel!BP22*IPC!G$3</f>
        <v>233.44473684210527</v>
      </c>
      <c r="AQ22" s="6">
        <f>Painel!BS22*IPC!J$3</f>
        <v>530.43662936208011</v>
      </c>
      <c r="AR22" s="6">
        <v>1226</v>
      </c>
      <c r="AS22" s="6">
        <f>Painel!BU22*IPC!G$3</f>
        <v>1058.6447368421054</v>
      </c>
      <c r="AT22" s="6">
        <f>Painel!BX22*IPC!J$3</f>
        <v>1001.1991379209263</v>
      </c>
      <c r="AU22" s="6">
        <v>2416</v>
      </c>
      <c r="AV22" s="6">
        <f>Painel!BZ22*IPC!G$3</f>
        <v>2464.742105263158</v>
      </c>
      <c r="AW22" s="6">
        <f>Painel!CC22*IPC!J$3</f>
        <v>1955.9850707726703</v>
      </c>
      <c r="AX22" s="6">
        <v>558</v>
      </c>
      <c r="AY22" s="6">
        <f>Painel!CE22*IPC!G$3</f>
        <v>445.17368421052629</v>
      </c>
      <c r="AZ22" s="6">
        <f>Painel!CH22*IPC!J$3</f>
        <v>490.65388215992414</v>
      </c>
      <c r="BA22" s="6">
        <v>2515</v>
      </c>
      <c r="BB22" s="6">
        <f>Painel!CJ22*IPC!G$3</f>
        <v>1384.3815789473686</v>
      </c>
      <c r="BC22" s="6">
        <f>Painel!CM22*IPC!J$3</f>
        <v>1591.3098880862403</v>
      </c>
      <c r="BD22" s="6">
        <v>1435</v>
      </c>
      <c r="BE22" s="6">
        <f>Painel!CO22*IPC!G$3</f>
        <v>0</v>
      </c>
      <c r="BF22" s="6">
        <f>Painel!CR22*IPC!J$3</f>
        <v>1180.2215003306283</v>
      </c>
    </row>
    <row r="23" spans="1:71" x14ac:dyDescent="0.3">
      <c r="A23" t="s">
        <v>63</v>
      </c>
      <c r="B23" s="6">
        <v>4910</v>
      </c>
      <c r="C23" s="6">
        <f>Painel!C23</f>
        <v>2548</v>
      </c>
      <c r="D23" s="6">
        <f>Painel!F23</f>
        <v>0</v>
      </c>
      <c r="E23" s="6">
        <v>27989</v>
      </c>
      <c r="F23" s="6">
        <f>Painel!H23</f>
        <v>25578</v>
      </c>
      <c r="G23" s="6">
        <f>Painel!K23</f>
        <v>15526</v>
      </c>
      <c r="H23" s="6">
        <v>22283</v>
      </c>
      <c r="I23" s="6">
        <f>Painel!M23</f>
        <v>18685</v>
      </c>
      <c r="J23" s="6">
        <f>Painel!P23</f>
        <v>15115</v>
      </c>
      <c r="K23" s="6">
        <v>36461</v>
      </c>
      <c r="L23" s="6">
        <f>Painel!R23</f>
        <v>0</v>
      </c>
      <c r="M23" s="6">
        <f>Painel!U23</f>
        <v>26339</v>
      </c>
      <c r="N23" s="6">
        <v>26691</v>
      </c>
      <c r="O23" s="6">
        <f>Painel!W23</f>
        <v>0</v>
      </c>
      <c r="P23" s="6">
        <f>Painel!Z23</f>
        <v>16032</v>
      </c>
      <c r="Q23" s="6">
        <v>38433</v>
      </c>
      <c r="R23" s="6">
        <f>Painel!AB23</f>
        <v>38770</v>
      </c>
      <c r="S23" s="6">
        <f>Painel!AE23</f>
        <v>32869</v>
      </c>
      <c r="T23" s="6">
        <v>21466</v>
      </c>
      <c r="U23" s="6">
        <f>Painel!AG23</f>
        <v>20608</v>
      </c>
      <c r="V23" s="6">
        <f>Painel!AJ23</f>
        <v>0</v>
      </c>
      <c r="W23" s="6">
        <v>29307</v>
      </c>
      <c r="X23" s="6">
        <f>Painel!AL23</f>
        <v>0</v>
      </c>
      <c r="Y23" s="6">
        <f>Painel!AO23</f>
        <v>22439</v>
      </c>
      <c r="Z23" s="6">
        <v>14701</v>
      </c>
      <c r="AA23" s="6">
        <f>Painel!AQ23</f>
        <v>12715</v>
      </c>
      <c r="AB23" s="6">
        <f>Painel!AT23</f>
        <v>0</v>
      </c>
      <c r="AC23" s="6">
        <v>54499</v>
      </c>
      <c r="AD23" s="6">
        <f>Painel!AV23</f>
        <v>51757</v>
      </c>
      <c r="AE23" s="6">
        <f>Painel!AY23</f>
        <v>55025</v>
      </c>
      <c r="AF23" s="6">
        <v>29783</v>
      </c>
      <c r="AG23" s="6">
        <f>Painel!BA23</f>
        <v>28262</v>
      </c>
      <c r="AH23" s="6">
        <f>Painel!BD23</f>
        <v>20209</v>
      </c>
      <c r="AI23" s="6">
        <v>32787</v>
      </c>
      <c r="AJ23" s="6">
        <f>Painel!BF23</f>
        <v>32961</v>
      </c>
      <c r="AK23" s="6">
        <f>Painel!BI23</f>
        <v>33000</v>
      </c>
      <c r="AL23" s="6">
        <v>31385</v>
      </c>
      <c r="AM23" s="6">
        <f>Painel!BK23</f>
        <v>0</v>
      </c>
      <c r="AN23" s="6">
        <f>Painel!BN23</f>
        <v>16648</v>
      </c>
      <c r="AO23" s="6">
        <v>7698</v>
      </c>
      <c r="AP23" s="6">
        <f>Painel!BP23</f>
        <v>8845</v>
      </c>
      <c r="AQ23" s="6">
        <f>Painel!BS23</f>
        <v>13506</v>
      </c>
      <c r="AR23" s="6">
        <v>27325</v>
      </c>
      <c r="AS23" s="6">
        <f>Painel!BU23</f>
        <v>22902</v>
      </c>
      <c r="AT23" s="6">
        <f>Painel!BX23</f>
        <v>19824</v>
      </c>
      <c r="AU23" s="6">
        <v>33167</v>
      </c>
      <c r="AV23" s="6">
        <f>Painel!BZ23</f>
        <v>35943</v>
      </c>
      <c r="AW23" s="6">
        <f>Painel!CC23</f>
        <v>27962</v>
      </c>
      <c r="AX23" s="6">
        <v>12147</v>
      </c>
      <c r="AY23" s="6">
        <f>Painel!CE23</f>
        <v>11845</v>
      </c>
      <c r="AZ23" s="6">
        <f>Painel!CH23</f>
        <v>10307</v>
      </c>
      <c r="BA23" s="6">
        <v>43780</v>
      </c>
      <c r="BB23" s="6">
        <f>Painel!CJ23</f>
        <v>30132</v>
      </c>
      <c r="BC23" s="6">
        <f>Painel!CM23</f>
        <v>29432</v>
      </c>
      <c r="BD23" s="6">
        <v>26347</v>
      </c>
      <c r="BE23" s="6">
        <f>Painel!CO23</f>
        <v>0</v>
      </c>
      <c r="BF23" s="6">
        <f>Painel!CR23</f>
        <v>20449</v>
      </c>
    </row>
    <row r="24" spans="1:71" x14ac:dyDescent="0.3">
      <c r="A24" t="s">
        <v>80</v>
      </c>
      <c r="B24" s="14">
        <f t="shared" ref="B24:AB24" si="16">B11/B18</f>
        <v>188</v>
      </c>
      <c r="C24" s="14">
        <f t="shared" si="16"/>
        <v>148.536</v>
      </c>
      <c r="D24" s="14">
        <f t="shared" si="16"/>
        <v>39.053396836783151</v>
      </c>
      <c r="E24" s="14">
        <f t="shared" si="16"/>
        <v>35.368421052631582</v>
      </c>
      <c r="F24" s="14">
        <f t="shared" si="16"/>
        <v>41.802894736842113</v>
      </c>
      <c r="G24" s="14">
        <f t="shared" si="16"/>
        <v>37.52839152736717</v>
      </c>
      <c r="H24" s="14">
        <f t="shared" si="16"/>
        <v>155.57575757575756</v>
      </c>
      <c r="I24" s="14">
        <f t="shared" si="16"/>
        <v>109.08893939393941</v>
      </c>
      <c r="J24" s="14">
        <f t="shared" si="16"/>
        <v>144.68462757713405</v>
      </c>
      <c r="K24" s="14">
        <f t="shared" si="16"/>
        <v>0</v>
      </c>
      <c r="L24" s="14">
        <f t="shared" si="16"/>
        <v>13.056962025316455</v>
      </c>
      <c r="M24" s="14">
        <f t="shared" si="16"/>
        <v>27.747207225807546</v>
      </c>
      <c r="N24" s="14">
        <f t="shared" si="16"/>
        <v>0</v>
      </c>
      <c r="O24" s="14">
        <f t="shared" si="16"/>
        <v>0</v>
      </c>
      <c r="P24" s="14">
        <f t="shared" si="16"/>
        <v>0</v>
      </c>
      <c r="Q24" s="14">
        <f t="shared" si="16"/>
        <v>26.858974358974361</v>
      </c>
      <c r="R24" s="14">
        <f t="shared" si="16"/>
        <v>21.55570512820513</v>
      </c>
      <c r="S24" s="14">
        <f t="shared" si="16"/>
        <v>14.939781668331023</v>
      </c>
      <c r="T24" s="14">
        <f t="shared" si="16"/>
        <v>48.515151515151516</v>
      </c>
      <c r="U24" s="14">
        <f t="shared" si="16"/>
        <v>48.761818181818192</v>
      </c>
      <c r="V24" s="14">
        <f t="shared" si="16"/>
        <v>14.506638121190223</v>
      </c>
      <c r="W24" s="14">
        <f t="shared" si="16"/>
        <v>0</v>
      </c>
      <c r="X24" s="14">
        <f t="shared" si="16"/>
        <v>11.238731343283582</v>
      </c>
      <c r="Y24" s="14">
        <f t="shared" si="16"/>
        <v>26.417921307501359</v>
      </c>
      <c r="Z24" s="14">
        <f t="shared" si="16"/>
        <v>790</v>
      </c>
      <c r="AA24" s="14">
        <f t="shared" si="16"/>
        <v>639.53</v>
      </c>
      <c r="AB24" s="14">
        <f t="shared" si="16"/>
        <v>132.27763444716871</v>
      </c>
      <c r="AC24" s="14">
        <f>AC11/AC18</f>
        <v>27.359667359667359</v>
      </c>
      <c r="AD24" s="14">
        <f t="shared" ref="AD24:BF24" si="17">AD11/AD18</f>
        <v>23.846735966735967</v>
      </c>
      <c r="AE24" s="14">
        <f t="shared" si="17"/>
        <v>23.938571999745015</v>
      </c>
      <c r="AF24" s="14">
        <f t="shared" si="17"/>
        <v>0</v>
      </c>
      <c r="AG24" s="14">
        <f t="shared" si="17"/>
        <v>45.248466666666673</v>
      </c>
      <c r="AH24" s="14">
        <f t="shared" si="17"/>
        <v>41.992899824498004</v>
      </c>
      <c r="AI24" s="14">
        <f t="shared" si="17"/>
        <v>0</v>
      </c>
      <c r="AJ24" s="14">
        <f t="shared" si="17"/>
        <v>96.405576923076922</v>
      </c>
      <c r="AK24" s="14">
        <f t="shared" si="17"/>
        <v>52.814147086964802</v>
      </c>
      <c r="AL24" s="14">
        <f>AL11/AL18</f>
        <v>41.980198019801982</v>
      </c>
      <c r="AM24" s="14">
        <f t="shared" ref="AM24:AN24" si="18">AM11/AM18</f>
        <v>29.413069306930694</v>
      </c>
      <c r="AN24" s="14">
        <f t="shared" si="18"/>
        <v>50.890405331866894</v>
      </c>
      <c r="AO24" s="14">
        <f t="shared" si="17"/>
        <v>225</v>
      </c>
      <c r="AP24" s="14">
        <f t="shared" si="17"/>
        <v>250.13875000000002</v>
      </c>
      <c r="AQ24" s="14">
        <f t="shared" si="17"/>
        <v>286.60154130219888</v>
      </c>
      <c r="AR24" s="14">
        <f t="shared" si="17"/>
        <v>48.571428571428569</v>
      </c>
      <c r="AS24" s="14">
        <f t="shared" si="17"/>
        <v>48.493896103896105</v>
      </c>
      <c r="AT24" s="14">
        <f t="shared" si="17"/>
        <v>63.80739323982165</v>
      </c>
      <c r="AU24" s="14">
        <f>AU11/AU18</f>
        <v>49.64497041420119</v>
      </c>
      <c r="AV24" s="14">
        <f t="shared" ref="AV24:AW24" si="19">AV11/AV18</f>
        <v>48.27908284023669</v>
      </c>
      <c r="AW24" s="14">
        <f t="shared" si="19"/>
        <v>44.577078275236353</v>
      </c>
      <c r="AX24" s="14">
        <f>AX11/AX18</f>
        <v>0</v>
      </c>
      <c r="AY24" s="14">
        <f t="shared" ref="AY24:AZ24" si="20">AY11/AY18</f>
        <v>51.87838235294118</v>
      </c>
      <c r="AZ24" s="14">
        <f t="shared" si="20"/>
        <v>74.105117337349427</v>
      </c>
      <c r="BA24" s="14">
        <f>BA11/BA18</f>
        <v>30.688073394495412</v>
      </c>
      <c r="BB24" s="14">
        <f t="shared" ref="BB24:BD24" si="21">BB11/BB18</f>
        <v>27.82211009174312</v>
      </c>
      <c r="BC24" s="14">
        <f t="shared" si="21"/>
        <v>18.839016526770205</v>
      </c>
      <c r="BD24" s="14">
        <f t="shared" si="21"/>
        <v>25.367647058823529</v>
      </c>
      <c r="BE24" s="14">
        <f t="shared" si="17"/>
        <v>8.7980882352941183</v>
      </c>
      <c r="BF24" s="14">
        <f t="shared" si="17"/>
        <v>22.231535201204828</v>
      </c>
    </row>
    <row r="25" spans="1:71" x14ac:dyDescent="0.3">
      <c r="A25" t="s">
        <v>86</v>
      </c>
      <c r="B25" s="14">
        <f t="shared" ref="B25:D25" si="22">B10/B16</f>
        <v>5.166666666666667</v>
      </c>
      <c r="C25" s="14">
        <f t="shared" si="22"/>
        <v>2</v>
      </c>
      <c r="D25" s="14">
        <f t="shared" si="22"/>
        <v>3.8181818181818179</v>
      </c>
      <c r="E25" s="14">
        <f t="shared" ref="E25:G25" si="23">E10/E16</f>
        <v>4.625</v>
      </c>
      <c r="F25" s="14">
        <f t="shared" si="23"/>
        <v>4.8888888888888893</v>
      </c>
      <c r="G25" s="14">
        <f t="shared" si="23"/>
        <v>7.5714285714285703</v>
      </c>
      <c r="H25" s="14">
        <f t="shared" ref="H25:J25" si="24">H10/H16</f>
        <v>17.214285714285715</v>
      </c>
      <c r="I25" s="14">
        <f t="shared" si="24"/>
        <v>7.2142857142857153</v>
      </c>
      <c r="J25" s="14">
        <f t="shared" si="24"/>
        <v>6.045454545454545</v>
      </c>
      <c r="K25" s="14"/>
      <c r="L25" s="14">
        <f t="shared" ref="L25:M25" si="25">L10/L16</f>
        <v>1.6153846153846152</v>
      </c>
      <c r="M25" s="14">
        <f t="shared" si="25"/>
        <v>3.214285714285714</v>
      </c>
      <c r="N25" s="14"/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f t="shared" ref="T25:V25" si="26">T10/T16</f>
        <v>3.1666666666666665</v>
      </c>
      <c r="U25" s="14">
        <f t="shared" si="26"/>
        <v>3.3009708737864076</v>
      </c>
      <c r="V25" s="14">
        <f t="shared" si="26"/>
        <v>0.18354430379746836</v>
      </c>
      <c r="W25" s="14"/>
      <c r="X25" s="14">
        <v>0</v>
      </c>
      <c r="Y25" s="14">
        <f t="shared" ref="Y25" si="27">Y10/Y16</f>
        <v>5.6842105263157885</v>
      </c>
      <c r="Z25" s="14">
        <v>0</v>
      </c>
      <c r="AA25" s="14">
        <v>0</v>
      </c>
      <c r="AB25" s="14">
        <v>0</v>
      </c>
      <c r="AC25" s="14">
        <f>AC10/AC16</f>
        <v>18.9375</v>
      </c>
      <c r="AD25" s="14">
        <f t="shared" ref="AD25:AE25" si="28">AD10/AD16</f>
        <v>4.75</v>
      </c>
      <c r="AE25" s="14">
        <f t="shared" si="28"/>
        <v>9.375</v>
      </c>
      <c r="AF25" s="14"/>
      <c r="AG25" s="14">
        <f t="shared" ref="AG25:AH25" si="29">AG10/AG16</f>
        <v>4.7</v>
      </c>
      <c r="AH25" s="14">
        <f t="shared" si="29"/>
        <v>6.5625</v>
      </c>
      <c r="AI25" s="14"/>
      <c r="AJ25" s="14">
        <f t="shared" ref="AJ25:AK25" si="30">AJ10/AJ16</f>
        <v>5</v>
      </c>
      <c r="AK25" s="14">
        <f t="shared" si="30"/>
        <v>4.0625</v>
      </c>
      <c r="AL25" s="14">
        <f>AL10/AL16</f>
        <v>1.9230769230769231</v>
      </c>
      <c r="AM25" s="14">
        <f t="shared" ref="AM25:AO25" si="31">AM10/AM16</f>
        <v>4.08</v>
      </c>
      <c r="AN25" s="14">
        <f t="shared" si="31"/>
        <v>4.695652173913043</v>
      </c>
      <c r="AO25" s="14">
        <f t="shared" si="31"/>
        <v>0.9</v>
      </c>
      <c r="AP25" s="14">
        <f t="shared" ref="AP25:AR25" si="32">AP10/AP16</f>
        <v>0.65217391304347827</v>
      </c>
      <c r="AQ25" s="14">
        <f t="shared" si="32"/>
        <v>0.17460317460317462</v>
      </c>
      <c r="AR25" s="14">
        <f t="shared" si="32"/>
        <v>4.0526315789473681</v>
      </c>
      <c r="AS25" s="14">
        <f t="shared" ref="AS25:AT25" si="33">AS10/AS16</f>
        <v>7.8636363636363633</v>
      </c>
      <c r="AT25" s="14">
        <f t="shared" si="33"/>
        <v>6.2962962962962967</v>
      </c>
      <c r="AU25" s="14">
        <f>AU10/AU16</f>
        <v>6.4482758620689653</v>
      </c>
      <c r="AV25" s="14">
        <f t="shared" ref="AV25:AW25" si="34">AV10/AV16</f>
        <v>5.8</v>
      </c>
      <c r="AW25" s="14">
        <f t="shared" si="34"/>
        <v>4.1538461538461533</v>
      </c>
      <c r="AX25" s="14">
        <v>0</v>
      </c>
      <c r="AY25" s="14">
        <f t="shared" ref="AY25:AZ25" si="35">AY10/AY16</f>
        <v>14.7</v>
      </c>
      <c r="AZ25" s="14">
        <f t="shared" si="35"/>
        <v>24</v>
      </c>
      <c r="BA25" s="14">
        <f t="shared" ref="BA25:BD25" si="36">BA10/BA16</f>
        <v>3.5588235294117645</v>
      </c>
      <c r="BB25" s="14">
        <f t="shared" si="36"/>
        <v>14.3125</v>
      </c>
      <c r="BC25" s="14">
        <f t="shared" si="36"/>
        <v>2.6250000000000004</v>
      </c>
      <c r="BD25" s="14">
        <v>0</v>
      </c>
      <c r="BE25" s="14">
        <f t="shared" ref="BE25:BF25" si="37">BE10/BE16</f>
        <v>3.0459770114942533</v>
      </c>
      <c r="BF25" s="14">
        <f t="shared" si="37"/>
        <v>1.0769230769230771</v>
      </c>
    </row>
    <row r="26" spans="1:71" x14ac:dyDescent="0.3">
      <c r="A26" t="s">
        <v>134</v>
      </c>
      <c r="B26" s="14">
        <f t="shared" ref="B26:C26" si="38">B10/B19</f>
        <v>2.5833333333333335</v>
      </c>
      <c r="C26" s="14">
        <f t="shared" si="38"/>
        <v>0.19462264150943398</v>
      </c>
      <c r="D26" s="14">
        <v>0</v>
      </c>
      <c r="E26" s="14">
        <f t="shared" ref="E26:G26" si="39">E10/E19</f>
        <v>1.6818181818181819</v>
      </c>
      <c r="F26" s="14">
        <f t="shared" si="39"/>
        <v>1.5650344827586209</v>
      </c>
      <c r="G26" s="14">
        <f t="shared" si="39"/>
        <v>2.7820296133729929</v>
      </c>
      <c r="H26" s="14">
        <v>0</v>
      </c>
      <c r="I26" s="14">
        <f t="shared" ref="I26:J26" si="40">I10/I19</f>
        <v>1.7962327586206899</v>
      </c>
      <c r="J26" s="14">
        <f t="shared" si="40"/>
        <v>2.6179948484335478</v>
      </c>
      <c r="K26" s="14">
        <v>0</v>
      </c>
      <c r="L26" s="14">
        <v>0</v>
      </c>
      <c r="M26" s="14">
        <f t="shared" ref="M26" si="41">M10/M19</f>
        <v>1.1569472400627003</v>
      </c>
      <c r="N26" s="14">
        <v>0</v>
      </c>
      <c r="O26" s="14">
        <f t="shared" ref="O26:P26" si="42">O10/O19</f>
        <v>0</v>
      </c>
      <c r="P26" s="14">
        <f t="shared" si="42"/>
        <v>0</v>
      </c>
      <c r="Q26" s="14">
        <f t="shared" ref="Q26:S26" si="43">Q10/Q19</f>
        <v>5.0199999999999996</v>
      </c>
      <c r="R26" s="14">
        <f t="shared" si="43"/>
        <v>2.3169076923076926</v>
      </c>
      <c r="S26" s="14">
        <f t="shared" si="43"/>
        <v>0.76487067537478526</v>
      </c>
      <c r="T26" s="14">
        <f t="shared" ref="T26:U26" si="44">T10/T19</f>
        <v>0.5066666666666666</v>
      </c>
      <c r="U26" s="14">
        <f t="shared" si="44"/>
        <v>0.83502380952380961</v>
      </c>
      <c r="V26" s="14">
        <v>0</v>
      </c>
      <c r="W26" s="14">
        <v>0</v>
      </c>
      <c r="X26" s="14">
        <v>0</v>
      </c>
      <c r="Y26" s="14">
        <f t="shared" ref="Y26" si="45">Y10/Y19</f>
        <v>3.7793609842048204</v>
      </c>
      <c r="Z26" s="14">
        <f>Z10/Z19</f>
        <v>0</v>
      </c>
      <c r="AA26" s="14">
        <v>0</v>
      </c>
      <c r="AB26" s="14">
        <v>0</v>
      </c>
      <c r="AC26" s="14">
        <f>AC10/AC19</f>
        <v>4.5909090909090908</v>
      </c>
      <c r="AD26" s="14">
        <f t="shared" ref="AD26:AE26" si="46">AD10/AD19</f>
        <v>2.212733870967742</v>
      </c>
      <c r="AE26" s="14">
        <f t="shared" si="46"/>
        <v>4.1992899824498009</v>
      </c>
      <c r="AF26" s="14">
        <v>0</v>
      </c>
      <c r="AG26" s="14">
        <f t="shared" ref="AG26:AH26" si="47">AG10/AG19</f>
        <v>1.385157142857143</v>
      </c>
      <c r="AH26" s="14">
        <f t="shared" si="47"/>
        <v>2.8756007488514941</v>
      </c>
      <c r="AI26" s="14">
        <v>0</v>
      </c>
      <c r="AJ26" s="14">
        <f t="shared" ref="AJ26:AK26" si="48">AJ10/AJ19</f>
        <v>0.37509090909090914</v>
      </c>
      <c r="AK26" s="14">
        <f t="shared" si="48"/>
        <v>0.15450217859956814</v>
      </c>
      <c r="AL26" s="14">
        <f>AL10/AL19</f>
        <v>0.73529411764705888</v>
      </c>
      <c r="AM26" s="14">
        <v>0</v>
      </c>
      <c r="AN26" s="14">
        <f t="shared" ref="AN26:AO26" si="49">AN10/AN19</f>
        <v>2.0931845450980546</v>
      </c>
      <c r="AO26" s="14">
        <f t="shared" si="49"/>
        <v>0.11842105263157894</v>
      </c>
      <c r="AP26" s="14">
        <f t="shared" ref="AP26:AR26" si="50">AP10/AP19</f>
        <v>6.7271739130434785E-2</v>
      </c>
      <c r="AQ26" s="14">
        <f t="shared" si="50"/>
        <v>2.6649340273239123E-2</v>
      </c>
      <c r="AR26" s="14">
        <f t="shared" si="50"/>
        <v>1.4</v>
      </c>
      <c r="AS26" s="14">
        <f t="shared" ref="AS26:AT26" si="51">AS10/AS19</f>
        <v>2.444513698630137</v>
      </c>
      <c r="AT26" s="14">
        <f t="shared" si="51"/>
        <v>3.0058075663851209</v>
      </c>
      <c r="AU26" s="14">
        <f>AU10/AU19</f>
        <v>2.6714285714285713</v>
      </c>
      <c r="AV26" s="14">
        <f t="shared" ref="AV26:AW26" si="52">AV10/AV19</f>
        <v>2.2158148148148151</v>
      </c>
      <c r="AW26" s="14">
        <f t="shared" si="52"/>
        <v>1.8386080463699126</v>
      </c>
      <c r="AX26" s="14">
        <f>AX10/AX19</f>
        <v>0</v>
      </c>
      <c r="AY26" s="14">
        <f t="shared" ref="AY26:AZ26" si="53">AY10/AY19</f>
        <v>3.2261808510638299</v>
      </c>
      <c r="AZ26" s="14">
        <f t="shared" si="53"/>
        <v>3.6772160927398252</v>
      </c>
      <c r="BA26" s="14">
        <f>BA10/BA19</f>
        <v>2.2830188679245285</v>
      </c>
      <c r="BB26" s="14">
        <f t="shared" ref="BB26:BC26" si="54">BB10/BB19</f>
        <v>4.3743240740740745</v>
      </c>
      <c r="BC26" s="14">
        <f t="shared" si="54"/>
        <v>2.0996449912249004</v>
      </c>
      <c r="BD26" s="14">
        <v>0</v>
      </c>
      <c r="BE26" s="14">
        <v>0</v>
      </c>
      <c r="BF26" s="14">
        <f t="shared" ref="BF26" si="55">BF10/BF19</f>
        <v>0.35993914135284011</v>
      </c>
    </row>
    <row r="27" spans="1:71" x14ac:dyDescent="0.3">
      <c r="A27" t="s">
        <v>82</v>
      </c>
      <c r="B27" s="14">
        <f t="shared" ref="B27" si="56">B7/B12</f>
        <v>0</v>
      </c>
      <c r="C27" s="14">
        <f t="shared" ref="C27:D27" si="57">C7/C12</f>
        <v>0</v>
      </c>
      <c r="D27" s="14">
        <f t="shared" si="57"/>
        <v>0</v>
      </c>
      <c r="E27" s="14">
        <f t="shared" ref="E27:G27" si="58">E7/E12</f>
        <v>0</v>
      </c>
      <c r="F27" s="14">
        <f t="shared" si="58"/>
        <v>0</v>
      </c>
      <c r="G27" s="14">
        <f t="shared" si="58"/>
        <v>0</v>
      </c>
      <c r="H27" s="14">
        <f t="shared" ref="H27:J27" si="59">H7/H12</f>
        <v>0.2781954887218045</v>
      </c>
      <c r="I27" s="14">
        <f t="shared" si="59"/>
        <v>0.45505617977528084</v>
      </c>
      <c r="J27" s="14">
        <f t="shared" si="59"/>
        <v>0.61594202898550721</v>
      </c>
      <c r="K27" s="5"/>
      <c r="L27" s="14">
        <f t="shared" ref="L27:M27" si="60">L7/L12</f>
        <v>0</v>
      </c>
      <c r="M27" s="14">
        <f t="shared" si="60"/>
        <v>0</v>
      </c>
      <c r="N27" s="5"/>
      <c r="O27" s="14">
        <v>0</v>
      </c>
      <c r="P27" s="14">
        <v>0</v>
      </c>
      <c r="Q27" s="14">
        <f t="shared" ref="Q27" si="61">Q7/Q12</f>
        <v>4.5977011494252873E-2</v>
      </c>
      <c r="R27" s="14">
        <f t="shared" ref="R27:S27" si="62">R7/R12</f>
        <v>0</v>
      </c>
      <c r="S27" s="14">
        <f t="shared" si="62"/>
        <v>0</v>
      </c>
      <c r="T27" s="14">
        <f t="shared" ref="T27:V27" si="63">T7/T12</f>
        <v>0</v>
      </c>
      <c r="U27" s="14">
        <f t="shared" si="63"/>
        <v>0</v>
      </c>
      <c r="V27" s="14">
        <f t="shared" si="63"/>
        <v>0</v>
      </c>
      <c r="W27" s="5"/>
      <c r="X27" s="14">
        <f t="shared" ref="X27:Y27" si="64">X7/X12</f>
        <v>0</v>
      </c>
      <c r="Y27" s="14">
        <f t="shared" si="64"/>
        <v>0</v>
      </c>
      <c r="Z27" s="14">
        <v>0</v>
      </c>
      <c r="AA27" s="14">
        <v>0</v>
      </c>
      <c r="AB27" s="14">
        <v>0</v>
      </c>
      <c r="AC27" s="14">
        <f>AC7/AC12</f>
        <v>0.29589632829373652</v>
      </c>
      <c r="AD27" s="14">
        <f t="shared" ref="AD27:AE27" si="65">AD7/AD12</f>
        <v>0.56947608200455579</v>
      </c>
      <c r="AE27" s="14">
        <f t="shared" si="65"/>
        <v>0.53680981595092025</v>
      </c>
      <c r="AF27" s="5"/>
      <c r="AG27" s="14">
        <f t="shared" ref="AG27:AH27" si="66">AG7/AG12</f>
        <v>0</v>
      </c>
      <c r="AH27" s="14">
        <f t="shared" si="66"/>
        <v>0</v>
      </c>
      <c r="AI27" s="5"/>
      <c r="AJ27" s="14">
        <f t="shared" ref="AJ27:AK27" si="67">AJ7/AJ12</f>
        <v>0.42352941176470582</v>
      </c>
      <c r="AK27" s="14">
        <f t="shared" si="67"/>
        <v>0.17391304347826086</v>
      </c>
      <c r="AL27" s="14">
        <f>AL7/AL12</f>
        <v>0</v>
      </c>
      <c r="AM27" s="14">
        <f t="shared" ref="AM27:AO27" si="68">AM7/AM12</f>
        <v>0</v>
      </c>
      <c r="AN27" s="14">
        <f t="shared" si="68"/>
        <v>0</v>
      </c>
      <c r="AO27" s="14">
        <f t="shared" si="68"/>
        <v>0.22</v>
      </c>
      <c r="AP27" s="14">
        <f t="shared" ref="AP27:AR27" si="69">AP7/AP12</f>
        <v>0.2181818181818182</v>
      </c>
      <c r="AQ27" s="14">
        <f t="shared" si="69"/>
        <v>4.878048780487805E-2</v>
      </c>
      <c r="AR27" s="14">
        <f t="shared" si="69"/>
        <v>0.38265306122448978</v>
      </c>
      <c r="AS27" s="14">
        <f t="shared" ref="AS27:AT27" si="70">AS7/AS12</f>
        <v>7.0707070707070704E-2</v>
      </c>
      <c r="AT27" s="14">
        <f t="shared" si="70"/>
        <v>0.37894736842105259</v>
      </c>
      <c r="AU27" s="14">
        <f>AU7/AU12</f>
        <v>0.19753086419753085</v>
      </c>
      <c r="AV27" s="14">
        <f t="shared" ref="AV27:AW27" si="71">AV7/AV12</f>
        <v>0.26027397260273977</v>
      </c>
      <c r="AW27" s="14">
        <f t="shared" si="71"/>
        <v>8.0321285140562249E-2</v>
      </c>
      <c r="AX27" s="14">
        <v>0</v>
      </c>
      <c r="AY27" s="14">
        <f t="shared" ref="AY27:AZ27" si="72">AY7/AY12</f>
        <v>0</v>
      </c>
      <c r="AZ27" s="14">
        <f t="shared" si="72"/>
        <v>0</v>
      </c>
      <c r="BA27" s="14">
        <f t="shared" ref="BA27:BD27" si="73">BA7/BA12</f>
        <v>0</v>
      </c>
      <c r="BB27" s="14">
        <f t="shared" si="73"/>
        <v>0.14646464646464646</v>
      </c>
      <c r="BC27" s="14">
        <f t="shared" si="73"/>
        <v>0.16363636363636364</v>
      </c>
      <c r="BD27" s="18">
        <f t="shared" si="73"/>
        <v>0.125</v>
      </c>
      <c r="BE27" s="18">
        <f t="shared" ref="BE27:BF27" si="74">BE7/BE12</f>
        <v>2.9850746268656719E-2</v>
      </c>
      <c r="BF27" s="14">
        <f t="shared" si="74"/>
        <v>0.24719101123595505</v>
      </c>
    </row>
    <row r="28" spans="1:71" x14ac:dyDescent="0.3">
      <c r="A28" t="s">
        <v>135</v>
      </c>
      <c r="B28" s="14">
        <f t="shared" ref="B28:C28" si="75">B12/B19</f>
        <v>3.8333333333333335</v>
      </c>
      <c r="C28" s="14">
        <f t="shared" si="75"/>
        <v>1.1677358490566039</v>
      </c>
      <c r="D28" s="14">
        <v>0</v>
      </c>
      <c r="E28" s="14">
        <v>0</v>
      </c>
      <c r="F28" s="14">
        <f t="shared" ref="F28:G28" si="76">F12/F19</f>
        <v>4.4461206896551726</v>
      </c>
      <c r="G28" s="14">
        <f t="shared" si="76"/>
        <v>4.0943077328885558</v>
      </c>
      <c r="H28" s="14">
        <v>0</v>
      </c>
      <c r="I28" s="14">
        <f t="shared" ref="I28:J28" si="77">I12/I19</f>
        <v>3.1656379310344831</v>
      </c>
      <c r="J28" s="14">
        <f t="shared" si="77"/>
        <v>2.7164157073972151</v>
      </c>
      <c r="K28" s="14">
        <v>0</v>
      </c>
      <c r="L28" s="14">
        <v>0</v>
      </c>
      <c r="M28" s="14">
        <f t="shared" ref="M28" si="78">M12/M19</f>
        <v>2.3910242961295807</v>
      </c>
      <c r="N28" s="14">
        <v>0</v>
      </c>
      <c r="O28" s="14">
        <f t="shared" ref="O28:Q28" si="79">O12/O19</f>
        <v>0</v>
      </c>
      <c r="P28" s="14">
        <f t="shared" si="79"/>
        <v>0</v>
      </c>
      <c r="Q28" s="14">
        <f t="shared" si="79"/>
        <v>5.22</v>
      </c>
      <c r="R28" s="14">
        <f t="shared" ref="R28:S28" si="80">R12/R19</f>
        <v>4.3481692307692308</v>
      </c>
      <c r="S28" s="14">
        <f t="shared" si="80"/>
        <v>5.0391479789397611</v>
      </c>
      <c r="T28" s="14">
        <f t="shared" ref="T28:U28" si="81">T12/T19</f>
        <v>3.9699999999999998</v>
      </c>
      <c r="U28" s="14">
        <f t="shared" si="81"/>
        <v>1.7928452380952382</v>
      </c>
      <c r="V28" s="14">
        <v>0</v>
      </c>
      <c r="W28" s="14">
        <v>0</v>
      </c>
      <c r="X28" s="14">
        <v>0</v>
      </c>
      <c r="Y28" s="14">
        <f t="shared" ref="Y28" si="82">Y12/Y19</f>
        <v>7.3837515524742328</v>
      </c>
      <c r="Z28" s="14">
        <f>Z12/Z19</f>
        <v>1.9411764705882353</v>
      </c>
      <c r="AA28" s="14">
        <f t="shared" ref="AA28" si="83">AA12/AA19</f>
        <v>2.1133170731707316</v>
      </c>
      <c r="AB28" s="14">
        <v>0</v>
      </c>
      <c r="AC28" s="14">
        <f>AC12/AC19</f>
        <v>7.0151515151515156</v>
      </c>
      <c r="AD28" s="14">
        <f t="shared" ref="AD28:AE28" si="84">AD12/AD19</f>
        <v>7.3036854838709679</v>
      </c>
      <c r="AE28" s="14">
        <f t="shared" si="84"/>
        <v>4.5632284475954501</v>
      </c>
      <c r="AF28" s="14">
        <v>0</v>
      </c>
      <c r="AG28" s="14">
        <f t="shared" ref="AG28:AH28" si="85">AG12/AG19</f>
        <v>1.9156428571428572</v>
      </c>
      <c r="AH28" s="14">
        <f t="shared" si="85"/>
        <v>1.6705871017137253</v>
      </c>
      <c r="AI28" s="14">
        <v>0</v>
      </c>
      <c r="AJ28" s="14">
        <f t="shared" ref="AJ28:AK28" si="86">AJ12/AJ19</f>
        <v>1.5941363636363639</v>
      </c>
      <c r="AK28" s="14">
        <f t="shared" si="86"/>
        <v>1.6401000497492619</v>
      </c>
      <c r="AL28" s="14">
        <f>AL12/AL19</f>
        <v>3.3970588235294117</v>
      </c>
      <c r="AM28" s="14">
        <v>0</v>
      </c>
      <c r="AN28" s="14">
        <f t="shared" ref="AN28:AO28" si="87">AN12/AN19</f>
        <v>2.1125658834785921</v>
      </c>
      <c r="AO28" s="14">
        <f t="shared" si="87"/>
        <v>1.3157894736842106</v>
      </c>
      <c r="AP28" s="14">
        <f t="shared" ref="AP28:AR28" si="88">AP12/AP19</f>
        <v>0.73998913043478265</v>
      </c>
      <c r="AQ28" s="14">
        <f t="shared" si="88"/>
        <v>0.99329359200254908</v>
      </c>
      <c r="AR28" s="14">
        <f t="shared" si="88"/>
        <v>3.5636363636363635</v>
      </c>
      <c r="AS28" s="14">
        <f t="shared" ref="AS28:AT28" si="89">AS12/AS19</f>
        <v>2.7977671232876715</v>
      </c>
      <c r="AT28" s="14">
        <f t="shared" si="89"/>
        <v>4.1992899824498009</v>
      </c>
      <c r="AU28" s="14">
        <f>AU12/AU19</f>
        <v>5.7857142857142856</v>
      </c>
      <c r="AV28" s="14">
        <f t="shared" ref="AV28:AW28" si="90">AV12/AV19</f>
        <v>4.6481172839506177</v>
      </c>
      <c r="AW28" s="14">
        <f t="shared" si="90"/>
        <v>4.2390129957972986</v>
      </c>
      <c r="AX28" s="14">
        <f>AX12/AX19</f>
        <v>0</v>
      </c>
      <c r="AY28" s="14">
        <f t="shared" ref="AY28:AZ28" si="91">AY12/AY19</f>
        <v>2.9847659574468088</v>
      </c>
      <c r="AZ28" s="14">
        <f t="shared" si="91"/>
        <v>2.826008663864866</v>
      </c>
      <c r="BA28" s="14">
        <f>BA12/BA19</f>
        <v>5.0188679245283021</v>
      </c>
      <c r="BB28" s="14">
        <f t="shared" ref="BB28:BC28" si="92">BB12/BB19</f>
        <v>3.7821666666666669</v>
      </c>
      <c r="BC28" s="14">
        <f t="shared" si="92"/>
        <v>3.2994421290677005</v>
      </c>
      <c r="BD28" s="14">
        <v>0</v>
      </c>
      <c r="BE28" s="14">
        <v>0</v>
      </c>
      <c r="BF28" s="14">
        <f t="shared" ref="BF28" si="93">BF12/BF19</f>
        <v>2.2881845414573405</v>
      </c>
    </row>
    <row r="29" spans="1:71" x14ac:dyDescent="0.3">
      <c r="A29" t="s">
        <v>136</v>
      </c>
      <c r="B29" s="14">
        <f t="shared" ref="B29:C29" si="94">B11/B19</f>
        <v>7.833333333333333</v>
      </c>
      <c r="C29" s="14">
        <f t="shared" si="94"/>
        <v>2.8025660377358492</v>
      </c>
      <c r="D29" s="14">
        <v>0</v>
      </c>
      <c r="E29" s="14">
        <v>0</v>
      </c>
      <c r="F29" s="14">
        <f t="shared" ref="F29:G29" si="95">F11/F19</f>
        <v>6.8470258620689668</v>
      </c>
      <c r="G29" s="14">
        <f t="shared" si="95"/>
        <v>7.427494156458085</v>
      </c>
      <c r="H29" s="14">
        <v>0</v>
      </c>
      <c r="I29" s="14">
        <f t="shared" ref="I29:J29" si="96">I11/I19</f>
        <v>6.2067844827586214</v>
      </c>
      <c r="J29" s="14">
        <f t="shared" si="96"/>
        <v>7.4603011094459744</v>
      </c>
      <c r="K29" s="14">
        <v>0</v>
      </c>
      <c r="L29" s="14">
        <v>0</v>
      </c>
      <c r="M29" s="14">
        <f t="shared" ref="M29" si="97">M11/M19</f>
        <v>4.4735293282424413</v>
      </c>
      <c r="N29" s="14">
        <v>0</v>
      </c>
      <c r="O29" s="14">
        <f t="shared" ref="O29:Q29" si="98">O11/O19</f>
        <v>0</v>
      </c>
      <c r="P29" s="14">
        <f t="shared" si="98"/>
        <v>0</v>
      </c>
      <c r="Q29" s="14">
        <f t="shared" si="98"/>
        <v>16.760000000000002</v>
      </c>
      <c r="R29" s="14">
        <f t="shared" ref="R29:S29" si="99">R11/R19</f>
        <v>10.346738461538461</v>
      </c>
      <c r="S29" s="14">
        <f t="shared" si="99"/>
        <v>8.3235926437844263</v>
      </c>
      <c r="T29" s="14">
        <f t="shared" ref="T29:U29" si="100">T11/T19</f>
        <v>5.3366666666666669</v>
      </c>
      <c r="U29" s="14">
        <f t="shared" si="100"/>
        <v>3.8312857142857148</v>
      </c>
      <c r="V29" s="14">
        <v>0</v>
      </c>
      <c r="W29" s="14">
        <v>0</v>
      </c>
      <c r="X29" s="14">
        <v>0</v>
      </c>
      <c r="Y29" s="14">
        <f t="shared" ref="Y29" si="101">Y11/Y19</f>
        <v>9.8333373755699505</v>
      </c>
      <c r="Z29" s="14">
        <f>Z11/Z19</f>
        <v>3.0980392156862746</v>
      </c>
      <c r="AA29" s="14">
        <f t="shared" ref="AA29" si="102">AA11/AA19</f>
        <v>3.1196585365853662</v>
      </c>
      <c r="AB29" s="14">
        <v>0</v>
      </c>
      <c r="AC29" s="14">
        <f>AC11/AC19</f>
        <v>19.939393939393938</v>
      </c>
      <c r="AD29" s="14">
        <f t="shared" ref="AD29:AE29" si="103">AD11/AD19</f>
        <v>18.500451612903227</v>
      </c>
      <c r="AE29" s="14">
        <f t="shared" si="103"/>
        <v>12.793836813197059</v>
      </c>
      <c r="AF29" s="14">
        <v>0</v>
      </c>
      <c r="AG29" s="14">
        <f t="shared" ref="AG29:AH29" si="104">AG11/AG19</f>
        <v>4.8480500000000006</v>
      </c>
      <c r="AH29" s="14">
        <f t="shared" si="104"/>
        <v>6.8466684496464145</v>
      </c>
      <c r="AI29" s="14">
        <v>0</v>
      </c>
      <c r="AJ29" s="14">
        <f t="shared" ref="AJ29:AK29" si="105">AJ11/AJ19</f>
        <v>4.5573545454545457</v>
      </c>
      <c r="AK29" s="14">
        <f t="shared" si="105"/>
        <v>2.5908826872850659</v>
      </c>
      <c r="AL29" s="14">
        <f>AL11/AL19</f>
        <v>6.2352941176470589</v>
      </c>
      <c r="AM29" s="14">
        <v>0</v>
      </c>
      <c r="AN29" s="14">
        <f t="shared" ref="AN29:AO29" si="106">AN11/AN19</f>
        <v>7.9075860592593177</v>
      </c>
      <c r="AO29" s="14">
        <f t="shared" si="106"/>
        <v>2.3684210526315788</v>
      </c>
      <c r="AP29" s="14">
        <f t="shared" ref="AP29:AR29" si="107">AP11/AP19</f>
        <v>2.1751195652173916</v>
      </c>
      <c r="AQ29" s="14">
        <f t="shared" si="107"/>
        <v>2.2046272407861456</v>
      </c>
      <c r="AR29" s="14">
        <f t="shared" si="107"/>
        <v>6.8</v>
      </c>
      <c r="AS29" s="14">
        <f t="shared" ref="AS29:AT29" si="108">AS11/AS19</f>
        <v>5.1151095890410962</v>
      </c>
      <c r="AT29" s="14">
        <f t="shared" si="108"/>
        <v>8.6195952271338019</v>
      </c>
      <c r="AU29" s="14">
        <f>AU11/AU19</f>
        <v>11.985714285714286</v>
      </c>
      <c r="AV29" s="14">
        <f t="shared" ref="AV29:AW29" si="109">AV11/AV19</f>
        <v>10.073043209876543</v>
      </c>
      <c r="AW29" s="14">
        <f t="shared" si="109"/>
        <v>10.180440849344517</v>
      </c>
      <c r="AX29" s="14">
        <f>AX11/AX19</f>
        <v>0</v>
      </c>
      <c r="AY29" s="14">
        <f t="shared" ref="AY29:AZ29" si="110">AY11/AY19</f>
        <v>7.5058085106382988</v>
      </c>
      <c r="AZ29" s="14">
        <f t="shared" si="110"/>
        <v>6.8096594309996776</v>
      </c>
      <c r="BA29" s="14">
        <f>BA11/BA19</f>
        <v>12.622641509433961</v>
      </c>
      <c r="BB29" s="14">
        <f t="shared" ref="BB29:BC29" si="111">BB11/BB19</f>
        <v>11.231888888888889</v>
      </c>
      <c r="BC29" s="14">
        <f t="shared" si="111"/>
        <v>6.5188977822792147</v>
      </c>
      <c r="BD29" s="14">
        <v>0</v>
      </c>
      <c r="BE29" s="14">
        <v>0</v>
      </c>
      <c r="BF29" s="14">
        <f t="shared" ref="BF29" si="112">BF11/BF19</f>
        <v>6.1703852803344006</v>
      </c>
    </row>
    <row r="30" spans="1:71" x14ac:dyDescent="0.3">
      <c r="A30" t="s">
        <v>138</v>
      </c>
      <c r="B30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>
        <f>Painel_Cte!AA30</f>
        <v>307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 t="s">
        <v>107</v>
      </c>
      <c r="X30" s="14" t="s">
        <v>107</v>
      </c>
      <c r="Y30" s="14" t="s">
        <v>107</v>
      </c>
      <c r="Z30" s="14">
        <f>Painel!AR30</f>
        <v>0</v>
      </c>
      <c r="AA30" s="14">
        <f>Painel!AS30</f>
        <v>0</v>
      </c>
      <c r="AB30" s="14">
        <f>Painel!AT30</f>
        <v>0</v>
      </c>
      <c r="AC30" s="14">
        <f>Painel!AU30</f>
        <v>326</v>
      </c>
      <c r="AD30" s="14">
        <v>260.125</v>
      </c>
      <c r="AE30" s="14">
        <v>199.53727592138546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>
        <v>84.583000000000013</v>
      </c>
      <c r="AK30" s="14">
        <v>42.832757820987965</v>
      </c>
      <c r="AL30" s="14">
        <f>Painel_Cte!BJ30</f>
        <v>0</v>
      </c>
      <c r="AM30" s="14">
        <v>0</v>
      </c>
      <c r="AN30" s="14">
        <v>0</v>
      </c>
      <c r="AO30" s="14">
        <f>Painel_Cte!BO30</f>
        <v>45.1</v>
      </c>
      <c r="AP30" s="14">
        <v>69.110500000000016</v>
      </c>
      <c r="AQ30" s="14">
        <v>84.405728647241006</v>
      </c>
      <c r="AR30" s="14">
        <f>Painel_Cte!BT30</f>
        <v>75</v>
      </c>
      <c r="AS30" s="14">
        <v>145.44150000000002</v>
      </c>
      <c r="AT30" s="14">
        <v>104.56232056300006</v>
      </c>
      <c r="AU30" s="14">
        <v>183</v>
      </c>
      <c r="AV30" s="14">
        <f>Painel!BZ30*IPC!G$3</f>
        <v>173.292</v>
      </c>
      <c r="AW30" s="14">
        <f>Painel!CC30*IPC!J$3</f>
        <v>249.43782495751816</v>
      </c>
      <c r="AX30" s="14"/>
      <c r="AY30" s="14">
        <f>Painel!CE30*IPC!G$3</f>
        <v>0</v>
      </c>
      <c r="AZ30" s="14">
        <f>Painel!CH30*IPC!J$3</f>
        <v>0</v>
      </c>
      <c r="BA30" s="14">
        <f>Painel_Cte!CI30</f>
        <v>259</v>
      </c>
      <c r="BB30" s="14">
        <f>Painel!CJ30*IPC!G$3</f>
        <v>181.54400000000001</v>
      </c>
      <c r="BC30" s="14">
        <f>Painel!CM30*IPC!J$3</f>
        <v>138.57656942084344</v>
      </c>
      <c r="BD30" s="14">
        <f>Painel_Cte!CN30</f>
        <v>99</v>
      </c>
      <c r="BE30" s="14">
        <v>30.945000000000004</v>
      </c>
      <c r="BF30" s="14">
        <v>122.1993384892892</v>
      </c>
    </row>
    <row r="31" spans="1:71" x14ac:dyDescent="0.3">
      <c r="A31" t="s">
        <v>39</v>
      </c>
      <c r="B31">
        <f>Painel_Cte!B31</f>
        <v>104</v>
      </c>
      <c r="C31" s="14">
        <f>Painel!C31*IPC!G$3</f>
        <v>100.05550000000001</v>
      </c>
      <c r="D31" s="14">
        <f>Painel!F31*IPC!J$3</f>
        <v>80.2484315646157</v>
      </c>
      <c r="E31" s="14">
        <f>Painel!G31</f>
        <v>1255</v>
      </c>
      <c r="F31" s="14">
        <f>Painel!H31*IPC!G$3</f>
        <v>1198.6030000000001</v>
      </c>
      <c r="G31" s="14">
        <f>Painel!K31*IPC!J$3</f>
        <v>718.07858699891597</v>
      </c>
      <c r="H31" s="14"/>
      <c r="I31" s="14">
        <v>334.20600000000002</v>
      </c>
      <c r="J31" s="14">
        <v>360.29908049419294</v>
      </c>
      <c r="K31" s="14"/>
      <c r="L31" s="14">
        <v>206.3</v>
      </c>
      <c r="M31" s="14">
        <v>178.88975325236152</v>
      </c>
      <c r="N31" s="14"/>
      <c r="O31" s="14"/>
      <c r="P31" s="14"/>
      <c r="Q31" s="14">
        <f>Painel_Cte!AA31</f>
        <v>698</v>
      </c>
      <c r="R31" s="14">
        <v>620.96300000000008</v>
      </c>
      <c r="S31" s="14">
        <v>403.13183831518086</v>
      </c>
      <c r="T31" s="14">
        <f>Painel_Cte!AF31</f>
        <v>18</v>
      </c>
      <c r="U31" s="14">
        <f>Painel!AG31*IPC!G$3</f>
        <v>203.20550000000003</v>
      </c>
      <c r="V31" s="14">
        <f>Painel!AJ31*IPC!J$3</f>
        <v>268.33462987854227</v>
      </c>
      <c r="W31" s="14"/>
      <c r="X31" s="14">
        <v>681.82150000000001</v>
      </c>
      <c r="Y31" s="14">
        <v>525.33117680447015</v>
      </c>
      <c r="Z31" s="14">
        <f>Painel_Cte!AP31</f>
        <v>0.8</v>
      </c>
      <c r="AA31" s="14">
        <f>Painel_Cte!AQ31</f>
        <v>0.92835000000000012</v>
      </c>
      <c r="AB31" s="14">
        <f>Painel_Cte!AT31</f>
        <v>0</v>
      </c>
      <c r="AC31" s="14">
        <f>Painel!AU31</f>
        <v>255</v>
      </c>
      <c r="AD31" s="14">
        <f>Painel!AV31*IPC!G$3</f>
        <v>359.99350000000004</v>
      </c>
      <c r="AE31" s="14">
        <f>Painel!AY31*IPC!J$3</f>
        <v>537.92904675181944</v>
      </c>
      <c r="AF31" s="14"/>
      <c r="AG31" s="14">
        <f>Painel!BA31*IPC!G$3</f>
        <v>601.36450000000002</v>
      </c>
      <c r="AH31" s="14">
        <f>Painel!BD31*IPC!J$3</f>
        <v>672.72625518845814</v>
      </c>
      <c r="AI31" s="14"/>
      <c r="AJ31" s="14">
        <f>Painel!BF31*IPC!G$3</f>
        <v>10.418150000000002</v>
      </c>
      <c r="AK31" s="14">
        <f>Painel!BI31*IPC!J$3</f>
        <v>19.400719718918079</v>
      </c>
      <c r="AL31" s="14">
        <f>Painel!BJ31</f>
        <v>453</v>
      </c>
      <c r="AM31" s="14">
        <f>Painel!BK31*IPC!G$3</f>
        <v>470.36400000000003</v>
      </c>
      <c r="AN31" s="14">
        <f>Painel!BN31*IPC!J$3</f>
        <v>439.66566116249413</v>
      </c>
      <c r="AO31" s="14">
        <f>Painel_Cte!BO31</f>
        <v>61.4</v>
      </c>
      <c r="AP31" s="14">
        <f>Painel!BP31*IPC!G$3</f>
        <v>67.253800000000012</v>
      </c>
      <c r="AQ31" s="14">
        <f>Painel!BS31*IPC!J$3</f>
        <v>52.155181582026536</v>
      </c>
      <c r="AR31" s="14">
        <f>Painel_Cte!BT31</f>
        <v>438</v>
      </c>
      <c r="AS31" s="14">
        <f>Painel!BU31*IPC!G$3</f>
        <v>336.26900000000001</v>
      </c>
      <c r="AT31" s="14">
        <f>Painel!BX31*IPC!J$3</f>
        <v>246.91825096804828</v>
      </c>
      <c r="AU31">
        <v>128</v>
      </c>
      <c r="AV31" s="14">
        <f>Painel!BZ31*IPC!G$3</f>
        <v>165.04000000000002</v>
      </c>
      <c r="AW31" s="14">
        <f>Painel!CC31*IPC!J$3</f>
        <v>304.86845272585555</v>
      </c>
      <c r="AX31" s="14">
        <f>Painel_Cte!CD31</f>
        <v>418</v>
      </c>
      <c r="AY31" s="14">
        <f>Painel!CE31*IPC!G$3</f>
        <v>453.86</v>
      </c>
      <c r="AZ31" s="14">
        <f>Painel!CH31*IPC!J$3</f>
        <v>425.80800422040983</v>
      </c>
      <c r="BA31" s="14">
        <f>Painel_Cte!CI31</f>
        <v>491</v>
      </c>
      <c r="BB31" s="14">
        <f>Painel!CJ31*IPC!G$3</f>
        <v>533.28550000000007</v>
      </c>
      <c r="BC31" s="14">
        <f>Painel!CM31*IPC!J$3</f>
        <v>447.22438313090379</v>
      </c>
      <c r="BD31" s="14">
        <f>Painel_Cte!CN31</f>
        <v>631</v>
      </c>
      <c r="BE31" s="14">
        <f>Painel!CO31*IPC!G$3</f>
        <v>646.7505000000001</v>
      </c>
      <c r="BF31" s="14">
        <f>Painel!CR31*IPC!J$3</f>
        <v>701.70135606736176</v>
      </c>
    </row>
    <row r="32" spans="1:71" x14ac:dyDescent="0.3">
      <c r="A32" t="s">
        <v>109</v>
      </c>
      <c r="B32" s="20">
        <f t="shared" ref="B32" si="113">B31/B14</f>
        <v>14.857142857142858</v>
      </c>
      <c r="C32" s="20">
        <f t="shared" ref="C32:E32" si="114">C31/C14</f>
        <v>32.333333333333336</v>
      </c>
      <c r="D32" s="20">
        <f t="shared" si="114"/>
        <v>-7.0777777777777784</v>
      </c>
      <c r="E32" s="20">
        <f t="shared" si="114"/>
        <v>-5.9198113207547172</v>
      </c>
      <c r="F32" s="20">
        <f t="shared" ref="F32:G32" si="115">F31/F14</f>
        <v>29.794871794871792</v>
      </c>
      <c r="G32" s="20">
        <f t="shared" si="115"/>
        <v>4.5600000000000005</v>
      </c>
      <c r="H32" s="14"/>
      <c r="I32" s="20">
        <f t="shared" ref="I32:J32" si="116">I31/I14</f>
        <v>3.7241379310344827</v>
      </c>
      <c r="J32" s="20">
        <f t="shared" si="116"/>
        <v>2.5765765765765769</v>
      </c>
      <c r="K32" s="14"/>
      <c r="L32" s="20">
        <f t="shared" ref="L32:M32" si="117">L31/L14</f>
        <v>200</v>
      </c>
      <c r="M32" s="20">
        <f t="shared" si="117"/>
        <v>3.641025641025641</v>
      </c>
      <c r="N32" s="14"/>
      <c r="O32" s="14"/>
      <c r="P32" s="14"/>
      <c r="Q32" s="20">
        <f t="shared" ref="Q32" si="118">Q31/Q14</f>
        <v>2.814516129032258</v>
      </c>
      <c r="R32" s="20">
        <f t="shared" ref="R32:S32" si="119">R31/R14</f>
        <v>3.6707317073170729</v>
      </c>
      <c r="S32" s="20">
        <f t="shared" si="119"/>
        <v>-17.777777777777779</v>
      </c>
      <c r="T32" s="20">
        <f t="shared" ref="T32:V32" si="120">T31/T14</f>
        <v>0.3</v>
      </c>
      <c r="U32" s="20">
        <f t="shared" si="120"/>
        <v>3.078125</v>
      </c>
      <c r="V32" s="20">
        <f t="shared" si="120"/>
        <v>-19.363636363636363</v>
      </c>
      <c r="W32" s="14"/>
      <c r="X32" s="20">
        <f t="shared" ref="X32:Y32" si="121">X31/X14</f>
        <v>4.5273972602739718</v>
      </c>
      <c r="Y32" s="20">
        <f t="shared" si="121"/>
        <v>2.8367346938775513</v>
      </c>
      <c r="Z32" s="20">
        <f>Z31/Z14</f>
        <v>2.1621621621621623E-2</v>
      </c>
      <c r="AA32" s="20">
        <f t="shared" ref="AA32:AB32" si="122">AA31/AA14</f>
        <v>3.4615384615384617E-2</v>
      </c>
      <c r="AB32" s="20">
        <f t="shared" si="122"/>
        <v>0</v>
      </c>
      <c r="AC32" s="20">
        <f>AC31/AC14</f>
        <v>0.52577319587628868</v>
      </c>
      <c r="AD32" s="20">
        <f t="shared" ref="AD32:AE32" si="123">AD31/AD14</f>
        <v>1.0526125730994154</v>
      </c>
      <c r="AE32" s="20">
        <f t="shared" si="123"/>
        <v>2.1690687369024979</v>
      </c>
      <c r="AF32" s="14"/>
      <c r="AG32" s="20">
        <f t="shared" ref="AG32:AH32" si="124">AG31/AG14</f>
        <v>9.109375</v>
      </c>
      <c r="AH32" s="20">
        <f t="shared" si="124"/>
        <v>7.628571428571429</v>
      </c>
      <c r="AI32" s="14"/>
      <c r="AJ32" s="20">
        <f t="shared" ref="AJ32:AK32" si="125">AJ31/AJ14</f>
        <v>0.17719298245614037</v>
      </c>
      <c r="AK32" s="20">
        <f t="shared" si="125"/>
        <v>1.711111111111111</v>
      </c>
      <c r="AL32" s="20">
        <f>AL31/AL14</f>
        <v>2.9225806451612901</v>
      </c>
      <c r="AM32" s="20">
        <f t="shared" ref="AM32:AO32" si="126">AM31/AM14</f>
        <v>13.818181818181818</v>
      </c>
      <c r="AN32" s="20">
        <f t="shared" si="126"/>
        <v>2.2088607594936707</v>
      </c>
      <c r="AO32" s="20">
        <f t="shared" si="126"/>
        <v>-76.75</v>
      </c>
      <c r="AP32" s="20">
        <f t="shared" ref="AP32:AR32" si="127">AP31/AP14</f>
        <v>1.3225152129817446</v>
      </c>
      <c r="AQ32" s="20">
        <f t="shared" si="127"/>
        <v>1.0894736842105266</v>
      </c>
      <c r="AR32" s="20">
        <f t="shared" si="127"/>
        <v>1.4697986577181208</v>
      </c>
      <c r="AS32" s="20">
        <f t="shared" ref="AS32:AT32" si="128">AS31/AS14</f>
        <v>2.8596491228070176</v>
      </c>
      <c r="AT32" s="20">
        <f t="shared" si="128"/>
        <v>2.202247191011236</v>
      </c>
      <c r="AU32" s="20">
        <f>AU31/AU14</f>
        <v>0.68817204301075274</v>
      </c>
      <c r="AV32" s="20">
        <f t="shared" ref="AV32:AW32" si="129">AV31/AV14</f>
        <v>0.87431693989071035</v>
      </c>
      <c r="AW32" s="20">
        <f t="shared" si="129"/>
        <v>1.2804232804232805</v>
      </c>
      <c r="AX32" s="20">
        <v>0</v>
      </c>
      <c r="AY32" s="20">
        <f t="shared" ref="AY32" si="130">AY31/AY14</f>
        <v>2.268041237113402</v>
      </c>
      <c r="AZ32" s="20">
        <f t="shared" ref="AZ32" si="131">AZ31/AZ14</f>
        <v>1.6568627450980393</v>
      </c>
      <c r="BA32" s="20">
        <f t="shared" ref="BA32:BD32" si="132">BA31/BA14</f>
        <v>4.2327586206896548</v>
      </c>
      <c r="BB32" s="20">
        <f t="shared" si="132"/>
        <v>2.2675438596491229</v>
      </c>
      <c r="BC32" s="20">
        <f t="shared" si="132"/>
        <v>1.0990712074303406</v>
      </c>
      <c r="BD32" s="20">
        <f t="shared" si="132"/>
        <v>-57.363636363636367</v>
      </c>
      <c r="BE32" s="20">
        <f t="shared" ref="BE32:BF32" si="133">BE31/BE14</f>
        <v>26.125000000000004</v>
      </c>
      <c r="BF32" s="20">
        <f t="shared" si="133"/>
        <v>4.6806722689075633</v>
      </c>
    </row>
    <row r="33" spans="1:58" s="18" customFormat="1" x14ac:dyDescent="0.3">
      <c r="A33" s="18" t="s">
        <v>110</v>
      </c>
      <c r="B33" s="18">
        <f t="shared" ref="B33" si="134">B31/B11</f>
        <v>0.55319148936170215</v>
      </c>
      <c r="C33" s="18">
        <f t="shared" ref="C33:E33" si="135">C31/C11</f>
        <v>0.67361111111111116</v>
      </c>
      <c r="D33" s="18">
        <f t="shared" si="135"/>
        <v>2.0548387096774192</v>
      </c>
      <c r="E33" s="18">
        <f t="shared" si="135"/>
        <v>3.7351190476190474</v>
      </c>
      <c r="F33" s="18">
        <f t="shared" ref="F33:G33" si="136">F31/F11</f>
        <v>3.0181818181818181</v>
      </c>
      <c r="G33" s="18">
        <f t="shared" si="136"/>
        <v>2.0141342756183747</v>
      </c>
      <c r="I33" s="18">
        <f t="shared" ref="I33:J33" si="137">I31/I11</f>
        <v>0.92836676217765035</v>
      </c>
      <c r="J33" s="18">
        <f t="shared" si="137"/>
        <v>0.7546174142480212</v>
      </c>
      <c r="L33" s="18">
        <f t="shared" ref="L33:M33" si="138">L31/L11</f>
        <v>2</v>
      </c>
      <c r="M33" s="18">
        <f t="shared" si="138"/>
        <v>0.8160919540229884</v>
      </c>
      <c r="Q33" s="18">
        <f t="shared" ref="Q33" si="139">Q31/Q11</f>
        <v>0.83293556085918852</v>
      </c>
      <c r="R33" s="18">
        <f t="shared" ref="R33:S33" si="140">R31/R11</f>
        <v>0.92331288343558293</v>
      </c>
      <c r="S33" s="18">
        <f t="shared" si="140"/>
        <v>0.8648648648648648</v>
      </c>
      <c r="T33" s="18">
        <f t="shared" ref="T33:V33" si="141">T31/T11</f>
        <v>0.11242973141786385</v>
      </c>
      <c r="U33" s="18">
        <f t="shared" si="141"/>
        <v>1.2628205128205128</v>
      </c>
      <c r="V33" s="18">
        <f t="shared" si="141"/>
        <v>5.6052631578947363</v>
      </c>
      <c r="X33" s="18">
        <f t="shared" ref="X33:Y33" si="142">X31/X11</f>
        <v>4.5273972602739718</v>
      </c>
      <c r="Y33" s="18">
        <f t="shared" si="142"/>
        <v>1.4839857651245552</v>
      </c>
      <c r="Z33" s="18">
        <f>Z31/Z11</f>
        <v>5.0632911392405064E-3</v>
      </c>
      <c r="AA33" s="18">
        <f t="shared" ref="AA33:AB33" si="143">AA31/AA11</f>
        <v>7.2580645161290326E-3</v>
      </c>
      <c r="AB33" s="18">
        <f t="shared" si="143"/>
        <v>0</v>
      </c>
      <c r="AC33" s="18">
        <f>AC31/AC11</f>
        <v>0.19376899696048633</v>
      </c>
      <c r="AD33" s="18">
        <f t="shared" ref="AD33:AE33" si="144">AD31/AD11</f>
        <v>0.3138489208633094</v>
      </c>
      <c r="AE33" s="18">
        <f t="shared" si="144"/>
        <v>0.46717724288840262</v>
      </c>
      <c r="AG33" s="18">
        <f t="shared" ref="AG33:AH33" si="145">AG31/AG11</f>
        <v>1.7720364741641335</v>
      </c>
      <c r="AH33" s="18">
        <f t="shared" si="145"/>
        <v>2.1360000000000001</v>
      </c>
      <c r="AJ33" s="18">
        <f t="shared" ref="AJ33:AK33" si="146">AJ31/AJ11</f>
        <v>4.1563786008230463E-2</v>
      </c>
      <c r="AK33" s="18">
        <f t="shared" si="146"/>
        <v>0.14128440366972478</v>
      </c>
      <c r="AL33" s="18">
        <f>AL31/AL11</f>
        <v>1.0683962264150944</v>
      </c>
      <c r="AM33" s="18">
        <f t="shared" ref="AM33:AO33" si="147">AM31/AM11</f>
        <v>1.5833333333333335</v>
      </c>
      <c r="AN33" s="18">
        <f t="shared" si="147"/>
        <v>0.85539215686274506</v>
      </c>
      <c r="AO33" s="18">
        <f t="shared" si="147"/>
        <v>0.68222222222222217</v>
      </c>
      <c r="AP33" s="18">
        <f t="shared" ref="AP33:AR33" si="148">AP31/AP11</f>
        <v>0.6721649484536083</v>
      </c>
      <c r="AQ33" s="18">
        <f t="shared" si="148"/>
        <v>0.45494505494505505</v>
      </c>
      <c r="AR33" s="18">
        <f t="shared" si="148"/>
        <v>1.1711229946524064</v>
      </c>
      <c r="AS33" s="18">
        <f t="shared" ref="AS33:AT33" si="149">AS31/AS11</f>
        <v>0.90055248618784522</v>
      </c>
      <c r="AT33" s="18">
        <f t="shared" si="149"/>
        <v>0.50256410256410255</v>
      </c>
      <c r="AU33" s="18">
        <f>AU31/AU11</f>
        <v>0.15256257449344457</v>
      </c>
      <c r="AV33" s="18">
        <f t="shared" ref="AV33:AW33" si="150">AV31/AV11</f>
        <v>0.20227560050568902</v>
      </c>
      <c r="AW33" s="18">
        <f t="shared" si="150"/>
        <v>0.40468227424749165</v>
      </c>
      <c r="AX33" s="18">
        <v>0</v>
      </c>
      <c r="AY33" s="18">
        <f t="shared" ref="AY33:BA33" si="151">AY31/AY11</f>
        <v>1.2865497076023391</v>
      </c>
      <c r="AZ33" s="18">
        <f t="shared" si="151"/>
        <v>0.84499999999999997</v>
      </c>
      <c r="BA33" s="18">
        <f t="shared" si="151"/>
        <v>0.7339312406576981</v>
      </c>
      <c r="BB33" s="18">
        <f t="shared" ref="BB33:BD33" si="152">BB31/BB11</f>
        <v>0.87925170068027214</v>
      </c>
      <c r="BC33" s="18">
        <f t="shared" si="152"/>
        <v>1.0889570552147239</v>
      </c>
      <c r="BD33" s="18">
        <f t="shared" si="152"/>
        <v>1.8289855072463768</v>
      </c>
      <c r="BE33" s="18">
        <f t="shared" ref="BE33:BF33" si="153">BE31/BE11</f>
        <v>5.4051724137931041</v>
      </c>
      <c r="BF33" s="18">
        <f t="shared" si="153"/>
        <v>2.3208333333333337</v>
      </c>
    </row>
    <row r="34" spans="1:58" x14ac:dyDescent="0.3">
      <c r="A34" t="s">
        <v>128</v>
      </c>
      <c r="B34" s="18">
        <f t="shared" ref="B34" si="154">B12/B11</f>
        <v>0.48936170212765956</v>
      </c>
      <c r="C34" s="18">
        <f t="shared" ref="C34:D34" si="155">C12/C11</f>
        <v>0.41666666666666674</v>
      </c>
      <c r="D34" s="18">
        <f t="shared" si="155"/>
        <v>0.80645161290322576</v>
      </c>
      <c r="E34" s="18">
        <v>0</v>
      </c>
      <c r="F34" s="18">
        <f t="shared" ref="F34:G34" si="156">F12/F11</f>
        <v>0.64935064935064923</v>
      </c>
      <c r="G34" s="18">
        <f t="shared" si="156"/>
        <v>0.5512367491166078</v>
      </c>
      <c r="H34" s="18">
        <v>0</v>
      </c>
      <c r="I34" s="18">
        <f t="shared" ref="I34:J34" si="157">I12/I11</f>
        <v>0.51002865329512892</v>
      </c>
      <c r="J34" s="18">
        <f t="shared" si="157"/>
        <v>0.36411609498680741</v>
      </c>
      <c r="K34" s="18">
        <v>0</v>
      </c>
      <c r="L34" s="18">
        <f t="shared" ref="L34:M34" si="158">L12/L11</f>
        <v>0.72</v>
      </c>
      <c r="M34" s="18">
        <f t="shared" si="158"/>
        <v>0.53448275862068961</v>
      </c>
      <c r="N34" s="18">
        <v>0</v>
      </c>
      <c r="O34" s="18">
        <v>0</v>
      </c>
      <c r="P34" s="18">
        <v>0</v>
      </c>
      <c r="Q34" s="18">
        <v>0</v>
      </c>
      <c r="R34" s="18">
        <f t="shared" ref="R34:S34" si="159">R12/R11</f>
        <v>0.42024539877300615</v>
      </c>
      <c r="S34" s="18">
        <f t="shared" si="159"/>
        <v>0.60540540540540544</v>
      </c>
      <c r="T34" s="18">
        <f t="shared" ref="T34:V34" si="160">T12/T11</f>
        <v>0.74391005621486572</v>
      </c>
      <c r="U34" s="18">
        <f t="shared" si="160"/>
        <v>0.46794871794871795</v>
      </c>
      <c r="V34" s="18">
        <f t="shared" si="160"/>
        <v>0.97368421052631582</v>
      </c>
      <c r="W34" s="18">
        <v>0</v>
      </c>
      <c r="X34" s="18">
        <f t="shared" ref="X34:Y34" si="161">X12/X11</f>
        <v>0.3904109589041096</v>
      </c>
      <c r="Y34" s="18">
        <f t="shared" si="161"/>
        <v>0.7508896797153024</v>
      </c>
      <c r="Z34" s="18">
        <v>0</v>
      </c>
      <c r="AA34" s="18">
        <v>0</v>
      </c>
      <c r="AB34" s="18">
        <v>0</v>
      </c>
      <c r="AC34" s="18">
        <f>AC12/AC11</f>
        <v>0.3518237082066869</v>
      </c>
      <c r="AD34" s="18">
        <f t="shared" ref="AD34:AE34" si="162">AD12/AD11</f>
        <v>0.39478417266187049</v>
      </c>
      <c r="AE34" s="18">
        <f t="shared" si="162"/>
        <v>0.35667396061269147</v>
      </c>
      <c r="AF34" s="18">
        <v>0</v>
      </c>
      <c r="AG34" s="18">
        <f t="shared" ref="AG34:AH34" si="163">AG12/AG11</f>
        <v>0.39513677811550146</v>
      </c>
      <c r="AH34" s="18">
        <f t="shared" si="163"/>
        <v>0.24400000000000002</v>
      </c>
      <c r="AI34" s="18">
        <v>0</v>
      </c>
      <c r="AJ34" s="18">
        <f t="shared" ref="AJ34:AK34" si="164">AJ12/AJ11</f>
        <v>0.34979423868312759</v>
      </c>
      <c r="AK34" s="18">
        <f t="shared" si="164"/>
        <v>0.6330275229357798</v>
      </c>
      <c r="AL34" s="18">
        <f>AL12/AL11</f>
        <v>0.54481132075471694</v>
      </c>
      <c r="AM34" s="18">
        <f t="shared" ref="AM34:AN34" si="165">AM12/AM11</f>
        <v>0.40277777777777779</v>
      </c>
      <c r="AN34" s="18">
        <f t="shared" si="165"/>
        <v>0.26715686274509803</v>
      </c>
      <c r="AO34" s="18">
        <v>0</v>
      </c>
      <c r="AP34" s="18">
        <f t="shared" ref="AP34:AQ34" si="166">AP12/AP11</f>
        <v>0.34020618556701032</v>
      </c>
      <c r="AQ34" s="18">
        <f t="shared" si="166"/>
        <v>0.45054945054945056</v>
      </c>
      <c r="AR34" s="18">
        <v>0</v>
      </c>
      <c r="AS34" s="18">
        <f t="shared" ref="AS34:AT34" si="167">AS12/AS11</f>
        <v>0.54696132596685088</v>
      </c>
      <c r="AT34" s="18">
        <f t="shared" si="167"/>
        <v>0.48717948717948717</v>
      </c>
      <c r="AU34" s="18">
        <f>AU12/AU11</f>
        <v>0.48271752085816449</v>
      </c>
      <c r="AV34" s="18">
        <f t="shared" ref="AV34:AW34" si="168">AV12/AV11</f>
        <v>0.46144121365360302</v>
      </c>
      <c r="AW34" s="18">
        <f t="shared" si="168"/>
        <v>0.41638795986622068</v>
      </c>
      <c r="AX34" s="18">
        <v>0</v>
      </c>
      <c r="AY34" s="18">
        <f t="shared" ref="AY34:BA34" si="169">AY12/AY11</f>
        <v>0.39766081871345033</v>
      </c>
      <c r="AZ34" s="18">
        <f t="shared" si="169"/>
        <v>0.41499999999999998</v>
      </c>
      <c r="BA34" s="18">
        <f t="shared" si="169"/>
        <v>0.39760837070254113</v>
      </c>
      <c r="BB34" s="18">
        <f t="shared" ref="BB34:BD34" si="170">BB12/BB11</f>
        <v>0.33673469387755101</v>
      </c>
      <c r="BC34" s="18">
        <f t="shared" si="170"/>
        <v>0.50613496932515334</v>
      </c>
      <c r="BD34" s="18">
        <f t="shared" si="170"/>
        <v>0.46376811594202899</v>
      </c>
      <c r="BE34" s="18">
        <f t="shared" ref="BE34:BF34" si="171">BE12/BE11</f>
        <v>0.57758620689655171</v>
      </c>
      <c r="BF34" s="18">
        <f t="shared" si="171"/>
        <v>0.37083333333333335</v>
      </c>
    </row>
    <row r="35" spans="1:58" x14ac:dyDescent="0.3">
      <c r="A35" t="s">
        <v>133</v>
      </c>
      <c r="B35" s="18">
        <f t="shared" ref="B35" si="172">(B12+B15)/B11</f>
        <v>0.53723404255319152</v>
      </c>
      <c r="C35" s="18">
        <f t="shared" ref="C35:D35" si="173">(C12+C15)/C11</f>
        <v>0.52777777777777779</v>
      </c>
      <c r="D35" s="18">
        <f t="shared" si="173"/>
        <v>0.83225806451612905</v>
      </c>
      <c r="E35" s="18">
        <v>0</v>
      </c>
      <c r="F35" s="18">
        <f t="shared" ref="F35:G35" si="174">(F12+F15)/F11</f>
        <v>1.0337662337662337</v>
      </c>
      <c r="G35" s="18">
        <f t="shared" si="174"/>
        <v>0.73498233215547704</v>
      </c>
      <c r="H35" s="18">
        <v>0</v>
      </c>
      <c r="I35" s="18">
        <f t="shared" ref="I35:J35" si="175">(I12+I15)/I11</f>
        <v>0.7822349570200573</v>
      </c>
      <c r="J35" s="18">
        <f t="shared" si="175"/>
        <v>0.44327176781002636</v>
      </c>
      <c r="K35" s="18">
        <v>0</v>
      </c>
      <c r="L35" s="18">
        <f t="shared" ref="L35:M35" si="176">(L12+L15)/L11</f>
        <v>0.72</v>
      </c>
      <c r="M35" s="18">
        <f t="shared" si="176"/>
        <v>0.72413793103448276</v>
      </c>
      <c r="N35" s="18">
        <v>0</v>
      </c>
      <c r="O35" s="18">
        <v>0</v>
      </c>
      <c r="P35" s="18">
        <v>0</v>
      </c>
      <c r="Q35" s="18">
        <v>0</v>
      </c>
      <c r="R35" s="18">
        <f t="shared" ref="R35:S35" si="177">(R12+R15)/R11</f>
        <v>0.48466257668711654</v>
      </c>
      <c r="S35" s="18">
        <f t="shared" si="177"/>
        <v>0.6351351351351352</v>
      </c>
      <c r="T35" s="18">
        <f t="shared" ref="T35:V35" si="178">(T12+T15)/T11</f>
        <v>0.78201124297314173</v>
      </c>
      <c r="U35" s="18">
        <f t="shared" si="178"/>
        <v>0.51282051282051289</v>
      </c>
      <c r="V35" s="18">
        <f t="shared" si="178"/>
        <v>0.99736842105263157</v>
      </c>
      <c r="W35" s="18">
        <v>0</v>
      </c>
      <c r="X35" s="18">
        <f t="shared" ref="X35:Y35" si="179">(X12+X15)/X11</f>
        <v>0.3904109589041096</v>
      </c>
      <c r="Y35" s="18">
        <f t="shared" si="179"/>
        <v>0.95017793594306033</v>
      </c>
      <c r="Z35" s="18">
        <v>0</v>
      </c>
      <c r="AA35" s="18">
        <v>0</v>
      </c>
      <c r="AB35" s="18">
        <v>0</v>
      </c>
      <c r="AC35" s="18">
        <f>(AC12+AC15)/AC11</f>
        <v>0.55927051671732519</v>
      </c>
      <c r="AD35" s="18">
        <f t="shared" ref="AD35:AE35" si="180">(AD12+AD15)/AD11</f>
        <v>0.60251798561151082</v>
      </c>
      <c r="AE35" s="18">
        <f t="shared" si="180"/>
        <v>0.63019693654266962</v>
      </c>
      <c r="AF35" s="18">
        <v>0</v>
      </c>
      <c r="AG35" s="18">
        <f t="shared" ref="AG35:AH35" si="181">(AG12+AG15)/AG11</f>
        <v>0.47720364741641336</v>
      </c>
      <c r="AH35" s="18">
        <f t="shared" si="181"/>
        <v>0.28800000000000003</v>
      </c>
      <c r="AI35" s="18">
        <v>0</v>
      </c>
      <c r="AJ35" s="18">
        <f t="shared" ref="AJ35:AK35" si="182">(AJ12+AJ15)/AJ11</f>
        <v>0.53909465020576142</v>
      </c>
      <c r="AK35" s="18">
        <f t="shared" si="182"/>
        <v>0.68440366972477062</v>
      </c>
      <c r="AL35" s="18">
        <f>(AL12+AL15)/AL11</f>
        <v>0.60141509433962259</v>
      </c>
      <c r="AM35" s="18">
        <f t="shared" ref="AM35:AN35" si="183">(AM12+AM15)/AM11</f>
        <v>0.63194444444444442</v>
      </c>
      <c r="AN35" s="18">
        <f t="shared" si="183"/>
        <v>0.38725490196078427</v>
      </c>
      <c r="AO35" s="18">
        <v>0</v>
      </c>
      <c r="AP35" s="18">
        <f t="shared" ref="AP35:AQ35" si="184">(AP12+AP15)/AP11</f>
        <v>0.3587628865979382</v>
      </c>
      <c r="AQ35" s="18">
        <f t="shared" si="184"/>
        <v>0.51098901098901106</v>
      </c>
      <c r="AR35" s="18">
        <v>0</v>
      </c>
      <c r="AS35" s="18">
        <f t="shared" ref="AS35:AT35" si="185">(AS12+AS15)/AS11</f>
        <v>0.79005524861878451</v>
      </c>
      <c r="AT35" s="18">
        <f t="shared" si="185"/>
        <v>0.62051282051282053</v>
      </c>
      <c r="AU35" s="18">
        <f>(AU12+AU15)/AU11</f>
        <v>0.66150178784266989</v>
      </c>
      <c r="AV35" s="18">
        <f t="shared" ref="AV35:AW35" si="186">(AV12+AV15)/AV11</f>
        <v>0.59418457648546141</v>
      </c>
      <c r="AW35" s="18">
        <f t="shared" si="186"/>
        <v>0.59866220735785947</v>
      </c>
      <c r="AX35" s="18">
        <v>0</v>
      </c>
      <c r="AY35" s="18">
        <f t="shared" ref="AY35:BA35" si="187">(AY12+AY15)/AY11</f>
        <v>0.57894736842105265</v>
      </c>
      <c r="AZ35" s="18">
        <f t="shared" si="187"/>
        <v>0.54749999999999999</v>
      </c>
      <c r="BA35" s="18">
        <f t="shared" si="187"/>
        <v>0.51270553064275037</v>
      </c>
      <c r="BB35" s="18">
        <f t="shared" ref="BB35:BD35" si="188">(BB12+BB15)/BB11</f>
        <v>0.46598639455782315</v>
      </c>
      <c r="BC35" s="18">
        <f t="shared" si="188"/>
        <v>0.9478527607361964</v>
      </c>
      <c r="BD35" s="18">
        <f t="shared" si="188"/>
        <v>0.91884057971014488</v>
      </c>
      <c r="BE35" s="18">
        <f t="shared" ref="BE35:BF35" si="189">(BE12+BE15)/BE11</f>
        <v>0.80172413793103448</v>
      </c>
      <c r="BF35" s="18">
        <f t="shared" si="189"/>
        <v>0.38500000000000001</v>
      </c>
    </row>
    <row r="36" spans="1:58" x14ac:dyDescent="0.3">
      <c r="A36" t="s">
        <v>144</v>
      </c>
      <c r="AU36" s="14">
        <f>Painel!BY36</f>
        <v>47</v>
      </c>
      <c r="AV36" s="14">
        <f>Painel!BZ36*IPC!G$3</f>
        <v>35.071000000000005</v>
      </c>
      <c r="AW36" s="14">
        <f>Painel!CC36*IPC!J$3</f>
        <v>34.014248857843384</v>
      </c>
    </row>
    <row r="37" spans="1:58" x14ac:dyDescent="0.3">
      <c r="A37" t="s">
        <v>142</v>
      </c>
      <c r="AU37" s="14">
        <f>Painel!BY37</f>
        <v>76</v>
      </c>
      <c r="AV37" s="14">
        <f>Painel!BZ37*IPC!G$3</f>
        <v>66.016000000000005</v>
      </c>
      <c r="AW37" s="14">
        <f>Painel!CC37*IPC!J$3</f>
        <v>66.76871072095183</v>
      </c>
    </row>
    <row r="38" spans="1:58" x14ac:dyDescent="0.3">
      <c r="A38" t="s">
        <v>143</v>
      </c>
      <c r="AU38" s="14">
        <f>AU10/AU37</f>
        <v>2.4605263157894739</v>
      </c>
      <c r="AV38" s="14">
        <f t="shared" ref="AV38:AW38" si="190">AV10/AV37</f>
        <v>2.71875</v>
      </c>
      <c r="AW38" s="14">
        <f t="shared" si="190"/>
        <v>2.0377358490566038</v>
      </c>
    </row>
    <row r="39" spans="1:58" x14ac:dyDescent="0.3">
      <c r="J39" s="28"/>
      <c r="P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sheetPr codeName="Planilha9"/>
  <dimension ref="A1:W12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CM2" activePane="bottomRight" state="frozen"/>
      <selection pane="topRight" activeCell="B1" sqref="B1"/>
      <selection pane="bottomLeft" activeCell="A2" sqref="A2"/>
      <selection pane="bottomRight" activeCell="CN8" sqref="CN8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B3">
        <v>23</v>
      </c>
      <c r="C3">
        <v>36</v>
      </c>
      <c r="D3">
        <v>28</v>
      </c>
      <c r="E3">
        <v>21</v>
      </c>
      <c r="F3">
        <v>22</v>
      </c>
      <c r="G3">
        <v>0</v>
      </c>
      <c r="H3">
        <v>843</v>
      </c>
      <c r="I3">
        <v>580</v>
      </c>
      <c r="J3">
        <v>478</v>
      </c>
      <c r="K3">
        <v>312</v>
      </c>
      <c r="L3">
        <v>231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X3">
        <v>88</v>
      </c>
      <c r="Y3">
        <v>91</v>
      </c>
      <c r="Z3">
        <v>125</v>
      </c>
      <c r="AA3">
        <v>96</v>
      </c>
      <c r="AB3">
        <v>97</v>
      </c>
      <c r="AC3">
        <v>117</v>
      </c>
      <c r="AD3">
        <v>104</v>
      </c>
      <c r="AE3">
        <v>97</v>
      </c>
      <c r="AF3">
        <v>0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P3">
        <v>0.8</v>
      </c>
      <c r="AQ3">
        <v>0.9</v>
      </c>
      <c r="AR3">
        <v>9.1</v>
      </c>
      <c r="AS3">
        <v>0</v>
      </c>
      <c r="AT3">
        <v>0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O3">
        <v>0.4</v>
      </c>
      <c r="BP3">
        <v>0.4</v>
      </c>
      <c r="BQ3">
        <v>6</v>
      </c>
      <c r="BR3">
        <v>0.7</v>
      </c>
      <c r="BS3">
        <v>0.6</v>
      </c>
      <c r="BT3">
        <v>123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D3">
        <v>85</v>
      </c>
      <c r="CE3">
        <v>97</v>
      </c>
      <c r="CF3" s="11">
        <v>59</v>
      </c>
      <c r="CG3" s="11">
        <v>39</v>
      </c>
      <c r="CH3" s="11">
        <v>49</v>
      </c>
      <c r="CI3" s="11">
        <v>218</v>
      </c>
      <c r="CJ3">
        <v>205</v>
      </c>
      <c r="CK3">
        <v>189</v>
      </c>
      <c r="CL3">
        <v>154</v>
      </c>
      <c r="CM3">
        <v>159</v>
      </c>
      <c r="CN3">
        <v>45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B4">
        <v>77</v>
      </c>
      <c r="C4">
        <v>57</v>
      </c>
      <c r="D4">
        <v>56</v>
      </c>
      <c r="E4">
        <v>37</v>
      </c>
      <c r="F4">
        <v>37</v>
      </c>
      <c r="G4">
        <v>323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X4">
        <f>18+13</f>
        <v>31</v>
      </c>
      <c r="Y4">
        <f>16+10</f>
        <v>26</v>
      </c>
      <c r="Z4">
        <f>28+14+16+11</f>
        <v>69</v>
      </c>
      <c r="AF4">
        <v>8.4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P4">
        <v>0</v>
      </c>
      <c r="AQ4">
        <v>0</v>
      </c>
      <c r="AR4">
        <v>0</v>
      </c>
      <c r="AS4">
        <v>0</v>
      </c>
      <c r="AT4">
        <v>0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O4">
        <v>30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D4">
        <v>63</v>
      </c>
      <c r="CE4">
        <v>58</v>
      </c>
      <c r="CF4" s="11">
        <v>50</v>
      </c>
      <c r="CG4" s="11">
        <v>46</v>
      </c>
      <c r="CH4" s="11">
        <v>20</v>
      </c>
      <c r="CI4" s="11">
        <v>187</v>
      </c>
      <c r="CJ4">
        <v>181</v>
      </c>
      <c r="CK4">
        <v>143</v>
      </c>
      <c r="CL4">
        <v>59</v>
      </c>
      <c r="CM4">
        <v>58</v>
      </c>
      <c r="CN4">
        <v>240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L5">
        <v>11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X5">
        <v>12</v>
      </c>
      <c r="Y5">
        <v>105</v>
      </c>
      <c r="Z5">
        <v>115</v>
      </c>
      <c r="AA5">
        <v>591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AP5">
        <v>0</v>
      </c>
      <c r="AQ5">
        <v>0</v>
      </c>
      <c r="AR5">
        <v>0</v>
      </c>
      <c r="AS5">
        <v>0</v>
      </c>
      <c r="AT5">
        <v>0</v>
      </c>
      <c r="BT5">
        <v>294</v>
      </c>
      <c r="BU5">
        <v>10</v>
      </c>
      <c r="BV5">
        <v>76</v>
      </c>
      <c r="BW5">
        <v>79</v>
      </c>
      <c r="BX5">
        <v>68</v>
      </c>
      <c r="CD5">
        <v>107</v>
      </c>
      <c r="CE5">
        <v>142</v>
      </c>
      <c r="CF5" s="11">
        <v>133</v>
      </c>
      <c r="CG5" s="11">
        <v>136</v>
      </c>
      <c r="CH5" s="11">
        <v>165</v>
      </c>
      <c r="CI5">
        <v>72</v>
      </c>
      <c r="CJ5">
        <v>98</v>
      </c>
      <c r="CK5">
        <v>100</v>
      </c>
      <c r="CL5">
        <v>72</v>
      </c>
      <c r="CM5">
        <v>51</v>
      </c>
      <c r="CN5">
        <v>223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X6">
        <v>234</v>
      </c>
      <c r="Y6">
        <v>336</v>
      </c>
      <c r="Z6">
        <v>319</v>
      </c>
      <c r="AF6">
        <v>9.5</v>
      </c>
      <c r="AL6">
        <v>33</v>
      </c>
      <c r="AP6">
        <v>0</v>
      </c>
      <c r="AQ6">
        <v>0</v>
      </c>
      <c r="AR6">
        <v>0</v>
      </c>
      <c r="AS6">
        <v>0</v>
      </c>
      <c r="AT6">
        <v>0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D6">
        <v>108</v>
      </c>
      <c r="CE6">
        <f>22+25</f>
        <v>47</v>
      </c>
      <c r="CF6" s="11">
        <f>18+15</f>
        <v>33</v>
      </c>
      <c r="CG6" s="11">
        <f>17+6</f>
        <v>23</v>
      </c>
      <c r="CH6" s="11">
        <v>0</v>
      </c>
      <c r="CJ6">
        <v>19</v>
      </c>
      <c r="CK6">
        <v>25</v>
      </c>
      <c r="CL6">
        <v>30</v>
      </c>
      <c r="CM6">
        <v>31</v>
      </c>
      <c r="CN6">
        <v>56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B7">
        <v>4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L7">
        <v>9.3000000000000007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X7">
        <v>366</v>
      </c>
      <c r="Y7">
        <v>216</v>
      </c>
      <c r="Z7">
        <v>91</v>
      </c>
      <c r="AA7">
        <v>11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P7">
        <v>0</v>
      </c>
      <c r="AQ7">
        <v>0</v>
      </c>
      <c r="AR7">
        <v>0</v>
      </c>
      <c r="AS7">
        <v>0</v>
      </c>
      <c r="AT7">
        <v>0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O7">
        <v>31</v>
      </c>
      <c r="BP7">
        <v>34</v>
      </c>
      <c r="BQ7">
        <v>32</v>
      </c>
      <c r="BR7">
        <v>30</v>
      </c>
      <c r="BS7">
        <v>15</v>
      </c>
      <c r="BT7">
        <v>21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D7">
        <v>55</v>
      </c>
      <c r="CE7">
        <v>96</v>
      </c>
      <c r="CF7" s="11">
        <v>78</v>
      </c>
      <c r="CG7" s="11">
        <v>113</v>
      </c>
      <c r="CH7" s="11">
        <v>104</v>
      </c>
      <c r="CI7" s="11">
        <v>14</v>
      </c>
      <c r="CJ7">
        <v>14</v>
      </c>
      <c r="CK7">
        <v>22</v>
      </c>
      <c r="CL7">
        <v>46</v>
      </c>
      <c r="CM7">
        <v>56</v>
      </c>
      <c r="CN7">
        <v>67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104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v>1255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251.3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X8">
        <f>SUM(X3:X7)</f>
        <v>731</v>
      </c>
      <c r="Y8">
        <f>SUM(Y3:Y7)</f>
        <v>774</v>
      </c>
      <c r="Z8">
        <f>SUM(Z3:Z7)</f>
        <v>719</v>
      </c>
      <c r="AA8">
        <f>SUM(AA3:AA7)</f>
        <v>698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17.899999999999999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P8">
        <f>SUM(AP3:AP7)</f>
        <v>0.8</v>
      </c>
      <c r="AQ8">
        <f t="shared" ref="AQ8:AT8" si="25">SUM(AQ3:AQ7)</f>
        <v>0.9</v>
      </c>
      <c r="AR8">
        <f t="shared" si="25"/>
        <v>9.1</v>
      </c>
      <c r="AS8">
        <f t="shared" si="25"/>
        <v>0</v>
      </c>
      <c r="AT8">
        <f t="shared" si="25"/>
        <v>0</v>
      </c>
      <c r="AU8">
        <f>SUM(AU3:AU7)</f>
        <v>255</v>
      </c>
      <c r="AV8">
        <f t="shared" ref="AV8" si="26">SUM(AV3:AV7)</f>
        <v>349</v>
      </c>
      <c r="AW8">
        <f t="shared" ref="AW8" si="27">SUM(AW3:AW7)</f>
        <v>408</v>
      </c>
      <c r="AX8">
        <f t="shared" ref="AX8" si="28">SUM(AX3:AX7)</f>
        <v>438</v>
      </c>
      <c r="AY8">
        <f t="shared" ref="AY8" si="29">SUM(AY3:AY7)</f>
        <v>427</v>
      </c>
      <c r="AZ8">
        <f>SUM(AZ3:AZ7)</f>
        <v>0</v>
      </c>
      <c r="BA8">
        <f t="shared" ref="BA8" si="30">SUM(BA3:BA7)</f>
        <v>583</v>
      </c>
      <c r="BB8">
        <f t="shared" ref="BB8" si="31">SUM(BB3:BB7)</f>
        <v>552</v>
      </c>
      <c r="BC8">
        <f t="shared" ref="BC8" si="32">SUM(BC3:BC7)</f>
        <v>597</v>
      </c>
      <c r="BD8">
        <f t="shared" ref="BD8" si="33">SUM(BD3:BD7)</f>
        <v>534</v>
      </c>
      <c r="BE8">
        <f>SUM(BE3:BE7)</f>
        <v>0</v>
      </c>
      <c r="BF8">
        <f t="shared" ref="BF8" si="34">SUM(BF3:BF7)</f>
        <v>10.100000000000001</v>
      </c>
      <c r="BG8">
        <f t="shared" ref="BG8" si="35">SUM(BG3:BG7)</f>
        <v>12.3</v>
      </c>
      <c r="BH8">
        <f t="shared" ref="BH8" si="36">SUM(BH3:BH7)</f>
        <v>17.399999999999999</v>
      </c>
      <c r="BI8">
        <f t="shared" ref="BI8" si="37">SUM(BI3:BI7)</f>
        <v>15.4</v>
      </c>
      <c r="BJ8">
        <f>SUM(BJ3:BJ7)</f>
        <v>453</v>
      </c>
      <c r="BK8">
        <f t="shared" ref="BK8" si="38">SUM(BK3:BK7)</f>
        <v>456</v>
      </c>
      <c r="BL8">
        <f t="shared" ref="BL8" si="39">SUM(BL3:BL7)</f>
        <v>347</v>
      </c>
      <c r="BM8">
        <f t="shared" ref="BM8" si="40">SUM(BM3:BM7)</f>
        <v>332</v>
      </c>
      <c r="BN8">
        <f t="shared" ref="BN8" si="41">SUM(BN3:BN7)</f>
        <v>349</v>
      </c>
      <c r="BO8">
        <f>SUM(BO3:BO7)</f>
        <v>61.4</v>
      </c>
      <c r="BP8">
        <f t="shared" ref="BP8" si="42">SUM(BP3:BP7)</f>
        <v>65.2</v>
      </c>
      <c r="BQ8">
        <f t="shared" ref="BQ8" si="43">SUM(BQ3:BQ7)</f>
        <v>72.400000000000006</v>
      </c>
      <c r="BR8">
        <f t="shared" ref="BR8" si="44">SUM(BR3:BR7)</f>
        <v>58.4</v>
      </c>
      <c r="BS8">
        <f t="shared" ref="BS8" si="45">SUM(BS3:BS7)</f>
        <v>41.400000000000006</v>
      </c>
      <c r="BT8">
        <f>SUM(BT3:BT7)</f>
        <v>438</v>
      </c>
      <c r="BU8">
        <f t="shared" ref="BU8" si="46">SUM(BU3:BU7)</f>
        <v>326</v>
      </c>
      <c r="BV8">
        <f t="shared" ref="BV8" si="47">SUM(BV3:BV7)</f>
        <v>346</v>
      </c>
      <c r="BW8">
        <f t="shared" ref="BW8" si="48">SUM(BW3:BW7)</f>
        <v>332</v>
      </c>
      <c r="BX8">
        <f t="shared" ref="BX8" si="49">SUM(BX3:BX7)</f>
        <v>196</v>
      </c>
      <c r="BY8">
        <f>SUM(BY3:BY7)</f>
        <v>151</v>
      </c>
      <c r="BZ8">
        <f t="shared" ref="BZ8" si="50">SUM(BZ3:BZ7)</f>
        <v>160</v>
      </c>
      <c r="CA8">
        <f t="shared" ref="CA8" si="51">SUM(CA3:CA7)</f>
        <v>181</v>
      </c>
      <c r="CB8">
        <f t="shared" ref="CB8" si="52">SUM(CB3:CB7)</f>
        <v>272</v>
      </c>
      <c r="CC8">
        <f t="shared" ref="CC8" si="53">SUM(CC3:CC7)</f>
        <v>242</v>
      </c>
      <c r="CD8">
        <f>SUM(CD3:CD7)</f>
        <v>418</v>
      </c>
      <c r="CE8">
        <f t="shared" ref="CE8" si="54">SUM(CE3:CE7)</f>
        <v>440</v>
      </c>
      <c r="CF8">
        <f t="shared" ref="CF8" si="55">SUM(CF3:CF7)</f>
        <v>353</v>
      </c>
      <c r="CG8">
        <f t="shared" ref="CG8" si="56">SUM(CG3:CG7)</f>
        <v>357</v>
      </c>
      <c r="CH8">
        <f t="shared" ref="CH8" si="57">SUM(CH3:CH7)</f>
        <v>338</v>
      </c>
      <c r="CI8">
        <f>SUM(CI3:CI7)</f>
        <v>491</v>
      </c>
      <c r="CJ8">
        <f t="shared" ref="CJ8" si="58">SUM(CJ3:CJ7)</f>
        <v>517</v>
      </c>
      <c r="CK8">
        <f t="shared" ref="CK8" si="59">SUM(CK3:CK7)</f>
        <v>479</v>
      </c>
      <c r="CL8">
        <f t="shared" ref="CL8" si="60">SUM(CL3:CL7)</f>
        <v>361</v>
      </c>
      <c r="CM8">
        <f t="shared" ref="CM8" si="61">SUM(CM3:CM7)</f>
        <v>355</v>
      </c>
      <c r="CN8">
        <f>SUM(CN3:CN7)+CN9</f>
        <v>631</v>
      </c>
      <c r="CO8">
        <f t="shared" ref="CO8" si="62">SUM(CO3:CO7)</f>
        <v>627</v>
      </c>
      <c r="CP8">
        <f t="shared" ref="CP8" si="63">SUM(CP3:CP7)</f>
        <v>681</v>
      </c>
      <c r="CQ8">
        <f t="shared" ref="CQ8" si="64">SUM(CQ3:CQ7)</f>
        <v>824</v>
      </c>
      <c r="CR8">
        <f t="shared" ref="CR8" si="65">SUM(CR3:CR7)</f>
        <v>557</v>
      </c>
      <c r="CS8">
        <f>SUM(CS3:CS7)</f>
        <v>0</v>
      </c>
      <c r="CT8">
        <f t="shared" ref="CT8" si="66">SUM(CT3:CT7)</f>
        <v>16.3</v>
      </c>
      <c r="CU8">
        <f t="shared" ref="CU8" si="67">SUM(CU3:CU7)</f>
        <v>18.5</v>
      </c>
      <c r="CV8">
        <f t="shared" ref="CV8" si="68">SUM(CV3:CV7)</f>
        <v>18.399999999999999</v>
      </c>
      <c r="CW8">
        <f t="shared" ref="CW8" si="69">SUM(CW3:CW7)</f>
        <v>12.7</v>
      </c>
      <c r="CX8">
        <f>SUM(CX3:CX7)</f>
        <v>20.3</v>
      </c>
      <c r="CY8">
        <f t="shared" ref="CY8" si="70">SUM(CY3:CY7)</f>
        <v>3.3</v>
      </c>
      <c r="CZ8">
        <f t="shared" ref="CZ8" si="71">SUM(CZ3:CZ7)</f>
        <v>12.3</v>
      </c>
      <c r="DA8">
        <f t="shared" ref="DA8" si="72">SUM(DA3:DA7)</f>
        <v>8.1999999999999993</v>
      </c>
      <c r="DB8">
        <f t="shared" ref="DB8" si="73">SUM(DB3:DB7)</f>
        <v>9.1999999999999993</v>
      </c>
      <c r="DC8">
        <f>SUM(DC3:DC7)</f>
        <v>0</v>
      </c>
      <c r="DD8">
        <f t="shared" ref="DD8" si="74">SUM(DD3:DD7)</f>
        <v>17.799999999999997</v>
      </c>
      <c r="DE8">
        <f t="shared" ref="DE8" si="75">SUM(DE3:DE7)</f>
        <v>20.6</v>
      </c>
      <c r="DF8">
        <f t="shared" ref="DF8" si="76">SUM(DF3:DF7)</f>
        <v>21.7</v>
      </c>
      <c r="DG8">
        <f t="shared" ref="DG8" si="77">SUM(DG3:DG7)</f>
        <v>21.7</v>
      </c>
    </row>
    <row r="9" spans="1:111" x14ac:dyDescent="0.3">
      <c r="A9" s="17"/>
    </row>
    <row r="10" spans="1:111" x14ac:dyDescent="0.3">
      <c r="A10" t="s">
        <v>38</v>
      </c>
      <c r="B10">
        <f>B11-B12+B13</f>
        <v>7</v>
      </c>
      <c r="C10">
        <f>C11-C12+C13</f>
        <v>3</v>
      </c>
      <c r="D10">
        <f t="shared" ref="D10:F10" si="78">D11-D12+D13</f>
        <v>22</v>
      </c>
      <c r="E10">
        <f t="shared" si="78"/>
        <v>3</v>
      </c>
      <c r="F10">
        <f t="shared" si="78"/>
        <v>-9</v>
      </c>
      <c r="G10">
        <f>G11-G12+G13</f>
        <v>-212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9">N11-N12+N13</f>
        <v>65</v>
      </c>
      <c r="O10">
        <f t="shared" si="79"/>
        <v>134</v>
      </c>
      <c r="P10">
        <f t="shared" si="79"/>
        <v>111</v>
      </c>
      <c r="R10">
        <f>R11-R12+R13</f>
        <v>1</v>
      </c>
      <c r="S10">
        <f t="shared" ref="S10" si="80">S11-S12+S13</f>
        <v>37</v>
      </c>
      <c r="T10">
        <f t="shared" ref="T10" si="81">T11-T12+T13</f>
        <v>-13</v>
      </c>
      <c r="U10">
        <f t="shared" ref="U10" si="82">U11-U12+U13</f>
        <v>39</v>
      </c>
      <c r="X10">
        <f t="shared" ref="X10:Z10" si="83">X11-X12+X13</f>
        <v>-20</v>
      </c>
      <c r="Y10">
        <f t="shared" si="83"/>
        <v>13</v>
      </c>
      <c r="Z10">
        <f t="shared" si="83"/>
        <v>51</v>
      </c>
      <c r="AA10">
        <f>AA11-AA12+AA13</f>
        <v>248</v>
      </c>
      <c r="AB10">
        <f>AB11-AB12+AB13</f>
        <v>164</v>
      </c>
      <c r="AC10">
        <f t="shared" ref="AC10" si="84">AC11-AC12+AC13</f>
        <v>178</v>
      </c>
      <c r="AD10">
        <f t="shared" ref="AD10" si="85">AD11-AD12+AD13</f>
        <v>40</v>
      </c>
      <c r="AE10">
        <f t="shared" ref="AE10" si="86">AE11-AE12+AE13</f>
        <v>-18</v>
      </c>
      <c r="AF10">
        <f>AF11-AF12+AF13</f>
        <v>60</v>
      </c>
      <c r="AG10">
        <f>AG11-AG12+AG13</f>
        <v>64</v>
      </c>
      <c r="AH10">
        <f t="shared" ref="AH10" si="87">AH11-AH12+AH13</f>
        <v>22</v>
      </c>
      <c r="AI10">
        <f t="shared" ref="AI10" si="88">AI11-AI12+AI13</f>
        <v>24</v>
      </c>
      <c r="AJ10">
        <f t="shared" ref="AJ10" si="89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P10">
        <f>AP11-AP12+AP13</f>
        <v>37</v>
      </c>
      <c r="AQ10">
        <f>AQ11-AQ12+AQ13</f>
        <v>26</v>
      </c>
      <c r="AR10">
        <f>AR11-AR12+AR13</f>
        <v>4.5</v>
      </c>
      <c r="AS10">
        <f t="shared" ref="AS10:AT10" si="90">AS11-AS12+AS13</f>
        <v>1.8000000000000007</v>
      </c>
      <c r="AT10">
        <f t="shared" si="90"/>
        <v>6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91">BI11-BI12+BI13</f>
        <v>9</v>
      </c>
      <c r="BJ10">
        <f t="shared" si="91"/>
        <v>155</v>
      </c>
      <c r="BK10">
        <f t="shared" si="91"/>
        <v>33</v>
      </c>
      <c r="BL10">
        <f t="shared" si="91"/>
        <v>173</v>
      </c>
      <c r="BM10">
        <f t="shared" si="91"/>
        <v>130</v>
      </c>
      <c r="BN10">
        <f t="shared" si="91"/>
        <v>158</v>
      </c>
      <c r="BO10">
        <f>BO11-BO12+BO13</f>
        <v>-0.79999999999999982</v>
      </c>
      <c r="BP10">
        <f>BP11-BP12+BP13</f>
        <v>49.3</v>
      </c>
      <c r="BQ10">
        <f t="shared" ref="BQ10:BS10" si="92">BQ11-BQ12+BQ13</f>
        <v>20</v>
      </c>
      <c r="BR10">
        <f t="shared" si="92"/>
        <v>29</v>
      </c>
      <c r="BS10">
        <f t="shared" si="92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D10">
        <f>CD11-CD12+CD13</f>
        <v>192</v>
      </c>
      <c r="CE10" s="11">
        <f>CE11-CE12+CE13</f>
        <v>194</v>
      </c>
      <c r="CF10" s="11">
        <f t="shared" ref="CF10" si="93">CF11-CF12+CF13</f>
        <v>214</v>
      </c>
      <c r="CG10" s="11">
        <f t="shared" ref="CG10" si="94">CG11-CG12+CG13</f>
        <v>9</v>
      </c>
      <c r="CH10" s="11">
        <f t="shared" ref="CH10" si="95">CH11-CH12+CH13</f>
        <v>204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N10">
        <f>CN11-CN12+CN13</f>
        <v>-11</v>
      </c>
      <c r="CO10">
        <f>CO11-CO12+CO13</f>
        <v>24</v>
      </c>
      <c r="CP10">
        <f t="shared" ref="CP10" si="96">CP11-CP12+CP13</f>
        <v>84</v>
      </c>
      <c r="CQ10">
        <f t="shared" ref="CQ10" si="97">CQ11-CQ12+CQ13</f>
        <v>71</v>
      </c>
      <c r="CR10">
        <f t="shared" ref="CR10" si="98">CR11-CR12+CR13</f>
        <v>119</v>
      </c>
      <c r="CT10">
        <f t="shared" ref="CT10:CY10" si="99">CT11-CT12+CT13</f>
        <v>14.000000000000005</v>
      </c>
      <c r="CU10">
        <f t="shared" si="99"/>
        <v>32.6</v>
      </c>
      <c r="CV10">
        <f t="shared" si="99"/>
        <v>4.26</v>
      </c>
      <c r="CW10">
        <f t="shared" si="99"/>
        <v>3.5</v>
      </c>
      <c r="CX10">
        <f t="shared" si="99"/>
        <v>59.8</v>
      </c>
      <c r="CY10">
        <f t="shared" si="99"/>
        <v>3.3000000000000007</v>
      </c>
      <c r="CZ10">
        <f t="shared" ref="CZ10:DD10" si="100">CZ11-CZ12+CZ13</f>
        <v>-2.6999999999999993</v>
      </c>
      <c r="DA10">
        <f t="shared" si="100"/>
        <v>1.2000000000000011</v>
      </c>
      <c r="DB10">
        <f t="shared" si="100"/>
        <v>1</v>
      </c>
      <c r="DD10">
        <f t="shared" si="100"/>
        <v>14</v>
      </c>
      <c r="DE10">
        <f t="shared" ref="DE10" si="101">DE11-DE12+DE13</f>
        <v>17</v>
      </c>
      <c r="DF10">
        <f t="shared" ref="DF10" si="102">DF11-DF12+DF13</f>
        <v>5</v>
      </c>
      <c r="DG10">
        <f t="shared" ref="DG10" si="103">DG11-DG12+DG13</f>
        <v>4</v>
      </c>
    </row>
    <row r="11" spans="1:111" x14ac:dyDescent="0.3">
      <c r="A11" t="s">
        <v>103</v>
      </c>
      <c r="B11">
        <v>188</v>
      </c>
      <c r="C11">
        <v>125</v>
      </c>
      <c r="D11">
        <v>102</v>
      </c>
      <c r="E11">
        <v>47</v>
      </c>
      <c r="F11">
        <v>32</v>
      </c>
      <c r="G11">
        <f>336</f>
        <v>336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X11">
        <v>118</v>
      </c>
      <c r="Y11">
        <v>151</v>
      </c>
      <c r="Z11">
        <v>191</v>
      </c>
      <c r="AA11">
        <v>838</v>
      </c>
      <c r="AB11">
        <v>652</v>
      </c>
      <c r="AC11">
        <v>448</v>
      </c>
      <c r="AD11">
        <v>425</v>
      </c>
      <c r="AE11">
        <v>370</v>
      </c>
      <c r="AF11">
        <f>160+96</f>
        <v>256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22.8</v>
      </c>
      <c r="AT11">
        <v>25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O11">
        <v>98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N11">
        <v>345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B12">
        <v>197</v>
      </c>
      <c r="C12">
        <v>128</v>
      </c>
      <c r="D12">
        <v>95</v>
      </c>
      <c r="E12">
        <v>51</v>
      </c>
      <c r="F12">
        <v>43</v>
      </c>
      <c r="G12">
        <f>627</f>
        <v>627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X12">
        <f>121+6+11</f>
        <v>138</v>
      </c>
      <c r="Y12">
        <f>121+6+11</f>
        <v>138</v>
      </c>
      <c r="Z12">
        <f>116+24</f>
        <v>140</v>
      </c>
      <c r="AA12">
        <v>671</v>
      </c>
      <c r="AB12">
        <v>565</v>
      </c>
      <c r="AC12">
        <v>332</v>
      </c>
      <c r="AD12">
        <v>462</v>
      </c>
      <c r="AE12">
        <v>454</v>
      </c>
      <c r="AF12">
        <v>208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AP12">
        <f>99+22</f>
        <v>121</v>
      </c>
      <c r="AQ12">
        <f>84+14</f>
        <v>98</v>
      </c>
      <c r="AR12">
        <v>66</v>
      </c>
      <c r="AS12">
        <v>21</v>
      </c>
      <c r="AT12">
        <v>19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O12">
        <f>78+26</f>
        <v>104</v>
      </c>
      <c r="BP12">
        <v>58</v>
      </c>
      <c r="BQ12">
        <v>34</v>
      </c>
      <c r="BR12">
        <v>58</v>
      </c>
      <c r="BS12">
        <v>59</v>
      </c>
      <c r="CD12">
        <f>224+58</f>
        <v>282</v>
      </c>
      <c r="CE12">
        <v>171</v>
      </c>
      <c r="CF12">
        <v>218</v>
      </c>
      <c r="CG12">
        <v>263</v>
      </c>
      <c r="CH12">
        <v>235</v>
      </c>
      <c r="CN12">
        <f>342+73</f>
        <v>415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B13">
        <v>16</v>
      </c>
      <c r="C13">
        <v>6</v>
      </c>
      <c r="D13">
        <v>15</v>
      </c>
      <c r="E13">
        <v>7</v>
      </c>
      <c r="F13">
        <v>2</v>
      </c>
      <c r="G13">
        <v>79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A13">
        <v>81</v>
      </c>
      <c r="AB13">
        <v>77</v>
      </c>
      <c r="AC13">
        <v>62</v>
      </c>
      <c r="AD13">
        <v>77</v>
      </c>
      <c r="AE13">
        <v>66</v>
      </c>
      <c r="AF13">
        <v>12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6.5</v>
      </c>
      <c r="AS13">
        <v>0</v>
      </c>
      <c r="AT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O13">
        <v>5.2</v>
      </c>
      <c r="BP13">
        <f>3.3+7</f>
        <v>10.3</v>
      </c>
      <c r="BQ13">
        <f>4+3</f>
        <v>7</v>
      </c>
      <c r="BR13">
        <v>1</v>
      </c>
      <c r="BS13">
        <v>6</v>
      </c>
      <c r="CD13">
        <f>47+3</f>
        <v>50</v>
      </c>
      <c r="CE13" s="11">
        <f>20+3</f>
        <v>23</v>
      </c>
      <c r="CF13" s="11">
        <f>22+3</f>
        <v>25</v>
      </c>
      <c r="CG13" s="11">
        <f>30+2</f>
        <v>32</v>
      </c>
      <c r="CH13" s="11">
        <f>37+2</f>
        <v>39</v>
      </c>
      <c r="CN13">
        <v>59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4">+AV25</f>
        <v>0</v>
      </c>
      <c r="AW17">
        <f t="shared" si="104"/>
        <v>0</v>
      </c>
      <c r="AX17">
        <f t="shared" si="104"/>
        <v>0</v>
      </c>
      <c r="AY17">
        <f t="shared" si="104"/>
        <v>0</v>
      </c>
      <c r="BY17">
        <f>+BY25</f>
        <v>0</v>
      </c>
      <c r="BZ17">
        <f>+BZ25</f>
        <v>0</v>
      </c>
      <c r="CA17">
        <f t="shared" ref="CA17:CB17" si="105">+CA25</f>
        <v>0</v>
      </c>
      <c r="CB17">
        <f t="shared" si="105"/>
        <v>0</v>
      </c>
      <c r="CC17">
        <f t="shared" ref="CC17" si="106">+CC25</f>
        <v>0</v>
      </c>
    </row>
    <row r="18" spans="1:111" x14ac:dyDescent="0.3">
      <c r="A18" t="s">
        <v>72</v>
      </c>
      <c r="B18">
        <f>Painel!B11</f>
        <v>188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336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513.4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142</v>
      </c>
      <c r="X18">
        <f>Painel!X11</f>
        <v>118</v>
      </c>
      <c r="Y18">
        <f>Painel!Y11</f>
        <v>151</v>
      </c>
      <c r="Z18">
        <f>Painel!Z11</f>
        <v>191</v>
      </c>
      <c r="AA18">
        <f>Painel!AA11</f>
        <v>838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160.1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158</v>
      </c>
      <c r="AQ18">
        <f>Painel!AQ11</f>
        <v>124</v>
      </c>
      <c r="AR18">
        <f>Painel!AR11</f>
        <v>64</v>
      </c>
      <c r="AS18">
        <f>Painel!AS11</f>
        <v>21</v>
      </c>
      <c r="AT18">
        <f>Painel!AT11</f>
        <v>21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90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374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424</v>
      </c>
      <c r="CE18">
        <f>Painel!CE11</f>
        <v>342</v>
      </c>
      <c r="CF18">
        <f>Painel!CF11</f>
        <v>407</v>
      </c>
      <c r="CG18">
        <f>Painel!CG11</f>
        <v>240</v>
      </c>
      <c r="CH18">
        <f>Painel!CH11</f>
        <v>400</v>
      </c>
      <c r="CI18">
        <f>Painel!CI11</f>
        <v>669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345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92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216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133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64.399999999999991</v>
      </c>
      <c r="Y20">
        <f>Painel!Y12</f>
        <v>71.599999999999994</v>
      </c>
      <c r="Z20">
        <f>Painel!Z12</f>
        <v>74</v>
      </c>
      <c r="AA20">
        <f>Painel!AA12</f>
        <v>261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119.1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99</v>
      </c>
      <c r="AQ20">
        <f>Painel!AQ12</f>
        <v>84</v>
      </c>
      <c r="AR20">
        <f>Painel!AR12</f>
        <v>66</v>
      </c>
      <c r="AS20">
        <f>Painel!AS12</f>
        <v>20</v>
      </c>
      <c r="AT20">
        <f>Painel!AT12</f>
        <v>18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50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196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171.5</v>
      </c>
      <c r="CE20">
        <f>Painel!CE12</f>
        <v>136</v>
      </c>
      <c r="CF20">
        <f>Painel!CF12</f>
        <v>133</v>
      </c>
      <c r="CG20">
        <f>Painel!CG12</f>
        <v>137</v>
      </c>
      <c r="CH20">
        <f>Painel!CH12</f>
        <v>166</v>
      </c>
      <c r="CI20">
        <f>Painel!CI12</f>
        <v>266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160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7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8">(LN(21)-LN(B45))/LN(21)</f>
        <v>0.36084880671453018</v>
      </c>
      <c r="H45" s="19">
        <f t="shared" si="107"/>
        <v>1</v>
      </c>
      <c r="I45" s="19">
        <f t="shared" ref="I45" si="109">(LN(21)-LN(D45))/LN(21)</f>
        <v>0.63915119328546977</v>
      </c>
      <c r="J45" s="19">
        <f t="shared" ref="J45" si="110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11">(LN(21)-LN(C63))/LN(21)</f>
        <v>0.27830238657093959</v>
      </c>
      <c r="I63">
        <f t="shared" si="111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F8 AA8:AO8 AU8:CM8 H8:W8 CO8:DG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sheetPr codeName="Planilha10"/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</vt:lpstr>
      <vt:lpstr>Caixa</vt:lpstr>
      <vt:lpstr>Índices</vt:lpstr>
      <vt:lpstr>Painel</vt:lpstr>
      <vt:lpstr>Painel_Cte</vt:lpstr>
      <vt:lpstr>Painel_Cte (2)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2024-05-01T05:34:07Z</dcterms:modified>
</cp:coreProperties>
</file>