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degef.antunes\Desktop\JoséAmérico\Python_Projects\Financials\"/>
    </mc:Choice>
  </mc:AlternateContent>
  <xr:revisionPtr revIDLastSave="0" documentId="13_ncr:1_{0DBAB371-6F71-4130-ACDD-0A24141EA0C3}" xr6:coauthVersionLast="47" xr6:coauthVersionMax="47" xr10:uidLastSave="{00000000-0000-0000-0000-000000000000}"/>
  <bookViews>
    <workbookView xWindow="-108" yWindow="-108" windowWidth="23256" windowHeight="12576" activeTab="6" xr2:uid="{9BC0B171-694A-49A6-A38F-2F39D1AB5A87}"/>
  </bookViews>
  <sheets>
    <sheet name="Resultado" sheetId="1" r:id="rId1"/>
    <sheet name="Caixa" sheetId="4" r:id="rId2"/>
    <sheet name="Índices" sheetId="2" r:id="rId3"/>
    <sheet name="Painel" sheetId="5" r:id="rId4"/>
    <sheet name="Painel_Cte" sheetId="7" r:id="rId5"/>
    <sheet name="Planilha1" sheetId="3" r:id="rId6"/>
    <sheet name="Transparência" sheetId="8" r:id="rId7"/>
    <sheet name="Transparência (2)" sheetId="9" r:id="rId8"/>
    <sheet name="IPC" sheetId="6" r:id="rId9"/>
  </sheets>
  <definedNames>
    <definedName name="_xlnm._FilterDatabase" localSheetId="2" hidden="1">Índices!$A$1:$T$39</definedName>
    <definedName name="_xlnm._FilterDatabase" localSheetId="5" hidden="1">Planilha1!$A$44:$A$45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0" i="7" l="1"/>
  <c r="AU3" i="5"/>
  <c r="Q49" i="2"/>
  <c r="Q48" i="2"/>
  <c r="Q2" i="2"/>
  <c r="K49" i="2"/>
  <c r="K48" i="2"/>
  <c r="K6" i="2"/>
  <c r="K2" i="2"/>
  <c r="AU31" i="7"/>
  <c r="AY31" i="7"/>
  <c r="AX31" i="7"/>
  <c r="AW31" i="7"/>
  <c r="AV31" i="7"/>
  <c r="Q54" i="2"/>
  <c r="K54" i="2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AV35" i="5"/>
  <c r="AW35" i="5"/>
  <c r="AX35" i="5"/>
  <c r="AY35" i="5"/>
  <c r="BZ20" i="3"/>
  <c r="BY20" i="3"/>
  <c r="BY33" i="3"/>
  <c r="AV19" i="3"/>
  <c r="AU19" i="3"/>
  <c r="AY19" i="3"/>
  <c r="AX19" i="3"/>
  <c r="AW19" i="3"/>
  <c r="AV17" i="3"/>
  <c r="AW17" i="3"/>
  <c r="AX17" i="3"/>
  <c r="AY17" i="3"/>
  <c r="AU17" i="3"/>
  <c r="K53" i="2"/>
  <c r="Q53" i="2"/>
  <c r="CC22" i="3"/>
  <c r="CB22" i="3"/>
  <c r="CA22" i="3"/>
  <c r="BZ22" i="3"/>
  <c r="BY22" i="3"/>
  <c r="CB20" i="3"/>
  <c r="CA20" i="3"/>
  <c r="CC20" i="3"/>
  <c r="CC17" i="3"/>
  <c r="CC19" i="3"/>
  <c r="CA17" i="3"/>
  <c r="CB17" i="3"/>
  <c r="CB19" i="3"/>
  <c r="CA19" i="3"/>
  <c r="BZ17" i="3"/>
  <c r="BY17" i="3"/>
  <c r="BZ19" i="3"/>
  <c r="BY19" i="3"/>
  <c r="C20" i="3"/>
  <c r="D20" i="3"/>
  <c r="E20" i="3"/>
  <c r="F20" i="3"/>
  <c r="G20" i="3"/>
  <c r="H20" i="3"/>
  <c r="I20" i="3"/>
  <c r="J20" i="3"/>
  <c r="K20" i="3"/>
  <c r="L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K20" i="3"/>
  <c r="AL20" i="3"/>
  <c r="AM20" i="3"/>
  <c r="AN20" i="3"/>
  <c r="AP20" i="3"/>
  <c r="AQ20" i="3"/>
  <c r="AR20" i="3"/>
  <c r="AS20" i="3"/>
  <c r="AT20" i="3"/>
  <c r="AZ20" i="3"/>
  <c r="BC20" i="3"/>
  <c r="BE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CD20" i="3"/>
  <c r="CI20" i="3"/>
  <c r="CN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B20" i="3"/>
  <c r="B18" i="3"/>
  <c r="K52" i="2"/>
  <c r="K51" i="2"/>
  <c r="Q52" i="2"/>
  <c r="Q51" i="2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K8" i="3"/>
  <c r="AI8" i="3"/>
  <c r="AF8" i="3"/>
  <c r="AE8" i="3"/>
  <c r="AD8" i="3"/>
  <c r="AC8" i="3"/>
  <c r="AB8" i="3"/>
  <c r="AA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C8" i="3"/>
  <c r="D8" i="3"/>
  <c r="E8" i="3"/>
  <c r="F8" i="3"/>
  <c r="B8" i="3"/>
  <c r="CC31" i="3" l="1"/>
  <c r="CA31" i="3"/>
  <c r="CA23" i="3"/>
  <c r="CB31" i="3"/>
  <c r="CB23" i="3"/>
  <c r="BZ31" i="3"/>
  <c r="BY31" i="3"/>
  <c r="CC16" i="3"/>
  <c r="CC29" i="3" s="1"/>
  <c r="BZ23" i="3"/>
  <c r="CC23" i="3"/>
  <c r="CC28" i="3"/>
  <c r="BY23" i="3"/>
  <c r="BY14" i="7"/>
  <c r="BZ14" i="7"/>
  <c r="AU9" i="7"/>
  <c r="U28" i="2"/>
  <c r="V28" i="2"/>
  <c r="W28" i="2"/>
  <c r="F47" i="2"/>
  <c r="G47" i="2"/>
  <c r="H47" i="2"/>
  <c r="I47" i="2"/>
  <c r="J47" i="2"/>
  <c r="E47" i="2"/>
  <c r="D47" i="2"/>
  <c r="C47" i="2"/>
  <c r="B47" i="2"/>
  <c r="U47" i="2"/>
  <c r="V47" i="2"/>
  <c r="W47" i="2"/>
  <c r="CS18" i="5"/>
  <c r="CX18" i="5"/>
  <c r="DC18" i="5"/>
  <c r="DG18" i="5"/>
  <c r="DF18" i="5"/>
  <c r="DE18" i="5"/>
  <c r="DD18" i="5"/>
  <c r="CZ18" i="5"/>
  <c r="DA18" i="5"/>
  <c r="DB18" i="5"/>
  <c r="CY18" i="5"/>
  <c r="CU18" i="5"/>
  <c r="CV18" i="5"/>
  <c r="CW18" i="5"/>
  <c r="CT18" i="5"/>
  <c r="DD4" i="7"/>
  <c r="DE4" i="7"/>
  <c r="DF4" i="7"/>
  <c r="DG4" i="7"/>
  <c r="DD5" i="7"/>
  <c r="DE5" i="7"/>
  <c r="DF5" i="7"/>
  <c r="DG5" i="7"/>
  <c r="DD6" i="7"/>
  <c r="DE6" i="7"/>
  <c r="DF6" i="7"/>
  <c r="DG6" i="7"/>
  <c r="DD7" i="7"/>
  <c r="DE7" i="7"/>
  <c r="DF7" i="7"/>
  <c r="DG7" i="7"/>
  <c r="DD8" i="7"/>
  <c r="DE8" i="7"/>
  <c r="DF8" i="7"/>
  <c r="DG8" i="7"/>
  <c r="DD10" i="7"/>
  <c r="DE10" i="7"/>
  <c r="DF10" i="7"/>
  <c r="DG10" i="7"/>
  <c r="DD11" i="7"/>
  <c r="DE11" i="7"/>
  <c r="DF11" i="7"/>
  <c r="DG11" i="7"/>
  <c r="DD12" i="7"/>
  <c r="DE12" i="7"/>
  <c r="DF12" i="7"/>
  <c r="DG12" i="7"/>
  <c r="DD13" i="7"/>
  <c r="DE13" i="7"/>
  <c r="DF13" i="7"/>
  <c r="DG13" i="7"/>
  <c r="DD14" i="7"/>
  <c r="DE14" i="7"/>
  <c r="DF14" i="7"/>
  <c r="DG14" i="7"/>
  <c r="DD15" i="7"/>
  <c r="DE15" i="7"/>
  <c r="DF15" i="7"/>
  <c r="DG15" i="7"/>
  <c r="DD16" i="7"/>
  <c r="DE16" i="7"/>
  <c r="DF16" i="7"/>
  <c r="DG16" i="7"/>
  <c r="DE3" i="7"/>
  <c r="DF3" i="7"/>
  <c r="DG3" i="7"/>
  <c r="DD3" i="7"/>
  <c r="CY4" i="7"/>
  <c r="CZ4" i="7"/>
  <c r="DA4" i="7"/>
  <c r="DB4" i="7"/>
  <c r="CY5" i="7"/>
  <c r="CZ5" i="7"/>
  <c r="DA5" i="7"/>
  <c r="DB5" i="7"/>
  <c r="CY6" i="7"/>
  <c r="CZ6" i="7"/>
  <c r="DA6" i="7"/>
  <c r="DB6" i="7"/>
  <c r="CY7" i="7"/>
  <c r="CZ7" i="7"/>
  <c r="DA7" i="7"/>
  <c r="DB7" i="7"/>
  <c r="CY8" i="7"/>
  <c r="CZ8" i="7"/>
  <c r="DA8" i="7"/>
  <c r="DB8" i="7"/>
  <c r="CY10" i="7"/>
  <c r="CZ10" i="7"/>
  <c r="DA10" i="7"/>
  <c r="DB10" i="7"/>
  <c r="CY11" i="7"/>
  <c r="CZ11" i="7"/>
  <c r="DA11" i="7"/>
  <c r="DB11" i="7"/>
  <c r="CY12" i="7"/>
  <c r="CZ12" i="7"/>
  <c r="DA12" i="7"/>
  <c r="DB12" i="7"/>
  <c r="CY13" i="7"/>
  <c r="CZ13" i="7"/>
  <c r="DA13" i="7"/>
  <c r="DB13" i="7"/>
  <c r="CY14" i="7"/>
  <c r="CZ14" i="7"/>
  <c r="DA14" i="7"/>
  <c r="DB14" i="7"/>
  <c r="CY15" i="7"/>
  <c r="CZ15" i="7"/>
  <c r="DA15" i="7"/>
  <c r="DB15" i="7"/>
  <c r="CY16" i="7"/>
  <c r="CZ16" i="7"/>
  <c r="DA16" i="7"/>
  <c r="DB16" i="7"/>
  <c r="CZ3" i="7"/>
  <c r="DA3" i="7"/>
  <c r="DB3" i="7"/>
  <c r="CY3" i="7"/>
  <c r="CY9" i="7" s="1"/>
  <c r="CT4" i="7"/>
  <c r="CU4" i="7"/>
  <c r="CV4" i="7"/>
  <c r="CW4" i="7"/>
  <c r="CT5" i="7"/>
  <c r="CU5" i="7"/>
  <c r="CV5" i="7"/>
  <c r="CW5" i="7"/>
  <c r="CT6" i="7"/>
  <c r="CU6" i="7"/>
  <c r="CV6" i="7"/>
  <c r="CW6" i="7"/>
  <c r="CT7" i="7"/>
  <c r="CU7" i="7"/>
  <c r="CV7" i="7"/>
  <c r="CW7" i="7"/>
  <c r="CT8" i="7"/>
  <c r="CU8" i="7"/>
  <c r="CV8" i="7"/>
  <c r="CW8" i="7"/>
  <c r="CT10" i="7"/>
  <c r="CU10" i="7"/>
  <c r="CV10" i="7"/>
  <c r="CW10" i="7"/>
  <c r="CT11" i="7"/>
  <c r="CU11" i="7"/>
  <c r="CV11" i="7"/>
  <c r="CW11" i="7"/>
  <c r="CT12" i="7"/>
  <c r="CU12" i="7"/>
  <c r="CV12" i="7"/>
  <c r="CW12" i="7"/>
  <c r="CT13" i="7"/>
  <c r="CU13" i="7"/>
  <c r="CV13" i="7"/>
  <c r="CW13" i="7"/>
  <c r="CT14" i="7"/>
  <c r="CU14" i="7"/>
  <c r="CV14" i="7"/>
  <c r="CW14" i="7"/>
  <c r="CT15" i="7"/>
  <c r="CU15" i="7"/>
  <c r="CV15" i="7"/>
  <c r="CW15" i="7"/>
  <c r="CT16" i="7"/>
  <c r="CU16" i="7"/>
  <c r="CV16" i="7"/>
  <c r="CW16" i="7"/>
  <c r="CU3" i="7"/>
  <c r="CV3" i="7"/>
  <c r="CW3" i="7"/>
  <c r="CT3" i="7"/>
  <c r="H65" i="3"/>
  <c r="G65" i="3"/>
  <c r="H63" i="3"/>
  <c r="I63" i="3"/>
  <c r="G61" i="3"/>
  <c r="G63" i="3"/>
  <c r="DE10" i="3"/>
  <c r="DF10" i="3"/>
  <c r="DG10" i="3"/>
  <c r="DD10" i="3"/>
  <c r="F30" i="5"/>
  <c r="E30" i="5"/>
  <c r="D30" i="5"/>
  <c r="C30" i="5"/>
  <c r="K30" i="5"/>
  <c r="J30" i="5"/>
  <c r="I30" i="5"/>
  <c r="H30" i="5"/>
  <c r="P30" i="5"/>
  <c r="O30" i="5"/>
  <c r="N30" i="5"/>
  <c r="M30" i="5"/>
  <c r="AO30" i="5"/>
  <c r="AN30" i="5"/>
  <c r="AM30" i="5"/>
  <c r="AL30" i="5"/>
  <c r="BD30" i="5"/>
  <c r="BC30" i="5"/>
  <c r="BB30" i="5"/>
  <c r="BA30" i="5"/>
  <c r="BI30" i="5"/>
  <c r="BN30" i="5"/>
  <c r="BM30" i="5"/>
  <c r="BL30" i="5"/>
  <c r="BK30" i="5"/>
  <c r="BS30" i="5"/>
  <c r="BR30" i="5"/>
  <c r="BX30" i="5"/>
  <c r="BV30" i="5"/>
  <c r="BU30" i="5"/>
  <c r="CH30" i="5"/>
  <c r="CG30" i="5"/>
  <c r="CF30" i="5"/>
  <c r="CE30" i="5"/>
  <c r="CL30" i="5"/>
  <c r="CQ30" i="5"/>
  <c r="DB30" i="5"/>
  <c r="DA30" i="5"/>
  <c r="CZ30" i="5"/>
  <c r="CY30" i="5"/>
  <c r="CU30" i="5"/>
  <c r="CV30" i="5"/>
  <c r="CW30" i="5"/>
  <c r="CT30" i="5"/>
  <c r="CZ10" i="3"/>
  <c r="DA10" i="3"/>
  <c r="DB10" i="3"/>
  <c r="CY10" i="3"/>
  <c r="CU12" i="3"/>
  <c r="CU10" i="3" s="1"/>
  <c r="CT12" i="3"/>
  <c r="CT10" i="3" s="1"/>
  <c r="CW13" i="3"/>
  <c r="CW10" i="3" s="1"/>
  <c r="CV13" i="3"/>
  <c r="CV10" i="3" s="1"/>
  <c r="DG9" i="5"/>
  <c r="DF9" i="5"/>
  <c r="DE9" i="5"/>
  <c r="DD9" i="5"/>
  <c r="DB9" i="5"/>
  <c r="DA9" i="5"/>
  <c r="CZ9" i="5"/>
  <c r="CY9" i="5"/>
  <c r="CW9" i="5"/>
  <c r="CV9" i="5"/>
  <c r="CU9" i="5"/>
  <c r="CT9" i="5"/>
  <c r="CQ9" i="5"/>
  <c r="CL9" i="5"/>
  <c r="CH9" i="5"/>
  <c r="CG9" i="5"/>
  <c r="CF9" i="5"/>
  <c r="CE9" i="5"/>
  <c r="BX9" i="5"/>
  <c r="BV9" i="5"/>
  <c r="BU9" i="5"/>
  <c r="BS9" i="5"/>
  <c r="BR9" i="5"/>
  <c r="BN9" i="5"/>
  <c r="BM9" i="5"/>
  <c r="BL9" i="5"/>
  <c r="BK9" i="5"/>
  <c r="BI9" i="5"/>
  <c r="BD9" i="5"/>
  <c r="BC9" i="5"/>
  <c r="BB9" i="5"/>
  <c r="BA9" i="5"/>
  <c r="F9" i="5"/>
  <c r="E9" i="5"/>
  <c r="D9" i="5"/>
  <c r="C9" i="5"/>
  <c r="K9" i="5"/>
  <c r="J9" i="5"/>
  <c r="I9" i="5"/>
  <c r="H9" i="5"/>
  <c r="N9" i="5"/>
  <c r="M9" i="5"/>
  <c r="U9" i="5"/>
  <c r="T9" i="5"/>
  <c r="S9" i="5"/>
  <c r="R9" i="5"/>
  <c r="AE9" i="5"/>
  <c r="AD9" i="5"/>
  <c r="AC9" i="5"/>
  <c r="AB9" i="5"/>
  <c r="AH9" i="5"/>
  <c r="AI9" i="5"/>
  <c r="AJ9" i="5"/>
  <c r="AG9" i="5"/>
  <c r="AM9" i="5"/>
  <c r="AN9" i="5"/>
  <c r="AO9" i="5"/>
  <c r="AL9" i="5"/>
  <c r="CZ9" i="7" l="1"/>
  <c r="CW9" i="7"/>
  <c r="DB9" i="7"/>
  <c r="DG9" i="7"/>
  <c r="CV9" i="7"/>
  <c r="DF9" i="7"/>
  <c r="CU9" i="7"/>
  <c r="DA9" i="7"/>
  <c r="DE9" i="7"/>
  <c r="CT9" i="7"/>
  <c r="DD9" i="7"/>
  <c r="CC27" i="3"/>
  <c r="CR31" i="7"/>
  <c r="CQ31" i="7"/>
  <c r="CP31" i="7"/>
  <c r="CO31" i="7"/>
  <c r="CM31" i="7"/>
  <c r="CL31" i="7"/>
  <c r="CK31" i="7"/>
  <c r="CJ31" i="7"/>
  <c r="CH31" i="7"/>
  <c r="CG31" i="7"/>
  <c r="CF31" i="7"/>
  <c r="CE31" i="7"/>
  <c r="CC31" i="7"/>
  <c r="CB31" i="7"/>
  <c r="CA31" i="7"/>
  <c r="BZ31" i="7"/>
  <c r="BX31" i="7"/>
  <c r="BW31" i="7"/>
  <c r="BV31" i="7"/>
  <c r="BU31" i="7"/>
  <c r="BS31" i="7"/>
  <c r="BR31" i="7"/>
  <c r="BQ31" i="7"/>
  <c r="BP31" i="7"/>
  <c r="BN31" i="7"/>
  <c r="BM31" i="7"/>
  <c r="BL31" i="7"/>
  <c r="BK31" i="7"/>
  <c r="BI31" i="7"/>
  <c r="BH31" i="7"/>
  <c r="BG31" i="7"/>
  <c r="BF31" i="7"/>
  <c r="BD31" i="7"/>
  <c r="BC31" i="7"/>
  <c r="BB31" i="7"/>
  <c r="BA31" i="7"/>
  <c r="BP15" i="7"/>
  <c r="BQ15" i="7"/>
  <c r="BR15" i="7"/>
  <c r="BS15" i="7"/>
  <c r="BP16" i="7"/>
  <c r="BQ16" i="7"/>
  <c r="BR16" i="7"/>
  <c r="BS16" i="7"/>
  <c r="BF15" i="7"/>
  <c r="BG15" i="7"/>
  <c r="BH15" i="7"/>
  <c r="BI15" i="7"/>
  <c r="BF16" i="7"/>
  <c r="BG16" i="7"/>
  <c r="BH16" i="7"/>
  <c r="BI16" i="7"/>
  <c r="BA15" i="7"/>
  <c r="BB15" i="7"/>
  <c r="BC15" i="7"/>
  <c r="BD15" i="7"/>
  <c r="BA16" i="7"/>
  <c r="BB16" i="7"/>
  <c r="BC16" i="7"/>
  <c r="BD16" i="7"/>
  <c r="AU32" i="7"/>
  <c r="K31" i="7"/>
  <c r="J31" i="7"/>
  <c r="I31" i="7"/>
  <c r="H31" i="7"/>
  <c r="D31" i="7"/>
  <c r="E31" i="7"/>
  <c r="F31" i="7"/>
  <c r="C31" i="7"/>
  <c r="CP7" i="7"/>
  <c r="CQ7" i="7"/>
  <c r="CR7" i="7"/>
  <c r="CO7" i="7"/>
  <c r="CM7" i="7"/>
  <c r="CL7" i="7"/>
  <c r="CK7" i="7"/>
  <c r="CJ7" i="7"/>
  <c r="CC7" i="7"/>
  <c r="CB7" i="7"/>
  <c r="CA7" i="7"/>
  <c r="BZ7" i="7"/>
  <c r="BY7" i="7"/>
  <c r="BX7" i="7"/>
  <c r="BW7" i="7"/>
  <c r="BV7" i="7"/>
  <c r="BU7" i="7"/>
  <c r="BS7" i="7"/>
  <c r="BR7" i="7"/>
  <c r="BQ7" i="7"/>
  <c r="BP7" i="7"/>
  <c r="BI7" i="7"/>
  <c r="BH7" i="7"/>
  <c r="BG7" i="7"/>
  <c r="BF7" i="7"/>
  <c r="AY7" i="7"/>
  <c r="AX7" i="7"/>
  <c r="AW7" i="7"/>
  <c r="AV7" i="7"/>
  <c r="AU7" i="7"/>
  <c r="H45" i="3"/>
  <c r="I45" i="3"/>
  <c r="J45" i="3"/>
  <c r="H44" i="3"/>
  <c r="G45" i="3"/>
  <c r="G44" i="3"/>
  <c r="BY3" i="5" l="1"/>
  <c r="AB13" i="7"/>
  <c r="AC13" i="7"/>
  <c r="AD13" i="7"/>
  <c r="AE13" i="7"/>
  <c r="AB14" i="7"/>
  <c r="AC14" i="7"/>
  <c r="AD14" i="7"/>
  <c r="AE14" i="7"/>
  <c r="BA14" i="7"/>
  <c r="BB14" i="7"/>
  <c r="BC14" i="7"/>
  <c r="BD14" i="7"/>
  <c r="BF14" i="7"/>
  <c r="BG14" i="7"/>
  <c r="BH14" i="7"/>
  <c r="BI14" i="7"/>
  <c r="BK14" i="7"/>
  <c r="BL14" i="7"/>
  <c r="BM14" i="7"/>
  <c r="BN14" i="7"/>
  <c r="BP14" i="7"/>
  <c r="BQ14" i="7"/>
  <c r="BR14" i="7"/>
  <c r="BS14" i="7"/>
  <c r="BU14" i="7"/>
  <c r="BV14" i="7"/>
  <c r="BW14" i="7"/>
  <c r="BX14" i="7"/>
  <c r="BY32" i="7"/>
  <c r="CA14" i="7"/>
  <c r="CB14" i="7"/>
  <c r="CC14" i="7"/>
  <c r="CE14" i="7"/>
  <c r="CF14" i="7"/>
  <c r="CG14" i="7"/>
  <c r="CH14" i="7"/>
  <c r="CJ14" i="7"/>
  <c r="CK14" i="7"/>
  <c r="CL14" i="7"/>
  <c r="CM14" i="7"/>
  <c r="CO14" i="7"/>
  <c r="CP14" i="7"/>
  <c r="CQ14" i="7"/>
  <c r="CR14" i="7"/>
  <c r="C14" i="7"/>
  <c r="D14" i="7"/>
  <c r="E14" i="7"/>
  <c r="F14" i="7"/>
  <c r="H14" i="7"/>
  <c r="I14" i="7"/>
  <c r="J14" i="7"/>
  <c r="K14" i="7"/>
  <c r="M14" i="7"/>
  <c r="N14" i="7"/>
  <c r="O14" i="7"/>
  <c r="P14" i="7"/>
  <c r="R14" i="7"/>
  <c r="S14" i="7"/>
  <c r="T14" i="7"/>
  <c r="U14" i="7"/>
  <c r="AG14" i="7"/>
  <c r="AH14" i="7"/>
  <c r="AI14" i="7"/>
  <c r="AJ14" i="7"/>
  <c r="AL14" i="7"/>
  <c r="AM14" i="7"/>
  <c r="AN14" i="7"/>
  <c r="AO14" i="7"/>
  <c r="CR10" i="3"/>
  <c r="CQ10" i="3"/>
  <c r="CP10" i="3"/>
  <c r="CO13" i="3"/>
  <c r="CO12" i="3"/>
  <c r="CH10" i="3"/>
  <c r="CG10" i="3"/>
  <c r="CF10" i="3"/>
  <c r="CE10" i="3"/>
  <c r="BR10" i="3"/>
  <c r="BS10" i="3"/>
  <c r="BN10" i="3"/>
  <c r="BQ13" i="3"/>
  <c r="BQ10" i="3" s="1"/>
  <c r="BP13" i="3"/>
  <c r="BP10" i="3" s="1"/>
  <c r="BM10" i="3"/>
  <c r="BL10" i="3"/>
  <c r="BK10" i="3"/>
  <c r="BI10" i="3"/>
  <c r="BF10" i="3"/>
  <c r="BD10" i="3"/>
  <c r="BA10" i="3"/>
  <c r="AO10" i="3"/>
  <c r="AL10" i="3"/>
  <c r="AH12" i="3"/>
  <c r="AH10" i="3" s="1"/>
  <c r="AG12" i="3"/>
  <c r="AG10" i="3" s="1"/>
  <c r="AJ10" i="3"/>
  <c r="AI10" i="3"/>
  <c r="AE10" i="3"/>
  <c r="AD10" i="3"/>
  <c r="AC10" i="3"/>
  <c r="AB10" i="3"/>
  <c r="U10" i="3"/>
  <c r="T10" i="3"/>
  <c r="S10" i="3"/>
  <c r="R10" i="3"/>
  <c r="N10" i="3"/>
  <c r="O10" i="3"/>
  <c r="P10" i="3"/>
  <c r="M10" i="3"/>
  <c r="K12" i="3"/>
  <c r="K10" i="3" s="1"/>
  <c r="I12" i="3"/>
  <c r="H12" i="3"/>
  <c r="H10" i="3" s="1"/>
  <c r="D10" i="3"/>
  <c r="E10" i="3"/>
  <c r="F10" i="3"/>
  <c r="C10" i="3"/>
  <c r="CM10" i="3"/>
  <c r="CL10" i="3"/>
  <c r="AO5" i="3"/>
  <c r="AO8" i="3" s="1"/>
  <c r="AN5" i="3"/>
  <c r="AN8" i="3" s="1"/>
  <c r="AM3" i="3"/>
  <c r="AM8" i="3" s="1"/>
  <c r="AL3" i="3"/>
  <c r="AL8" i="3" s="1"/>
  <c r="AJ4" i="3"/>
  <c r="AJ8" i="3" s="1"/>
  <c r="AH4" i="3"/>
  <c r="AH8" i="3" s="1"/>
  <c r="AG4" i="3"/>
  <c r="AG8" i="3" s="1"/>
  <c r="Q23" i="1"/>
  <c r="K23" i="1"/>
  <c r="AV30" i="5"/>
  <c r="AW30" i="5"/>
  <c r="AX30" i="5"/>
  <c r="AY30" i="5"/>
  <c r="AU30" i="5"/>
  <c r="B24" i="7"/>
  <c r="G24" i="7"/>
  <c r="L24" i="7"/>
  <c r="Q24" i="7"/>
  <c r="V24" i="7"/>
  <c r="W24" i="7"/>
  <c r="X24" i="7"/>
  <c r="Y24" i="7"/>
  <c r="Z24" i="7"/>
  <c r="AA24" i="7"/>
  <c r="AF24" i="7"/>
  <c r="AK24" i="7"/>
  <c r="AP24" i="7"/>
  <c r="BE24" i="7"/>
  <c r="BJ24" i="7"/>
  <c r="BO24" i="7"/>
  <c r="BT24" i="7"/>
  <c r="CD24" i="7"/>
  <c r="CI24" i="7"/>
  <c r="CN24" i="7"/>
  <c r="AZ24" i="7"/>
  <c r="CP16" i="7"/>
  <c r="CQ16" i="7"/>
  <c r="CR16" i="7"/>
  <c r="CR15" i="7"/>
  <c r="CQ15" i="7"/>
  <c r="CP15" i="7"/>
  <c r="CP12" i="7"/>
  <c r="CQ12" i="7"/>
  <c r="CR12" i="7"/>
  <c r="CO13" i="7"/>
  <c r="CP13" i="7"/>
  <c r="CQ13" i="7"/>
  <c r="CR13" i="7"/>
  <c r="CR10" i="7"/>
  <c r="CQ10" i="7"/>
  <c r="CR8" i="7"/>
  <c r="CQ8" i="7"/>
  <c r="CP8" i="7"/>
  <c r="CO8" i="7"/>
  <c r="CP4" i="7"/>
  <c r="CQ4" i="7"/>
  <c r="CR4" i="7"/>
  <c r="CP5" i="7"/>
  <c r="CQ5" i="7"/>
  <c r="CR5" i="7"/>
  <c r="CP6" i="7"/>
  <c r="CQ6" i="7"/>
  <c r="CR6" i="7"/>
  <c r="CQ3" i="7"/>
  <c r="CJ16" i="7"/>
  <c r="CK16" i="7"/>
  <c r="CL16" i="7"/>
  <c r="CM16" i="7"/>
  <c r="CM15" i="7"/>
  <c r="CL15" i="7"/>
  <c r="CK15" i="7"/>
  <c r="CJ15" i="7"/>
  <c r="CJ11" i="7"/>
  <c r="CJ24" i="7" s="1"/>
  <c r="CK11" i="7"/>
  <c r="CK24" i="7" s="1"/>
  <c r="CL11" i="7"/>
  <c r="CL24" i="7" s="1"/>
  <c r="CM11" i="7"/>
  <c r="CM24" i="7" s="1"/>
  <c r="CJ13" i="7"/>
  <c r="CK13" i="7"/>
  <c r="CL13" i="7"/>
  <c r="CM13" i="7"/>
  <c r="CM10" i="7"/>
  <c r="CL10" i="7"/>
  <c r="CK10" i="7"/>
  <c r="CJ10" i="7"/>
  <c r="CM8" i="7"/>
  <c r="CL8" i="7"/>
  <c r="CK8" i="7"/>
  <c r="CJ8" i="7"/>
  <c r="CJ4" i="7"/>
  <c r="CK4" i="7"/>
  <c r="CL4" i="7"/>
  <c r="CM4" i="7"/>
  <c r="CJ5" i="7"/>
  <c r="CK5" i="7"/>
  <c r="CL5" i="7"/>
  <c r="CM5" i="7"/>
  <c r="CJ6" i="7"/>
  <c r="CK6" i="7"/>
  <c r="CL6" i="7"/>
  <c r="CM6" i="7"/>
  <c r="CL3" i="7"/>
  <c r="CE16" i="7"/>
  <c r="CF16" i="7"/>
  <c r="CG16" i="7"/>
  <c r="CH16" i="7"/>
  <c r="CH15" i="7"/>
  <c r="CG15" i="7"/>
  <c r="CF15" i="7"/>
  <c r="CE15" i="7"/>
  <c r="CE11" i="7"/>
  <c r="CE24" i="7" s="1"/>
  <c r="CF11" i="7"/>
  <c r="CF24" i="7" s="1"/>
  <c r="CG11" i="7"/>
  <c r="CG24" i="7" s="1"/>
  <c r="CH11" i="7"/>
  <c r="CH24" i="7" s="1"/>
  <c r="CE13" i="7"/>
  <c r="CF13" i="7"/>
  <c r="CG13" i="7"/>
  <c r="CH13" i="7"/>
  <c r="CH10" i="7"/>
  <c r="CG10" i="7"/>
  <c r="CF10" i="7"/>
  <c r="CE10" i="7"/>
  <c r="CE4" i="7"/>
  <c r="CF4" i="7"/>
  <c r="CG4" i="7"/>
  <c r="CH4" i="7"/>
  <c r="CE5" i="7"/>
  <c r="CF5" i="7"/>
  <c r="CG5" i="7"/>
  <c r="CH5" i="7"/>
  <c r="CF3" i="7"/>
  <c r="CG3" i="7"/>
  <c r="CH3" i="7"/>
  <c r="CE3" i="7"/>
  <c r="CC11" i="7"/>
  <c r="CC24" i="7" s="1"/>
  <c r="BZ15" i="7"/>
  <c r="CA15" i="7"/>
  <c r="CB15" i="7"/>
  <c r="CC15" i="7"/>
  <c r="BZ16" i="7"/>
  <c r="CA16" i="7"/>
  <c r="CB16" i="7"/>
  <c r="CC16" i="7"/>
  <c r="CC10" i="7"/>
  <c r="CB10" i="7"/>
  <c r="CA10" i="7"/>
  <c r="BZ10" i="7"/>
  <c r="CC8" i="7"/>
  <c r="CB8" i="7"/>
  <c r="CA8" i="7"/>
  <c r="BZ8" i="7"/>
  <c r="BZ4" i="7"/>
  <c r="CA4" i="7"/>
  <c r="CB4" i="7"/>
  <c r="CC4" i="7"/>
  <c r="BZ5" i="7"/>
  <c r="CA5" i="7"/>
  <c r="CB5" i="7"/>
  <c r="CC5" i="7"/>
  <c r="BZ6" i="7"/>
  <c r="CA6" i="7"/>
  <c r="CB6" i="7"/>
  <c r="CC6" i="7"/>
  <c r="BU16" i="7"/>
  <c r="BV16" i="7"/>
  <c r="BW16" i="7"/>
  <c r="BX16" i="7"/>
  <c r="BX15" i="7"/>
  <c r="BW15" i="7"/>
  <c r="BV15" i="7"/>
  <c r="BU15" i="7"/>
  <c r="BU10" i="7"/>
  <c r="BV10" i="7"/>
  <c r="BW10" i="7"/>
  <c r="BX10" i="7"/>
  <c r="BU11" i="7"/>
  <c r="BU24" i="7" s="1"/>
  <c r="BV11" i="7"/>
  <c r="BV24" i="7" s="1"/>
  <c r="BW11" i="7"/>
  <c r="BW24" i="7" s="1"/>
  <c r="BX11" i="7"/>
  <c r="BX24" i="7" s="1"/>
  <c r="BU12" i="7"/>
  <c r="BV12" i="7"/>
  <c r="BW12" i="7"/>
  <c r="BX12" i="7"/>
  <c r="BU13" i="7"/>
  <c r="BV13" i="7"/>
  <c r="BW13" i="7"/>
  <c r="BX13" i="7"/>
  <c r="BX8" i="7"/>
  <c r="BW8" i="7"/>
  <c r="BV8" i="7"/>
  <c r="BU8" i="7"/>
  <c r="BU4" i="7"/>
  <c r="BV4" i="7"/>
  <c r="BW4" i="7"/>
  <c r="BX4" i="7"/>
  <c r="BU5" i="7"/>
  <c r="BV5" i="7"/>
  <c r="BW5" i="7"/>
  <c r="BX5" i="7"/>
  <c r="BV3" i="7"/>
  <c r="BX3" i="7"/>
  <c r="BU3" i="7"/>
  <c r="BP10" i="7"/>
  <c r="BQ10" i="7"/>
  <c r="BR10" i="7"/>
  <c r="BS10" i="7"/>
  <c r="BP11" i="7"/>
  <c r="BP24" i="7" s="1"/>
  <c r="BQ11" i="7"/>
  <c r="BR11" i="7"/>
  <c r="BS11" i="7"/>
  <c r="BS24" i="7" s="1"/>
  <c r="BP12" i="7"/>
  <c r="BQ12" i="7"/>
  <c r="BR12" i="7"/>
  <c r="BS12" i="7"/>
  <c r="BP13" i="7"/>
  <c r="BQ13" i="7"/>
  <c r="BR13" i="7"/>
  <c r="BS13" i="7"/>
  <c r="BP4" i="7"/>
  <c r="BQ4" i="7"/>
  <c r="BR4" i="7"/>
  <c r="BS4" i="7"/>
  <c r="BP5" i="7"/>
  <c r="BQ5" i="7"/>
  <c r="BR5" i="7"/>
  <c r="BS5" i="7"/>
  <c r="BP6" i="7"/>
  <c r="BQ6" i="7"/>
  <c r="BR6" i="7"/>
  <c r="BS6" i="7"/>
  <c r="BR3" i="7"/>
  <c r="BR9" i="7" s="1"/>
  <c r="BS3" i="7"/>
  <c r="BK16" i="7"/>
  <c r="BL16" i="7"/>
  <c r="BM16" i="7"/>
  <c r="BN16" i="7"/>
  <c r="BN15" i="7"/>
  <c r="BM15" i="7"/>
  <c r="BL15" i="7"/>
  <c r="BK15" i="7"/>
  <c r="BK10" i="7"/>
  <c r="BL10" i="7"/>
  <c r="BM10" i="7"/>
  <c r="BN10" i="7"/>
  <c r="BK11" i="7"/>
  <c r="BK24" i="7" s="1"/>
  <c r="BL11" i="7"/>
  <c r="BL24" i="7" s="1"/>
  <c r="BM11" i="7"/>
  <c r="BM24" i="7" s="1"/>
  <c r="BN11" i="7"/>
  <c r="BN24" i="7" s="1"/>
  <c r="BK12" i="7"/>
  <c r="BL12" i="7"/>
  <c r="BM12" i="7"/>
  <c r="BN12" i="7"/>
  <c r="BK13" i="7"/>
  <c r="BL13" i="7"/>
  <c r="BM13" i="7"/>
  <c r="BN13" i="7"/>
  <c r="BK4" i="7"/>
  <c r="BL4" i="7"/>
  <c r="BM4" i="7"/>
  <c r="BN4" i="7"/>
  <c r="BK3" i="7"/>
  <c r="BL3" i="7"/>
  <c r="BM3" i="7"/>
  <c r="BN3" i="7"/>
  <c r="BN9" i="7" s="1"/>
  <c r="BF10" i="7"/>
  <c r="BG10" i="7"/>
  <c r="BH10" i="7"/>
  <c r="BI10" i="7"/>
  <c r="BF11" i="7"/>
  <c r="BF24" i="7" s="1"/>
  <c r="BG11" i="7"/>
  <c r="BG24" i="7" s="1"/>
  <c r="BH11" i="7"/>
  <c r="BH24" i="7" s="1"/>
  <c r="BI11" i="7"/>
  <c r="BH12" i="7"/>
  <c r="BI12" i="7"/>
  <c r="BF13" i="7"/>
  <c r="BG13" i="7"/>
  <c r="BH13" i="7"/>
  <c r="BI13" i="7"/>
  <c r="BF5" i="7"/>
  <c r="BG5" i="7"/>
  <c r="BF6" i="7"/>
  <c r="BG6" i="7"/>
  <c r="BF4" i="7"/>
  <c r="BG4" i="7"/>
  <c r="BH4" i="7"/>
  <c r="BI4" i="7"/>
  <c r="BH5" i="7"/>
  <c r="BI5" i="7"/>
  <c r="BH6" i="7"/>
  <c r="BI6" i="7"/>
  <c r="BI3" i="7"/>
  <c r="BA10" i="7"/>
  <c r="BB10" i="7"/>
  <c r="BC10" i="7"/>
  <c r="BD10" i="7"/>
  <c r="BA11" i="7"/>
  <c r="BA24" i="7" s="1"/>
  <c r="BB11" i="7"/>
  <c r="BB24" i="7" s="1"/>
  <c r="BC11" i="7"/>
  <c r="BC24" i="7" s="1"/>
  <c r="BD11" i="7"/>
  <c r="BD24" i="7" s="1"/>
  <c r="BC12" i="7"/>
  <c r="BA13" i="7"/>
  <c r="BB13" i="7"/>
  <c r="BC13" i="7"/>
  <c r="BD13" i="7"/>
  <c r="BA5" i="7"/>
  <c r="BA6" i="7"/>
  <c r="BA4" i="7"/>
  <c r="BB4" i="7"/>
  <c r="BC4" i="7"/>
  <c r="BD4" i="7"/>
  <c r="BB5" i="7"/>
  <c r="BC5" i="7"/>
  <c r="BD5" i="7"/>
  <c r="BB6" i="7"/>
  <c r="BC6" i="7"/>
  <c r="BD6" i="7"/>
  <c r="BA3" i="7"/>
  <c r="BB3" i="7"/>
  <c r="BC3" i="7"/>
  <c r="BD3" i="7"/>
  <c r="AV16" i="7"/>
  <c r="AW16" i="7"/>
  <c r="AX16" i="7"/>
  <c r="AY16" i="7"/>
  <c r="AY15" i="7"/>
  <c r="AX15" i="7"/>
  <c r="AW15" i="7"/>
  <c r="AV15" i="7"/>
  <c r="AV10" i="7"/>
  <c r="AW10" i="7"/>
  <c r="AX10" i="7"/>
  <c r="AY10" i="7"/>
  <c r="AV11" i="7"/>
  <c r="AW11" i="7"/>
  <c r="AW24" i="7" s="1"/>
  <c r="AX11" i="7"/>
  <c r="AX24" i="7" s="1"/>
  <c r="AY11" i="7"/>
  <c r="AY24" i="7" s="1"/>
  <c r="AV13" i="7"/>
  <c r="AW13" i="7"/>
  <c r="AX13" i="7"/>
  <c r="AY13" i="7"/>
  <c r="AY8" i="7"/>
  <c r="AX8" i="7"/>
  <c r="AW8" i="7"/>
  <c r="AV8" i="7"/>
  <c r="AV4" i="7"/>
  <c r="AW4" i="7"/>
  <c r="AX4" i="7"/>
  <c r="AY4" i="7"/>
  <c r="AV5" i="7"/>
  <c r="AW5" i="7"/>
  <c r="AX5" i="7"/>
  <c r="AY5" i="7"/>
  <c r="AV6" i="7"/>
  <c r="AW6" i="7"/>
  <c r="AX6" i="7"/>
  <c r="AY6" i="7"/>
  <c r="AL8" i="7"/>
  <c r="AL16" i="7"/>
  <c r="AM16" i="7"/>
  <c r="AN16" i="7"/>
  <c r="AO16" i="7"/>
  <c r="AO15" i="7"/>
  <c r="AN15" i="7"/>
  <c r="AM15" i="7"/>
  <c r="AL15" i="7"/>
  <c r="AL10" i="7"/>
  <c r="AM10" i="7"/>
  <c r="AN10" i="7"/>
  <c r="AO10" i="7"/>
  <c r="AL11" i="7"/>
  <c r="AL24" i="7" s="1"/>
  <c r="AM11" i="7"/>
  <c r="AM24" i="7" s="1"/>
  <c r="AN11" i="7"/>
  <c r="AN24" i="7" s="1"/>
  <c r="AO11" i="7"/>
  <c r="AO24" i="7" s="1"/>
  <c r="AL12" i="7"/>
  <c r="AM12" i="7"/>
  <c r="AN12" i="7"/>
  <c r="AL13" i="7"/>
  <c r="AM13" i="7"/>
  <c r="AN13" i="7"/>
  <c r="AO13" i="7"/>
  <c r="AL5" i="7"/>
  <c r="AM5" i="7"/>
  <c r="AN5" i="7"/>
  <c r="AO5" i="7"/>
  <c r="AL6" i="7"/>
  <c r="AM6" i="7"/>
  <c r="AN6" i="7"/>
  <c r="AO6" i="7"/>
  <c r="AM4" i="7"/>
  <c r="AN4" i="7"/>
  <c r="AO4" i="7"/>
  <c r="AL4" i="7"/>
  <c r="AM3" i="7"/>
  <c r="AN3" i="7"/>
  <c r="AO3" i="7"/>
  <c r="AL3" i="7"/>
  <c r="AG16" i="7"/>
  <c r="AH16" i="7"/>
  <c r="AI16" i="7"/>
  <c r="AJ16" i="7"/>
  <c r="AJ15" i="7"/>
  <c r="AI15" i="7"/>
  <c r="AH15" i="7"/>
  <c r="AG15" i="7"/>
  <c r="AG10" i="7"/>
  <c r="AH10" i="7"/>
  <c r="AI10" i="7"/>
  <c r="AJ10" i="7"/>
  <c r="AG11" i="7"/>
  <c r="AG24" i="7" s="1"/>
  <c r="AH11" i="7"/>
  <c r="AH24" i="7" s="1"/>
  <c r="AI11" i="7"/>
  <c r="AI24" i="7" s="1"/>
  <c r="AJ11" i="7"/>
  <c r="AJ24" i="7" s="1"/>
  <c r="AG13" i="7"/>
  <c r="AH13" i="7"/>
  <c r="AI13" i="7"/>
  <c r="AJ13" i="7"/>
  <c r="AG4" i="7"/>
  <c r="AH4" i="7"/>
  <c r="AI4" i="7"/>
  <c r="AJ4" i="7"/>
  <c r="AG5" i="7"/>
  <c r="AH5" i="7"/>
  <c r="AI5" i="7"/>
  <c r="AJ5" i="7"/>
  <c r="AG6" i="7"/>
  <c r="AH6" i="7"/>
  <c r="AI6" i="7"/>
  <c r="AJ6" i="7"/>
  <c r="AH3" i="7"/>
  <c r="AI3" i="7"/>
  <c r="AJ3" i="7"/>
  <c r="AG3" i="7"/>
  <c r="AG9" i="7" s="1"/>
  <c r="AB16" i="7"/>
  <c r="AC16" i="7"/>
  <c r="AD16" i="7"/>
  <c r="AE16" i="7"/>
  <c r="AE15" i="7"/>
  <c r="AD15" i="7"/>
  <c r="AC15" i="7"/>
  <c r="AB15" i="7"/>
  <c r="AB10" i="7"/>
  <c r="AC10" i="7"/>
  <c r="AD10" i="7"/>
  <c r="AE10" i="7"/>
  <c r="AB11" i="7"/>
  <c r="AB24" i="7" s="1"/>
  <c r="AC11" i="7"/>
  <c r="AD11" i="7"/>
  <c r="AD24" i="7" s="1"/>
  <c r="AE11" i="7"/>
  <c r="AE24" i="7" s="1"/>
  <c r="AB12" i="7"/>
  <c r="AC12" i="7"/>
  <c r="AD12" i="7"/>
  <c r="AE12" i="7"/>
  <c r="AB6" i="7"/>
  <c r="AC6" i="7"/>
  <c r="AD6" i="7"/>
  <c r="AE6" i="7"/>
  <c r="AB4" i="7"/>
  <c r="AC4" i="7"/>
  <c r="AD4" i="7"/>
  <c r="AE4" i="7"/>
  <c r="AB5" i="7"/>
  <c r="AC5" i="7"/>
  <c r="AD5" i="7"/>
  <c r="AE5" i="7"/>
  <c r="AB3" i="7"/>
  <c r="AC3" i="7"/>
  <c r="AD3" i="7"/>
  <c r="AE3" i="7"/>
  <c r="R16" i="7"/>
  <c r="S16" i="7"/>
  <c r="T16" i="7"/>
  <c r="U16" i="7"/>
  <c r="U15" i="7"/>
  <c r="T15" i="7"/>
  <c r="S15" i="7"/>
  <c r="R15" i="7"/>
  <c r="R10" i="7"/>
  <c r="S10" i="7"/>
  <c r="T10" i="7"/>
  <c r="U10" i="7"/>
  <c r="R11" i="7"/>
  <c r="R24" i="7" s="1"/>
  <c r="S11" i="7"/>
  <c r="S24" i="7" s="1"/>
  <c r="T11" i="7"/>
  <c r="T24" i="7" s="1"/>
  <c r="U11" i="7"/>
  <c r="R12" i="7"/>
  <c r="S12" i="7"/>
  <c r="T12" i="7"/>
  <c r="U12" i="7"/>
  <c r="R13" i="7"/>
  <c r="S13" i="7"/>
  <c r="T13" i="7"/>
  <c r="U13" i="7"/>
  <c r="R4" i="7"/>
  <c r="S4" i="7"/>
  <c r="T4" i="7"/>
  <c r="U4" i="7"/>
  <c r="R5" i="7"/>
  <c r="S5" i="7"/>
  <c r="T5" i="7"/>
  <c r="U5" i="7"/>
  <c r="S3" i="7"/>
  <c r="T3" i="7"/>
  <c r="U3" i="7"/>
  <c r="R3" i="7"/>
  <c r="R9" i="7" s="1"/>
  <c r="M16" i="7"/>
  <c r="N16" i="7"/>
  <c r="O16" i="7"/>
  <c r="P16" i="7"/>
  <c r="P15" i="7"/>
  <c r="O15" i="7"/>
  <c r="N15" i="7"/>
  <c r="M15" i="7"/>
  <c r="M10" i="7"/>
  <c r="N10" i="7"/>
  <c r="O10" i="7"/>
  <c r="P10" i="7"/>
  <c r="M11" i="7"/>
  <c r="N11" i="7"/>
  <c r="N24" i="7" s="1"/>
  <c r="O11" i="7"/>
  <c r="O24" i="7" s="1"/>
  <c r="P11" i="7"/>
  <c r="P24" i="7" s="1"/>
  <c r="P12" i="7"/>
  <c r="M13" i="7"/>
  <c r="N13" i="7"/>
  <c r="O13" i="7"/>
  <c r="P13" i="7"/>
  <c r="N8" i="7"/>
  <c r="M8" i="7"/>
  <c r="M4" i="7"/>
  <c r="N4" i="7"/>
  <c r="O4" i="7"/>
  <c r="P4" i="7"/>
  <c r="M5" i="7"/>
  <c r="N5" i="7"/>
  <c r="P5" i="7"/>
  <c r="M6" i="7"/>
  <c r="N6" i="7"/>
  <c r="O6" i="7"/>
  <c r="P6" i="7"/>
  <c r="N3" i="7"/>
  <c r="O3" i="7"/>
  <c r="P3" i="7"/>
  <c r="M3" i="7"/>
  <c r="H10" i="7"/>
  <c r="I10" i="7"/>
  <c r="J10" i="7"/>
  <c r="K10" i="7"/>
  <c r="H11" i="7"/>
  <c r="H24" i="7" s="1"/>
  <c r="I11" i="7"/>
  <c r="I24" i="7" s="1"/>
  <c r="J11" i="7"/>
  <c r="J24" i="7" s="1"/>
  <c r="K11" i="7"/>
  <c r="K24" i="7" s="1"/>
  <c r="H12" i="7"/>
  <c r="I12" i="7"/>
  <c r="J12" i="7"/>
  <c r="K12" i="7"/>
  <c r="H13" i="7"/>
  <c r="I13" i="7"/>
  <c r="J13" i="7"/>
  <c r="K13" i="7"/>
  <c r="H15" i="7"/>
  <c r="I15" i="7"/>
  <c r="J15" i="7"/>
  <c r="K15" i="7"/>
  <c r="H16" i="7"/>
  <c r="I16" i="7"/>
  <c r="J16" i="7"/>
  <c r="K16" i="7"/>
  <c r="H4" i="7"/>
  <c r="I4" i="7"/>
  <c r="J4" i="7"/>
  <c r="K4" i="7"/>
  <c r="H5" i="7"/>
  <c r="I5" i="7"/>
  <c r="J5" i="7"/>
  <c r="K5" i="7"/>
  <c r="H6" i="7"/>
  <c r="I6" i="7"/>
  <c r="J6" i="7"/>
  <c r="K6" i="7"/>
  <c r="I3" i="7"/>
  <c r="J3" i="7"/>
  <c r="K3" i="7"/>
  <c r="H3" i="7"/>
  <c r="C16" i="7"/>
  <c r="D16" i="7"/>
  <c r="E16" i="7"/>
  <c r="F16" i="7"/>
  <c r="F15" i="7"/>
  <c r="E15" i="7"/>
  <c r="D15" i="7"/>
  <c r="C15" i="7"/>
  <c r="C10" i="7"/>
  <c r="D10" i="7"/>
  <c r="E10" i="7"/>
  <c r="F10" i="7"/>
  <c r="C11" i="7"/>
  <c r="C24" i="7" s="1"/>
  <c r="D11" i="7"/>
  <c r="D24" i="7" s="1"/>
  <c r="E11" i="7"/>
  <c r="F11" i="7"/>
  <c r="F24" i="7" s="1"/>
  <c r="C12" i="7"/>
  <c r="D12" i="7"/>
  <c r="E12" i="7"/>
  <c r="F12" i="7"/>
  <c r="C13" i="7"/>
  <c r="D13" i="7"/>
  <c r="E13" i="7"/>
  <c r="F13" i="7"/>
  <c r="C5" i="7"/>
  <c r="D5" i="7"/>
  <c r="E5" i="7"/>
  <c r="F5" i="7"/>
  <c r="C4" i="7"/>
  <c r="D4" i="7"/>
  <c r="E4" i="7"/>
  <c r="F4" i="7"/>
  <c r="F3" i="7"/>
  <c r="E3" i="7"/>
  <c r="E9" i="7" s="1"/>
  <c r="D3" i="7"/>
  <c r="C3" i="7"/>
  <c r="C6" i="6"/>
  <c r="C5" i="6"/>
  <c r="C4" i="6"/>
  <c r="C3" i="6"/>
  <c r="BY13" i="7"/>
  <c r="AU13" i="7"/>
  <c r="BY12" i="7"/>
  <c r="AU12" i="7"/>
  <c r="BY11" i="7"/>
  <c r="AU11" i="7"/>
  <c r="BY10" i="7"/>
  <c r="AU10" i="7"/>
  <c r="BY8" i="7"/>
  <c r="AU8" i="7"/>
  <c r="BY6" i="7"/>
  <c r="AU6" i="7"/>
  <c r="BY5" i="7"/>
  <c r="AU5" i="7"/>
  <c r="BY4" i="7"/>
  <c r="AU4" i="7"/>
  <c r="BY3" i="7"/>
  <c r="U22" i="1"/>
  <c r="Q22" i="1"/>
  <c r="K2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  <c r="BY13" i="5"/>
  <c r="BY11" i="5"/>
  <c r="BY10" i="5"/>
  <c r="BY8" i="5"/>
  <c r="BY6" i="5"/>
  <c r="BY5" i="5"/>
  <c r="BY4" i="5"/>
  <c r="AU13" i="5"/>
  <c r="AU12" i="5"/>
  <c r="AU35" i="5" s="1"/>
  <c r="AU11" i="5"/>
  <c r="AU10" i="5"/>
  <c r="AU9" i="5"/>
  <c r="AU8" i="5"/>
  <c r="AU6" i="5"/>
  <c r="AU5" i="5"/>
  <c r="AU4" i="5"/>
  <c r="CR11" i="5"/>
  <c r="CO11" i="5"/>
  <c r="CP11" i="5"/>
  <c r="CQ11" i="5"/>
  <c r="CP3" i="5"/>
  <c r="CP10" i="5"/>
  <c r="CP10" i="7" s="1"/>
  <c r="CO16" i="5"/>
  <c r="CO16" i="7" s="1"/>
  <c r="CO15" i="5"/>
  <c r="CO15" i="7" s="1"/>
  <c r="CO12" i="5"/>
  <c r="CO10" i="5"/>
  <c r="CO10" i="7" s="1"/>
  <c r="CO3" i="5"/>
  <c r="CO6" i="5"/>
  <c r="CO6" i="7" s="1"/>
  <c r="CO4" i="5"/>
  <c r="CO4" i="7" s="1"/>
  <c r="CO5" i="5"/>
  <c r="CO5" i="7" s="1"/>
  <c r="CR3" i="5"/>
  <c r="CH12" i="5"/>
  <c r="CG12" i="5"/>
  <c r="CF12" i="5"/>
  <c r="CE12" i="5"/>
  <c r="CM12" i="5"/>
  <c r="CM20" i="3" s="1"/>
  <c r="CM3" i="5"/>
  <c r="CL12" i="5"/>
  <c r="CL20" i="3" s="1"/>
  <c r="CK12" i="5"/>
  <c r="CJ12" i="5"/>
  <c r="CK3" i="5"/>
  <c r="CJ3" i="5"/>
  <c r="BL9" i="7" l="1"/>
  <c r="BV9" i="7"/>
  <c r="CL9" i="7"/>
  <c r="BY9" i="7"/>
  <c r="BA9" i="7"/>
  <c r="BK9" i="7"/>
  <c r="CM12" i="7"/>
  <c r="H9" i="7"/>
  <c r="T9" i="7"/>
  <c r="AI9" i="7"/>
  <c r="BB9" i="7"/>
  <c r="CE9" i="7"/>
  <c r="AY9" i="7"/>
  <c r="AW9" i="7"/>
  <c r="AD9" i="7"/>
  <c r="AX9" i="7"/>
  <c r="BI9" i="7"/>
  <c r="M9" i="7"/>
  <c r="C9" i="7"/>
  <c r="BU9" i="7"/>
  <c r="AV9" i="7"/>
  <c r="BX9" i="7"/>
  <c r="BY18" i="3"/>
  <c r="BY28" i="3" s="1"/>
  <c r="BS9" i="7"/>
  <c r="CQ9" i="7"/>
  <c r="BY9" i="5"/>
  <c r="CJ30" i="5"/>
  <c r="CJ9" i="5"/>
  <c r="CF12" i="7"/>
  <c r="CF20" i="3"/>
  <c r="CO11" i="7"/>
  <c r="CO24" i="7" s="1"/>
  <c r="CO18" i="3"/>
  <c r="BD9" i="7"/>
  <c r="CK3" i="7"/>
  <c r="CK9" i="7" s="1"/>
  <c r="CK30" i="5"/>
  <c r="CK9" i="5"/>
  <c r="CG12" i="7"/>
  <c r="CG20" i="3"/>
  <c r="CO12" i="7"/>
  <c r="CO20" i="3"/>
  <c r="CR11" i="7"/>
  <c r="CR24" i="7" s="1"/>
  <c r="CR18" i="3"/>
  <c r="AU20" i="3"/>
  <c r="F9" i="7"/>
  <c r="U9" i="7"/>
  <c r="AJ9" i="7"/>
  <c r="BC9" i="7"/>
  <c r="BM9" i="7"/>
  <c r="CJ12" i="7"/>
  <c r="CJ20" i="3"/>
  <c r="AH9" i="7"/>
  <c r="J9" i="7"/>
  <c r="AE9" i="7"/>
  <c r="AL9" i="7"/>
  <c r="CG9" i="7"/>
  <c r="CL12" i="7"/>
  <c r="CH12" i="7"/>
  <c r="CH20" i="3"/>
  <c r="CH9" i="7"/>
  <c r="CM30" i="5"/>
  <c r="CM9" i="5"/>
  <c r="CP30" i="5"/>
  <c r="CP9" i="5"/>
  <c r="I9" i="7"/>
  <c r="N9" i="7"/>
  <c r="AO9" i="7"/>
  <c r="CF9" i="7"/>
  <c r="BY30" i="5"/>
  <c r="CK12" i="7"/>
  <c r="CK20" i="3"/>
  <c r="CR30" i="5"/>
  <c r="CR9" i="5"/>
  <c r="K9" i="7"/>
  <c r="S9" i="7"/>
  <c r="CQ11" i="7"/>
  <c r="CQ24" i="7" s="1"/>
  <c r="CQ18" i="3"/>
  <c r="AC9" i="7"/>
  <c r="AN9" i="7"/>
  <c r="CE12" i="7"/>
  <c r="CE20" i="3"/>
  <c r="CO3" i="7"/>
  <c r="CO9" i="7" s="1"/>
  <c r="CO9" i="5"/>
  <c r="CO30" i="5"/>
  <c r="CP11" i="7"/>
  <c r="CP18" i="3"/>
  <c r="D9" i="7"/>
  <c r="AB9" i="7"/>
  <c r="AM9" i="7"/>
  <c r="AU24" i="7"/>
  <c r="AU33" i="7"/>
  <c r="CP3" i="7"/>
  <c r="CP9" i="7" s="1"/>
  <c r="CR3" i="7"/>
  <c r="CR9" i="7" s="1"/>
  <c r="BY24" i="7"/>
  <c r="CO10" i="3"/>
  <c r="CJ3" i="7"/>
  <c r="CJ9" i="7" s="1"/>
  <c r="CM3" i="7"/>
  <c r="CM9" i="7" s="1"/>
  <c r="E24" i="7"/>
  <c r="U24" i="7"/>
  <c r="AC24" i="7"/>
  <c r="M24" i="7"/>
  <c r="BI24" i="7"/>
  <c r="AV24" i="7"/>
  <c r="BR24" i="7"/>
  <c r="CP24" i="7"/>
  <c r="BQ24" i="7"/>
  <c r="CC13" i="5"/>
  <c r="CC13" i="7" s="1"/>
  <c r="CC12" i="7"/>
  <c r="CC3" i="5"/>
  <c r="CC9" i="5" s="1"/>
  <c r="CB13" i="5"/>
  <c r="CB13" i="7" s="1"/>
  <c r="CB12" i="7"/>
  <c r="CB11" i="5"/>
  <c r="CB3" i="5"/>
  <c r="CB9" i="5" s="1"/>
  <c r="CA13" i="5"/>
  <c r="CA13" i="7" s="1"/>
  <c r="BZ13" i="5"/>
  <c r="BZ13" i="7" s="1"/>
  <c r="CA12" i="7"/>
  <c r="BZ12" i="7"/>
  <c r="CA11" i="5"/>
  <c r="CA3" i="5"/>
  <c r="CA9" i="5" s="1"/>
  <c r="BZ11" i="5"/>
  <c r="BZ3" i="5"/>
  <c r="BZ9" i="5" s="1"/>
  <c r="BW3" i="5"/>
  <c r="BQ3" i="5"/>
  <c r="BP3" i="5"/>
  <c r="BH3" i="5"/>
  <c r="BG12" i="5"/>
  <c r="BF12" i="5"/>
  <c r="BG3" i="5"/>
  <c r="BF3" i="5"/>
  <c r="BD12" i="5"/>
  <c r="BB12" i="5"/>
  <c r="BA12" i="5"/>
  <c r="AY12" i="5"/>
  <c r="AX12" i="5"/>
  <c r="AX9" i="5"/>
  <c r="AY9" i="5"/>
  <c r="AW12" i="5"/>
  <c r="AW9" i="5"/>
  <c r="AV12" i="5"/>
  <c r="AV9" i="5"/>
  <c r="AO12" i="5"/>
  <c r="AJ12" i="5"/>
  <c r="AI12" i="5"/>
  <c r="AH12" i="5"/>
  <c r="AG12" i="5"/>
  <c r="O12" i="5"/>
  <c r="N12" i="5"/>
  <c r="M12" i="5"/>
  <c r="P8" i="5"/>
  <c r="P9" i="5" s="1"/>
  <c r="O8" i="5"/>
  <c r="O8" i="7" s="1"/>
  <c r="O5" i="5"/>
  <c r="K47" i="2"/>
  <c r="L47" i="2"/>
  <c r="M47" i="2"/>
  <c r="N47" i="2"/>
  <c r="O47" i="2"/>
  <c r="P47" i="2"/>
  <c r="R47" i="2"/>
  <c r="S47" i="2"/>
  <c r="T47" i="2"/>
  <c r="C28" i="2"/>
  <c r="D28" i="2"/>
  <c r="E28" i="2"/>
  <c r="F28" i="2"/>
  <c r="G28" i="2"/>
  <c r="H28" i="2"/>
  <c r="I28" i="2"/>
  <c r="J28" i="2"/>
  <c r="R28" i="2"/>
  <c r="S28" i="2"/>
  <c r="T28" i="2"/>
  <c r="B28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7" i="2"/>
  <c r="Q21" i="4"/>
  <c r="K10" i="4"/>
  <c r="K9" i="4"/>
  <c r="K19" i="4"/>
  <c r="K21" i="4" s="1"/>
  <c r="BY16" i="3" l="1"/>
  <c r="AO12" i="7"/>
  <c r="AO20" i="3"/>
  <c r="AH12" i="7"/>
  <c r="AH20" i="3"/>
  <c r="BG30" i="5"/>
  <c r="BG9" i="5"/>
  <c r="CB11" i="7"/>
  <c r="CB24" i="7" s="1"/>
  <c r="CB18" i="3"/>
  <c r="BY27" i="3"/>
  <c r="BY29" i="3"/>
  <c r="O5" i="7"/>
  <c r="O9" i="7" s="1"/>
  <c r="O9" i="5"/>
  <c r="AI12" i="7"/>
  <c r="AI20" i="3"/>
  <c r="BF12" i="7"/>
  <c r="BF20" i="3"/>
  <c r="BH30" i="5"/>
  <c r="BH9" i="5"/>
  <c r="AG12" i="7"/>
  <c r="AG20" i="3"/>
  <c r="AW12" i="7"/>
  <c r="AW20" i="3"/>
  <c r="BF9" i="5"/>
  <c r="BF30" i="5"/>
  <c r="BZ11" i="7"/>
  <c r="BZ18" i="3"/>
  <c r="AJ12" i="7"/>
  <c r="AJ20" i="3"/>
  <c r="AX12" i="7"/>
  <c r="AX20" i="3"/>
  <c r="BG12" i="7"/>
  <c r="BG20" i="3"/>
  <c r="CA11" i="7"/>
  <c r="CA24" i="7" s="1"/>
  <c r="CA18" i="3"/>
  <c r="AU31" i="3"/>
  <c r="AU16" i="3"/>
  <c r="AU29" i="3" s="1"/>
  <c r="AU23" i="3"/>
  <c r="AU28" i="3"/>
  <c r="AY12" i="7"/>
  <c r="AY20" i="3"/>
  <c r="BA12" i="7"/>
  <c r="BA20" i="3"/>
  <c r="N12" i="7"/>
  <c r="N20" i="3"/>
  <c r="BB12" i="7"/>
  <c r="BB20" i="3"/>
  <c r="BQ30" i="5"/>
  <c r="BQ9" i="5"/>
  <c r="M12" i="7"/>
  <c r="M20" i="3"/>
  <c r="BP9" i="5"/>
  <c r="BP30" i="5"/>
  <c r="AV12" i="7"/>
  <c r="AV20" i="3"/>
  <c r="O12" i="7"/>
  <c r="O20" i="3"/>
  <c r="BD12" i="7"/>
  <c r="BD20" i="3"/>
  <c r="BW30" i="5"/>
  <c r="BW9" i="5"/>
  <c r="BP3" i="7"/>
  <c r="BP9" i="7" s="1"/>
  <c r="BQ3" i="7"/>
  <c r="BQ9" i="7" s="1"/>
  <c r="BF3" i="7"/>
  <c r="BF9" i="7" s="1"/>
  <c r="BG3" i="7"/>
  <c r="BG9" i="7" s="1"/>
  <c r="CC30" i="5"/>
  <c r="CC3" i="7"/>
  <c r="CC9" i="7" s="1"/>
  <c r="BW3" i="7"/>
  <c r="BW9" i="7" s="1"/>
  <c r="CB30" i="5"/>
  <c r="CB3" i="7"/>
  <c r="CB9" i="7" s="1"/>
  <c r="BH3" i="7"/>
  <c r="BH9" i="7" s="1"/>
  <c r="P8" i="7"/>
  <c r="P9" i="7" s="1"/>
  <c r="CA3" i="7"/>
  <c r="CA9" i="7" s="1"/>
  <c r="CA30" i="5"/>
  <c r="BZ24" i="7"/>
  <c r="BZ30" i="5"/>
  <c r="BZ3" i="7"/>
  <c r="BZ9" i="7" s="1"/>
  <c r="AU27" i="3" l="1"/>
  <c r="AX28" i="3"/>
  <c r="AX31" i="3"/>
  <c r="AX16" i="3"/>
  <c r="AX29" i="3" s="1"/>
  <c r="AX23" i="3"/>
  <c r="AX27" i="3"/>
  <c r="AW28" i="3"/>
  <c r="AW31" i="3"/>
  <c r="AW23" i="3"/>
  <c r="AW16" i="3"/>
  <c r="AW29" i="3" s="1"/>
  <c r="AV28" i="3"/>
  <c r="AV31" i="3"/>
  <c r="AV16" i="3"/>
  <c r="AV29" i="3" s="1"/>
  <c r="AV23" i="3"/>
  <c r="AV27" i="3"/>
  <c r="CB16" i="3"/>
  <c r="CB28" i="3"/>
  <c r="CA16" i="3"/>
  <c r="CA28" i="3"/>
  <c r="BZ16" i="3"/>
  <c r="BZ28" i="3"/>
  <c r="AY31" i="3"/>
  <c r="AY28" i="3"/>
  <c r="AY23" i="3"/>
  <c r="AY16" i="3"/>
  <c r="AY29" i="3" s="1"/>
  <c r="CB29" i="3" l="1"/>
  <c r="CB27" i="3"/>
  <c r="BZ29" i="3"/>
  <c r="BZ27" i="3"/>
  <c r="AY27" i="3"/>
  <c r="CA29" i="3"/>
  <c r="CA27" i="3"/>
  <c r="AW2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tc={348C4438-9DB0-4365-A552-40024EBAD5CE}</author>
    <author>tc={2BFD802F-C27D-491C-B026-820657052F32}</author>
  </authors>
  <commentList>
    <comment ref="Q12" authorId="0" shapeId="0" xr:uid="{348C4438-9DB0-4365-A552-40024EBAD5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22" authorId="1" shapeId="0" xr:uid="{2BFD802F-C27D-491C-B026-820657052F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Bancária + Entidades + Fiscais + Partes Relacionadas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tc={F165A87E-660F-4E74-806E-37E313A2C72E}</author>
    <author>tc={AAE82129-A75C-4BA1-8AD8-974934380CA7}</author>
    <author>tc={02DD2B55-73C8-4EEB-A6E9-4AB56F4F1EDA}</author>
    <author>tc={EB100854-B9B7-4665-8467-E5C14A49DDBE}</author>
    <author>tc={2F48E8AD-08C7-4A73-BB2B-2C7DF44E8C08}</author>
    <author>tc={A5187836-772A-4E08-862F-A97A6E67C600}</author>
    <author>tc={63249D96-4105-4C2E-80A9-32C01CAB1DC7}</author>
    <author>tc={1A5F0588-0AC4-4B68-8366-538E9EBDA1B7}</author>
    <author>tc={B674D296-4408-47F3-A7B4-D6DF0DF071BD}</author>
    <author>tc={359D13A5-FD1F-41F8-9B8B-292C191745A8}</author>
    <author>tc={98B1F8DF-8E99-481B-BD32-321DDB711B85}</author>
    <author>tc={E0E4B40D-8900-4EAC-9429-EBA021558D8C}</author>
    <author>tc={03801618-AEDD-41C6-A058-2235F3C03CD5}</author>
    <author>tc={C2353FE3-4C44-47F8-9742-A5199D957533}</author>
    <author>tc={3A772536-840B-42AB-A3C2-0DC03602F8B1}</author>
  </authors>
  <commentList>
    <comment ref="C3" authorId="0" shapeId="0" xr:uid="{F165A87E-660F-4E74-806E-37E313A2C7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D3" authorId="1" shapeId="0" xr:uid="{AAE82129-A75C-4BA1-8AD8-974934380C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2" shapeId="0" xr:uid="{02DD2B55-73C8-4EEB-A6E9-4AB56F4F1ED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I3" authorId="3" shapeId="0" xr:uid="{EB100854-B9B7-4665-8467-E5C14A49DD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M3" authorId="4" shapeId="0" xr:uid="{2F48E8AD-08C7-4A73-BB2B-2C7DF44E8C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N3" authorId="5" shapeId="0" xr:uid="{A5187836-772A-4E08-862F-A97A6E67C6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BA3" authorId="6" shapeId="0" xr:uid="{63249D96-4105-4C2E-80A9-32C01CAB1D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F3" authorId="7" shapeId="0" xr:uid="{1A5F0588-0AC4-4B68-8366-538E9EBDA1B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G3" authorId="8" shapeId="0" xr:uid="{B674D296-4408-47F3-A7B4-D6DF0DF071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P3" authorId="9" shapeId="0" xr:uid="{359D13A5-FD1F-41F8-9B8B-292C19174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BQ3" authorId="10" shapeId="0" xr:uid="{98B1F8DF-8E99-481B-BD32-321DDB711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B6" authorId="11" shapeId="0" xr:uid="{E0E4B40D-8900-4EAC-9429-EBA021558D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C6" authorId="12" shapeId="0" xr:uid="{03801618-AEDD-41C6-A058-2235F3C03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D6" authorId="13" shapeId="0" xr:uid="{C2353FE3-4C44-47F8-9742-A5199D9575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E6" authorId="14" shapeId="0" xr:uid="{3A772536-840B-42AB-A3C2-0DC03602F8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tc={4F6B272C-D8E0-41C8-B9FE-5C696B554FE0}</author>
    <author>tc={5968AC96-00C2-4232-9445-6BFD885E53E2}</author>
    <author>tc={6A4DD3C4-2CF7-429E-A184-B5D71DA827A4}</author>
    <author>tc={C77AAF39-9CD8-49B5-84F9-FF7AA89E1369}</author>
    <author>tc={192A606D-E5C1-42C8-8EE3-F835A73B674F}</author>
    <author>tc={51B5325D-AC85-4ACB-9F5C-C1AC01604630}</author>
    <author>tc={6C28CC59-0FDB-4226-A7A7-0509C983BB32}</author>
    <author>tc={777D9CB8-EE90-436B-88D2-42E86DF7625A}</author>
    <author>tc={01F83B77-5A57-486F-882A-263682868CD6}</author>
    <author>tc={67ABEDCE-DAC3-4B0F-983C-A7C4EE1CF75B}</author>
    <author>tc={AA12CF89-0089-4FD3-93C4-CF197F398CD2}</author>
    <author>tc={82A2EE1F-2628-45F2-B7A9-84B1A70DB3D9}</author>
    <author>tc={0F225B51-9FFC-4EAC-83B1-2C2E30E83DE4}</author>
    <author>tc={448DBAAA-7BDA-411C-9F08-C7917AF09001}</author>
    <author>tc={8B595099-7EF3-4619-BC7C-051F60C1B607}</author>
    <author>tc={381AA9C3-00CE-47BB-A53E-522391C9DC82}</author>
    <author>tc={A5852994-393A-4DFC-8D7A-149A23B646DF}</author>
  </authors>
  <commentList>
    <comment ref="C3" authorId="0" shapeId="0" xr:uid="{4F6B272C-D8E0-41C8-B9FE-5C696B554F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D3" authorId="1" shapeId="0" xr:uid="{5968AC96-00C2-4232-9445-6BFD885E5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2" shapeId="0" xr:uid="{6A4DD3C4-2CF7-429E-A184-B5D71DA82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I3" authorId="3" shapeId="0" xr:uid="{C77AAF39-9CD8-49B5-84F9-FF7AA89E13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M3" authorId="4" shapeId="0" xr:uid="{192A606D-E5C1-42C8-8EE3-F835A73B67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R3" authorId="5" shapeId="0" xr:uid="{51B5325D-AC85-4ACB-9F5C-C1AC016046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M3" authorId="6" shapeId="0" xr:uid="{6C28CC59-0FDB-4226-A7A7-0509C983BB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N3" authorId="7" shapeId="0" xr:uid="{777D9CB8-EE90-436B-88D2-42E86DF762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BA3" authorId="8" shapeId="0" xr:uid="{01F83B77-5A57-486F-882A-263682868C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F3" authorId="9" shapeId="0" xr:uid="{67ABEDCE-DAC3-4B0F-983C-A7C4EE1CF7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G3" authorId="10" shapeId="0" xr:uid="{AA12CF89-0089-4FD3-93C4-CF197F398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P3" authorId="11" shapeId="0" xr:uid="{82A2EE1F-2628-45F2-B7A9-84B1A70DB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BQ3" authorId="12" shapeId="0" xr:uid="{0F225B51-9FFC-4EAC-83B1-2C2E30E83D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B6" authorId="13" shapeId="0" xr:uid="{448DBAAA-7BDA-411C-9F08-C7917AF09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C6" authorId="14" shapeId="0" xr:uid="{8B595099-7EF3-4619-BC7C-051F60C1B6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D6" authorId="15" shapeId="0" xr:uid="{381AA9C3-00CE-47BB-A53E-522391C9DC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E6" authorId="16" shapeId="0" xr:uid="{A5852994-393A-4DFC-8D7A-149A23B646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sharedStrings.xml><?xml version="1.0" encoding="utf-8"?>
<sst xmlns="http://schemas.openxmlformats.org/spreadsheetml/2006/main" count="483" uniqueCount="140">
  <si>
    <t>Publicidade e patrocínio</t>
  </si>
  <si>
    <t>Arrecadação de jogos</t>
  </si>
  <si>
    <t>Negociação de atletas</t>
  </si>
  <si>
    <t>Sócio-torcedor</t>
  </si>
  <si>
    <t>Premiações</t>
  </si>
  <si>
    <t>Licenciamento da marca</t>
  </si>
  <si>
    <t>Direitos de transmissão</t>
  </si>
  <si>
    <t>Outras receitas</t>
  </si>
  <si>
    <t>Pessoal e encargos sociais</t>
  </si>
  <si>
    <t>Direitos de imagem</t>
  </si>
  <si>
    <t>Despesas com jogos</t>
  </si>
  <si>
    <t>Despesas gerais e administrativas</t>
  </si>
  <si>
    <t>Depreciação e amortização</t>
  </si>
  <si>
    <t>Outras despesas</t>
  </si>
  <si>
    <t>DESPESAS</t>
  </si>
  <si>
    <t>Palmeiras</t>
  </si>
  <si>
    <t>Pontuação Série A 2023</t>
  </si>
  <si>
    <t>Geração de Caixa Operacional</t>
  </si>
  <si>
    <t>Flamengo</t>
  </si>
  <si>
    <t>RECEITA OPERACIONAL LÍQUIDA</t>
  </si>
  <si>
    <t>RECEITA RECORRENTE</t>
  </si>
  <si>
    <t>Rubricas</t>
  </si>
  <si>
    <t>São Paulo</t>
  </si>
  <si>
    <t>Corinthians</t>
  </si>
  <si>
    <t>Vasco da Gama</t>
  </si>
  <si>
    <t>Fluminense</t>
  </si>
  <si>
    <t>Botafogo</t>
  </si>
  <si>
    <t>Atlético</t>
  </si>
  <si>
    <t>Cruzeiro</t>
  </si>
  <si>
    <t>Grêmio</t>
  </si>
  <si>
    <t>Internacional</t>
  </si>
  <si>
    <t>Bahia</t>
  </si>
  <si>
    <t>Fortaleza</t>
  </si>
  <si>
    <t>Santos</t>
  </si>
  <si>
    <t>Coritiba</t>
  </si>
  <si>
    <t>América</t>
  </si>
  <si>
    <t>Goiás</t>
  </si>
  <si>
    <t>Cuiabá</t>
  </si>
  <si>
    <t>EBITDA</t>
  </si>
  <si>
    <t>Dívida</t>
  </si>
  <si>
    <t>RESULTADO OPERACIONAL</t>
  </si>
  <si>
    <t>Resultado Financeiro</t>
  </si>
  <si>
    <t>Superávit/Déficit</t>
  </si>
  <si>
    <t>Despesas Operacionais c/ Base</t>
  </si>
  <si>
    <t>Provisão p/ Contingências</t>
  </si>
  <si>
    <t>Clubes</t>
  </si>
  <si>
    <t>Vasco</t>
  </si>
  <si>
    <t>SAÍDAS DE CAIXA OPERACIONAIS</t>
  </si>
  <si>
    <t>Compra de Jogadores</t>
  </si>
  <si>
    <t>Compra de Imobilizado</t>
  </si>
  <si>
    <t>Outras</t>
  </si>
  <si>
    <t>CAIXA DESTINADO A INVESTIMENTOS</t>
  </si>
  <si>
    <t>CAIXA DESTINADO A FINANCIAMENTOS</t>
  </si>
  <si>
    <t>GERAÇÃO DE CAIXA TOTAL</t>
  </si>
  <si>
    <t>AUMENTO/DIMINUIÇÃO DE CAIXA</t>
  </si>
  <si>
    <t>GERAÇÃO DE CAIXA OPERACIONAL</t>
  </si>
  <si>
    <t>Ajuste na Geração de Caixa Operacional</t>
  </si>
  <si>
    <t>Imobilizado</t>
  </si>
  <si>
    <t>Sócios-Torcedores</t>
  </si>
  <si>
    <t>Base de Torcedores %</t>
  </si>
  <si>
    <t>Performance Série A 2023</t>
  </si>
  <si>
    <t>Público Médio / Sócios-Torcedores</t>
  </si>
  <si>
    <t>Bilheteria média (R$ mil/jogo)</t>
  </si>
  <si>
    <t>Público Médio (pagantes)</t>
  </si>
  <si>
    <t>PIB do Estado (R$ bilhões)</t>
  </si>
  <si>
    <t>Folha do futebol</t>
  </si>
  <si>
    <t>Aquisições de atletas</t>
  </si>
  <si>
    <t>Receita c/ Publicidade e patrocínio</t>
  </si>
  <si>
    <t>Receita c/ Match-Day</t>
  </si>
  <si>
    <t>Receita c/ Sócio-torcedor</t>
  </si>
  <si>
    <t>Receita c/ Licenciamento da marca</t>
  </si>
  <si>
    <t>Receita c/ Negociação de atletas</t>
  </si>
  <si>
    <t>Receita Operacional Líquida</t>
  </si>
  <si>
    <t>Despesas com Operação de jogos</t>
  </si>
  <si>
    <t>Resultado</t>
  </si>
  <si>
    <t>Receita Recorrente</t>
  </si>
  <si>
    <t>Base de Torcedores</t>
  </si>
  <si>
    <t>Bilheteria Série A 2023 (R$ milhões)</t>
  </si>
  <si>
    <t>Valor do Elenco (€ milhões)</t>
  </si>
  <si>
    <t>Athletico</t>
  </si>
  <si>
    <t>Receita Operacional Líquida / Base de Torcedores</t>
  </si>
  <si>
    <t>Receita com Venda de Direitos Econômicos / Pontuação</t>
  </si>
  <si>
    <t>Receita com Premiação / Folha do Futebol</t>
  </si>
  <si>
    <t>Receita Operacional Líquida  / Sócios Torcedores</t>
  </si>
  <si>
    <t>Despesas totais</t>
  </si>
  <si>
    <t>Gastos com a Base</t>
  </si>
  <si>
    <t>Receita com Venda de Direitos Econômicos / Gastos com a Base</t>
  </si>
  <si>
    <t>Match-Day</t>
  </si>
  <si>
    <t>Pontuação Série A</t>
  </si>
  <si>
    <t>Performance Série A</t>
  </si>
  <si>
    <t>Média da Liga</t>
  </si>
  <si>
    <t>Folha de Pessoal/Imagem</t>
  </si>
  <si>
    <t>IPC</t>
  </si>
  <si>
    <t>Moeda_Constante</t>
  </si>
  <si>
    <t>Índ_Acum</t>
  </si>
  <si>
    <t>Transmissão + Premiação</t>
  </si>
  <si>
    <t>Receita c/ Transmissão + Premiações</t>
  </si>
  <si>
    <t>Gastos c/ Base</t>
  </si>
  <si>
    <t>Bilheteria média Série A 2023 (R$ mil/jogo)</t>
  </si>
  <si>
    <t>Parcelamentos</t>
  </si>
  <si>
    <t>Total</t>
  </si>
  <si>
    <t>Partes Relacionadas/Acordos</t>
  </si>
  <si>
    <t>Bancária/Afins</t>
  </si>
  <si>
    <t>Profut/Acordos</t>
  </si>
  <si>
    <t>Receitas Totais</t>
  </si>
  <si>
    <t>Custos e Despesas Operacionais</t>
  </si>
  <si>
    <t>Impostos/Depreciação/Amortização</t>
  </si>
  <si>
    <t>Dívida/EBITDA</t>
  </si>
  <si>
    <t/>
  </si>
  <si>
    <t>Dívida/Receita Operacional Líquida</t>
  </si>
  <si>
    <t>Dívida / EBITDA</t>
  </si>
  <si>
    <t>Dívida / Rec Oper Líquida</t>
  </si>
  <si>
    <t>Atlético GO</t>
  </si>
  <si>
    <t>Criciúma</t>
  </si>
  <si>
    <t>Juventude</t>
  </si>
  <si>
    <t>Índice de Transparência</t>
  </si>
  <si>
    <t>Nível 1 - Reportes Obrigatórios</t>
  </si>
  <si>
    <t>Nível 2 - Reportes Discricionários</t>
  </si>
  <si>
    <t>Nível 3 - Indicadores de Qualidade</t>
  </si>
  <si>
    <t>Contingências</t>
  </si>
  <si>
    <t>Força Financeira Estrita</t>
  </si>
  <si>
    <t>Força Financeira Ampla</t>
  </si>
  <si>
    <t>Despesas Totais</t>
  </si>
  <si>
    <t>Folha do Futebol</t>
  </si>
  <si>
    <t>Caixa destinado à compra de jogadores</t>
  </si>
  <si>
    <t>Ingressos de Caixa Não Operacionais</t>
  </si>
  <si>
    <t>Gastos c/ Atletas em Formação (DFC)</t>
  </si>
  <si>
    <t>Despesas não-futebol</t>
  </si>
  <si>
    <t>Amortização (jogadores)</t>
  </si>
  <si>
    <t>Folha do futebol / Receita Operacional Líquida</t>
  </si>
  <si>
    <t>Gastos c/ Futebol /Despesas Totais</t>
  </si>
  <si>
    <t>Folha do Futebol / Receita Operacional Líquida</t>
  </si>
  <si>
    <t>Folha do Futebol / Força Financeira Estrita</t>
  </si>
  <si>
    <t>Força Financeira/Receita Operacional Líquida</t>
  </si>
  <si>
    <t>Folha futebol + Compra jogadores / Rec Oper Líquida</t>
  </si>
  <si>
    <t>Receita com Venda de Direitos Econômicos / Pontuação Série A</t>
  </si>
  <si>
    <t>Folha do futebol / Pontuação Série A</t>
  </si>
  <si>
    <t>Rec Oper Líquida / Pontuação Série A</t>
  </si>
  <si>
    <t>Receita Operacional Líquida / Pontuação Série A</t>
  </si>
  <si>
    <t>Receita c/ Direitos de Transmissão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</si>
</sst>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0" fillId="2" borderId="0" xfId="0" applyNumberFormat="1" applyFill="1"/>
    <xf numFmtId="3" fontId="1" fillId="2" borderId="0" xfId="0" applyNumberFormat="1" applyFont="1" applyFill="1"/>
    <xf numFmtId="9" fontId="0" fillId="0" borderId="0" xfId="1" applyFont="1"/>
    <xf numFmtId="1" fontId="0" fillId="0" borderId="0" xfId="0" applyNumberFormat="1"/>
    <xf numFmtId="0" fontId="0" fillId="0" borderId="0" xfId="0" quotePrefix="1"/>
    <xf numFmtId="3" fontId="4" fillId="0" borderId="0" xfId="0" applyNumberFormat="1" applyFont="1"/>
    <xf numFmtId="0" fontId="4" fillId="0" borderId="0" xfId="0" applyFont="1"/>
    <xf numFmtId="0" fontId="3" fillId="0" borderId="0" xfId="0" applyFont="1"/>
    <xf numFmtId="0" fontId="0" fillId="3" borderId="0" xfId="0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3" borderId="0" xfId="0" applyNumberFormat="1" applyFill="1"/>
    <xf numFmtId="0" fontId="5" fillId="0" borderId="0" xfId="0" applyFont="1" applyAlignment="1">
      <alignment vertical="center"/>
    </xf>
    <xf numFmtId="0" fontId="1" fillId="0" borderId="0" xfId="0" applyFont="1"/>
    <xf numFmtId="2" fontId="0" fillId="0" borderId="0" xfId="0" applyNumberFormat="1"/>
    <xf numFmtId="166" fontId="0" fillId="0" borderId="0" xfId="0" applyNumberFormat="1"/>
    <xf numFmtId="4" fontId="0" fillId="0" borderId="0" xfId="0" applyNumberFormat="1"/>
    <xf numFmtId="1" fontId="0" fillId="3" borderId="0" xfId="0" applyNumberFormat="1" applyFill="1"/>
    <xf numFmtId="165" fontId="0" fillId="2" borderId="0" xfId="0" applyNumberFormat="1" applyFill="1"/>
    <xf numFmtId="0" fontId="6" fillId="0" borderId="0" xfId="0" applyFont="1"/>
    <xf numFmtId="3" fontId="6" fillId="0" borderId="0" xfId="0" applyNumberFormat="1" applyFont="1"/>
    <xf numFmtId="167" fontId="0" fillId="0" borderId="0" xfId="1" applyNumberFormat="1" applyFont="1"/>
    <xf numFmtId="0" fontId="0" fillId="2" borderId="0" xfId="0" applyFill="1"/>
    <xf numFmtId="167" fontId="0" fillId="2" borderId="0" xfId="1" applyNumberFormat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Americo Pereira Antunes" id="{D9C177C2-4820-4A14-BCC5-17B8B37A3BE0}" userId="S::jose.antunes@bcb.gov.br::2672cfdf-1968-4225-86d0-f56765cdc2cf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2" dT="2024-04-06T11:10:04.91" personId="{D9C177C2-4820-4A14-BCC5-17B8B37A3BE0}" id="{348C4438-9DB0-4365-A552-40024EBAD5CE}">
    <text>Inclui a rubrica "Gastos com atletas, comissão técnica e baixa"</text>
  </threadedComment>
  <threadedComment ref="Q22" dT="2024-04-09T12:45:36.02" personId="{D9C177C2-4820-4A14-BCC5-17B8B37A3BE0}" id="{2BFD802F-C27D-491C-B026-820657052F32}">
    <text>Bancária + Entidades + Fiscais + Partes Relacionadas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F165A87E-660F-4E74-806E-37E313A2C72E}">
    <text>Inclui premiações</text>
  </threadedComment>
  <threadedComment ref="D3" dT="2024-04-12T23:50:06.34" personId="{D9C177C2-4820-4A14-BCC5-17B8B37A3BE0}" id="{AAE82129-A75C-4BA1-8AD8-974934380CA7}">
    <text>Inclui premiações</text>
  </threadedComment>
  <threadedComment ref="H3" dT="2024-04-13T00:56:06.95" personId="{D9C177C2-4820-4A14-BCC5-17B8B37A3BE0}" id="{02DD2B55-73C8-4EEB-A6E9-4AB56F4F1EDA}">
    <text>Inclui premiação</text>
  </threadedComment>
  <threadedComment ref="I3" dT="2024-04-13T00:56:14.49" personId="{D9C177C2-4820-4A14-BCC5-17B8B37A3BE0}" id="{EB100854-B9B7-4665-8467-E5C14A49DDBE}">
    <text>Inclui premiação</text>
  </threadedComment>
  <threadedComment ref="AM3" dT="2024-04-13T10:56:51.99" personId="{D9C177C2-4820-4A14-BCC5-17B8B37A3BE0}" id="{2F48E8AD-08C7-4A73-BB2B-2C7DF44E8C08}">
    <text>Inclui publicidade</text>
  </threadedComment>
  <threadedComment ref="AN3" dT="2024-04-13T10:57:00.49" personId="{D9C177C2-4820-4A14-BCC5-17B8B37A3BE0}" id="{A5187836-772A-4E08-862F-A97A6E67C600}">
    <text>Inclui publicidade</text>
  </threadedComment>
  <threadedComment ref="BA3" dT="2024-04-13T11:54:30.68" personId="{D9C177C2-4820-4A14-BCC5-17B8B37A3BE0}" id="{63249D96-4105-4C2E-80A9-32C01CAB1DC7}">
    <text>Inclui premiações</text>
  </threadedComment>
  <threadedComment ref="BF3" dT="2024-04-13T12:53:45.02" personId="{D9C177C2-4820-4A14-BCC5-17B8B37A3BE0}" id="{1A5F0588-0AC4-4B68-8366-538E9EBDA1B7}">
    <text>Inclui premiações</text>
  </threadedComment>
  <threadedComment ref="BG3" dT="2024-04-13T12:53:53.41" personId="{D9C177C2-4820-4A14-BCC5-17B8B37A3BE0}" id="{B674D296-4408-47F3-A7B4-D6DF0DF071BD}">
    <text>Inclui premiações</text>
  </threadedComment>
  <threadedComment ref="BP3" dT="2024-04-13T16:30:55.08" personId="{D9C177C2-4820-4A14-BCC5-17B8B37A3BE0}" id="{359D13A5-FD1F-41F8-9B8B-292C191745A8}">
    <text>Inclui Premiação</text>
  </threadedComment>
  <threadedComment ref="BQ3" dT="2024-04-13T16:31:02.71" personId="{D9C177C2-4820-4A14-BCC5-17B8B37A3BE0}" id="{98B1F8DF-8E99-481B-BD32-321DDB711B85}">
    <text>Inclui Premiação</text>
  </threadedComment>
  <threadedComment ref="AB6" dT="2024-04-12T19:01:25.10" personId="{D9C177C2-4820-4A14-BCC5-17B8B37A3BE0}" id="{E0E4B40D-8900-4EAC-9429-EBA021558D8C}">
    <text>Contempla as 2 próximas Linhas tb.</text>
  </threadedComment>
  <threadedComment ref="AC6" dT="2024-04-12T19:01:32.65" personId="{D9C177C2-4820-4A14-BCC5-17B8B37A3BE0}" id="{03801618-AEDD-41C6-A058-2235F3C03CD5}">
    <text>Contempla as 2 próximas Linhas tb.</text>
  </threadedComment>
  <threadedComment ref="AD6" dT="2024-04-12T19:01:32.65" personId="{D9C177C2-4820-4A14-BCC5-17B8B37A3BE0}" id="{C2353FE3-4C44-47F8-9742-A5199D957533}">
    <text>Contempla as 2 próximas Linhas tb.</text>
  </threadedComment>
  <threadedComment ref="AE6" dT="2024-04-12T19:01:32.65" personId="{D9C177C2-4820-4A14-BCC5-17B8B37A3BE0}" id="{3A772536-840B-42AB-A3C2-0DC03602F8B1}">
    <text>Contempla as 2 próximas Linhas tb.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4F6B272C-D8E0-41C8-B9FE-5C696B554FE0}">
    <text>Inclui premiações</text>
  </threadedComment>
  <threadedComment ref="D3" dT="2024-04-12T23:50:06.34" personId="{D9C177C2-4820-4A14-BCC5-17B8B37A3BE0}" id="{5968AC96-00C2-4232-9445-6BFD885E53E2}">
    <text>Inclui premiações</text>
  </threadedComment>
  <threadedComment ref="H3" dT="2024-04-12T23:50:06.34" personId="{D9C177C2-4820-4A14-BCC5-17B8B37A3BE0}" id="{6A4DD3C4-2CF7-429E-A184-B5D71DA827A4}">
    <text>Inclui premiações</text>
  </threadedComment>
  <threadedComment ref="I3" dT="2024-04-12T23:50:06.34" personId="{D9C177C2-4820-4A14-BCC5-17B8B37A3BE0}" id="{C77AAF39-9CD8-49B5-84F9-FF7AA89E1369}">
    <text>Inclui premiações</text>
  </threadedComment>
  <threadedComment ref="M3" dT="2024-04-12T23:50:06.34" personId="{D9C177C2-4820-4A14-BCC5-17B8B37A3BE0}" id="{192A606D-E5C1-42C8-8EE3-F835A73B674F}">
    <text>Inclui premiações</text>
  </threadedComment>
  <threadedComment ref="R3" dT="2024-04-12T23:50:06.34" personId="{D9C177C2-4820-4A14-BCC5-17B8B37A3BE0}" id="{51B5325D-AC85-4ACB-9F5C-C1AC01604630}">
    <text>Inclui premiações</text>
  </threadedComment>
  <threadedComment ref="AM3" dT="2024-04-13T10:56:51.99" personId="{D9C177C2-4820-4A14-BCC5-17B8B37A3BE0}" id="{6C28CC59-0FDB-4226-A7A7-0509C983BB32}">
    <text>Inclui publicidade</text>
  </threadedComment>
  <threadedComment ref="AN3" dT="2024-04-13T10:57:00.49" personId="{D9C177C2-4820-4A14-BCC5-17B8B37A3BE0}" id="{777D9CB8-EE90-436B-88D2-42E86DF7625A}">
    <text>Inclui publicidade</text>
  </threadedComment>
  <threadedComment ref="BA3" dT="2024-04-13T11:54:30.68" personId="{D9C177C2-4820-4A14-BCC5-17B8B37A3BE0}" id="{01F83B77-5A57-486F-882A-263682868CD6}">
    <text>Inclui premiações</text>
  </threadedComment>
  <threadedComment ref="BF3" dT="2024-04-13T12:53:45.02" personId="{D9C177C2-4820-4A14-BCC5-17B8B37A3BE0}" id="{67ABEDCE-DAC3-4B0F-983C-A7C4EE1CF75B}">
    <text>Inclui premiações</text>
  </threadedComment>
  <threadedComment ref="BG3" dT="2024-04-13T12:53:53.41" personId="{D9C177C2-4820-4A14-BCC5-17B8B37A3BE0}" id="{AA12CF89-0089-4FD3-93C4-CF197F398CD2}">
    <text>Inclui premiações</text>
  </threadedComment>
  <threadedComment ref="BP3" dT="2024-04-13T16:30:55.08" personId="{D9C177C2-4820-4A14-BCC5-17B8B37A3BE0}" id="{82A2EE1F-2628-45F2-B7A9-84B1A70DB3D9}">
    <text>Inclui Premiação</text>
  </threadedComment>
  <threadedComment ref="BQ3" dT="2024-04-13T16:31:02.71" personId="{D9C177C2-4820-4A14-BCC5-17B8B37A3BE0}" id="{0F225B51-9FFC-4EAC-83B1-2C2E30E83DE4}">
    <text>Inclui Premiação</text>
  </threadedComment>
  <threadedComment ref="AB6" dT="2024-04-12T19:01:25.10" personId="{D9C177C2-4820-4A14-BCC5-17B8B37A3BE0}" id="{448DBAAA-7BDA-411C-9F08-C7917AF09001}">
    <text>Contempla as 2 próximas Linhas tb.</text>
  </threadedComment>
  <threadedComment ref="AC6" dT="2024-04-12T19:01:32.65" personId="{D9C177C2-4820-4A14-BCC5-17B8B37A3BE0}" id="{8B595099-7EF3-4619-BC7C-051F60C1B607}">
    <text>Contempla as 2 próximas Linhas tb.</text>
  </threadedComment>
  <threadedComment ref="AD6" dT="2024-04-12T19:01:32.65" personId="{D9C177C2-4820-4A14-BCC5-17B8B37A3BE0}" id="{381AA9C3-00CE-47BB-A53E-522391C9DC82}">
    <text>Contempla as 2 próximas Linhas tb.</text>
  </threadedComment>
  <threadedComment ref="AE6" dT="2024-04-12T19:01:32.65" personId="{D9C177C2-4820-4A14-BCC5-17B8B37A3BE0}" id="{A5852994-393A-4DFC-8D7A-149A23B646DF}">
    <text>Contempla as 2 próximas Linhas tb.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A42B-AAD5-4C2A-9EEC-41614388A592}">
  <sheetPr codeName="Planilha1"/>
  <dimension ref="A1:U23"/>
  <sheetViews>
    <sheetView showGridLines="0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RowHeight="14.4" x14ac:dyDescent="0.3"/>
  <cols>
    <col min="1" max="1" width="29.6640625" style="1" bestFit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0" width="14" style="1" bestFit="1" customWidth="1"/>
    <col min="21" max="21" width="12.6640625" style="1" bestFit="1" customWidth="1"/>
    <col min="22" max="22" width="10.6640625" style="1" bestFit="1" customWidth="1"/>
    <col min="23" max="23" width="8.6640625" style="1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1" x14ac:dyDescent="0.3">
      <c r="A1" s="1" t="s">
        <v>45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24</v>
      </c>
      <c r="U1" s="1" t="s">
        <v>90</v>
      </c>
    </row>
    <row r="2" spans="1:21" x14ac:dyDescent="0.3">
      <c r="A2" s="1" t="s">
        <v>6</v>
      </c>
      <c r="K2" s="1">
        <v>326</v>
      </c>
      <c r="Q2" s="1">
        <v>183</v>
      </c>
      <c r="U2" s="1">
        <f>AVERAGE(B2:T2)</f>
        <v>254.5</v>
      </c>
    </row>
    <row r="3" spans="1:21" x14ac:dyDescent="0.3">
      <c r="A3" s="1" t="s">
        <v>0</v>
      </c>
      <c r="K3" s="1">
        <v>183</v>
      </c>
      <c r="Q3" s="1">
        <v>121</v>
      </c>
      <c r="U3" s="1">
        <f t="shared" ref="U3:U22" si="0">AVERAGE(B3:T3)</f>
        <v>152</v>
      </c>
    </row>
    <row r="4" spans="1:21" x14ac:dyDescent="0.3">
      <c r="A4" s="1" t="s">
        <v>1</v>
      </c>
      <c r="K4" s="1">
        <v>169</v>
      </c>
      <c r="Q4" s="1">
        <v>63</v>
      </c>
      <c r="U4" s="1">
        <f t="shared" si="0"/>
        <v>116</v>
      </c>
    </row>
    <row r="5" spans="1:21" x14ac:dyDescent="0.3">
      <c r="A5" s="1" t="s">
        <v>3</v>
      </c>
      <c r="K5" s="1">
        <v>90</v>
      </c>
      <c r="Q5" s="1">
        <v>59</v>
      </c>
      <c r="U5" s="1">
        <f t="shared" si="0"/>
        <v>74.5</v>
      </c>
    </row>
    <row r="6" spans="1:21" x14ac:dyDescent="0.3">
      <c r="A6" s="1" t="s">
        <v>4</v>
      </c>
      <c r="K6">
        <v>137</v>
      </c>
      <c r="Q6" s="1">
        <v>80</v>
      </c>
      <c r="U6" s="1">
        <f t="shared" si="0"/>
        <v>108.5</v>
      </c>
    </row>
    <row r="7" spans="1:21" x14ac:dyDescent="0.3">
      <c r="A7" s="1" t="s">
        <v>5</v>
      </c>
      <c r="K7" s="1">
        <v>59</v>
      </c>
      <c r="Q7" s="1">
        <v>36</v>
      </c>
      <c r="U7" s="1">
        <f t="shared" si="0"/>
        <v>47.5</v>
      </c>
    </row>
    <row r="8" spans="1:21" x14ac:dyDescent="0.3">
      <c r="A8" s="1" t="s">
        <v>20</v>
      </c>
      <c r="K8" s="1">
        <v>924</v>
      </c>
      <c r="Q8" s="1">
        <v>541</v>
      </c>
      <c r="U8" s="1">
        <f t="shared" si="0"/>
        <v>732.5</v>
      </c>
    </row>
    <row r="9" spans="1:21" x14ac:dyDescent="0.3">
      <c r="A9" s="1" t="s">
        <v>2</v>
      </c>
      <c r="K9" s="1">
        <v>303</v>
      </c>
      <c r="Q9" s="1">
        <v>187</v>
      </c>
      <c r="U9" s="1">
        <f t="shared" si="0"/>
        <v>245</v>
      </c>
    </row>
    <row r="10" spans="1:21" x14ac:dyDescent="0.3">
      <c r="A10" s="1" t="s">
        <v>7</v>
      </c>
      <c r="K10" s="1">
        <v>18</v>
      </c>
      <c r="Q10" s="1">
        <v>4</v>
      </c>
      <c r="U10" s="1">
        <f t="shared" si="0"/>
        <v>11</v>
      </c>
    </row>
    <row r="11" spans="1:21" x14ac:dyDescent="0.3">
      <c r="A11" s="1" t="s">
        <v>19</v>
      </c>
      <c r="K11" s="1">
        <v>1316</v>
      </c>
      <c r="Q11" s="1">
        <v>732</v>
      </c>
      <c r="U11" s="1">
        <f t="shared" si="0"/>
        <v>1024</v>
      </c>
    </row>
    <row r="12" spans="1:21" x14ac:dyDescent="0.3">
      <c r="A12" s="1" t="s">
        <v>8</v>
      </c>
      <c r="K12" s="1">
        <v>339</v>
      </c>
      <c r="Q12" s="1">
        <v>387</v>
      </c>
      <c r="U12" s="1">
        <f t="shared" si="0"/>
        <v>363</v>
      </c>
    </row>
    <row r="13" spans="1:21" x14ac:dyDescent="0.3">
      <c r="A13" s="1" t="s">
        <v>9</v>
      </c>
      <c r="K13" s="1">
        <v>124</v>
      </c>
      <c r="Q13" s="1">
        <v>86</v>
      </c>
      <c r="U13" s="1">
        <f t="shared" si="0"/>
        <v>105</v>
      </c>
    </row>
    <row r="14" spans="1:21" x14ac:dyDescent="0.3">
      <c r="A14" s="1" t="s">
        <v>10</v>
      </c>
      <c r="K14" s="1">
        <v>125</v>
      </c>
      <c r="Q14" s="1">
        <v>26</v>
      </c>
      <c r="U14" s="1">
        <f t="shared" si="0"/>
        <v>75.5</v>
      </c>
    </row>
    <row r="15" spans="1:21" x14ac:dyDescent="0.3">
      <c r="A15" s="1" t="s">
        <v>11</v>
      </c>
      <c r="K15" s="1">
        <v>131</v>
      </c>
      <c r="Q15" s="1">
        <v>86</v>
      </c>
      <c r="U15" s="1">
        <f t="shared" si="0"/>
        <v>108.5</v>
      </c>
    </row>
    <row r="16" spans="1:21" x14ac:dyDescent="0.3">
      <c r="A16" s="1" t="s">
        <v>12</v>
      </c>
      <c r="K16" s="1">
        <v>200</v>
      </c>
      <c r="Q16" s="1">
        <v>106</v>
      </c>
      <c r="U16" s="1">
        <f t="shared" si="0"/>
        <v>153</v>
      </c>
    </row>
    <row r="17" spans="1:21" x14ac:dyDescent="0.3">
      <c r="A17" s="1" t="s">
        <v>13</v>
      </c>
      <c r="K17" s="1">
        <v>34</v>
      </c>
      <c r="Q17" s="1">
        <v>5</v>
      </c>
      <c r="U17" s="1">
        <f t="shared" si="0"/>
        <v>19.5</v>
      </c>
    </row>
    <row r="18" spans="1:21" x14ac:dyDescent="0.3">
      <c r="A18" s="1" t="s">
        <v>14</v>
      </c>
      <c r="K18" s="1">
        <v>953</v>
      </c>
      <c r="Q18" s="1">
        <v>697</v>
      </c>
      <c r="U18" s="1">
        <f t="shared" si="0"/>
        <v>825</v>
      </c>
    </row>
    <row r="19" spans="1:21" x14ac:dyDescent="0.3">
      <c r="A19" s="1" t="s">
        <v>40</v>
      </c>
      <c r="K19" s="1">
        <v>292</v>
      </c>
      <c r="Q19" s="1">
        <v>34</v>
      </c>
      <c r="U19" s="1">
        <f t="shared" si="0"/>
        <v>163</v>
      </c>
    </row>
    <row r="20" spans="1:21" x14ac:dyDescent="0.3">
      <c r="A20" s="1" t="s">
        <v>41</v>
      </c>
      <c r="K20" s="1">
        <v>28</v>
      </c>
      <c r="Q20" s="1">
        <v>51</v>
      </c>
      <c r="U20" s="1">
        <f t="shared" si="0"/>
        <v>39.5</v>
      </c>
    </row>
    <row r="21" spans="1:21" x14ac:dyDescent="0.3">
      <c r="A21" s="1" t="s">
        <v>42</v>
      </c>
      <c r="K21" s="1">
        <v>320</v>
      </c>
      <c r="Q21" s="1">
        <v>-16</v>
      </c>
      <c r="U21" s="1">
        <f t="shared" si="0"/>
        <v>152</v>
      </c>
    </row>
    <row r="22" spans="1:21" x14ac:dyDescent="0.3">
      <c r="A22" s="1" t="s">
        <v>91</v>
      </c>
      <c r="K22" s="1">
        <f>SUM(K12+K13)</f>
        <v>463</v>
      </c>
      <c r="Q22" s="1">
        <f>SUM(Q12+Q13)</f>
        <v>473</v>
      </c>
      <c r="U22" s="1">
        <f t="shared" si="0"/>
        <v>468</v>
      </c>
    </row>
    <row r="23" spans="1:21" x14ac:dyDescent="0.3">
      <c r="A23" s="1" t="s">
        <v>95</v>
      </c>
      <c r="K23" s="1">
        <f>K2+K6</f>
        <v>463</v>
      </c>
      <c r="Q23" s="1">
        <f>Q2+Q6</f>
        <v>263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36FD-E37A-42F5-9E50-DEC8A36C4DAA}">
  <sheetPr codeName="Planilha2"/>
  <dimension ref="A1:W23"/>
  <sheetViews>
    <sheetView showGridLines="0" zoomScale="110" zoomScaleNormal="11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T7" sqref="T7"/>
    </sheetView>
  </sheetViews>
  <sheetFormatPr defaultRowHeight="14.4" x14ac:dyDescent="0.3"/>
  <cols>
    <col min="1" max="1" width="35.33203125" style="1" bestFit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0" width="14" style="1" bestFit="1" customWidth="1"/>
    <col min="21" max="21" width="10.6640625" style="1" bestFit="1" customWidth="1"/>
    <col min="22" max="22" width="8.33203125" style="1" bestFit="1" customWidth="1"/>
    <col min="23" max="23" width="9.5546875" style="1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3" x14ac:dyDescent="0.3">
      <c r="A1" s="1" t="s">
        <v>21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24</v>
      </c>
      <c r="U1" s="1" t="s">
        <v>112</v>
      </c>
      <c r="V1" t="s">
        <v>113</v>
      </c>
      <c r="W1" t="s">
        <v>114</v>
      </c>
    </row>
    <row r="2" spans="1:23" x14ac:dyDescent="0.3">
      <c r="A2" s="1" t="s">
        <v>6</v>
      </c>
      <c r="K2" s="1">
        <v>326</v>
      </c>
      <c r="Q2" s="1">
        <v>183</v>
      </c>
    </row>
    <row r="3" spans="1:23" x14ac:dyDescent="0.3">
      <c r="A3" s="1" t="s">
        <v>0</v>
      </c>
      <c r="K3" s="1">
        <v>183</v>
      </c>
      <c r="Q3" s="1">
        <v>121</v>
      </c>
    </row>
    <row r="4" spans="1:23" x14ac:dyDescent="0.3">
      <c r="A4" s="1" t="s">
        <v>1</v>
      </c>
      <c r="K4" s="1">
        <v>169</v>
      </c>
      <c r="Q4" s="1">
        <v>63</v>
      </c>
    </row>
    <row r="5" spans="1:23" x14ac:dyDescent="0.3">
      <c r="A5" s="1" t="s">
        <v>3</v>
      </c>
      <c r="K5" s="1">
        <v>90</v>
      </c>
      <c r="Q5" s="1">
        <v>59</v>
      </c>
    </row>
    <row r="6" spans="1:23" x14ac:dyDescent="0.3">
      <c r="A6" s="1" t="s">
        <v>4</v>
      </c>
      <c r="K6" s="1">
        <v>96</v>
      </c>
      <c r="Q6" s="1">
        <v>80</v>
      </c>
    </row>
    <row r="7" spans="1:23" x14ac:dyDescent="0.3">
      <c r="A7" s="1" t="s">
        <v>5</v>
      </c>
      <c r="K7" s="1">
        <v>59</v>
      </c>
      <c r="Q7" s="1">
        <v>36</v>
      </c>
    </row>
    <row r="8" spans="1:23" x14ac:dyDescent="0.3">
      <c r="A8" s="1" t="s">
        <v>2</v>
      </c>
      <c r="K8" s="1">
        <v>303</v>
      </c>
      <c r="Q8" s="1">
        <v>187</v>
      </c>
    </row>
    <row r="9" spans="1:23" s="2" customFormat="1" x14ac:dyDescent="0.3">
      <c r="A9" s="2" t="s">
        <v>53</v>
      </c>
      <c r="K9" s="2">
        <f>SUM(K2:K8)</f>
        <v>1226</v>
      </c>
      <c r="Q9" s="2">
        <v>732</v>
      </c>
    </row>
    <row r="10" spans="1:23" s="2" customFormat="1" x14ac:dyDescent="0.3">
      <c r="A10" s="2" t="s">
        <v>47</v>
      </c>
      <c r="K10" s="2">
        <f>SUM(K11:K16)</f>
        <v>808</v>
      </c>
      <c r="Q10" s="2">
        <v>495</v>
      </c>
    </row>
    <row r="11" spans="1:23" x14ac:dyDescent="0.3">
      <c r="A11" s="1" t="s">
        <v>8</v>
      </c>
      <c r="K11" s="1">
        <v>339</v>
      </c>
      <c r="Q11" s="1">
        <v>387</v>
      </c>
    </row>
    <row r="12" spans="1:23" x14ac:dyDescent="0.3">
      <c r="A12" s="1" t="s">
        <v>9</v>
      </c>
      <c r="K12" s="1">
        <v>124</v>
      </c>
      <c r="Q12" s="1">
        <v>86</v>
      </c>
    </row>
    <row r="13" spans="1:23" x14ac:dyDescent="0.3">
      <c r="A13" s="1" t="s">
        <v>10</v>
      </c>
      <c r="K13" s="1">
        <v>125</v>
      </c>
      <c r="Q13" s="1">
        <v>26</v>
      </c>
    </row>
    <row r="14" spans="1:23" x14ac:dyDescent="0.3">
      <c r="A14" s="1" t="s">
        <v>11</v>
      </c>
      <c r="K14" s="1">
        <v>131</v>
      </c>
      <c r="Q14" s="1">
        <v>86</v>
      </c>
    </row>
    <row r="15" spans="1:23" x14ac:dyDescent="0.3">
      <c r="A15" s="1" t="s">
        <v>13</v>
      </c>
      <c r="K15" s="1">
        <v>34</v>
      </c>
      <c r="Q15" s="1">
        <v>5</v>
      </c>
    </row>
    <row r="16" spans="1:23" x14ac:dyDescent="0.3">
      <c r="A16" s="1" t="s">
        <v>56</v>
      </c>
      <c r="K16" s="1">
        <v>55</v>
      </c>
      <c r="Q16" s="3">
        <v>95</v>
      </c>
    </row>
    <row r="17" spans="1:17" s="2" customFormat="1" x14ac:dyDescent="0.3">
      <c r="A17" s="2" t="s">
        <v>55</v>
      </c>
      <c r="K17" s="2">
        <v>418</v>
      </c>
      <c r="Q17" s="2">
        <v>237</v>
      </c>
    </row>
    <row r="18" spans="1:17" s="2" customFormat="1" x14ac:dyDescent="0.3">
      <c r="A18" s="2" t="s">
        <v>51</v>
      </c>
      <c r="K18" s="2">
        <v>380</v>
      </c>
      <c r="Q18" s="2">
        <v>220</v>
      </c>
    </row>
    <row r="19" spans="1:17" x14ac:dyDescent="0.3">
      <c r="A19" s="1" t="s">
        <v>48</v>
      </c>
      <c r="K19" s="1">
        <f>273+87-20</f>
        <v>340</v>
      </c>
      <c r="Q19" s="1">
        <v>176</v>
      </c>
    </row>
    <row r="20" spans="1:17" x14ac:dyDescent="0.3">
      <c r="A20" s="1" t="s">
        <v>49</v>
      </c>
      <c r="K20" s="1">
        <v>39</v>
      </c>
      <c r="Q20" s="1">
        <v>12</v>
      </c>
    </row>
    <row r="21" spans="1:17" x14ac:dyDescent="0.3">
      <c r="A21" s="1" t="s">
        <v>50</v>
      </c>
      <c r="K21" s="1">
        <f>K18-SUM(K19:K20)</f>
        <v>1</v>
      </c>
      <c r="Q21" s="1">
        <f>Q18-Q19-Q20</f>
        <v>32</v>
      </c>
    </row>
    <row r="22" spans="1:17" s="2" customFormat="1" x14ac:dyDescent="0.3">
      <c r="A22" s="2" t="s">
        <v>52</v>
      </c>
      <c r="K22" s="2">
        <v>41</v>
      </c>
      <c r="Q22" s="2">
        <v>14</v>
      </c>
    </row>
    <row r="23" spans="1:17" s="2" customFormat="1" x14ac:dyDescent="0.3">
      <c r="A23" s="2" t="s">
        <v>54</v>
      </c>
      <c r="K23" s="4">
        <v>2</v>
      </c>
      <c r="Q23" s="2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K1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921D-0263-476D-B0E9-5252564F378B}">
  <sheetPr codeName="Planilha3"/>
  <dimension ref="A1:AK54"/>
  <sheetViews>
    <sheetView showGridLines="0" zoomScale="90" zoomScaleNormal="90" workbookViewId="0">
      <pane xSplit="1" ySplit="1" topLeftCell="J27" activePane="bottomRight" state="frozen"/>
      <selection pane="topRight" activeCell="B1" sqref="B1"/>
      <selection pane="bottomLeft" activeCell="A2" sqref="A2"/>
      <selection pane="bottomRight" activeCell="A24" sqref="A24"/>
    </sheetView>
  </sheetViews>
  <sheetFormatPr defaultRowHeight="14.4" x14ac:dyDescent="0.3"/>
  <cols>
    <col min="1" max="1" width="63.44140625" bestFit="1" customWidth="1"/>
    <col min="2" max="2" width="9.88671875" bestFit="1" customWidth="1"/>
    <col min="3" max="3" width="9.5546875" bestFit="1" customWidth="1"/>
    <col min="4" max="4" width="10.6640625" bestFit="1" customWidth="1"/>
    <col min="5" max="5" width="7.77734375" bestFit="1" customWidth="1"/>
    <col min="6" max="6" width="10.88671875" bestFit="1" customWidth="1"/>
    <col min="7" max="7" width="12.77734375" bestFit="1" customWidth="1"/>
    <col min="8" max="8" width="9.6640625" bestFit="1" customWidth="1"/>
    <col min="9" max="9" width="10" bestFit="1" customWidth="1"/>
    <col min="10" max="10" width="8.77734375" bestFit="1" customWidth="1"/>
    <col min="11" max="11" width="12" bestFit="1" customWidth="1"/>
    <col min="12" max="12" width="12.6640625" bestFit="1" customWidth="1"/>
    <col min="13" max="13" width="10.77734375" bestFit="1" customWidth="1"/>
    <col min="14" max="14" width="9.21875" bestFit="1" customWidth="1"/>
    <col min="15" max="15" width="7.77734375" bestFit="1" customWidth="1"/>
    <col min="16" max="16" width="14.109375" bestFit="1" customWidth="1"/>
    <col min="17" max="17" width="12" bestFit="1" customWidth="1"/>
    <col min="18" max="18" width="8.6640625" bestFit="1" customWidth="1"/>
    <col min="19" max="19" width="11.21875" bestFit="1" customWidth="1"/>
    <col min="20" max="20" width="8.109375" bestFit="1" customWidth="1"/>
    <col min="21" max="21" width="10.6640625" bestFit="1" customWidth="1"/>
    <col min="22" max="22" width="8.33203125" bestFit="1" customWidth="1"/>
    <col min="23" max="23" width="8.6640625" bestFit="1" customWidth="1"/>
    <col min="24" max="24" width="7.44140625" bestFit="1" customWidth="1"/>
    <col min="25" max="25" width="8" bestFit="1" customWidth="1"/>
    <col min="26" max="26" width="8.5546875" bestFit="1" customWidth="1"/>
    <col min="27" max="27" width="7.21875" bestFit="1" customWidth="1"/>
    <col min="28" max="28" width="12.109375" bestFit="1" customWidth="1"/>
    <col min="29" max="29" width="5.6640625" bestFit="1" customWidth="1"/>
    <col min="30" max="30" width="8.6640625" bestFit="1" customWidth="1"/>
    <col min="31" max="31" width="6.5546875" bestFit="1" customWidth="1"/>
    <col min="32" max="32" width="5.6640625" bestFit="1" customWidth="1"/>
    <col min="33" max="33" width="7.6640625" bestFit="1" customWidth="1"/>
    <col min="34" max="34" width="7.77734375" bestFit="1" customWidth="1"/>
  </cols>
  <sheetData>
    <row r="1" spans="1:37" x14ac:dyDescent="0.3">
      <c r="A1" t="s">
        <v>45</v>
      </c>
      <c r="B1" t="s">
        <v>35</v>
      </c>
      <c r="C1" t="s">
        <v>27</v>
      </c>
      <c r="D1" t="s">
        <v>79</v>
      </c>
      <c r="E1" t="s">
        <v>31</v>
      </c>
      <c r="F1" t="s">
        <v>26</v>
      </c>
      <c r="G1" t="s">
        <v>23</v>
      </c>
      <c r="H1" t="s">
        <v>34</v>
      </c>
      <c r="I1" t="s">
        <v>28</v>
      </c>
      <c r="J1" t="s">
        <v>37</v>
      </c>
      <c r="K1" t="s">
        <v>18</v>
      </c>
      <c r="L1" t="s">
        <v>25</v>
      </c>
      <c r="M1" t="s">
        <v>32</v>
      </c>
      <c r="N1" t="s">
        <v>29</v>
      </c>
      <c r="O1" t="s">
        <v>36</v>
      </c>
      <c r="P1" t="s">
        <v>30</v>
      </c>
      <c r="Q1" t="s">
        <v>15</v>
      </c>
      <c r="R1" t="s">
        <v>33</v>
      </c>
      <c r="S1" t="s">
        <v>22</v>
      </c>
      <c r="T1" t="s">
        <v>46</v>
      </c>
      <c r="U1" s="1" t="s">
        <v>112</v>
      </c>
      <c r="V1" t="s">
        <v>113</v>
      </c>
      <c r="W1" t="s">
        <v>114</v>
      </c>
    </row>
    <row r="2" spans="1:37" x14ac:dyDescent="0.3">
      <c r="A2" t="s">
        <v>96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">
        <f>Resultado!K2+Resultado!K6</f>
        <v>463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f>Resultado!Q2+Resultado!Q6</f>
        <v>263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3">
      <c r="A3" t="s">
        <v>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183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121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A4" t="s">
        <v>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">
        <v>169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63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3">
      <c r="A5" t="s">
        <v>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">
        <v>90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59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37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f>Resultado!K6</f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80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3">
      <c r="A7" t="s">
        <v>70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1">
        <v>59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36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3">
      <c r="A8" t="s">
        <v>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">
        <v>923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541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304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187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18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4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3">
      <c r="A11" t="s">
        <v>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1316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732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339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387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3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">
        <v>124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86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3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">
        <v>125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26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">
        <v>131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86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">
        <v>200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106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3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">
        <v>17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5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3">
      <c r="A18" t="s">
        <v>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">
        <v>936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697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3">
      <c r="A19" t="s">
        <v>74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309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-16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">
        <v>319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237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3">
      <c r="A21" t="s">
        <v>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">
        <v>485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186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3">
      <c r="A22" t="s">
        <v>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167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128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3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59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23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3">
      <c r="A24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273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150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3">
      <c r="A25" s="16" t="s">
        <v>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16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29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37" x14ac:dyDescent="0.3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47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37" x14ac:dyDescent="0.3">
      <c r="A27" t="s">
        <v>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248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701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37" x14ac:dyDescent="0.3">
      <c r="A28" t="s">
        <v>65</v>
      </c>
      <c r="B28">
        <f>B12+B13</f>
        <v>0</v>
      </c>
      <c r="C28">
        <f t="shared" ref="C28:T28" si="0">C12+C13</f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v>463</v>
      </c>
      <c r="L28">
        <v>0</v>
      </c>
      <c r="M28">
        <v>0</v>
      </c>
      <c r="N28">
        <v>0</v>
      </c>
      <c r="O28">
        <v>0</v>
      </c>
      <c r="P28">
        <v>0</v>
      </c>
      <c r="Q28">
        <v>405</v>
      </c>
      <c r="R28">
        <f t="shared" si="0"/>
        <v>0</v>
      </c>
      <c r="S28">
        <f t="shared" si="0"/>
        <v>0</v>
      </c>
      <c r="T28">
        <f t="shared" si="0"/>
        <v>0</v>
      </c>
      <c r="U28">
        <f t="shared" ref="U28:W28" si="1">U12+U13</f>
        <v>0</v>
      </c>
      <c r="V28">
        <f t="shared" si="1"/>
        <v>0</v>
      </c>
      <c r="W28">
        <f t="shared" si="1"/>
        <v>0</v>
      </c>
    </row>
    <row r="29" spans="1:37" x14ac:dyDescent="0.3">
      <c r="A29" t="s">
        <v>59</v>
      </c>
      <c r="B29">
        <v>0.5</v>
      </c>
      <c r="C29">
        <v>4.3</v>
      </c>
      <c r="D29">
        <v>1.5</v>
      </c>
      <c r="E29">
        <v>3.6</v>
      </c>
      <c r="F29">
        <v>2</v>
      </c>
      <c r="G29">
        <v>14.2</v>
      </c>
      <c r="H29">
        <v>0.1</v>
      </c>
      <c r="I29">
        <v>6.1</v>
      </c>
      <c r="J29">
        <v>0.1</v>
      </c>
      <c r="K29">
        <v>21.9</v>
      </c>
      <c r="L29">
        <v>3.4</v>
      </c>
      <c r="M29">
        <v>1.2</v>
      </c>
      <c r="N29">
        <v>4.5999999999999996</v>
      </c>
      <c r="O29">
        <v>0.2</v>
      </c>
      <c r="P29">
        <v>3.5</v>
      </c>
      <c r="Q29">
        <v>7.7</v>
      </c>
      <c r="R29">
        <v>3.1</v>
      </c>
      <c r="S29">
        <v>9.9</v>
      </c>
      <c r="T29">
        <v>6.2</v>
      </c>
      <c r="U29">
        <v>0.4</v>
      </c>
      <c r="V29">
        <v>0.1</v>
      </c>
      <c r="W29">
        <v>0.1</v>
      </c>
    </row>
    <row r="30" spans="1:37" x14ac:dyDescent="0.3">
      <c r="A30" t="s">
        <v>76</v>
      </c>
      <c r="B30">
        <v>1</v>
      </c>
      <c r="C30">
        <v>9.5</v>
      </c>
      <c r="D30">
        <v>3.3</v>
      </c>
      <c r="E30">
        <v>7.9</v>
      </c>
      <c r="F30">
        <v>4.4000000000000004</v>
      </c>
      <c r="G30">
        <v>31.2</v>
      </c>
      <c r="H30">
        <v>3.3</v>
      </c>
      <c r="I30">
        <v>13.4</v>
      </c>
      <c r="J30">
        <v>0.2</v>
      </c>
      <c r="K30">
        <v>48.1</v>
      </c>
      <c r="L30">
        <v>7.5</v>
      </c>
      <c r="M30">
        <v>2.6</v>
      </c>
      <c r="N30">
        <v>10.1</v>
      </c>
      <c r="O30">
        <v>0.4</v>
      </c>
      <c r="P30">
        <v>7.7</v>
      </c>
      <c r="Q30">
        <v>16.899999999999999</v>
      </c>
      <c r="R30">
        <v>6.8</v>
      </c>
      <c r="S30">
        <v>21.8</v>
      </c>
      <c r="T30">
        <v>13.6</v>
      </c>
      <c r="U30">
        <v>0.88</v>
      </c>
      <c r="V30">
        <v>0.22</v>
      </c>
      <c r="W30">
        <v>0.22</v>
      </c>
    </row>
    <row r="31" spans="1:37" x14ac:dyDescent="0.3">
      <c r="A31" t="s">
        <v>16</v>
      </c>
      <c r="B31">
        <v>24</v>
      </c>
      <c r="C31">
        <v>66</v>
      </c>
      <c r="D31">
        <v>56</v>
      </c>
      <c r="E31">
        <v>44</v>
      </c>
      <c r="F31">
        <v>64</v>
      </c>
      <c r="G31">
        <v>50</v>
      </c>
      <c r="H31">
        <v>30</v>
      </c>
      <c r="I31">
        <v>47</v>
      </c>
      <c r="J31">
        <v>51</v>
      </c>
      <c r="K31">
        <v>66</v>
      </c>
      <c r="L31">
        <v>56</v>
      </c>
      <c r="M31">
        <v>54</v>
      </c>
      <c r="N31">
        <v>68</v>
      </c>
      <c r="O31">
        <v>38</v>
      </c>
      <c r="P31">
        <v>55</v>
      </c>
      <c r="Q31">
        <v>70</v>
      </c>
      <c r="R31">
        <v>43</v>
      </c>
      <c r="S31">
        <v>53</v>
      </c>
      <c r="T31">
        <v>45</v>
      </c>
      <c r="U31">
        <v>0</v>
      </c>
      <c r="V31">
        <v>0</v>
      </c>
      <c r="W31">
        <v>0</v>
      </c>
    </row>
    <row r="32" spans="1:37" x14ac:dyDescent="0.3">
      <c r="A32" t="s">
        <v>60</v>
      </c>
      <c r="B32" s="6">
        <v>0</v>
      </c>
      <c r="C32" s="6">
        <v>0.94936786212601332</v>
      </c>
      <c r="D32" s="6">
        <v>0.84248003091726509</v>
      </c>
      <c r="E32" s="6">
        <v>0.52863394681944809</v>
      </c>
      <c r="F32" s="6">
        <v>0.91068099478781195</v>
      </c>
      <c r="G32" s="6">
        <v>0.68301074609085888</v>
      </c>
      <c r="H32" s="6">
        <v>0.22767024869695299</v>
      </c>
      <c r="I32" s="6">
        <v>0.63915119328546977</v>
      </c>
      <c r="J32" s="6">
        <v>0.72169761342906036</v>
      </c>
      <c r="K32" s="6">
        <v>0.93059368160701894</v>
      </c>
      <c r="L32" s="6">
        <v>0.86682144198242272</v>
      </c>
      <c r="M32" s="6">
        <v>0.7876096569652562</v>
      </c>
      <c r="N32" s="6">
        <v>0.96712671343233014</v>
      </c>
      <c r="O32" s="6">
        <v>0.36084880671453018</v>
      </c>
      <c r="P32" s="6">
        <v>0.81618930410843615</v>
      </c>
      <c r="Q32" s="6">
        <v>0.983974444213354</v>
      </c>
      <c r="R32" s="6">
        <v>0.45534049739390597</v>
      </c>
      <c r="S32" s="6">
        <v>0.75630419551640116</v>
      </c>
      <c r="T32" s="6">
        <v>0.58851905541148319</v>
      </c>
      <c r="U32" s="6">
        <v>0</v>
      </c>
      <c r="V32" s="6">
        <v>0</v>
      </c>
      <c r="W32" s="6">
        <v>0</v>
      </c>
    </row>
    <row r="33" spans="1:23" x14ac:dyDescent="0.3">
      <c r="A33" t="s">
        <v>77</v>
      </c>
      <c r="B33">
        <v>7.3</v>
      </c>
      <c r="C33">
        <v>31.2</v>
      </c>
      <c r="D33">
        <v>18.600000000000001</v>
      </c>
      <c r="E33">
        <v>22.6</v>
      </c>
      <c r="F33">
        <v>24.1</v>
      </c>
      <c r="G33">
        <v>42.9</v>
      </c>
      <c r="H33">
        <v>12</v>
      </c>
      <c r="I33">
        <v>25.6</v>
      </c>
      <c r="J33">
        <v>14.9</v>
      </c>
      <c r="K33">
        <v>69.599999999999994</v>
      </c>
      <c r="L33">
        <v>25.9</v>
      </c>
      <c r="M33">
        <v>10.7</v>
      </c>
      <c r="N33">
        <v>38</v>
      </c>
      <c r="O33">
        <v>5</v>
      </c>
      <c r="P33">
        <v>23.3</v>
      </c>
      <c r="Q33">
        <v>45.9</v>
      </c>
      <c r="R33">
        <v>8.4</v>
      </c>
      <c r="S33">
        <v>47.8</v>
      </c>
      <c r="T33">
        <v>21.5</v>
      </c>
      <c r="U33">
        <v>0</v>
      </c>
      <c r="V33">
        <v>0</v>
      </c>
      <c r="W33">
        <v>0</v>
      </c>
    </row>
    <row r="34" spans="1:23" x14ac:dyDescent="0.3">
      <c r="A34" t="s">
        <v>98</v>
      </c>
      <c r="B34" s="1">
        <v>386</v>
      </c>
      <c r="C34" s="1">
        <v>1645</v>
      </c>
      <c r="D34" s="1">
        <v>977</v>
      </c>
      <c r="E34" s="1">
        <v>1189</v>
      </c>
      <c r="F34" s="1">
        <v>1271</v>
      </c>
      <c r="G34" s="1">
        <v>2384</v>
      </c>
      <c r="H34" s="1">
        <v>704</v>
      </c>
      <c r="I34" s="1">
        <v>1436</v>
      </c>
      <c r="J34" s="1">
        <v>782</v>
      </c>
      <c r="K34" s="1">
        <v>3661</v>
      </c>
      <c r="L34" s="1">
        <v>1363</v>
      </c>
      <c r="M34" s="1">
        <v>564</v>
      </c>
      <c r="N34" s="1">
        <v>2001</v>
      </c>
      <c r="O34" s="1">
        <v>266</v>
      </c>
      <c r="P34" s="1">
        <v>1226</v>
      </c>
      <c r="Q34" s="1">
        <v>2416</v>
      </c>
      <c r="R34" s="1">
        <v>558</v>
      </c>
      <c r="S34" s="1">
        <v>2515</v>
      </c>
      <c r="T34" s="1">
        <v>1435</v>
      </c>
      <c r="U34" s="1">
        <v>0</v>
      </c>
      <c r="V34" s="1">
        <v>0</v>
      </c>
      <c r="W34" s="1">
        <v>0</v>
      </c>
    </row>
    <row r="35" spans="1:23" x14ac:dyDescent="0.3">
      <c r="A35" t="s">
        <v>63</v>
      </c>
      <c r="B35" s="1">
        <v>4910</v>
      </c>
      <c r="C35" s="1">
        <v>27989</v>
      </c>
      <c r="D35" s="1">
        <v>22283</v>
      </c>
      <c r="E35" s="1">
        <v>36461</v>
      </c>
      <c r="F35" s="1">
        <v>26691</v>
      </c>
      <c r="G35" s="1">
        <v>38433</v>
      </c>
      <c r="H35" s="1">
        <v>21466</v>
      </c>
      <c r="I35" s="1">
        <v>29307</v>
      </c>
      <c r="J35" s="1">
        <v>14701</v>
      </c>
      <c r="K35" s="1">
        <v>54499</v>
      </c>
      <c r="L35" s="1">
        <v>29783</v>
      </c>
      <c r="M35" s="1">
        <v>32787</v>
      </c>
      <c r="N35" s="1">
        <v>31385</v>
      </c>
      <c r="O35" s="1">
        <v>7698</v>
      </c>
      <c r="P35" s="1">
        <v>27325</v>
      </c>
      <c r="Q35" s="1">
        <v>33167</v>
      </c>
      <c r="R35" s="1">
        <v>12147</v>
      </c>
      <c r="S35" s="1">
        <v>43780</v>
      </c>
      <c r="T35" s="1">
        <v>26347</v>
      </c>
      <c r="U35" s="1">
        <v>0</v>
      </c>
      <c r="V35" s="1">
        <v>0</v>
      </c>
      <c r="W35" s="1">
        <v>0</v>
      </c>
    </row>
    <row r="36" spans="1:23" x14ac:dyDescent="0.3">
      <c r="A36" t="s">
        <v>58</v>
      </c>
      <c r="B36" s="1">
        <v>1000</v>
      </c>
      <c r="C36" s="1">
        <v>77763</v>
      </c>
      <c r="D36" s="1">
        <v>40000</v>
      </c>
      <c r="E36" s="1">
        <v>67500</v>
      </c>
      <c r="F36" s="1">
        <v>58983</v>
      </c>
      <c r="G36" s="1">
        <v>51000</v>
      </c>
      <c r="H36" s="1">
        <v>35000</v>
      </c>
      <c r="I36" s="1">
        <v>45115</v>
      </c>
      <c r="J36" s="1">
        <v>2500</v>
      </c>
      <c r="K36" s="1">
        <v>85000</v>
      </c>
      <c r="L36" s="1">
        <v>60843</v>
      </c>
      <c r="M36" s="1">
        <v>36902</v>
      </c>
      <c r="N36" s="1">
        <v>112156</v>
      </c>
      <c r="O36" s="1">
        <v>10070</v>
      </c>
      <c r="P36" s="1">
        <v>142295</v>
      </c>
      <c r="Q36" s="1">
        <v>179913</v>
      </c>
      <c r="R36" s="1">
        <v>47758</v>
      </c>
      <c r="S36" s="1">
        <v>55318</v>
      </c>
      <c r="T36" s="1">
        <v>45000</v>
      </c>
      <c r="U36" s="1">
        <v>0</v>
      </c>
      <c r="V36" s="1">
        <v>18000</v>
      </c>
      <c r="W36" s="1">
        <v>8000</v>
      </c>
    </row>
    <row r="37" spans="1:23" x14ac:dyDescent="0.3">
      <c r="A37" t="s">
        <v>61</v>
      </c>
      <c r="B37" s="5">
        <f>B35/B36</f>
        <v>4.91</v>
      </c>
      <c r="C37" s="5">
        <f t="shared" ref="C37:T37" si="2">C35/C36</f>
        <v>0.35992695755050602</v>
      </c>
      <c r="D37" s="5">
        <f t="shared" si="2"/>
        <v>0.55707499999999999</v>
      </c>
      <c r="E37" s="5">
        <f t="shared" si="2"/>
        <v>0.54016296296296296</v>
      </c>
      <c r="F37" s="5">
        <f t="shared" si="2"/>
        <v>0.45252021768984285</v>
      </c>
      <c r="G37" s="5">
        <f t="shared" si="2"/>
        <v>0.75358823529411767</v>
      </c>
      <c r="H37" s="5">
        <f t="shared" si="2"/>
        <v>0.6133142857142857</v>
      </c>
      <c r="I37" s="5">
        <f t="shared" si="2"/>
        <v>0.64960656101075032</v>
      </c>
      <c r="J37" s="5">
        <f t="shared" si="2"/>
        <v>5.8803999999999998</v>
      </c>
      <c r="K37" s="5">
        <f t="shared" si="2"/>
        <v>0.64116470588235297</v>
      </c>
      <c r="L37" s="5">
        <f t="shared" si="2"/>
        <v>0.48950577716417665</v>
      </c>
      <c r="M37" s="5">
        <f t="shared" si="2"/>
        <v>0.88848842881144652</v>
      </c>
      <c r="N37" s="5">
        <f t="shared" si="2"/>
        <v>0.279833446271265</v>
      </c>
      <c r="O37" s="5">
        <f t="shared" si="2"/>
        <v>0.76444885799404172</v>
      </c>
      <c r="P37" s="5">
        <f t="shared" si="2"/>
        <v>0.19203064057064548</v>
      </c>
      <c r="Q37" s="5">
        <f t="shared" si="2"/>
        <v>0.18435021371440641</v>
      </c>
      <c r="R37" s="5">
        <f t="shared" si="2"/>
        <v>0.25434482180995854</v>
      </c>
      <c r="S37" s="5">
        <f t="shared" si="2"/>
        <v>0.79142412957807584</v>
      </c>
      <c r="T37" s="5">
        <f t="shared" si="2"/>
        <v>0.58548888888888884</v>
      </c>
      <c r="U37" s="1">
        <v>0</v>
      </c>
      <c r="V37" s="1">
        <v>0</v>
      </c>
      <c r="W37" s="1">
        <v>0</v>
      </c>
    </row>
    <row r="38" spans="1:23" x14ac:dyDescent="0.3">
      <c r="A38" t="s">
        <v>64</v>
      </c>
      <c r="B38">
        <v>858</v>
      </c>
      <c r="C38">
        <v>858</v>
      </c>
      <c r="D38">
        <v>550</v>
      </c>
      <c r="E38">
        <v>353</v>
      </c>
      <c r="F38">
        <v>949</v>
      </c>
      <c r="G38">
        <v>2720</v>
      </c>
      <c r="H38">
        <v>550</v>
      </c>
      <c r="I38">
        <v>858</v>
      </c>
      <c r="J38">
        <v>142</v>
      </c>
      <c r="K38">
        <v>949</v>
      </c>
      <c r="L38">
        <v>949</v>
      </c>
      <c r="M38">
        <v>195</v>
      </c>
      <c r="N38">
        <v>581</v>
      </c>
      <c r="O38">
        <v>269</v>
      </c>
      <c r="P38">
        <v>581</v>
      </c>
      <c r="Q38">
        <v>2720</v>
      </c>
      <c r="R38">
        <v>2720</v>
      </c>
      <c r="S38">
        <v>2720</v>
      </c>
      <c r="T38">
        <v>949</v>
      </c>
      <c r="U38">
        <v>269</v>
      </c>
      <c r="V38">
        <v>505</v>
      </c>
      <c r="W38">
        <v>581</v>
      </c>
    </row>
    <row r="39" spans="1:23" x14ac:dyDescent="0.3">
      <c r="A39" t="s">
        <v>78</v>
      </c>
      <c r="B39" s="1">
        <v>15</v>
      </c>
      <c r="C39" s="1">
        <v>89</v>
      </c>
      <c r="D39" s="1">
        <v>69</v>
      </c>
      <c r="E39" s="1">
        <v>59</v>
      </c>
      <c r="F39" s="1">
        <v>71</v>
      </c>
      <c r="G39" s="1">
        <v>114</v>
      </c>
      <c r="H39" s="1">
        <v>25</v>
      </c>
      <c r="I39" s="1">
        <v>65</v>
      </c>
      <c r="J39" s="1">
        <v>27</v>
      </c>
      <c r="K39" s="1">
        <v>165</v>
      </c>
      <c r="L39" s="1">
        <v>110</v>
      </c>
      <c r="M39" s="1">
        <v>38</v>
      </c>
      <c r="N39" s="1">
        <v>78</v>
      </c>
      <c r="O39" s="1">
        <v>14</v>
      </c>
      <c r="P39" s="1">
        <v>100</v>
      </c>
      <c r="Q39" s="1">
        <v>222</v>
      </c>
      <c r="R39" s="1">
        <v>39</v>
      </c>
      <c r="S39" s="1">
        <v>91</v>
      </c>
      <c r="T39" s="1">
        <v>70</v>
      </c>
      <c r="U39" s="1">
        <v>22.1</v>
      </c>
      <c r="V39" s="1">
        <v>14.4</v>
      </c>
      <c r="W39" s="1">
        <v>16.7</v>
      </c>
    </row>
    <row r="40" spans="1:23" x14ac:dyDescent="0.3">
      <c r="A40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25.8</v>
      </c>
      <c r="L40">
        <v>0</v>
      </c>
      <c r="M40">
        <v>0</v>
      </c>
      <c r="N40">
        <v>0</v>
      </c>
      <c r="O40">
        <v>0</v>
      </c>
      <c r="P40">
        <v>0</v>
      </c>
      <c r="Q40">
        <v>43.3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14.6</v>
      </c>
      <c r="L41">
        <v>0</v>
      </c>
      <c r="M41">
        <v>0</v>
      </c>
      <c r="N41">
        <v>0</v>
      </c>
      <c r="O41">
        <v>0</v>
      </c>
      <c r="P41">
        <v>0</v>
      </c>
      <c r="Q41">
        <v>4.0999999999999996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t="s">
        <v>86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18.899999999999999</v>
      </c>
      <c r="L42">
        <v>0</v>
      </c>
      <c r="M42">
        <v>0</v>
      </c>
      <c r="N42">
        <v>0</v>
      </c>
      <c r="O42">
        <v>0</v>
      </c>
      <c r="P42">
        <v>0</v>
      </c>
      <c r="Q42">
        <v>6.44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t="s">
        <v>135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4.5999999999999996</v>
      </c>
      <c r="L43">
        <v>0</v>
      </c>
      <c r="M43">
        <v>0</v>
      </c>
      <c r="N43">
        <v>0</v>
      </c>
      <c r="O43">
        <v>0</v>
      </c>
      <c r="P43">
        <v>0</v>
      </c>
      <c r="Q43">
        <v>2.67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t="s">
        <v>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0.21</v>
      </c>
      <c r="L44">
        <v>0</v>
      </c>
      <c r="M44">
        <v>0</v>
      </c>
      <c r="N44">
        <v>0</v>
      </c>
      <c r="O44">
        <v>0</v>
      </c>
      <c r="P44">
        <v>0</v>
      </c>
      <c r="Q44">
        <v>0.17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t="s">
        <v>136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7.02</v>
      </c>
      <c r="L45">
        <v>0</v>
      </c>
      <c r="M45">
        <v>0</v>
      </c>
      <c r="N45">
        <v>0</v>
      </c>
      <c r="O45">
        <v>0</v>
      </c>
      <c r="P45">
        <v>0</v>
      </c>
      <c r="Q45">
        <v>6.77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t="s">
        <v>138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18.86</v>
      </c>
      <c r="L46">
        <v>0</v>
      </c>
      <c r="M46">
        <v>0</v>
      </c>
      <c r="N46">
        <v>0</v>
      </c>
      <c r="O46">
        <v>0</v>
      </c>
      <c r="P46">
        <v>0</v>
      </c>
      <c r="Q46">
        <v>10.45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t="s">
        <v>85</v>
      </c>
      <c r="B47">
        <f t="shared" ref="B47:W47" si="3">SUM(B26+B25)</f>
        <v>0</v>
      </c>
      <c r="C47">
        <f t="shared" si="3"/>
        <v>0</v>
      </c>
      <c r="D47">
        <f t="shared" si="3"/>
        <v>0</v>
      </c>
      <c r="E47">
        <f t="shared" si="3"/>
        <v>0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  <c r="K47">
        <f t="shared" si="3"/>
        <v>16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 s="11">
        <v>29</v>
      </c>
      <c r="R47">
        <f t="shared" si="3"/>
        <v>0</v>
      </c>
      <c r="S47">
        <f t="shared" si="3"/>
        <v>0</v>
      </c>
      <c r="T47">
        <f t="shared" si="3"/>
        <v>0</v>
      </c>
      <c r="U47">
        <f t="shared" si="3"/>
        <v>0</v>
      </c>
      <c r="V47">
        <f t="shared" si="3"/>
        <v>0</v>
      </c>
      <c r="W47">
        <f t="shared" si="3"/>
        <v>0</v>
      </c>
    </row>
    <row r="48" spans="1:23" x14ac:dyDescent="0.3">
      <c r="A48" s="1" t="s">
        <v>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s="1">
        <f>K2</f>
        <v>463</v>
      </c>
      <c r="L48">
        <v>0</v>
      </c>
      <c r="M48">
        <v>0</v>
      </c>
      <c r="N48">
        <v>0</v>
      </c>
      <c r="O48">
        <v>0</v>
      </c>
      <c r="P48">
        <v>0</v>
      </c>
      <c r="Q48" s="1">
        <f>Q2</f>
        <v>263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139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6">
        <f>K2-K6</f>
        <v>326</v>
      </c>
      <c r="L49">
        <v>0</v>
      </c>
      <c r="M49">
        <v>0</v>
      </c>
      <c r="N49">
        <v>0</v>
      </c>
      <c r="O49">
        <v>0</v>
      </c>
      <c r="P49">
        <v>0</v>
      </c>
      <c r="Q49" s="6">
        <f>Q2-Q6</f>
        <v>183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t="s">
        <v>39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255</v>
      </c>
      <c r="L50">
        <v>0</v>
      </c>
      <c r="M50">
        <v>0</v>
      </c>
      <c r="N50">
        <v>0</v>
      </c>
      <c r="O50">
        <v>0</v>
      </c>
      <c r="P50">
        <v>0</v>
      </c>
      <c r="Q50">
        <v>151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t="s">
        <v>107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s="18">
        <f>K50/K21</f>
        <v>0.52577319587628868</v>
      </c>
      <c r="L51">
        <v>0</v>
      </c>
      <c r="M51">
        <v>0</v>
      </c>
      <c r="N51">
        <v>0</v>
      </c>
      <c r="O51">
        <v>0</v>
      </c>
      <c r="P51">
        <v>0</v>
      </c>
      <c r="Q51" s="18">
        <f>Q50/Q21</f>
        <v>0.81182795698924726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t="s">
        <v>109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18">
        <f>K50/K11</f>
        <v>0.19376899696048633</v>
      </c>
      <c r="L52">
        <v>0</v>
      </c>
      <c r="M52">
        <v>0</v>
      </c>
      <c r="N52">
        <v>0</v>
      </c>
      <c r="O52">
        <v>0</v>
      </c>
      <c r="P52">
        <v>0</v>
      </c>
      <c r="Q52" s="18">
        <f>Q50/Q11</f>
        <v>0.20628415300546449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t="s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25">
        <f t="shared" ref="K53:Q53" si="4">K28/K11</f>
        <v>0.3518237082066869</v>
      </c>
      <c r="L53">
        <v>0</v>
      </c>
      <c r="M53">
        <v>0</v>
      </c>
      <c r="N53">
        <v>0</v>
      </c>
      <c r="O53">
        <v>0</v>
      </c>
      <c r="P53">
        <v>0</v>
      </c>
      <c r="Q53" s="25">
        <f t="shared" si="4"/>
        <v>0.55327868852459017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t="s">
        <v>134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25">
        <f>(K28+K24)/K11</f>
        <v>0.55927051671732519</v>
      </c>
      <c r="L54">
        <v>0</v>
      </c>
      <c r="M54">
        <v>0</v>
      </c>
      <c r="N54">
        <v>0</v>
      </c>
      <c r="O54">
        <v>0</v>
      </c>
      <c r="P54">
        <v>0</v>
      </c>
      <c r="Q54" s="25">
        <f>(Q28+Q24)/Q11</f>
        <v>0.75819672131147542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C307-C5F6-4652-B347-1BC949C8AB8A}">
  <sheetPr codeName="Planilha4"/>
  <dimension ref="A1:DG35"/>
  <sheetViews>
    <sheetView workbookViewId="0">
      <pane xSplit="1" ySplit="2" topLeftCell="AQ25" activePane="bottomRight" state="frozen"/>
      <selection pane="topRight" activeCell="B1" sqref="B1"/>
      <selection pane="bottomLeft" activeCell="A3" sqref="A3"/>
      <selection pane="bottomRight" activeCell="AU30" sqref="AU30"/>
    </sheetView>
  </sheetViews>
  <sheetFormatPr defaultRowHeight="14.4" x14ac:dyDescent="0.3"/>
  <cols>
    <col min="1" max="1" width="54.44140625" bestFit="1" customWidth="1"/>
    <col min="2" max="2" width="7.6640625" customWidth="1"/>
    <col min="3" max="3" width="6" bestFit="1" customWidth="1"/>
    <col min="4" max="6" width="5" customWidth="1"/>
    <col min="7" max="7" width="7.33203125" customWidth="1"/>
    <col min="8" max="8" width="5" bestFit="1" customWidth="1"/>
    <col min="9" max="11" width="5" customWidth="1"/>
    <col min="12" max="12" width="8.33203125" bestFit="1" customWidth="1"/>
    <col min="13" max="13" width="5" bestFit="1" customWidth="1"/>
    <col min="14" max="15" width="6" bestFit="1" customWidth="1"/>
    <col min="16" max="16" width="5" bestFit="1" customWidth="1"/>
    <col min="17" max="17" width="6.5546875" bestFit="1" customWidth="1"/>
    <col min="18" max="21" width="5" bestFit="1" customWidth="1"/>
    <col min="22" max="22" width="8.6640625" bestFit="1" customWidth="1"/>
    <col min="23" max="26" width="5" bestFit="1" customWidth="1"/>
    <col min="27" max="27" width="10.21875" bestFit="1" customWidth="1"/>
    <col min="28" max="31" width="5" bestFit="1" customWidth="1"/>
    <col min="32" max="32" width="7.44140625" customWidth="1"/>
    <col min="33" max="36" width="5" bestFit="1" customWidth="1"/>
    <col min="37" max="37" width="7.77734375" bestFit="1" customWidth="1"/>
    <col min="38" max="41" width="5" bestFit="1" customWidth="1"/>
    <col min="42" max="42" width="6.5546875" bestFit="1" customWidth="1"/>
    <col min="43" max="46" width="5" bestFit="1" customWidth="1"/>
    <col min="47" max="47" width="8.88671875" bestFit="1" customWidth="1"/>
    <col min="48" max="51" width="5" bestFit="1" customWidth="1"/>
    <col min="52" max="52" width="10.109375" bestFit="1" customWidth="1"/>
    <col min="53" max="54" width="5" bestFit="1" customWidth="1"/>
    <col min="55" max="55" width="6" bestFit="1" customWidth="1"/>
    <col min="56" max="56" width="5" bestFit="1" customWidth="1"/>
    <col min="57" max="57" width="8.5546875" bestFit="1" customWidth="1"/>
    <col min="58" max="61" width="5" bestFit="1" customWidth="1"/>
    <col min="62" max="62" width="7" bestFit="1" customWidth="1"/>
    <col min="63" max="66" width="5" bestFit="1" customWidth="1"/>
    <col min="67" max="67" width="5.5546875" bestFit="1" customWidth="1"/>
    <col min="68" max="71" width="5" bestFit="1" customWidth="1"/>
    <col min="72" max="72" width="11.77734375" bestFit="1" customWidth="1"/>
    <col min="73" max="73" width="5" bestFit="1" customWidth="1"/>
    <col min="74" max="75" width="6" bestFit="1" customWidth="1"/>
    <col min="76" max="76" width="5" bestFit="1" customWidth="1"/>
    <col min="77" max="77" width="8.88671875" bestFit="1" customWidth="1"/>
    <col min="78" max="81" width="5" bestFit="1" customWidth="1"/>
    <col min="82" max="82" width="6.5546875" bestFit="1" customWidth="1"/>
    <col min="83" max="86" width="5" bestFit="1" customWidth="1"/>
    <col min="87" max="87" width="9" bestFit="1" customWidth="1"/>
    <col min="88" max="91" width="5" bestFit="1" customWidth="1"/>
    <col min="92" max="92" width="13.6640625" bestFit="1" customWidth="1"/>
    <col min="93" max="96" width="5" bestFit="1" customWidth="1"/>
    <col min="97" max="97" width="10.33203125" bestFit="1" customWidth="1"/>
    <col min="98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A1" s="1"/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112</v>
      </c>
      <c r="CX1" t="s">
        <v>113</v>
      </c>
      <c r="DC1" t="s">
        <v>114</v>
      </c>
    </row>
    <row r="2" spans="1:111" x14ac:dyDescent="0.3">
      <c r="A2" s="1"/>
      <c r="B2">
        <v>2023</v>
      </c>
      <c r="C2">
        <v>2022</v>
      </c>
      <c r="D2">
        <v>2021</v>
      </c>
      <c r="E2">
        <v>2020</v>
      </c>
      <c r="F2">
        <v>2019</v>
      </c>
      <c r="G2">
        <v>2023</v>
      </c>
      <c r="H2">
        <v>2022</v>
      </c>
      <c r="I2">
        <v>2021</v>
      </c>
      <c r="J2">
        <v>2020</v>
      </c>
      <c r="K2">
        <v>2019</v>
      </c>
      <c r="L2">
        <v>2023</v>
      </c>
      <c r="M2">
        <v>2022</v>
      </c>
      <c r="N2">
        <v>2021</v>
      </c>
      <c r="O2">
        <v>2020</v>
      </c>
      <c r="P2">
        <v>2019</v>
      </c>
      <c r="Q2">
        <v>2023</v>
      </c>
      <c r="R2">
        <v>2022</v>
      </c>
      <c r="S2">
        <v>2021</v>
      </c>
      <c r="T2">
        <v>2020</v>
      </c>
      <c r="U2">
        <v>2019</v>
      </c>
      <c r="V2">
        <v>2023</v>
      </c>
      <c r="W2">
        <v>2022</v>
      </c>
      <c r="X2">
        <v>2021</v>
      </c>
      <c r="Y2">
        <v>2020</v>
      </c>
      <c r="Z2">
        <v>2019</v>
      </c>
      <c r="AA2">
        <v>2023</v>
      </c>
      <c r="AB2">
        <v>2022</v>
      </c>
      <c r="AC2">
        <v>2021</v>
      </c>
      <c r="AD2">
        <v>2020</v>
      </c>
      <c r="AE2">
        <v>2019</v>
      </c>
      <c r="AF2">
        <v>2023</v>
      </c>
      <c r="AG2">
        <v>2022</v>
      </c>
      <c r="AH2">
        <v>2021</v>
      </c>
      <c r="AI2">
        <v>2020</v>
      </c>
      <c r="AJ2">
        <v>2019</v>
      </c>
      <c r="AK2">
        <v>2023</v>
      </c>
      <c r="AL2">
        <v>2022</v>
      </c>
      <c r="AM2">
        <v>2021</v>
      </c>
      <c r="AN2">
        <v>2020</v>
      </c>
      <c r="AO2">
        <v>2019</v>
      </c>
      <c r="AP2">
        <v>2023</v>
      </c>
      <c r="AQ2">
        <v>2022</v>
      </c>
      <c r="AR2">
        <v>2021</v>
      </c>
      <c r="AS2">
        <v>2020</v>
      </c>
      <c r="AT2">
        <v>2019</v>
      </c>
      <c r="AU2">
        <v>2023</v>
      </c>
      <c r="AV2">
        <v>2022</v>
      </c>
      <c r="AW2">
        <v>2021</v>
      </c>
      <c r="AX2">
        <v>2020</v>
      </c>
      <c r="AY2">
        <v>2019</v>
      </c>
      <c r="AZ2">
        <v>2023</v>
      </c>
      <c r="BA2">
        <v>2022</v>
      </c>
      <c r="BB2">
        <v>2021</v>
      </c>
      <c r="BC2">
        <v>2020</v>
      </c>
      <c r="BD2">
        <v>2019</v>
      </c>
      <c r="BE2">
        <v>2023</v>
      </c>
      <c r="BF2">
        <v>2022</v>
      </c>
      <c r="BG2">
        <v>2021</v>
      </c>
      <c r="BH2">
        <v>2020</v>
      </c>
      <c r="BI2">
        <v>2019</v>
      </c>
      <c r="BJ2">
        <v>2023</v>
      </c>
      <c r="BK2">
        <v>2022</v>
      </c>
      <c r="BL2">
        <v>2021</v>
      </c>
      <c r="BM2">
        <v>2020</v>
      </c>
      <c r="BN2">
        <v>2019</v>
      </c>
      <c r="BO2">
        <v>2023</v>
      </c>
      <c r="BP2">
        <v>2022</v>
      </c>
      <c r="BQ2">
        <v>2021</v>
      </c>
      <c r="BR2">
        <v>2020</v>
      </c>
      <c r="BS2">
        <v>2019</v>
      </c>
      <c r="BT2">
        <v>2023</v>
      </c>
      <c r="BU2">
        <v>2022</v>
      </c>
      <c r="BV2">
        <v>2021</v>
      </c>
      <c r="BW2">
        <v>2020</v>
      </c>
      <c r="BX2">
        <v>2019</v>
      </c>
      <c r="BY2">
        <v>2023</v>
      </c>
      <c r="BZ2">
        <v>2022</v>
      </c>
      <c r="CA2">
        <v>2021</v>
      </c>
      <c r="CB2">
        <v>2020</v>
      </c>
      <c r="CC2">
        <v>2019</v>
      </c>
      <c r="CD2">
        <v>2023</v>
      </c>
      <c r="CE2">
        <v>2022</v>
      </c>
      <c r="CF2">
        <v>2021</v>
      </c>
      <c r="CG2">
        <v>2020</v>
      </c>
      <c r="CH2">
        <v>2019</v>
      </c>
      <c r="CI2">
        <v>2023</v>
      </c>
      <c r="CJ2">
        <v>2022</v>
      </c>
      <c r="CK2">
        <v>2021</v>
      </c>
      <c r="CL2">
        <v>2020</v>
      </c>
      <c r="CM2">
        <v>2019</v>
      </c>
      <c r="CN2">
        <v>2023</v>
      </c>
      <c r="CO2">
        <v>2022</v>
      </c>
      <c r="CP2">
        <v>2021</v>
      </c>
      <c r="CQ2">
        <v>2020</v>
      </c>
      <c r="CR2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s="8" t="s">
        <v>96</v>
      </c>
      <c r="C3">
        <v>102</v>
      </c>
      <c r="D3">
        <v>72</v>
      </c>
      <c r="E3">
        <v>26</v>
      </c>
      <c r="F3">
        <v>10.4</v>
      </c>
      <c r="H3">
        <v>155</v>
      </c>
      <c r="I3">
        <v>279</v>
      </c>
      <c r="J3">
        <v>64</v>
      </c>
      <c r="K3">
        <v>121</v>
      </c>
      <c r="M3">
        <v>129</v>
      </c>
      <c r="N3">
        <v>189</v>
      </c>
      <c r="O3">
        <v>75</v>
      </c>
      <c r="P3">
        <v>160</v>
      </c>
      <c r="R3">
        <v>22</v>
      </c>
      <c r="S3">
        <v>124</v>
      </c>
      <c r="T3">
        <v>54</v>
      </c>
      <c r="U3">
        <v>81</v>
      </c>
      <c r="AB3">
        <v>318</v>
      </c>
      <c r="AC3">
        <v>266</v>
      </c>
      <c r="AD3">
        <v>160</v>
      </c>
      <c r="AE3">
        <v>189</v>
      </c>
      <c r="AG3">
        <v>49</v>
      </c>
      <c r="AH3">
        <v>56</v>
      </c>
      <c r="AI3">
        <v>37</v>
      </c>
      <c r="AJ3">
        <v>15</v>
      </c>
      <c r="AL3">
        <v>29</v>
      </c>
      <c r="AM3">
        <v>44</v>
      </c>
      <c r="AN3">
        <v>40</v>
      </c>
      <c r="AO3">
        <v>102</v>
      </c>
      <c r="AU3" s="1">
        <f>Índices!K2</f>
        <v>463</v>
      </c>
      <c r="AV3">
        <v>518</v>
      </c>
      <c r="AW3">
        <v>403</v>
      </c>
      <c r="AX3">
        <v>325</v>
      </c>
      <c r="AY3">
        <v>420</v>
      </c>
      <c r="BA3">
        <v>151</v>
      </c>
      <c r="BB3">
        <v>177</v>
      </c>
      <c r="BC3">
        <v>88</v>
      </c>
      <c r="BD3">
        <v>108</v>
      </c>
      <c r="BF3">
        <f>57+25+36</f>
        <v>118</v>
      </c>
      <c r="BG3">
        <f>55+19+35</f>
        <v>109</v>
      </c>
      <c r="BH3">
        <f>24+7</f>
        <v>31</v>
      </c>
      <c r="BI3">
        <v>46</v>
      </c>
      <c r="BK3">
        <v>70</v>
      </c>
      <c r="BL3">
        <v>191</v>
      </c>
      <c r="BM3">
        <v>146</v>
      </c>
      <c r="BN3">
        <v>165</v>
      </c>
      <c r="BP3">
        <f>67+7.2</f>
        <v>74.2</v>
      </c>
      <c r="BQ3">
        <f>29+0.8</f>
        <v>29.8</v>
      </c>
      <c r="BR3">
        <v>34</v>
      </c>
      <c r="BS3">
        <v>69</v>
      </c>
      <c r="BU3">
        <v>155</v>
      </c>
      <c r="BV3">
        <v>173</v>
      </c>
      <c r="BW3">
        <f>68+33</f>
        <v>101</v>
      </c>
      <c r="BX3">
        <v>155</v>
      </c>
      <c r="BY3" s="1">
        <f>Resultado!Q2+Resultado!Q6</f>
        <v>263</v>
      </c>
      <c r="BZ3">
        <f>168+BZ7</f>
        <v>336</v>
      </c>
      <c r="CA3">
        <f>243+258</f>
        <v>501</v>
      </c>
      <c r="CB3">
        <f>154+28</f>
        <v>182</v>
      </c>
      <c r="CC3">
        <f>198+19</f>
        <v>217</v>
      </c>
      <c r="CE3">
        <v>105</v>
      </c>
      <c r="CF3">
        <v>139</v>
      </c>
      <c r="CG3">
        <v>73</v>
      </c>
      <c r="CH3">
        <v>110</v>
      </c>
      <c r="CJ3">
        <f>176+29</f>
        <v>205</v>
      </c>
      <c r="CK3">
        <f>194+48</f>
        <v>242</v>
      </c>
      <c r="CL3">
        <v>128</v>
      </c>
      <c r="CM3">
        <f>110+27</f>
        <v>137</v>
      </c>
      <c r="CO3">
        <f>16+1+14+1</f>
        <v>32</v>
      </c>
      <c r="CP3">
        <f>62+7</f>
        <v>69</v>
      </c>
      <c r="CQ3">
        <v>98</v>
      </c>
      <c r="CR3">
        <f>97+22</f>
        <v>119</v>
      </c>
      <c r="CT3">
        <v>70</v>
      </c>
      <c r="CU3">
        <v>100</v>
      </c>
      <c r="CV3">
        <v>39</v>
      </c>
      <c r="CW3">
        <v>10</v>
      </c>
      <c r="CY3">
        <v>11</v>
      </c>
      <c r="CZ3">
        <v>7.7</v>
      </c>
      <c r="DA3">
        <v>2.4</v>
      </c>
      <c r="DB3">
        <v>10.8</v>
      </c>
      <c r="DD3">
        <v>50</v>
      </c>
      <c r="DE3">
        <v>56</v>
      </c>
      <c r="DF3">
        <v>15</v>
      </c>
      <c r="DG3">
        <v>8</v>
      </c>
    </row>
    <row r="4" spans="1:111" x14ac:dyDescent="0.3">
      <c r="A4" s="8" t="s">
        <v>0</v>
      </c>
      <c r="C4">
        <v>17.600000000000001</v>
      </c>
      <c r="D4">
        <v>14</v>
      </c>
      <c r="E4">
        <v>1.8</v>
      </c>
      <c r="F4">
        <v>5.7</v>
      </c>
      <c r="H4">
        <v>69</v>
      </c>
      <c r="I4">
        <v>50</v>
      </c>
      <c r="J4">
        <v>21</v>
      </c>
      <c r="K4">
        <v>22</v>
      </c>
      <c r="M4">
        <v>70</v>
      </c>
      <c r="N4">
        <v>23</v>
      </c>
      <c r="O4">
        <v>12</v>
      </c>
      <c r="P4">
        <v>17</v>
      </c>
      <c r="R4">
        <v>18</v>
      </c>
      <c r="S4">
        <v>18</v>
      </c>
      <c r="T4">
        <v>10</v>
      </c>
      <c r="U4">
        <v>16</v>
      </c>
      <c r="AB4">
        <v>94</v>
      </c>
      <c r="AC4">
        <v>126</v>
      </c>
      <c r="AD4">
        <v>71</v>
      </c>
      <c r="AE4">
        <v>73</v>
      </c>
      <c r="AG4">
        <v>16</v>
      </c>
      <c r="AH4">
        <v>6</v>
      </c>
      <c r="AI4">
        <v>5.7</v>
      </c>
      <c r="AJ4">
        <v>4</v>
      </c>
      <c r="AL4">
        <v>29</v>
      </c>
      <c r="AM4">
        <v>38</v>
      </c>
      <c r="AN4">
        <v>33</v>
      </c>
      <c r="AO4">
        <v>26</v>
      </c>
      <c r="AU4" s="1">
        <f>Resultado!K3</f>
        <v>183</v>
      </c>
      <c r="AV4">
        <v>150</v>
      </c>
      <c r="AW4">
        <v>160</v>
      </c>
      <c r="AX4">
        <v>95</v>
      </c>
      <c r="AY4">
        <v>79</v>
      </c>
      <c r="BA4">
        <v>33</v>
      </c>
      <c r="BB4">
        <v>20</v>
      </c>
      <c r="BC4">
        <v>9.8000000000000007</v>
      </c>
      <c r="BD4">
        <v>9</v>
      </c>
      <c r="BF4">
        <v>22</v>
      </c>
      <c r="BG4">
        <v>9</v>
      </c>
      <c r="BH4">
        <v>6</v>
      </c>
      <c r="BI4">
        <v>7.5</v>
      </c>
      <c r="BK4">
        <v>44</v>
      </c>
      <c r="BL4">
        <v>45</v>
      </c>
      <c r="BM4">
        <v>33</v>
      </c>
      <c r="BN4">
        <v>37</v>
      </c>
      <c r="BP4">
        <v>13</v>
      </c>
      <c r="BQ4">
        <v>5</v>
      </c>
      <c r="BR4">
        <v>4.5</v>
      </c>
      <c r="BS4">
        <v>6</v>
      </c>
      <c r="BU4">
        <v>47</v>
      </c>
      <c r="BV4">
        <v>39</v>
      </c>
      <c r="BW4">
        <v>32</v>
      </c>
      <c r="BX4">
        <v>47</v>
      </c>
      <c r="BY4" s="1">
        <f>Resultado!Q3</f>
        <v>121</v>
      </c>
      <c r="BZ4">
        <v>136</v>
      </c>
      <c r="CA4">
        <v>176</v>
      </c>
      <c r="CB4">
        <v>115</v>
      </c>
      <c r="CC4">
        <v>113</v>
      </c>
      <c r="CE4">
        <v>54</v>
      </c>
      <c r="CF4">
        <v>39</v>
      </c>
      <c r="CG4">
        <v>15</v>
      </c>
      <c r="CH4">
        <v>14</v>
      </c>
      <c r="CJ4">
        <v>54</v>
      </c>
      <c r="CK4">
        <v>33</v>
      </c>
      <c r="CL4">
        <v>16</v>
      </c>
      <c r="CM4">
        <v>21</v>
      </c>
      <c r="CO4">
        <f>11.8+11.8</f>
        <v>23.6</v>
      </c>
      <c r="CP4">
        <v>20</v>
      </c>
      <c r="CQ4">
        <v>16</v>
      </c>
      <c r="CR4">
        <v>16</v>
      </c>
      <c r="CT4">
        <v>5</v>
      </c>
      <c r="CU4">
        <v>3.2</v>
      </c>
      <c r="CV4">
        <v>3.7</v>
      </c>
      <c r="CW4">
        <v>2.9</v>
      </c>
      <c r="CY4">
        <v>2.8</v>
      </c>
      <c r="CZ4">
        <v>1.9</v>
      </c>
      <c r="DA4">
        <v>0.5</v>
      </c>
      <c r="DB4">
        <v>1.3</v>
      </c>
      <c r="DD4">
        <v>13</v>
      </c>
      <c r="DE4">
        <v>5</v>
      </c>
      <c r="DF4">
        <v>3.2</v>
      </c>
      <c r="DG4">
        <v>1.8</v>
      </c>
    </row>
    <row r="5" spans="1:111" x14ac:dyDescent="0.3">
      <c r="A5" s="9" t="s">
        <v>87</v>
      </c>
      <c r="C5">
        <v>3.5</v>
      </c>
      <c r="D5">
        <v>3.8</v>
      </c>
      <c r="E5">
        <v>0.8</v>
      </c>
      <c r="F5">
        <v>0.3</v>
      </c>
      <c r="H5">
        <v>39</v>
      </c>
      <c r="I5">
        <v>43</v>
      </c>
      <c r="J5">
        <v>0.7</v>
      </c>
      <c r="K5">
        <v>17</v>
      </c>
      <c r="M5">
        <v>24</v>
      </c>
      <c r="N5">
        <v>5.2</v>
      </c>
      <c r="O5">
        <f>1.8</f>
        <v>1.8</v>
      </c>
      <c r="P5">
        <v>24</v>
      </c>
      <c r="R5">
        <v>18</v>
      </c>
      <c r="S5">
        <v>2</v>
      </c>
      <c r="T5">
        <v>5</v>
      </c>
      <c r="U5">
        <v>17</v>
      </c>
      <c r="AB5">
        <v>98</v>
      </c>
      <c r="AC5">
        <v>15</v>
      </c>
      <c r="AD5">
        <v>7</v>
      </c>
      <c r="AE5">
        <v>62</v>
      </c>
      <c r="AG5">
        <v>27</v>
      </c>
      <c r="AH5">
        <v>6</v>
      </c>
      <c r="AI5">
        <v>4.7</v>
      </c>
      <c r="AJ5">
        <v>5.2</v>
      </c>
      <c r="AL5">
        <v>32</v>
      </c>
      <c r="AM5">
        <v>2.2999999999999998</v>
      </c>
      <c r="AN5">
        <v>1</v>
      </c>
      <c r="AO5">
        <v>18</v>
      </c>
      <c r="AU5" s="1">
        <f>Resultado!K4</f>
        <v>169</v>
      </c>
      <c r="AV5">
        <v>127</v>
      </c>
      <c r="AW5">
        <v>32</v>
      </c>
      <c r="AX5">
        <v>30</v>
      </c>
      <c r="AY5">
        <v>114</v>
      </c>
      <c r="BA5">
        <v>24</v>
      </c>
      <c r="BB5">
        <v>2</v>
      </c>
      <c r="BC5">
        <v>3</v>
      </c>
      <c r="BD5">
        <v>16</v>
      </c>
      <c r="BF5">
        <v>19</v>
      </c>
      <c r="BG5">
        <v>6</v>
      </c>
      <c r="BH5">
        <v>2</v>
      </c>
      <c r="BI5">
        <v>12</v>
      </c>
      <c r="BP5">
        <v>5.6</v>
      </c>
      <c r="BQ5">
        <v>0.6</v>
      </c>
      <c r="BR5">
        <v>0.2</v>
      </c>
      <c r="BS5">
        <v>8.6</v>
      </c>
      <c r="BU5">
        <v>15</v>
      </c>
      <c r="BV5">
        <v>2.8</v>
      </c>
      <c r="BW5">
        <v>3.6</v>
      </c>
      <c r="BX5">
        <v>20</v>
      </c>
      <c r="BY5" s="1">
        <f>Resultado!Q4</f>
        <v>63</v>
      </c>
      <c r="BZ5">
        <v>56</v>
      </c>
      <c r="CA5">
        <v>12</v>
      </c>
      <c r="CB5">
        <v>6</v>
      </c>
      <c r="CC5">
        <v>45</v>
      </c>
      <c r="CE5">
        <v>44</v>
      </c>
      <c r="CF5">
        <v>81</v>
      </c>
      <c r="CG5">
        <v>30</v>
      </c>
      <c r="CH5">
        <v>24</v>
      </c>
      <c r="CJ5">
        <v>64</v>
      </c>
      <c r="CK5">
        <v>8</v>
      </c>
      <c r="CL5">
        <v>6</v>
      </c>
      <c r="CM5">
        <v>39</v>
      </c>
      <c r="CO5">
        <f>3.3+7.8</f>
        <v>11.1</v>
      </c>
      <c r="CP5">
        <v>0.6</v>
      </c>
      <c r="CQ5">
        <v>2.7</v>
      </c>
      <c r="CR5">
        <v>16</v>
      </c>
      <c r="CT5">
        <v>8</v>
      </c>
      <c r="CU5">
        <v>0.7</v>
      </c>
      <c r="CV5">
        <v>0.2</v>
      </c>
      <c r="CW5">
        <v>1.5</v>
      </c>
      <c r="CY5">
        <v>1.2</v>
      </c>
      <c r="CZ5">
        <v>0.2</v>
      </c>
      <c r="DA5">
        <v>0.1</v>
      </c>
      <c r="DB5">
        <v>0.7</v>
      </c>
      <c r="DD5">
        <v>1.4</v>
      </c>
      <c r="DE5">
        <v>0.5</v>
      </c>
      <c r="DF5">
        <v>0.5</v>
      </c>
      <c r="DG5">
        <v>1</v>
      </c>
    </row>
    <row r="6" spans="1:111" x14ac:dyDescent="0.3">
      <c r="A6" s="9" t="s">
        <v>3</v>
      </c>
      <c r="H6">
        <v>29</v>
      </c>
      <c r="I6">
        <v>13</v>
      </c>
      <c r="J6">
        <v>10</v>
      </c>
      <c r="K6">
        <v>10</v>
      </c>
      <c r="M6">
        <v>38</v>
      </c>
      <c r="N6">
        <v>22</v>
      </c>
      <c r="O6">
        <v>23.5</v>
      </c>
      <c r="P6">
        <v>27</v>
      </c>
      <c r="AB6">
        <v>32</v>
      </c>
      <c r="AC6">
        <v>13</v>
      </c>
      <c r="AD6">
        <v>13</v>
      </c>
      <c r="AE6">
        <v>21</v>
      </c>
      <c r="AG6">
        <v>22</v>
      </c>
      <c r="AH6">
        <v>8.5</v>
      </c>
      <c r="AI6">
        <v>9.6999999999999993</v>
      </c>
      <c r="AJ6">
        <v>10</v>
      </c>
      <c r="AL6">
        <v>30</v>
      </c>
      <c r="AM6">
        <v>7.2</v>
      </c>
      <c r="AN6">
        <v>12</v>
      </c>
      <c r="AO6">
        <v>14</v>
      </c>
      <c r="AU6" s="1">
        <f>Resultado!K5</f>
        <v>90</v>
      </c>
      <c r="AV6">
        <v>72</v>
      </c>
      <c r="AW6">
        <v>38</v>
      </c>
      <c r="AX6">
        <v>62</v>
      </c>
      <c r="AY6">
        <v>62</v>
      </c>
      <c r="BA6">
        <v>22</v>
      </c>
      <c r="BB6">
        <v>9</v>
      </c>
      <c r="BC6">
        <v>11</v>
      </c>
      <c r="BD6">
        <v>5</v>
      </c>
      <c r="BF6">
        <v>35</v>
      </c>
      <c r="BG6">
        <v>14</v>
      </c>
      <c r="BH6">
        <v>11</v>
      </c>
      <c r="BI6">
        <v>19</v>
      </c>
      <c r="BP6">
        <v>1.3</v>
      </c>
      <c r="BQ6">
        <v>0.9</v>
      </c>
      <c r="BR6">
        <v>0.9</v>
      </c>
      <c r="BS6">
        <v>0.9</v>
      </c>
      <c r="BY6" s="1">
        <f>Resultado!Q5</f>
        <v>59</v>
      </c>
      <c r="BZ6">
        <v>50</v>
      </c>
      <c r="CA6">
        <v>19</v>
      </c>
      <c r="CB6">
        <v>22</v>
      </c>
      <c r="CC6">
        <v>46</v>
      </c>
      <c r="CJ6">
        <v>18</v>
      </c>
      <c r="CK6">
        <v>10</v>
      </c>
      <c r="CL6">
        <v>7</v>
      </c>
      <c r="CM6">
        <v>10</v>
      </c>
      <c r="CO6">
        <f>12+15</f>
        <v>27</v>
      </c>
      <c r="CP6">
        <v>22</v>
      </c>
      <c r="CQ6">
        <v>29</v>
      </c>
      <c r="CR6">
        <v>36</v>
      </c>
      <c r="CT6">
        <v>0.7</v>
      </c>
      <c r="CU6">
        <v>0.2</v>
      </c>
      <c r="CV6">
        <v>0.2</v>
      </c>
      <c r="CW6">
        <v>0.1</v>
      </c>
      <c r="CY6">
        <v>7.6</v>
      </c>
      <c r="CZ6">
        <v>1.7</v>
      </c>
      <c r="DA6">
        <v>1.8</v>
      </c>
      <c r="DB6">
        <v>3</v>
      </c>
      <c r="DD6">
        <v>4.3</v>
      </c>
      <c r="DE6">
        <v>2.5</v>
      </c>
      <c r="DF6">
        <v>1.5</v>
      </c>
      <c r="DG6">
        <v>3.7</v>
      </c>
    </row>
    <row r="7" spans="1:111" x14ac:dyDescent="0.3">
      <c r="A7" s="9" t="s">
        <v>4</v>
      </c>
      <c r="M7">
        <v>81</v>
      </c>
      <c r="N7">
        <v>75</v>
      </c>
      <c r="O7">
        <v>29</v>
      </c>
      <c r="P7">
        <v>85</v>
      </c>
      <c r="AU7">
        <v>137</v>
      </c>
      <c r="AV7">
        <v>250</v>
      </c>
      <c r="AW7">
        <v>145</v>
      </c>
      <c r="AX7">
        <v>91</v>
      </c>
      <c r="AY7">
        <v>175</v>
      </c>
      <c r="BF7">
        <v>36</v>
      </c>
      <c r="BG7">
        <v>35</v>
      </c>
      <c r="BH7">
        <v>0</v>
      </c>
      <c r="BI7">
        <v>12</v>
      </c>
      <c r="BP7">
        <v>7.2</v>
      </c>
      <c r="BQ7">
        <v>0.8</v>
      </c>
      <c r="BR7">
        <v>4</v>
      </c>
      <c r="BS7">
        <v>2</v>
      </c>
      <c r="BU7">
        <v>14</v>
      </c>
      <c r="BV7">
        <v>59</v>
      </c>
      <c r="BW7">
        <v>33</v>
      </c>
      <c r="BX7">
        <v>72</v>
      </c>
      <c r="BY7" s="6">
        <v>80</v>
      </c>
      <c r="BZ7" s="6">
        <v>168</v>
      </c>
      <c r="CA7" s="6">
        <v>243</v>
      </c>
      <c r="CB7" s="6">
        <v>29</v>
      </c>
      <c r="CC7" s="6">
        <v>20</v>
      </c>
      <c r="CJ7">
        <v>29</v>
      </c>
      <c r="CK7">
        <v>48</v>
      </c>
      <c r="CL7">
        <v>0.5</v>
      </c>
      <c r="CM7">
        <v>27</v>
      </c>
      <c r="CO7">
        <v>2</v>
      </c>
      <c r="CP7">
        <v>7</v>
      </c>
      <c r="CQ7">
        <v>12</v>
      </c>
      <c r="CR7">
        <v>22</v>
      </c>
    </row>
    <row r="8" spans="1:111" x14ac:dyDescent="0.3">
      <c r="A8" s="9" t="s">
        <v>5</v>
      </c>
      <c r="M8">
        <v>78</v>
      </c>
      <c r="N8">
        <v>27</v>
      </c>
      <c r="O8">
        <f>14</f>
        <v>14</v>
      </c>
      <c r="P8">
        <f>44-17</f>
        <v>27</v>
      </c>
      <c r="AL8">
        <v>14</v>
      </c>
      <c r="AU8" s="1">
        <f>Resultado!K7</f>
        <v>59</v>
      </c>
      <c r="AV8">
        <v>88</v>
      </c>
      <c r="AW8">
        <v>42</v>
      </c>
      <c r="AX8">
        <v>12</v>
      </c>
      <c r="AY8">
        <v>14</v>
      </c>
      <c r="BU8">
        <v>13</v>
      </c>
      <c r="BV8">
        <v>16</v>
      </c>
      <c r="BW8">
        <v>7</v>
      </c>
      <c r="BX8">
        <v>3</v>
      </c>
      <c r="BY8" s="1">
        <f>Resultado!Q7</f>
        <v>36</v>
      </c>
      <c r="BZ8">
        <v>22</v>
      </c>
      <c r="CA8">
        <v>14</v>
      </c>
      <c r="CB8">
        <v>12</v>
      </c>
      <c r="CC8">
        <v>15</v>
      </c>
      <c r="CJ8">
        <v>16</v>
      </c>
      <c r="CK8">
        <v>16</v>
      </c>
      <c r="CL8">
        <v>14</v>
      </c>
      <c r="CM8">
        <v>13</v>
      </c>
      <c r="CO8">
        <v>4</v>
      </c>
      <c r="CP8">
        <v>4</v>
      </c>
      <c r="CQ8">
        <v>4</v>
      </c>
      <c r="CR8">
        <v>3</v>
      </c>
      <c r="CY8">
        <v>1.5</v>
      </c>
      <c r="CZ8">
        <v>0.4</v>
      </c>
      <c r="DA8">
        <v>0</v>
      </c>
      <c r="DB8">
        <v>0</v>
      </c>
      <c r="DD8">
        <v>0.9</v>
      </c>
      <c r="DE8">
        <v>0.7</v>
      </c>
      <c r="DF8">
        <v>0.7</v>
      </c>
      <c r="DG8">
        <v>0.7</v>
      </c>
    </row>
    <row r="9" spans="1:111" x14ac:dyDescent="0.3">
      <c r="A9" s="9" t="s">
        <v>75</v>
      </c>
      <c r="C9">
        <f>SUM(C3:C6,C8)</f>
        <v>123.1</v>
      </c>
      <c r="D9">
        <f>SUM(D3:D6,D8)</f>
        <v>89.8</v>
      </c>
      <c r="E9">
        <f t="shared" ref="E9" si="0">SUM(E3:E6,E8)</f>
        <v>28.6</v>
      </c>
      <c r="F9">
        <f t="shared" ref="F9" si="1">SUM(F3:F6,F8)</f>
        <v>16.400000000000002</v>
      </c>
      <c r="H9">
        <f>SUM(H3:H6,H8)</f>
        <v>292</v>
      </c>
      <c r="I9">
        <f>SUM(I3:I6,I8)</f>
        <v>385</v>
      </c>
      <c r="J9">
        <f t="shared" ref="J9" si="2">SUM(J3:J6,J8)</f>
        <v>95.7</v>
      </c>
      <c r="K9">
        <f t="shared" ref="K9" si="3">SUM(K3:K6,K8)</f>
        <v>170</v>
      </c>
      <c r="M9">
        <f>SUM(M3:M6,M8)</f>
        <v>339</v>
      </c>
      <c r="N9">
        <f>SUM(N3:N6,N8)</f>
        <v>266.2</v>
      </c>
      <c r="O9">
        <f t="shared" ref="O9" si="4">SUM(O3:O6,O8)</f>
        <v>126.3</v>
      </c>
      <c r="P9">
        <f t="shared" ref="P9" si="5">SUM(P3:P6,P8)</f>
        <v>255</v>
      </c>
      <c r="R9">
        <f>SUM(R3:R6,R8)</f>
        <v>58</v>
      </c>
      <c r="S9">
        <f t="shared" ref="S9" si="6">SUM(S3:S6,S8)</f>
        <v>144</v>
      </c>
      <c r="T9">
        <f t="shared" ref="T9" si="7">SUM(T3:T6,T8)</f>
        <v>69</v>
      </c>
      <c r="U9">
        <f t="shared" ref="U9" si="8">SUM(U3:U6,U8)</f>
        <v>114</v>
      </c>
      <c r="AB9">
        <f>SUM(AB3:AB6,AB8)</f>
        <v>542</v>
      </c>
      <c r="AC9">
        <f t="shared" ref="AC9" si="9">SUM(AC3:AC6,AC8)</f>
        <v>420</v>
      </c>
      <c r="AD9">
        <f t="shared" ref="AD9" si="10">SUM(AD3:AD6,AD8)</f>
        <v>251</v>
      </c>
      <c r="AE9">
        <f t="shared" ref="AE9" si="11">SUM(AE3:AE6,AE8)</f>
        <v>345</v>
      </c>
      <c r="AG9">
        <f>SUM(AG3:AG6,AG8)</f>
        <v>114</v>
      </c>
      <c r="AH9">
        <f t="shared" ref="AH9:AJ9" si="12">SUM(AH3:AH6,AH8)</f>
        <v>76.5</v>
      </c>
      <c r="AI9">
        <f t="shared" si="12"/>
        <v>57.100000000000009</v>
      </c>
      <c r="AJ9">
        <f t="shared" si="12"/>
        <v>34.200000000000003</v>
      </c>
      <c r="AL9">
        <f>SUM(AL3:AL6,AL8)</f>
        <v>134</v>
      </c>
      <c r="AM9">
        <f t="shared" ref="AM9:AO9" si="13">SUM(AM3:AM6,AM8)</f>
        <v>91.5</v>
      </c>
      <c r="AN9">
        <f t="shared" si="13"/>
        <v>86</v>
      </c>
      <c r="AO9">
        <f t="shared" si="13"/>
        <v>160</v>
      </c>
      <c r="AU9" s="1">
        <f>Resultado!K8</f>
        <v>924</v>
      </c>
      <c r="AV9">
        <f>SUM(AV3:AV8)</f>
        <v>1205</v>
      </c>
      <c r="AW9">
        <f>SUM(AW3:AW8)</f>
        <v>820</v>
      </c>
      <c r="AX9">
        <f>SUM(AX3:AX8)</f>
        <v>615</v>
      </c>
      <c r="AY9">
        <f>SUM(AY3:AY8)</f>
        <v>864</v>
      </c>
      <c r="BA9">
        <f>SUM(BA3:BA6,BA8)</f>
        <v>230</v>
      </c>
      <c r="BB9">
        <f t="shared" ref="BB9" si="14">SUM(BB3:BB6,BB8)</f>
        <v>208</v>
      </c>
      <c r="BC9">
        <f t="shared" ref="BC9" si="15">SUM(BC3:BC6,BC8)</f>
        <v>111.8</v>
      </c>
      <c r="BD9">
        <f t="shared" ref="BD9" si="16">SUM(BD3:BD6,BD8)</f>
        <v>138</v>
      </c>
      <c r="BF9">
        <f>SUM(BF3:BF6,BF8)</f>
        <v>194</v>
      </c>
      <c r="BG9">
        <f t="shared" ref="BG9" si="17">SUM(BG3:BG6,BG8)</f>
        <v>138</v>
      </c>
      <c r="BH9">
        <f t="shared" ref="BH9" si="18">SUM(BH3:BH6,BH8)</f>
        <v>50</v>
      </c>
      <c r="BI9">
        <f t="shared" ref="BI9" si="19">SUM(BI3:BI6,BI8)</f>
        <v>84.5</v>
      </c>
      <c r="BK9">
        <f>SUM(BK3:BK6,BK8)</f>
        <v>114</v>
      </c>
      <c r="BL9">
        <f t="shared" ref="BL9" si="20">SUM(BL3:BL6,BL8)</f>
        <v>236</v>
      </c>
      <c r="BM9">
        <f t="shared" ref="BM9" si="21">SUM(BM3:BM6,BM8)</f>
        <v>179</v>
      </c>
      <c r="BN9">
        <f t="shared" ref="BN9" si="22">SUM(BN3:BN6,BN8)</f>
        <v>202</v>
      </c>
      <c r="BP9">
        <f>SUM(BP3:BP6,BP8)</f>
        <v>94.1</v>
      </c>
      <c r="BQ9">
        <f t="shared" ref="BQ9" si="23">SUM(BQ3:BQ6,BQ8)</f>
        <v>36.299999999999997</v>
      </c>
      <c r="BR9">
        <f t="shared" ref="BR9" si="24">SUM(BR3:BR6,BR8)</f>
        <v>39.6</v>
      </c>
      <c r="BS9">
        <f t="shared" ref="BS9" si="25">SUM(BS3:BS6,BS8)</f>
        <v>84.5</v>
      </c>
      <c r="BU9">
        <f>SUM(BU3:BU6,BU8)</f>
        <v>230</v>
      </c>
      <c r="BV9">
        <f t="shared" ref="BV9" si="26">SUM(BV3:BV6,BV8)</f>
        <v>230.8</v>
      </c>
      <c r="BW9">
        <f t="shared" ref="BW9" si="27">SUM(BW3:BW6,BW8)</f>
        <v>143.6</v>
      </c>
      <c r="BX9">
        <f t="shared" ref="BX9" si="28">SUM(BX3:BX6,BX8)</f>
        <v>225</v>
      </c>
      <c r="BY9" s="1">
        <f>SUM(BY3:BY8)-BY7</f>
        <v>542</v>
      </c>
      <c r="BZ9" s="1">
        <f t="shared" ref="BZ9:CC9" si="29">SUM(BZ3:BZ8)-BZ7</f>
        <v>600</v>
      </c>
      <c r="CA9" s="1">
        <f t="shared" si="29"/>
        <v>722</v>
      </c>
      <c r="CB9" s="1">
        <f t="shared" si="29"/>
        <v>337</v>
      </c>
      <c r="CC9" s="1">
        <f t="shared" si="29"/>
        <v>436</v>
      </c>
      <c r="CE9">
        <f>SUM(CE3:CE6,CE8)</f>
        <v>203</v>
      </c>
      <c r="CF9">
        <f t="shared" ref="CF9" si="30">SUM(CF3:CF6,CF8)</f>
        <v>259</v>
      </c>
      <c r="CG9">
        <f t="shared" ref="CG9" si="31">SUM(CG3:CG6,CG8)</f>
        <v>118</v>
      </c>
      <c r="CH9">
        <f t="shared" ref="CH9" si="32">SUM(CH3:CH6,CH8)</f>
        <v>148</v>
      </c>
      <c r="CJ9">
        <f>SUM(CJ3:CJ6,CJ8)</f>
        <v>357</v>
      </c>
      <c r="CK9">
        <f t="shared" ref="CK9" si="33">SUM(CK3:CK6,CK8)</f>
        <v>309</v>
      </c>
      <c r="CL9">
        <f t="shared" ref="CL9" si="34">SUM(CL3:CL6,CL8)</f>
        <v>171</v>
      </c>
      <c r="CM9">
        <f t="shared" ref="CM9" si="35">SUM(CM3:CM6,CM8)</f>
        <v>220</v>
      </c>
      <c r="CO9">
        <f>SUM(CO3:CO6,CO8)</f>
        <v>97.7</v>
      </c>
      <c r="CP9">
        <f t="shared" ref="CP9" si="36">SUM(CP3:CP6,CP8)</f>
        <v>115.6</v>
      </c>
      <c r="CQ9">
        <f t="shared" ref="CQ9" si="37">SUM(CQ3:CQ6,CQ8)</f>
        <v>149.69999999999999</v>
      </c>
      <c r="CR9">
        <f t="shared" ref="CR9" si="38">SUM(CR3:CR6,CR8)</f>
        <v>190</v>
      </c>
      <c r="CT9">
        <f>SUM(CT3:CT6,CT8)</f>
        <v>83.7</v>
      </c>
      <c r="CU9">
        <f t="shared" ref="CU9" si="39">SUM(CU3:CU6,CU8)</f>
        <v>104.10000000000001</v>
      </c>
      <c r="CV9">
        <f t="shared" ref="CV9" si="40">SUM(CV3:CV6,CV8)</f>
        <v>43.100000000000009</v>
      </c>
      <c r="CW9">
        <f t="shared" ref="CW9" si="41">SUM(CW3:CW6,CW8)</f>
        <v>14.5</v>
      </c>
      <c r="CY9">
        <f>SUM(CY3:CY6,CY8)</f>
        <v>24.1</v>
      </c>
      <c r="CZ9">
        <f t="shared" ref="CZ9" si="42">SUM(CZ3:CZ6,CZ8)</f>
        <v>11.899999999999999</v>
      </c>
      <c r="DA9">
        <f t="shared" ref="DA9" si="43">SUM(DA3:DA6,DA8)</f>
        <v>4.8</v>
      </c>
      <c r="DB9">
        <f t="shared" ref="DB9" si="44">SUM(DB3:DB6,DB8)</f>
        <v>15.8</v>
      </c>
      <c r="DD9">
        <f>SUM(DD3:DD6,DD8)</f>
        <v>69.600000000000009</v>
      </c>
      <c r="DE9">
        <f t="shared" ref="DE9" si="45">SUM(DE3:DE6,DE8)</f>
        <v>64.7</v>
      </c>
      <c r="DF9">
        <f>SUM(DF3:DF6,DF8)</f>
        <v>20.9</v>
      </c>
      <c r="DG9">
        <f>SUM(DG3:DG6,DG8)</f>
        <v>15.2</v>
      </c>
    </row>
    <row r="10" spans="1:111" x14ac:dyDescent="0.3">
      <c r="A10" s="9" t="s">
        <v>2</v>
      </c>
      <c r="C10">
        <v>10</v>
      </c>
      <c r="D10">
        <v>2.4</v>
      </c>
      <c r="E10">
        <v>4.7</v>
      </c>
      <c r="F10">
        <v>4.2</v>
      </c>
      <c r="H10">
        <v>88</v>
      </c>
      <c r="I10">
        <v>99</v>
      </c>
      <c r="J10">
        <v>28</v>
      </c>
      <c r="K10">
        <v>106</v>
      </c>
      <c r="M10">
        <v>101</v>
      </c>
      <c r="N10">
        <v>32</v>
      </c>
      <c r="O10">
        <v>201</v>
      </c>
      <c r="P10">
        <v>133</v>
      </c>
      <c r="R10">
        <v>21</v>
      </c>
      <c r="S10">
        <v>35</v>
      </c>
      <c r="T10">
        <v>22</v>
      </c>
      <c r="U10">
        <v>45</v>
      </c>
      <c r="AB10">
        <v>146</v>
      </c>
      <c r="AC10">
        <v>28</v>
      </c>
      <c r="AD10">
        <v>189</v>
      </c>
      <c r="AE10">
        <v>34</v>
      </c>
      <c r="AG10">
        <v>34</v>
      </c>
      <c r="AH10">
        <v>4</v>
      </c>
      <c r="AI10">
        <v>43</v>
      </c>
      <c r="AJ10">
        <v>2.9</v>
      </c>
      <c r="AL10">
        <v>16</v>
      </c>
      <c r="AM10">
        <v>20</v>
      </c>
      <c r="AN10">
        <v>23</v>
      </c>
      <c r="AO10">
        <v>108</v>
      </c>
      <c r="AU10" s="1">
        <f>Resultado!K9</f>
        <v>303</v>
      </c>
      <c r="AV10">
        <v>133</v>
      </c>
      <c r="AW10">
        <v>278</v>
      </c>
      <c r="AX10">
        <v>222</v>
      </c>
      <c r="AY10">
        <v>300</v>
      </c>
      <c r="BA10">
        <v>94</v>
      </c>
      <c r="BB10">
        <v>110</v>
      </c>
      <c r="BC10">
        <v>50</v>
      </c>
      <c r="BD10">
        <v>105</v>
      </c>
      <c r="BF10">
        <v>20</v>
      </c>
      <c r="BG10">
        <v>2.4</v>
      </c>
      <c r="BH10">
        <v>11</v>
      </c>
      <c r="BI10">
        <v>6.5</v>
      </c>
      <c r="BK10">
        <v>102</v>
      </c>
      <c r="BL10">
        <v>159</v>
      </c>
      <c r="BM10">
        <v>120</v>
      </c>
      <c r="BN10">
        <v>108</v>
      </c>
      <c r="BP10">
        <v>3</v>
      </c>
      <c r="BQ10">
        <v>8.5</v>
      </c>
      <c r="BR10">
        <v>45</v>
      </c>
      <c r="BS10">
        <v>1.1000000000000001</v>
      </c>
      <c r="BU10">
        <v>173</v>
      </c>
      <c r="BV10">
        <v>88</v>
      </c>
      <c r="BW10">
        <v>68</v>
      </c>
      <c r="BX10">
        <v>136</v>
      </c>
      <c r="BY10" s="1">
        <f>Resultado!Q9</f>
        <v>187</v>
      </c>
      <c r="BZ10">
        <v>174</v>
      </c>
      <c r="CA10">
        <v>139</v>
      </c>
      <c r="CB10">
        <v>149</v>
      </c>
      <c r="CC10">
        <v>108</v>
      </c>
      <c r="CE10">
        <v>70</v>
      </c>
      <c r="CF10">
        <v>107</v>
      </c>
      <c r="CG10">
        <v>84</v>
      </c>
      <c r="CH10">
        <v>216</v>
      </c>
      <c r="CJ10">
        <v>229</v>
      </c>
      <c r="CK10">
        <v>121</v>
      </c>
      <c r="CL10">
        <v>151</v>
      </c>
      <c r="CM10">
        <v>105</v>
      </c>
      <c r="CO10">
        <f>0.5+26</f>
        <v>26.5</v>
      </c>
      <c r="CP10">
        <f>61</f>
        <v>61</v>
      </c>
      <c r="CQ10">
        <v>33</v>
      </c>
      <c r="CR10">
        <v>14</v>
      </c>
      <c r="CT10">
        <v>14</v>
      </c>
      <c r="CU10">
        <v>3.7</v>
      </c>
      <c r="CV10">
        <v>3.7</v>
      </c>
      <c r="CW10">
        <v>0.6</v>
      </c>
      <c r="CY10">
        <v>1</v>
      </c>
      <c r="CZ10">
        <v>0.2</v>
      </c>
      <c r="DA10">
        <v>8</v>
      </c>
      <c r="DB10">
        <v>8</v>
      </c>
      <c r="DD10">
        <v>6.5</v>
      </c>
      <c r="DE10">
        <v>2.9</v>
      </c>
      <c r="DF10">
        <v>9.5</v>
      </c>
      <c r="DG10">
        <v>2.5</v>
      </c>
    </row>
    <row r="11" spans="1:111" x14ac:dyDescent="0.3">
      <c r="A11" s="9" t="s">
        <v>72</v>
      </c>
      <c r="C11">
        <v>144</v>
      </c>
      <c r="D11">
        <v>99</v>
      </c>
      <c r="E11">
        <v>46</v>
      </c>
      <c r="F11">
        <v>31</v>
      </c>
      <c r="H11">
        <v>385</v>
      </c>
      <c r="I11">
        <v>497</v>
      </c>
      <c r="J11">
        <v>131</v>
      </c>
      <c r="K11">
        <v>283</v>
      </c>
      <c r="M11">
        <v>349</v>
      </c>
      <c r="N11">
        <v>256</v>
      </c>
      <c r="O11">
        <v>329</v>
      </c>
      <c r="P11">
        <v>379</v>
      </c>
      <c r="R11">
        <v>100</v>
      </c>
      <c r="S11">
        <v>194</v>
      </c>
      <c r="T11">
        <v>120</v>
      </c>
      <c r="U11">
        <v>174</v>
      </c>
      <c r="AB11">
        <v>652</v>
      </c>
      <c r="AC11">
        <v>448</v>
      </c>
      <c r="AD11">
        <v>425</v>
      </c>
      <c r="AE11">
        <v>370</v>
      </c>
      <c r="AG11">
        <v>156</v>
      </c>
      <c r="AH11">
        <v>80</v>
      </c>
      <c r="AI11">
        <v>100</v>
      </c>
      <c r="AJ11">
        <v>38</v>
      </c>
      <c r="AL11">
        <v>146</v>
      </c>
      <c r="AM11">
        <v>120</v>
      </c>
      <c r="AN11">
        <v>118</v>
      </c>
      <c r="AO11">
        <v>281</v>
      </c>
      <c r="AU11" s="1">
        <f>Resultado!K11</f>
        <v>1316</v>
      </c>
      <c r="AV11">
        <v>1112</v>
      </c>
      <c r="AW11">
        <v>1025</v>
      </c>
      <c r="AX11">
        <v>644</v>
      </c>
      <c r="AY11">
        <v>914</v>
      </c>
      <c r="BA11">
        <v>329</v>
      </c>
      <c r="BB11">
        <v>314</v>
      </c>
      <c r="BC11">
        <v>183</v>
      </c>
      <c r="BD11">
        <v>250</v>
      </c>
      <c r="BF11">
        <v>243</v>
      </c>
      <c r="BG11">
        <v>157</v>
      </c>
      <c r="BH11">
        <v>77</v>
      </c>
      <c r="BI11">
        <v>109</v>
      </c>
      <c r="BK11">
        <v>288</v>
      </c>
      <c r="BL11">
        <v>467</v>
      </c>
      <c r="BM11">
        <v>385</v>
      </c>
      <c r="BN11">
        <v>408</v>
      </c>
      <c r="BP11">
        <v>97</v>
      </c>
      <c r="BQ11">
        <v>47</v>
      </c>
      <c r="BR11">
        <v>86</v>
      </c>
      <c r="BS11">
        <v>91</v>
      </c>
      <c r="BU11">
        <v>362</v>
      </c>
      <c r="BV11">
        <v>344</v>
      </c>
      <c r="BW11">
        <v>260</v>
      </c>
      <c r="BX11">
        <v>390</v>
      </c>
      <c r="BY11" s="1">
        <f>Resultado!Q11</f>
        <v>732</v>
      </c>
      <c r="BZ11">
        <f>791-87</f>
        <v>704</v>
      </c>
      <c r="CA11">
        <f>929-66</f>
        <v>863</v>
      </c>
      <c r="CB11">
        <f>531-42</f>
        <v>489</v>
      </c>
      <c r="CC11">
        <v>598</v>
      </c>
      <c r="CE11">
        <v>278</v>
      </c>
      <c r="CF11">
        <v>369</v>
      </c>
      <c r="CG11">
        <v>214</v>
      </c>
      <c r="CH11">
        <v>373</v>
      </c>
      <c r="CJ11">
        <v>588</v>
      </c>
      <c r="CK11">
        <v>433</v>
      </c>
      <c r="CL11">
        <v>323</v>
      </c>
      <c r="CM11">
        <v>326</v>
      </c>
      <c r="CO11">
        <f>47+57+12</f>
        <v>116</v>
      </c>
      <c r="CP11">
        <f>144+CP6</f>
        <v>166</v>
      </c>
      <c r="CQ11">
        <f>134+CQ6</f>
        <v>163</v>
      </c>
      <c r="CR11">
        <f>204+36</f>
        <v>240</v>
      </c>
      <c r="CT11">
        <v>100</v>
      </c>
      <c r="CU11">
        <v>113</v>
      </c>
      <c r="CV11">
        <v>51</v>
      </c>
      <c r="CW11">
        <v>20</v>
      </c>
      <c r="CY11">
        <v>27</v>
      </c>
      <c r="CZ11">
        <v>15</v>
      </c>
      <c r="DA11">
        <v>14</v>
      </c>
      <c r="DB11">
        <v>26</v>
      </c>
      <c r="DD11">
        <v>76</v>
      </c>
      <c r="DE11">
        <v>68</v>
      </c>
      <c r="DF11">
        <v>32</v>
      </c>
      <c r="DG11">
        <v>18</v>
      </c>
    </row>
    <row r="12" spans="1:111" x14ac:dyDescent="0.3">
      <c r="A12" s="10" t="s">
        <v>65</v>
      </c>
      <c r="C12">
        <v>60</v>
      </c>
      <c r="D12">
        <v>46</v>
      </c>
      <c r="E12">
        <v>24</v>
      </c>
      <c r="F12">
        <v>25</v>
      </c>
      <c r="H12">
        <v>250</v>
      </c>
      <c r="I12">
        <v>263</v>
      </c>
      <c r="J12">
        <v>200</v>
      </c>
      <c r="K12">
        <v>156</v>
      </c>
      <c r="M12">
        <f>140.7+51.3-14</f>
        <v>178</v>
      </c>
      <c r="N12">
        <f>106+41-2</f>
        <v>145</v>
      </c>
      <c r="O12">
        <f>91</f>
        <v>91</v>
      </c>
      <c r="P12">
        <v>138</v>
      </c>
      <c r="R12">
        <v>72</v>
      </c>
      <c r="S12">
        <v>106</v>
      </c>
      <c r="T12">
        <v>91</v>
      </c>
      <c r="U12">
        <v>93</v>
      </c>
      <c r="AB12">
        <v>274</v>
      </c>
      <c r="AC12">
        <v>208</v>
      </c>
      <c r="AD12">
        <v>188</v>
      </c>
      <c r="AE12">
        <v>224</v>
      </c>
      <c r="AG12">
        <f>58+15</f>
        <v>73</v>
      </c>
      <c r="AH12">
        <f>41+8</f>
        <v>49</v>
      </c>
      <c r="AI12">
        <f>39+10</f>
        <v>49</v>
      </c>
      <c r="AJ12">
        <f>37</f>
        <v>37</v>
      </c>
      <c r="AL12">
        <v>57</v>
      </c>
      <c r="AM12">
        <v>60</v>
      </c>
      <c r="AN12">
        <v>98</v>
      </c>
      <c r="AO12">
        <f>192+19</f>
        <v>211</v>
      </c>
      <c r="AU12">
        <f>Índices!K28</f>
        <v>463</v>
      </c>
      <c r="AV12">
        <f>349+90</f>
        <v>439</v>
      </c>
      <c r="AW12">
        <f>269+85</f>
        <v>354</v>
      </c>
      <c r="AX12">
        <f>236+96</f>
        <v>332</v>
      </c>
      <c r="AY12">
        <f>278+48</f>
        <v>326</v>
      </c>
      <c r="BA12">
        <f>97+33</f>
        <v>130</v>
      </c>
      <c r="BB12">
        <f>100+18</f>
        <v>118</v>
      </c>
      <c r="BC12">
        <v>74</v>
      </c>
      <c r="BD12">
        <f>55+6</f>
        <v>61</v>
      </c>
      <c r="BF12">
        <f>63+22</f>
        <v>85</v>
      </c>
      <c r="BG12">
        <f>62+14</f>
        <v>76</v>
      </c>
      <c r="BH12">
        <v>44</v>
      </c>
      <c r="BI12">
        <v>69</v>
      </c>
      <c r="BK12">
        <v>116</v>
      </c>
      <c r="BL12">
        <v>135</v>
      </c>
      <c r="BM12">
        <v>110</v>
      </c>
      <c r="BN12">
        <v>109</v>
      </c>
      <c r="BP12">
        <v>33</v>
      </c>
      <c r="BQ12">
        <v>24</v>
      </c>
      <c r="BR12">
        <v>47</v>
      </c>
      <c r="BS12">
        <v>41</v>
      </c>
      <c r="BU12">
        <v>198</v>
      </c>
      <c r="BV12">
        <v>181</v>
      </c>
      <c r="BW12">
        <v>184</v>
      </c>
      <c r="BX12">
        <v>190</v>
      </c>
      <c r="BY12">
        <v>405</v>
      </c>
      <c r="BZ12">
        <v>365</v>
      </c>
      <c r="CA12">
        <v>355</v>
      </c>
      <c r="CB12">
        <v>206</v>
      </c>
      <c r="CC12">
        <v>267</v>
      </c>
      <c r="CE12">
        <f>80+31</f>
        <v>111</v>
      </c>
      <c r="CF12">
        <f>94+24</f>
        <v>118</v>
      </c>
      <c r="CG12">
        <f>95+28</f>
        <v>123</v>
      </c>
      <c r="CH12">
        <f>119+32</f>
        <v>151</v>
      </c>
      <c r="CJ12">
        <f>147+51</f>
        <v>198</v>
      </c>
      <c r="CK12">
        <f>167+52</f>
        <v>219</v>
      </c>
      <c r="CL12">
        <f>133+34</f>
        <v>167</v>
      </c>
      <c r="CM12">
        <f>132+33</f>
        <v>165</v>
      </c>
      <c r="CO12">
        <f>29+5+33</f>
        <v>67</v>
      </c>
      <c r="CP12">
        <v>65</v>
      </c>
      <c r="CQ12">
        <v>77</v>
      </c>
      <c r="CR12">
        <v>89</v>
      </c>
      <c r="CT12">
        <v>39</v>
      </c>
      <c r="CU12">
        <v>30</v>
      </c>
      <c r="CV12">
        <v>17</v>
      </c>
      <c r="CW12">
        <v>13</v>
      </c>
      <c r="CY12">
        <v>16</v>
      </c>
      <c r="CZ12">
        <v>12</v>
      </c>
      <c r="DA12">
        <v>7.6</v>
      </c>
      <c r="DB12">
        <v>16.899999999999999</v>
      </c>
      <c r="DD12">
        <v>40</v>
      </c>
      <c r="DE12">
        <v>28</v>
      </c>
      <c r="DF12">
        <v>23</v>
      </c>
      <c r="DG12">
        <v>11</v>
      </c>
    </row>
    <row r="13" spans="1:111" x14ac:dyDescent="0.3">
      <c r="A13" t="s">
        <v>74</v>
      </c>
      <c r="C13">
        <v>-21</v>
      </c>
      <c r="D13">
        <v>-4.8</v>
      </c>
      <c r="E13">
        <v>-8.6</v>
      </c>
      <c r="F13">
        <v>-17</v>
      </c>
      <c r="H13">
        <v>71</v>
      </c>
      <c r="I13">
        <v>101</v>
      </c>
      <c r="J13">
        <v>19</v>
      </c>
      <c r="K13">
        <v>-47</v>
      </c>
      <c r="M13">
        <v>48</v>
      </c>
      <c r="N13">
        <v>66</v>
      </c>
      <c r="O13">
        <v>134</v>
      </c>
      <c r="P13">
        <v>63</v>
      </c>
      <c r="R13">
        <v>-78</v>
      </c>
      <c r="S13">
        <v>28</v>
      </c>
      <c r="T13">
        <v>-51</v>
      </c>
      <c r="U13">
        <v>3.8</v>
      </c>
      <c r="AB13">
        <v>15</v>
      </c>
      <c r="AC13">
        <v>6</v>
      </c>
      <c r="AD13">
        <v>-123</v>
      </c>
      <c r="AE13">
        <v>-196</v>
      </c>
      <c r="AG13">
        <v>61</v>
      </c>
      <c r="AH13">
        <v>4</v>
      </c>
      <c r="AI13">
        <v>-22</v>
      </c>
      <c r="AJ13">
        <v>-50</v>
      </c>
      <c r="AL13">
        <v>-25</v>
      </c>
      <c r="AM13">
        <v>-113</v>
      </c>
      <c r="AN13">
        <v>-226</v>
      </c>
      <c r="AO13">
        <v>-394</v>
      </c>
      <c r="AU13" s="1">
        <f>Resultado!K21</f>
        <v>320</v>
      </c>
      <c r="AV13">
        <v>136</v>
      </c>
      <c r="AW13">
        <v>178</v>
      </c>
      <c r="AX13">
        <v>-107</v>
      </c>
      <c r="AY13">
        <v>63</v>
      </c>
      <c r="BA13">
        <v>7</v>
      </c>
      <c r="BB13">
        <v>-2</v>
      </c>
      <c r="BC13">
        <v>-3</v>
      </c>
      <c r="BD13">
        <v>-9</v>
      </c>
      <c r="BF13">
        <v>32</v>
      </c>
      <c r="BG13">
        <v>15</v>
      </c>
      <c r="BH13">
        <v>-9.8000000000000007</v>
      </c>
      <c r="BI13">
        <v>3.4</v>
      </c>
      <c r="BK13">
        <v>-96</v>
      </c>
      <c r="BL13">
        <v>14</v>
      </c>
      <c r="BM13">
        <v>38</v>
      </c>
      <c r="BN13">
        <v>22</v>
      </c>
      <c r="BP13">
        <v>13</v>
      </c>
      <c r="BQ13">
        <v>-7</v>
      </c>
      <c r="BR13">
        <v>-3</v>
      </c>
      <c r="BS13">
        <v>2.8</v>
      </c>
      <c r="BU13">
        <v>1</v>
      </c>
      <c r="BV13">
        <v>0.8</v>
      </c>
      <c r="BW13">
        <v>-92</v>
      </c>
      <c r="BX13">
        <v>-3</v>
      </c>
      <c r="BY13" s="1">
        <f>Resultado!Q21</f>
        <v>-16</v>
      </c>
      <c r="BZ13">
        <f>77-4-20</f>
        <v>53</v>
      </c>
      <c r="CA13">
        <f>192-6-6</f>
        <v>180</v>
      </c>
      <c r="CB13">
        <f>-57-31</f>
        <v>-88</v>
      </c>
      <c r="CC13">
        <f>14+11</f>
        <v>25</v>
      </c>
      <c r="CE13">
        <v>107</v>
      </c>
      <c r="CF13">
        <v>148</v>
      </c>
      <c r="CG13">
        <v>-54</v>
      </c>
      <c r="CH13">
        <v>132</v>
      </c>
      <c r="CJ13">
        <v>37</v>
      </c>
      <c r="CK13">
        <v>-106</v>
      </c>
      <c r="CL13">
        <v>-129</v>
      </c>
      <c r="CM13">
        <v>-156</v>
      </c>
      <c r="CO13">
        <v>-88</v>
      </c>
      <c r="CP13">
        <v>122</v>
      </c>
      <c r="CQ13">
        <v>-77</v>
      </c>
      <c r="CR13">
        <v>-5</v>
      </c>
      <c r="CT13">
        <v>14</v>
      </c>
      <c r="CU13">
        <v>31</v>
      </c>
      <c r="CV13">
        <v>3</v>
      </c>
      <c r="CW13">
        <v>2</v>
      </c>
      <c r="CY13">
        <v>2.2000000000000002</v>
      </c>
      <c r="CZ13">
        <v>-3</v>
      </c>
      <c r="DA13">
        <v>0.7</v>
      </c>
      <c r="DB13">
        <v>0.1</v>
      </c>
      <c r="DD13">
        <v>5</v>
      </c>
      <c r="DE13">
        <v>18</v>
      </c>
      <c r="DF13">
        <v>-2.7</v>
      </c>
      <c r="DG13">
        <v>-4</v>
      </c>
    </row>
    <row r="14" spans="1:111" x14ac:dyDescent="0.3">
      <c r="A14" t="s">
        <v>38</v>
      </c>
      <c r="C14">
        <v>3</v>
      </c>
      <c r="D14">
        <v>22</v>
      </c>
      <c r="E14">
        <v>3</v>
      </c>
      <c r="F14">
        <v>-9</v>
      </c>
      <c r="H14">
        <v>39</v>
      </c>
      <c r="I14">
        <v>109</v>
      </c>
      <c r="J14">
        <v>-155</v>
      </c>
      <c r="K14">
        <v>125</v>
      </c>
      <c r="M14">
        <v>71</v>
      </c>
      <c r="N14">
        <v>65</v>
      </c>
      <c r="O14">
        <v>134</v>
      </c>
      <c r="P14">
        <v>111</v>
      </c>
      <c r="R14">
        <v>1</v>
      </c>
      <c r="S14">
        <v>37</v>
      </c>
      <c r="T14">
        <v>-13</v>
      </c>
      <c r="U14">
        <v>39</v>
      </c>
      <c r="AB14">
        <v>164</v>
      </c>
      <c r="AC14">
        <v>178</v>
      </c>
      <c r="AD14">
        <v>40</v>
      </c>
      <c r="AE14">
        <v>-18</v>
      </c>
      <c r="AG14">
        <v>64</v>
      </c>
      <c r="AH14">
        <v>22</v>
      </c>
      <c r="AI14">
        <v>24</v>
      </c>
      <c r="AJ14">
        <v>-11</v>
      </c>
      <c r="AL14">
        <v>146</v>
      </c>
      <c r="AM14">
        <v>-81</v>
      </c>
      <c r="AN14">
        <v>-180</v>
      </c>
      <c r="AO14">
        <v>147</v>
      </c>
      <c r="AU14">
        <v>485</v>
      </c>
      <c r="AV14">
        <v>342</v>
      </c>
      <c r="AW14">
        <v>325</v>
      </c>
      <c r="AX14">
        <v>170</v>
      </c>
      <c r="AY14">
        <v>248</v>
      </c>
      <c r="BA14">
        <v>64</v>
      </c>
      <c r="BB14">
        <v>-81</v>
      </c>
      <c r="BC14">
        <v>-180</v>
      </c>
      <c r="BD14">
        <v>70</v>
      </c>
      <c r="BF14">
        <v>57</v>
      </c>
      <c r="BG14">
        <v>-81</v>
      </c>
      <c r="BH14">
        <v>-180</v>
      </c>
      <c r="BI14">
        <v>9</v>
      </c>
      <c r="BK14">
        <v>33</v>
      </c>
      <c r="BL14">
        <v>173</v>
      </c>
      <c r="BM14">
        <v>130</v>
      </c>
      <c r="BN14">
        <v>158</v>
      </c>
      <c r="BP14">
        <v>49.3</v>
      </c>
      <c r="BQ14">
        <v>20</v>
      </c>
      <c r="BR14">
        <v>29</v>
      </c>
      <c r="BS14">
        <v>38</v>
      </c>
      <c r="BU14">
        <v>114</v>
      </c>
      <c r="BV14">
        <v>99</v>
      </c>
      <c r="BW14">
        <v>2</v>
      </c>
      <c r="BX14">
        <v>89</v>
      </c>
      <c r="BY14">
        <v>186</v>
      </c>
      <c r="BZ14">
        <v>183</v>
      </c>
      <c r="CA14">
        <v>326</v>
      </c>
      <c r="CB14">
        <v>151</v>
      </c>
      <c r="CC14">
        <v>189</v>
      </c>
      <c r="CE14">
        <v>116</v>
      </c>
      <c r="CF14">
        <v>166</v>
      </c>
      <c r="CG14">
        <v>-22</v>
      </c>
      <c r="CH14">
        <v>168</v>
      </c>
      <c r="CJ14">
        <v>228</v>
      </c>
      <c r="CK14">
        <v>25</v>
      </c>
      <c r="CL14">
        <v>433</v>
      </c>
      <c r="CM14">
        <v>323</v>
      </c>
      <c r="CO14">
        <v>24</v>
      </c>
      <c r="CP14">
        <v>84</v>
      </c>
      <c r="CQ14">
        <v>71</v>
      </c>
      <c r="CR14">
        <v>119</v>
      </c>
      <c r="CT14">
        <v>14.000000000000005</v>
      </c>
      <c r="CU14">
        <v>32.6</v>
      </c>
      <c r="CV14">
        <v>4.26</v>
      </c>
      <c r="CW14">
        <v>3.5</v>
      </c>
      <c r="CY14">
        <v>3.3000000000000007</v>
      </c>
      <c r="CZ14">
        <v>-2.6999999999999993</v>
      </c>
      <c r="DA14">
        <v>1.2000000000000011</v>
      </c>
      <c r="DB14">
        <v>1</v>
      </c>
      <c r="DD14">
        <v>14</v>
      </c>
      <c r="DE14">
        <v>17</v>
      </c>
      <c r="DF14">
        <v>5</v>
      </c>
      <c r="DG14">
        <v>4</v>
      </c>
    </row>
    <row r="15" spans="1:111" x14ac:dyDescent="0.3">
      <c r="A15" t="s">
        <v>66</v>
      </c>
      <c r="C15">
        <v>16</v>
      </c>
      <c r="D15">
        <v>0</v>
      </c>
      <c r="E15">
        <v>0.3</v>
      </c>
      <c r="F15">
        <v>0.8</v>
      </c>
      <c r="H15">
        <v>148</v>
      </c>
      <c r="I15">
        <v>112</v>
      </c>
      <c r="J15">
        <v>252</v>
      </c>
      <c r="K15">
        <v>52</v>
      </c>
      <c r="M15">
        <v>95</v>
      </c>
      <c r="N15">
        <v>54</v>
      </c>
      <c r="O15">
        <v>38</v>
      </c>
      <c r="P15">
        <v>30</v>
      </c>
      <c r="R15">
        <v>0</v>
      </c>
      <c r="S15">
        <v>0</v>
      </c>
      <c r="T15">
        <v>10</v>
      </c>
      <c r="U15">
        <v>33</v>
      </c>
      <c r="AB15">
        <v>42</v>
      </c>
      <c r="AC15">
        <v>1</v>
      </c>
      <c r="AD15">
        <v>63</v>
      </c>
      <c r="AE15" s="7">
        <v>11</v>
      </c>
      <c r="AG15">
        <v>7</v>
      </c>
      <c r="AH15">
        <v>2.2000000000000002</v>
      </c>
      <c r="AI15">
        <v>1.5</v>
      </c>
      <c r="AJ15">
        <v>0.9</v>
      </c>
      <c r="AL15">
        <v>0</v>
      </c>
      <c r="AM15">
        <v>1</v>
      </c>
      <c r="AN15">
        <v>18</v>
      </c>
      <c r="AO15">
        <v>56</v>
      </c>
      <c r="AU15" s="1">
        <v>273</v>
      </c>
      <c r="AV15">
        <v>231</v>
      </c>
      <c r="AW15">
        <v>120</v>
      </c>
      <c r="AX15">
        <v>178</v>
      </c>
      <c r="AY15">
        <v>250</v>
      </c>
      <c r="BA15" s="21">
        <v>27</v>
      </c>
      <c r="BB15" s="6">
        <v>13</v>
      </c>
      <c r="BC15" s="6">
        <v>8.4</v>
      </c>
      <c r="BD15" s="6">
        <v>11</v>
      </c>
      <c r="BF15" s="6">
        <v>46</v>
      </c>
      <c r="BG15">
        <v>18</v>
      </c>
      <c r="BH15">
        <v>7</v>
      </c>
      <c r="BI15">
        <v>5.6</v>
      </c>
      <c r="BK15">
        <v>66</v>
      </c>
      <c r="BL15">
        <v>63</v>
      </c>
      <c r="BM15">
        <v>48</v>
      </c>
      <c r="BN15">
        <v>49</v>
      </c>
      <c r="BP15">
        <v>1.8</v>
      </c>
      <c r="BQ15">
        <v>0</v>
      </c>
      <c r="BR15">
        <v>6.4</v>
      </c>
      <c r="BS15">
        <v>5.5</v>
      </c>
      <c r="BU15">
        <v>88</v>
      </c>
      <c r="BV15">
        <v>32</v>
      </c>
      <c r="BW15">
        <v>56</v>
      </c>
      <c r="BX15">
        <v>52</v>
      </c>
      <c r="BY15" s="1">
        <v>150</v>
      </c>
      <c r="BZ15">
        <v>105</v>
      </c>
      <c r="CA15">
        <v>81</v>
      </c>
      <c r="CB15">
        <v>122</v>
      </c>
      <c r="CC15">
        <v>109</v>
      </c>
      <c r="CE15">
        <v>62</v>
      </c>
      <c r="CF15">
        <v>18</v>
      </c>
      <c r="CG15">
        <v>41</v>
      </c>
      <c r="CH15">
        <v>53</v>
      </c>
      <c r="CJ15">
        <v>76</v>
      </c>
      <c r="CK15">
        <v>84</v>
      </c>
      <c r="CL15">
        <v>105</v>
      </c>
      <c r="CM15">
        <v>144</v>
      </c>
      <c r="CO15">
        <f>1+25</f>
        <v>26</v>
      </c>
      <c r="CP15">
        <v>2.4</v>
      </c>
      <c r="CQ15">
        <v>1.5</v>
      </c>
      <c r="CR15">
        <v>3.4</v>
      </c>
      <c r="CT15">
        <v>6.4</v>
      </c>
      <c r="CU15">
        <v>1.8</v>
      </c>
      <c r="CV15">
        <v>2.2000000000000002</v>
      </c>
      <c r="CW15" s="11">
        <v>0.3</v>
      </c>
      <c r="CY15">
        <v>0</v>
      </c>
      <c r="CZ15">
        <v>0</v>
      </c>
      <c r="DA15">
        <v>0</v>
      </c>
      <c r="DB15">
        <v>0</v>
      </c>
      <c r="DD15">
        <v>2.8</v>
      </c>
      <c r="DE15">
        <v>1.5</v>
      </c>
    </row>
    <row r="16" spans="1:111" x14ac:dyDescent="0.3">
      <c r="A16" t="s">
        <v>85</v>
      </c>
      <c r="C16">
        <v>5</v>
      </c>
      <c r="D16">
        <v>0</v>
      </c>
      <c r="E16">
        <v>3.7</v>
      </c>
      <c r="F16">
        <v>1.1000000000000001</v>
      </c>
      <c r="H16">
        <v>18</v>
      </c>
      <c r="I16">
        <v>18</v>
      </c>
      <c r="J16">
        <v>12</v>
      </c>
      <c r="K16">
        <v>14</v>
      </c>
      <c r="M16">
        <v>14</v>
      </c>
      <c r="N16">
        <v>9.5</v>
      </c>
      <c r="O16">
        <v>7.6</v>
      </c>
      <c r="P16">
        <v>22</v>
      </c>
      <c r="R16">
        <v>13</v>
      </c>
      <c r="S16">
        <v>13</v>
      </c>
      <c r="T16">
        <v>8</v>
      </c>
      <c r="U16">
        <v>14</v>
      </c>
      <c r="AB16">
        <v>0</v>
      </c>
      <c r="AC16">
        <v>0</v>
      </c>
      <c r="AD16">
        <v>0</v>
      </c>
      <c r="AE16">
        <v>0</v>
      </c>
      <c r="AG16">
        <v>10.3</v>
      </c>
      <c r="AH16">
        <v>8.9</v>
      </c>
      <c r="AI16">
        <v>10.9</v>
      </c>
      <c r="AJ16">
        <v>15.8</v>
      </c>
      <c r="AL16">
        <v>0</v>
      </c>
      <c r="AM16">
        <v>4.2</v>
      </c>
      <c r="AN16">
        <v>8</v>
      </c>
      <c r="AO16">
        <v>19</v>
      </c>
      <c r="AU16" s="11">
        <v>16</v>
      </c>
      <c r="AV16" s="11">
        <v>28</v>
      </c>
      <c r="AW16" s="11">
        <v>49</v>
      </c>
      <c r="AX16" s="11">
        <v>26</v>
      </c>
      <c r="AY16" s="11">
        <v>32</v>
      </c>
      <c r="BA16" s="21">
        <v>20</v>
      </c>
      <c r="BB16" s="6">
        <v>19</v>
      </c>
      <c r="BC16" s="6">
        <v>11</v>
      </c>
      <c r="BD16" s="6">
        <v>16</v>
      </c>
      <c r="BF16" s="6">
        <v>4</v>
      </c>
      <c r="BG16">
        <v>1.9</v>
      </c>
      <c r="BH16">
        <v>2</v>
      </c>
      <c r="BI16">
        <v>1.6</v>
      </c>
      <c r="BK16">
        <v>25</v>
      </c>
      <c r="BL16">
        <v>29</v>
      </c>
      <c r="BM16">
        <v>20</v>
      </c>
      <c r="BN16">
        <v>23</v>
      </c>
      <c r="BP16">
        <v>4.5999999999999996</v>
      </c>
      <c r="BQ16">
        <v>3.4</v>
      </c>
      <c r="BR16">
        <v>4.8</v>
      </c>
      <c r="BS16">
        <v>6.3</v>
      </c>
      <c r="BU16">
        <v>22</v>
      </c>
      <c r="BV16">
        <v>22</v>
      </c>
      <c r="BW16">
        <v>15</v>
      </c>
      <c r="BX16">
        <v>21.6</v>
      </c>
      <c r="BY16" s="11">
        <v>29</v>
      </c>
      <c r="BZ16">
        <v>30</v>
      </c>
      <c r="CA16">
        <v>29</v>
      </c>
      <c r="CB16">
        <v>19</v>
      </c>
      <c r="CC16">
        <v>26</v>
      </c>
      <c r="CE16">
        <v>10</v>
      </c>
      <c r="CF16">
        <v>9.4</v>
      </c>
      <c r="CG16">
        <v>7.8</v>
      </c>
      <c r="CH16">
        <v>9</v>
      </c>
      <c r="CJ16">
        <v>16</v>
      </c>
      <c r="CK16">
        <v>28</v>
      </c>
      <c r="CL16">
        <v>36</v>
      </c>
      <c r="CM16">
        <v>40</v>
      </c>
      <c r="CO16">
        <f>4.9+3.8</f>
        <v>8.6999999999999993</v>
      </c>
      <c r="CP16">
        <v>3.6</v>
      </c>
      <c r="CQ16">
        <v>9</v>
      </c>
      <c r="CR16">
        <v>13</v>
      </c>
      <c r="CT16">
        <v>1.1000000000000001</v>
      </c>
      <c r="CU16">
        <v>1.8</v>
      </c>
      <c r="CV16">
        <v>1</v>
      </c>
      <c r="CW16">
        <v>1.6</v>
      </c>
      <c r="CY16">
        <v>0</v>
      </c>
      <c r="CZ16">
        <v>0</v>
      </c>
      <c r="DA16">
        <v>0</v>
      </c>
      <c r="DB16">
        <v>0</v>
      </c>
      <c r="DD16">
        <v>3</v>
      </c>
      <c r="DE16">
        <v>7.8</v>
      </c>
    </row>
    <row r="17" spans="1:111" x14ac:dyDescent="0.3">
      <c r="A17" t="s">
        <v>59</v>
      </c>
      <c r="B17">
        <v>0.5</v>
      </c>
      <c r="C17">
        <v>0.5</v>
      </c>
      <c r="D17">
        <v>0.5</v>
      </c>
      <c r="E17">
        <v>0.5</v>
      </c>
      <c r="F17">
        <v>0.5</v>
      </c>
      <c r="G17">
        <v>4.3</v>
      </c>
      <c r="L17">
        <v>1.5</v>
      </c>
      <c r="M17">
        <v>1.5</v>
      </c>
      <c r="N17">
        <v>1.5</v>
      </c>
      <c r="O17">
        <v>1.5</v>
      </c>
      <c r="P17">
        <v>1.5</v>
      </c>
      <c r="Q17">
        <v>3.6</v>
      </c>
      <c r="R17">
        <v>3.6</v>
      </c>
      <c r="S17">
        <v>3.6</v>
      </c>
      <c r="T17">
        <v>3.6</v>
      </c>
      <c r="U17">
        <v>3.6</v>
      </c>
      <c r="V17">
        <v>2</v>
      </c>
      <c r="AA17">
        <v>14.2</v>
      </c>
      <c r="AB17">
        <v>14.2</v>
      </c>
      <c r="AC17">
        <v>14.2</v>
      </c>
      <c r="AD17">
        <v>14.2</v>
      </c>
      <c r="AE17">
        <v>14.2</v>
      </c>
      <c r="AF17">
        <v>0.1</v>
      </c>
      <c r="AK17">
        <v>6.1</v>
      </c>
      <c r="AP17">
        <v>0.1</v>
      </c>
      <c r="AU17">
        <v>21.9</v>
      </c>
      <c r="AZ17">
        <v>3.4</v>
      </c>
      <c r="BE17">
        <v>1.2</v>
      </c>
      <c r="BJ17">
        <v>4.5999999999999996</v>
      </c>
      <c r="BO17">
        <v>0.2</v>
      </c>
      <c r="BT17">
        <v>3.5</v>
      </c>
      <c r="BY17">
        <v>7.7</v>
      </c>
      <c r="CD17">
        <v>3.1</v>
      </c>
      <c r="CE17">
        <v>3.1</v>
      </c>
      <c r="CF17">
        <v>3.1</v>
      </c>
      <c r="CG17">
        <v>3.1</v>
      </c>
      <c r="CH17">
        <v>3.1</v>
      </c>
      <c r="CI17">
        <v>9.9</v>
      </c>
      <c r="CJ17">
        <v>9.9</v>
      </c>
      <c r="CK17">
        <v>9.9</v>
      </c>
      <c r="CL17">
        <v>9.9</v>
      </c>
      <c r="CM17">
        <v>9.9</v>
      </c>
      <c r="CN17">
        <v>6.2</v>
      </c>
      <c r="CO17">
        <v>6.2</v>
      </c>
      <c r="CP17">
        <v>6.2</v>
      </c>
      <c r="CQ17">
        <v>6.2</v>
      </c>
      <c r="CR17">
        <v>6.2</v>
      </c>
      <c r="CS17">
        <v>0.4</v>
      </c>
      <c r="CT17">
        <v>0.4</v>
      </c>
      <c r="CU17">
        <v>0.4</v>
      </c>
      <c r="CV17">
        <v>0.4</v>
      </c>
      <c r="CW17">
        <v>0.4</v>
      </c>
      <c r="CX17">
        <v>0.1</v>
      </c>
      <c r="CY17">
        <v>0.1</v>
      </c>
      <c r="CZ17">
        <v>0.1</v>
      </c>
      <c r="DA17">
        <v>0.1</v>
      </c>
      <c r="DB17">
        <v>0.1</v>
      </c>
      <c r="DC17">
        <v>0.1</v>
      </c>
      <c r="DD17">
        <v>0.1</v>
      </c>
      <c r="DE17">
        <v>0.1</v>
      </c>
      <c r="DF17">
        <v>0.1</v>
      </c>
      <c r="DG17">
        <v>0.1</v>
      </c>
    </row>
    <row r="18" spans="1:111" x14ac:dyDescent="0.3">
      <c r="A18" t="s">
        <v>76</v>
      </c>
      <c r="B18">
        <v>1</v>
      </c>
      <c r="C18">
        <v>1</v>
      </c>
      <c r="D18">
        <v>1</v>
      </c>
      <c r="E18">
        <v>1</v>
      </c>
      <c r="F18">
        <v>1</v>
      </c>
      <c r="G18">
        <v>9.5</v>
      </c>
      <c r="L18">
        <v>3.3</v>
      </c>
      <c r="M18">
        <v>3.3</v>
      </c>
      <c r="N18">
        <v>3.3</v>
      </c>
      <c r="O18">
        <v>3.3</v>
      </c>
      <c r="P18">
        <v>3.3</v>
      </c>
      <c r="Q18">
        <v>7.9</v>
      </c>
      <c r="R18">
        <v>7.9</v>
      </c>
      <c r="S18">
        <v>7.9</v>
      </c>
      <c r="T18">
        <v>7.9</v>
      </c>
      <c r="U18">
        <v>7.9</v>
      </c>
      <c r="V18">
        <v>4.4000000000000004</v>
      </c>
      <c r="AA18">
        <v>31.2</v>
      </c>
      <c r="AB18">
        <v>31.2</v>
      </c>
      <c r="AC18">
        <v>31.2</v>
      </c>
      <c r="AD18">
        <v>31.2</v>
      </c>
      <c r="AE18">
        <v>31.2</v>
      </c>
      <c r="AF18">
        <v>3.3</v>
      </c>
      <c r="AK18">
        <v>13.4</v>
      </c>
      <c r="AP18">
        <v>0.2</v>
      </c>
      <c r="AU18">
        <v>48.1</v>
      </c>
      <c r="AZ18">
        <v>7.5</v>
      </c>
      <c r="BE18">
        <v>2.6</v>
      </c>
      <c r="BJ18">
        <v>10.1</v>
      </c>
      <c r="BO18">
        <v>0.4</v>
      </c>
      <c r="BT18">
        <v>7.7</v>
      </c>
      <c r="BY18">
        <v>16.899999999999999</v>
      </c>
      <c r="CD18">
        <v>6.8</v>
      </c>
      <c r="CE18">
        <v>6.8</v>
      </c>
      <c r="CF18">
        <v>6.8</v>
      </c>
      <c r="CG18">
        <v>6.8</v>
      </c>
      <c r="CH18">
        <v>6.8</v>
      </c>
      <c r="CI18">
        <v>21.8</v>
      </c>
      <c r="CJ18">
        <v>21.8</v>
      </c>
      <c r="CK18">
        <v>21.8</v>
      </c>
      <c r="CL18">
        <v>21.8</v>
      </c>
      <c r="CM18">
        <v>21.8</v>
      </c>
      <c r="CN18">
        <v>13.6</v>
      </c>
      <c r="CO18">
        <v>13.6</v>
      </c>
      <c r="CP18">
        <v>13.6</v>
      </c>
      <c r="CQ18">
        <v>13.6</v>
      </c>
      <c r="CR18">
        <v>13.6</v>
      </c>
      <c r="CS18">
        <f>(220*CS17)/100</f>
        <v>0.88</v>
      </c>
      <c r="CT18">
        <f>(220*CT17)/100</f>
        <v>0.88</v>
      </c>
      <c r="CU18">
        <f t="shared" ref="CU18:CW18" si="46">(220*CU17)/100</f>
        <v>0.88</v>
      </c>
      <c r="CV18">
        <f t="shared" si="46"/>
        <v>0.88</v>
      </c>
      <c r="CW18">
        <f t="shared" si="46"/>
        <v>0.88</v>
      </c>
      <c r="CX18">
        <f>(220*CX17)/100</f>
        <v>0.22</v>
      </c>
      <c r="CY18">
        <f>(220*CY17)/100</f>
        <v>0.22</v>
      </c>
      <c r="CZ18">
        <f t="shared" ref="CZ18:DB18" si="47">(220*CZ17)/100</f>
        <v>0.22</v>
      </c>
      <c r="DA18">
        <f t="shared" si="47"/>
        <v>0.22</v>
      </c>
      <c r="DB18">
        <f t="shared" si="47"/>
        <v>0.22</v>
      </c>
      <c r="DC18">
        <f>(220*DC17)/100</f>
        <v>0.22</v>
      </c>
      <c r="DD18">
        <f>(220*DD17)/100</f>
        <v>0.22</v>
      </c>
      <c r="DE18">
        <f t="shared" ref="DE18" si="48">(220*DE17)/100</f>
        <v>0.22</v>
      </c>
      <c r="DF18">
        <f t="shared" ref="DF18" si="49">(220*DF17)/100</f>
        <v>0.22</v>
      </c>
      <c r="DG18">
        <f t="shared" ref="DG18" si="50">(220*DG17)/100</f>
        <v>0.22</v>
      </c>
    </row>
    <row r="19" spans="1:111" x14ac:dyDescent="0.3">
      <c r="A19" t="s">
        <v>88</v>
      </c>
      <c r="B19">
        <v>24</v>
      </c>
      <c r="C19">
        <v>53</v>
      </c>
      <c r="D19">
        <v>53</v>
      </c>
      <c r="G19">
        <v>66</v>
      </c>
      <c r="H19">
        <v>58</v>
      </c>
      <c r="I19">
        <v>84</v>
      </c>
      <c r="J19">
        <v>68</v>
      </c>
      <c r="K19">
        <v>48</v>
      </c>
      <c r="L19">
        <v>56</v>
      </c>
      <c r="M19">
        <v>58</v>
      </c>
      <c r="N19">
        <v>47</v>
      </c>
      <c r="O19">
        <v>53</v>
      </c>
      <c r="P19">
        <v>64</v>
      </c>
      <c r="Q19">
        <v>44</v>
      </c>
      <c r="S19">
        <v>43</v>
      </c>
      <c r="T19">
        <v>44</v>
      </c>
      <c r="U19">
        <v>49</v>
      </c>
      <c r="V19">
        <v>64</v>
      </c>
      <c r="W19">
        <v>53</v>
      </c>
      <c r="Y19">
        <v>27</v>
      </c>
      <c r="Z19">
        <v>43</v>
      </c>
      <c r="AA19">
        <v>50</v>
      </c>
      <c r="AB19">
        <v>65</v>
      </c>
      <c r="AC19">
        <v>57</v>
      </c>
      <c r="AD19">
        <v>51</v>
      </c>
      <c r="AE19">
        <v>56</v>
      </c>
      <c r="AF19">
        <v>30</v>
      </c>
      <c r="AG19">
        <v>42</v>
      </c>
      <c r="AI19">
        <v>31</v>
      </c>
      <c r="AK19">
        <v>47</v>
      </c>
      <c r="AO19">
        <v>36</v>
      </c>
      <c r="AP19">
        <v>51</v>
      </c>
      <c r="AQ19">
        <v>41</v>
      </c>
      <c r="AR19">
        <v>47</v>
      </c>
      <c r="AU19">
        <v>66</v>
      </c>
      <c r="AV19">
        <v>62</v>
      </c>
      <c r="AW19">
        <v>71</v>
      </c>
      <c r="AX19">
        <v>71</v>
      </c>
      <c r="AY19">
        <v>90</v>
      </c>
      <c r="AZ19">
        <v>56</v>
      </c>
      <c r="BA19">
        <v>70</v>
      </c>
      <c r="BB19">
        <v>54</v>
      </c>
      <c r="BC19">
        <v>64</v>
      </c>
      <c r="BD19">
        <v>46</v>
      </c>
      <c r="BE19">
        <v>54</v>
      </c>
      <c r="BF19">
        <v>55</v>
      </c>
      <c r="BG19">
        <v>58</v>
      </c>
      <c r="BH19">
        <v>41</v>
      </c>
      <c r="BI19">
        <v>53</v>
      </c>
      <c r="BJ19">
        <v>68</v>
      </c>
      <c r="BL19">
        <v>43</v>
      </c>
      <c r="BM19">
        <v>59</v>
      </c>
      <c r="BN19">
        <v>65</v>
      </c>
      <c r="BO19">
        <v>38</v>
      </c>
      <c r="BP19">
        <v>46</v>
      </c>
      <c r="BR19">
        <v>37</v>
      </c>
      <c r="BS19">
        <v>52</v>
      </c>
      <c r="BT19">
        <v>55</v>
      </c>
      <c r="BU19">
        <v>73</v>
      </c>
      <c r="BV19">
        <v>48</v>
      </c>
      <c r="BW19">
        <v>70</v>
      </c>
      <c r="BX19">
        <v>57</v>
      </c>
      <c r="BY19">
        <v>70</v>
      </c>
      <c r="BZ19">
        <v>81</v>
      </c>
      <c r="CA19">
        <v>66</v>
      </c>
      <c r="CB19">
        <v>58</v>
      </c>
      <c r="CC19">
        <v>74</v>
      </c>
      <c r="CD19">
        <v>43</v>
      </c>
      <c r="CE19">
        <v>47</v>
      </c>
      <c r="CF19">
        <v>50</v>
      </c>
      <c r="CG19">
        <v>54</v>
      </c>
      <c r="CH19">
        <v>74</v>
      </c>
      <c r="CI19">
        <v>53</v>
      </c>
      <c r="CJ19">
        <v>54</v>
      </c>
      <c r="CK19">
        <v>48</v>
      </c>
      <c r="CL19">
        <v>66</v>
      </c>
      <c r="CM19">
        <v>63</v>
      </c>
      <c r="CN19">
        <v>45</v>
      </c>
      <c r="CQ19">
        <v>41</v>
      </c>
      <c r="CR19">
        <v>49</v>
      </c>
      <c r="CT19">
        <v>36</v>
      </c>
      <c r="CU19">
        <v>53</v>
      </c>
      <c r="CV19">
        <v>50</v>
      </c>
      <c r="DD19">
        <v>22</v>
      </c>
      <c r="DE19">
        <v>46</v>
      </c>
    </row>
    <row r="20" spans="1:111" x14ac:dyDescent="0.3">
      <c r="A20" t="s">
        <v>89</v>
      </c>
      <c r="B20" s="6">
        <v>0</v>
      </c>
      <c r="C20" s="6">
        <v>0.24369580448359887</v>
      </c>
      <c r="D20" s="6">
        <v>0.31698925390914107</v>
      </c>
      <c r="E20" s="6"/>
      <c r="F20" s="6"/>
      <c r="G20" s="6">
        <v>0.94936786212601332</v>
      </c>
      <c r="H20" s="6">
        <v>0.36084880671453018</v>
      </c>
      <c r="I20" s="6">
        <v>1</v>
      </c>
      <c r="J20" s="6">
        <v>0.63915119328546977</v>
      </c>
      <c r="K20" s="6">
        <v>0.15751996908273488</v>
      </c>
      <c r="L20" s="6">
        <v>0.84248003091726509</v>
      </c>
      <c r="M20" s="6">
        <v>0.41148094458851686</v>
      </c>
      <c r="N20" s="6">
        <v>0.13317855801757725</v>
      </c>
      <c r="O20" s="6">
        <v>0.27830238657093959</v>
      </c>
      <c r="P20" s="6">
        <v>0.47136605318055197</v>
      </c>
      <c r="Q20" s="6">
        <v>0.52863394681944809</v>
      </c>
      <c r="R20" s="6"/>
      <c r="S20" s="6">
        <v>5.0632137873986717E-2</v>
      </c>
      <c r="T20" s="6">
        <v>0.13317855801757725</v>
      </c>
      <c r="U20" s="6">
        <v>0.21239034303474383</v>
      </c>
      <c r="V20" s="6">
        <v>0.91068099478781195</v>
      </c>
      <c r="W20" s="6">
        <v>0.21239034303474383</v>
      </c>
      <c r="X20" s="6"/>
      <c r="Y20" s="6">
        <v>1.6025555786645992E-2</v>
      </c>
      <c r="Z20" s="6">
        <v>0.11051724646602176</v>
      </c>
      <c r="AA20" s="6">
        <v>0.68301074609085888</v>
      </c>
      <c r="AB20" s="6">
        <v>0.54465950260609397</v>
      </c>
      <c r="AC20" s="6">
        <v>0.47136605318055197</v>
      </c>
      <c r="AD20" s="6">
        <v>0.18381069589156382</v>
      </c>
      <c r="AE20" s="6">
        <v>0.31698925390914107</v>
      </c>
      <c r="AF20" s="6">
        <v>0.22767024869695299</v>
      </c>
      <c r="AG20" s="6">
        <v>0.11051724646602176</v>
      </c>
      <c r="AH20" s="6"/>
      <c r="AI20" s="6">
        <v>3.2873286567669809E-2</v>
      </c>
      <c r="AJ20" s="6"/>
      <c r="AK20" s="6">
        <v>0.63915119328546977</v>
      </c>
      <c r="AL20" s="6"/>
      <c r="AM20" s="6"/>
      <c r="AN20" s="6"/>
      <c r="AO20" s="6">
        <v>6.9406318392981087E-2</v>
      </c>
      <c r="AP20" s="6">
        <v>0.72169761342906036</v>
      </c>
      <c r="AQ20" s="6">
        <v>8.9319005212188038E-2</v>
      </c>
      <c r="AR20" s="6">
        <v>0.11051724646602176</v>
      </c>
      <c r="AS20" s="6"/>
      <c r="AT20" s="6"/>
      <c r="AU20" s="6">
        <v>0.93059368160701894</v>
      </c>
      <c r="AV20" s="6">
        <v>0.47136605318055197</v>
      </c>
      <c r="AW20" s="6">
        <v>0.77232975130304693</v>
      </c>
      <c r="AX20" s="6">
        <v>1</v>
      </c>
      <c r="AY20" s="6">
        <v>1</v>
      </c>
      <c r="AZ20" s="6">
        <v>0.86682144198242272</v>
      </c>
      <c r="BA20" s="6">
        <v>0.63915119328546977</v>
      </c>
      <c r="BB20" s="6">
        <v>0.36084880671453018</v>
      </c>
      <c r="BC20" s="6">
        <v>0.47136605318055197</v>
      </c>
      <c r="BD20" s="6">
        <v>0.13317855801757725</v>
      </c>
      <c r="BE20" s="6">
        <v>0.7876096569652562</v>
      </c>
      <c r="BF20" s="6">
        <v>0.31698925390914107</v>
      </c>
      <c r="BG20" s="6">
        <v>0.54465950260609397</v>
      </c>
      <c r="BH20" s="6">
        <v>8.9319005212188038E-2</v>
      </c>
      <c r="BI20" s="6">
        <v>0.27830238657093959</v>
      </c>
      <c r="BJ20" s="6">
        <v>0.96712671343233014</v>
      </c>
      <c r="BK20" s="6"/>
      <c r="BL20" s="6">
        <v>6.9406318392981087E-2</v>
      </c>
      <c r="BM20" s="6">
        <v>0.41148094458851686</v>
      </c>
      <c r="BN20" s="6">
        <v>0.54465950260609397</v>
      </c>
      <c r="BO20" s="6">
        <v>0.36084880671453018</v>
      </c>
      <c r="BP20" s="6">
        <v>0.15751996908273488</v>
      </c>
      <c r="BQ20" s="6"/>
      <c r="BR20" s="6">
        <v>5.0632137873986717E-2</v>
      </c>
      <c r="BS20" s="6">
        <v>0.24369580448359887</v>
      </c>
      <c r="BT20" s="6">
        <v>0.81618930410843615</v>
      </c>
      <c r="BU20" s="6">
        <v>0.77232975130304693</v>
      </c>
      <c r="BV20" s="6">
        <v>0.18381069589156382</v>
      </c>
      <c r="BW20" s="6">
        <v>0.77232975130304693</v>
      </c>
      <c r="BX20" s="6">
        <v>0.36084880671453018</v>
      </c>
      <c r="BY20" s="6">
        <v>0.983974444213354</v>
      </c>
      <c r="BZ20" s="6">
        <v>1</v>
      </c>
      <c r="CA20" s="6">
        <v>0.63915119328546977</v>
      </c>
      <c r="CB20" s="6">
        <v>0.36084880671453018</v>
      </c>
      <c r="CC20" s="6">
        <v>0.63915119328546977</v>
      </c>
      <c r="CD20" s="6">
        <v>0.45534049739390597</v>
      </c>
      <c r="CE20" s="6">
        <v>0.18381069589156382</v>
      </c>
      <c r="CF20" s="6">
        <v>0.24369580448359887</v>
      </c>
      <c r="CG20" s="6">
        <v>0.31698925390914107</v>
      </c>
      <c r="CH20" s="6">
        <v>0.77232975130304693</v>
      </c>
      <c r="CI20" s="6">
        <v>0.75630419551640116</v>
      </c>
      <c r="CJ20" s="6">
        <v>0.27830238657093959</v>
      </c>
      <c r="CK20" s="6">
        <v>0.15751996908273488</v>
      </c>
      <c r="CL20" s="6">
        <v>0.54465950260609397</v>
      </c>
      <c r="CM20" s="6">
        <v>0.41148094458851686</v>
      </c>
      <c r="CN20" s="6">
        <v>0.58851905541148319</v>
      </c>
      <c r="CO20" s="6"/>
      <c r="CP20" s="6"/>
      <c r="CQ20" s="6">
        <v>6.9406318392981087E-2</v>
      </c>
      <c r="CR20" s="6">
        <v>0.18381069589156382</v>
      </c>
      <c r="CT20" s="6">
        <v>5.0632137873986717E-2</v>
      </c>
      <c r="CU20" s="6">
        <v>0.27830238657093959</v>
      </c>
      <c r="CV20" s="6">
        <v>0.15751996908273488</v>
      </c>
      <c r="CW20" s="6"/>
      <c r="CX20" s="6"/>
      <c r="CY20" s="6"/>
      <c r="CZ20" s="6"/>
      <c r="DA20" s="6"/>
      <c r="DB20" s="6"/>
      <c r="DC20" s="6"/>
      <c r="DD20" s="6">
        <v>1.6025555786645992E-2</v>
      </c>
      <c r="DE20" s="6">
        <v>8.9319005212188038E-2</v>
      </c>
    </row>
    <row r="21" spans="1:111" x14ac:dyDescent="0.3">
      <c r="A21" t="s">
        <v>77</v>
      </c>
      <c r="B21">
        <v>7.3</v>
      </c>
      <c r="G21">
        <v>31.2</v>
      </c>
      <c r="L21">
        <v>18.600000000000001</v>
      </c>
      <c r="Q21">
        <v>22.6</v>
      </c>
      <c r="V21">
        <v>24.1</v>
      </c>
      <c r="AA21">
        <v>42.9</v>
      </c>
      <c r="AF21">
        <v>12</v>
      </c>
      <c r="AK21">
        <v>25.6</v>
      </c>
      <c r="AP21">
        <v>14.9</v>
      </c>
      <c r="AU21">
        <v>69.599999999999994</v>
      </c>
      <c r="AZ21">
        <v>25.9</v>
      </c>
      <c r="BE21">
        <v>10.7</v>
      </c>
      <c r="BJ21">
        <v>38</v>
      </c>
      <c r="BO21">
        <v>5</v>
      </c>
      <c r="BT21">
        <v>23.3</v>
      </c>
      <c r="BY21">
        <v>45.9</v>
      </c>
      <c r="CD21">
        <v>8.4</v>
      </c>
      <c r="CI21">
        <v>47.8</v>
      </c>
      <c r="CN21">
        <v>21.5</v>
      </c>
    </row>
    <row r="22" spans="1:111" x14ac:dyDescent="0.3">
      <c r="A22" t="s">
        <v>62</v>
      </c>
      <c r="B22" s="1">
        <v>386</v>
      </c>
      <c r="G22" s="1">
        <v>1645</v>
      </c>
      <c r="L22" s="1">
        <v>977</v>
      </c>
      <c r="Q22" s="1">
        <v>1189</v>
      </c>
      <c r="V22" s="1">
        <v>1271</v>
      </c>
      <c r="AA22" s="1">
        <v>2384</v>
      </c>
      <c r="AB22" s="1"/>
      <c r="AC22" s="1"/>
      <c r="AD22" s="1"/>
      <c r="AE22" s="1"/>
      <c r="AF22" s="1">
        <v>704</v>
      </c>
      <c r="AG22" s="1"/>
      <c r="AH22" s="1"/>
      <c r="AI22" s="1"/>
      <c r="AJ22" s="1"/>
      <c r="AK22" s="1">
        <v>1436</v>
      </c>
      <c r="AL22" s="1"/>
      <c r="AM22" s="1"/>
      <c r="AN22" s="1"/>
      <c r="AO22" s="1"/>
      <c r="AP22" s="1">
        <v>782</v>
      </c>
      <c r="AQ22" s="1"/>
      <c r="AR22" s="1"/>
      <c r="AS22" s="1"/>
      <c r="AT22" s="1"/>
      <c r="AU22" s="1">
        <v>3661</v>
      </c>
      <c r="AV22" s="1"/>
      <c r="AW22" s="1"/>
      <c r="AX22" s="1"/>
      <c r="AY22" s="1"/>
      <c r="AZ22" s="1">
        <v>1363</v>
      </c>
      <c r="BA22" s="1"/>
      <c r="BB22" s="1"/>
      <c r="BC22" s="1"/>
      <c r="BE22" s="1">
        <v>564</v>
      </c>
      <c r="BF22" s="1"/>
      <c r="BG22" s="1"/>
      <c r="BI22" s="1"/>
      <c r="BJ22" s="1">
        <v>2001</v>
      </c>
      <c r="BK22" s="1"/>
      <c r="BM22" s="1"/>
      <c r="BN22" s="1"/>
      <c r="BO22" s="1">
        <v>266</v>
      </c>
      <c r="BT22" s="1">
        <v>1226</v>
      </c>
      <c r="BU22" s="1"/>
      <c r="BV22" s="1"/>
      <c r="BW22" s="1"/>
      <c r="BX22" s="1"/>
      <c r="BY22" s="1">
        <v>2416</v>
      </c>
      <c r="BZ22" s="1"/>
      <c r="CA22" s="1"/>
      <c r="CB22" s="1"/>
      <c r="CD22" s="1">
        <v>558</v>
      </c>
      <c r="CE22" s="1"/>
      <c r="CF22" s="1"/>
      <c r="CH22" s="1"/>
      <c r="CI22" s="1">
        <v>2515</v>
      </c>
      <c r="CJ22" s="1"/>
      <c r="CN22" s="1">
        <v>1435</v>
      </c>
    </row>
    <row r="23" spans="1:111" x14ac:dyDescent="0.3">
      <c r="A23" t="s">
        <v>63</v>
      </c>
      <c r="B23" s="1">
        <v>4910</v>
      </c>
      <c r="G23" s="1">
        <v>27989</v>
      </c>
      <c r="L23" s="1">
        <v>22283</v>
      </c>
      <c r="Q23" s="1">
        <v>36461</v>
      </c>
      <c r="V23" s="1">
        <v>26691</v>
      </c>
      <c r="AA23" s="1">
        <v>38433</v>
      </c>
      <c r="AB23" s="1"/>
      <c r="AC23" s="1"/>
      <c r="AD23" s="1"/>
      <c r="AE23" s="1"/>
      <c r="AF23" s="1">
        <v>21466</v>
      </c>
      <c r="AG23" s="1"/>
      <c r="AH23" s="1"/>
      <c r="AI23" s="1"/>
      <c r="AJ23" s="1"/>
      <c r="AK23" s="1">
        <v>29307</v>
      </c>
      <c r="AL23" s="1"/>
      <c r="AM23" s="1"/>
      <c r="AN23" s="1"/>
      <c r="AO23" s="1"/>
      <c r="AP23" s="1">
        <v>14701</v>
      </c>
      <c r="AQ23" s="1"/>
      <c r="AR23" s="1"/>
      <c r="AS23" s="1"/>
      <c r="AT23" s="1"/>
      <c r="AU23" s="1">
        <v>54499</v>
      </c>
      <c r="AV23" s="1"/>
      <c r="AW23" s="1"/>
      <c r="AX23" s="1"/>
      <c r="AY23" s="1"/>
      <c r="AZ23" s="1">
        <v>29783</v>
      </c>
      <c r="BA23" s="1"/>
      <c r="BB23" s="1"/>
      <c r="BC23" s="1"/>
      <c r="BE23" s="1">
        <v>32787</v>
      </c>
      <c r="BF23" s="1"/>
      <c r="BG23" s="1"/>
      <c r="BI23" s="1"/>
      <c r="BJ23" s="1">
        <v>31385</v>
      </c>
      <c r="BK23" s="1"/>
      <c r="BM23" s="1"/>
      <c r="BN23" s="1"/>
      <c r="BO23" s="1">
        <v>7698</v>
      </c>
      <c r="BT23" s="1">
        <v>27325</v>
      </c>
      <c r="BU23" s="1"/>
      <c r="BV23" s="1"/>
      <c r="BW23" s="1"/>
      <c r="BX23" s="1"/>
      <c r="BY23" s="1">
        <v>33167</v>
      </c>
      <c r="BZ23" s="1"/>
      <c r="CA23" s="1"/>
      <c r="CB23" s="1"/>
      <c r="CD23" s="1">
        <v>12147</v>
      </c>
      <c r="CE23" s="1"/>
      <c r="CF23" s="1"/>
      <c r="CH23" s="1"/>
      <c r="CI23" s="1">
        <v>43780</v>
      </c>
      <c r="CJ23" s="1"/>
      <c r="CN23" s="1">
        <v>26347</v>
      </c>
    </row>
    <row r="24" spans="1:111" x14ac:dyDescent="0.3">
      <c r="A24" t="s">
        <v>80</v>
      </c>
      <c r="B24">
        <v>0</v>
      </c>
      <c r="G24">
        <v>0</v>
      </c>
      <c r="L24">
        <v>0</v>
      </c>
      <c r="Q24">
        <v>0</v>
      </c>
      <c r="V24">
        <v>0</v>
      </c>
      <c r="AF24">
        <v>0</v>
      </c>
      <c r="AK24">
        <v>0</v>
      </c>
      <c r="AP24">
        <v>0</v>
      </c>
      <c r="AU24">
        <v>25.8</v>
      </c>
      <c r="AZ24">
        <v>0</v>
      </c>
      <c r="BE24">
        <v>0</v>
      </c>
      <c r="BJ24">
        <v>0</v>
      </c>
      <c r="BO24">
        <v>0</v>
      </c>
      <c r="BT24">
        <v>0</v>
      </c>
      <c r="BY24">
        <v>43.3</v>
      </c>
      <c r="CD24">
        <v>0</v>
      </c>
      <c r="CI24">
        <v>0</v>
      </c>
      <c r="CN24">
        <v>0</v>
      </c>
    </row>
    <row r="25" spans="1:111" x14ac:dyDescent="0.3">
      <c r="A25" t="s">
        <v>86</v>
      </c>
      <c r="B25">
        <v>0</v>
      </c>
      <c r="G25">
        <v>0</v>
      </c>
      <c r="L25">
        <v>0</v>
      </c>
      <c r="Q25">
        <v>0</v>
      </c>
      <c r="V25">
        <v>0</v>
      </c>
      <c r="AF25">
        <v>0</v>
      </c>
      <c r="AK25">
        <v>0</v>
      </c>
      <c r="AP25">
        <v>0</v>
      </c>
      <c r="AU25">
        <v>12.7</v>
      </c>
      <c r="AZ25">
        <v>0</v>
      </c>
      <c r="BE25">
        <v>0</v>
      </c>
      <c r="BJ25">
        <v>0</v>
      </c>
      <c r="BO25">
        <v>0</v>
      </c>
      <c r="BT25">
        <v>0</v>
      </c>
      <c r="BY25">
        <v>2.37</v>
      </c>
      <c r="CD25">
        <v>0</v>
      </c>
      <c r="CI25">
        <v>0</v>
      </c>
      <c r="CN25">
        <v>0</v>
      </c>
    </row>
    <row r="26" spans="1:111" x14ac:dyDescent="0.3">
      <c r="A26" t="s">
        <v>81</v>
      </c>
      <c r="B26">
        <v>0</v>
      </c>
      <c r="G26">
        <v>0</v>
      </c>
      <c r="L26">
        <v>0</v>
      </c>
      <c r="Q26">
        <v>0</v>
      </c>
      <c r="V26">
        <v>0</v>
      </c>
      <c r="AF26">
        <v>0</v>
      </c>
      <c r="AK26">
        <v>0</v>
      </c>
      <c r="AP26">
        <v>0</v>
      </c>
      <c r="AU26">
        <v>4.5999999999999996</v>
      </c>
      <c r="AZ26">
        <v>0</v>
      </c>
      <c r="BE26">
        <v>0</v>
      </c>
      <c r="BJ26">
        <v>0</v>
      </c>
      <c r="BO26">
        <v>0</v>
      </c>
      <c r="BT26">
        <v>0</v>
      </c>
      <c r="BY26">
        <v>2.67</v>
      </c>
      <c r="CD26">
        <v>0</v>
      </c>
      <c r="CI26">
        <v>0</v>
      </c>
      <c r="CN26">
        <v>0</v>
      </c>
    </row>
    <row r="27" spans="1:111" x14ac:dyDescent="0.3">
      <c r="A27" t="s">
        <v>82</v>
      </c>
      <c r="B27">
        <v>0</v>
      </c>
      <c r="G27">
        <v>0</v>
      </c>
      <c r="L27">
        <v>0</v>
      </c>
      <c r="Q27">
        <v>0</v>
      </c>
      <c r="V27">
        <v>0</v>
      </c>
      <c r="AF27">
        <v>0</v>
      </c>
      <c r="AK27">
        <v>0</v>
      </c>
      <c r="AP27">
        <v>0</v>
      </c>
      <c r="AU27">
        <v>0.21</v>
      </c>
      <c r="AZ27">
        <v>0</v>
      </c>
      <c r="BE27">
        <v>0</v>
      </c>
      <c r="BJ27">
        <v>0</v>
      </c>
      <c r="BO27">
        <v>0</v>
      </c>
      <c r="BT27">
        <v>0</v>
      </c>
      <c r="BY27">
        <v>0.17</v>
      </c>
      <c r="CD27">
        <v>0</v>
      </c>
      <c r="CI27">
        <v>0</v>
      </c>
      <c r="CN27">
        <v>0</v>
      </c>
    </row>
    <row r="28" spans="1:111" x14ac:dyDescent="0.3">
      <c r="A28" t="s">
        <v>136</v>
      </c>
      <c r="B28">
        <v>0</v>
      </c>
      <c r="G28">
        <v>0</v>
      </c>
      <c r="L28">
        <v>0</v>
      </c>
      <c r="Q28">
        <v>0</v>
      </c>
      <c r="V28">
        <v>0</v>
      </c>
      <c r="AF28">
        <v>0</v>
      </c>
      <c r="AK28">
        <v>0</v>
      </c>
      <c r="AP28">
        <v>0</v>
      </c>
      <c r="AU28">
        <v>7.02</v>
      </c>
      <c r="AZ28">
        <v>0</v>
      </c>
      <c r="BE28">
        <v>0</v>
      </c>
      <c r="BJ28">
        <v>0</v>
      </c>
      <c r="BO28">
        <v>0</v>
      </c>
      <c r="BT28">
        <v>0</v>
      </c>
      <c r="BY28">
        <v>6.77</v>
      </c>
      <c r="CD28">
        <v>0</v>
      </c>
      <c r="CI28">
        <v>0</v>
      </c>
      <c r="CN28">
        <v>0</v>
      </c>
    </row>
    <row r="29" spans="1:111" x14ac:dyDescent="0.3">
      <c r="A29" t="s">
        <v>138</v>
      </c>
      <c r="B29">
        <v>0</v>
      </c>
      <c r="G29">
        <v>0</v>
      </c>
      <c r="L29">
        <v>0</v>
      </c>
      <c r="Q29">
        <v>0</v>
      </c>
      <c r="V29">
        <v>0</v>
      </c>
      <c r="AF29">
        <v>0</v>
      </c>
      <c r="AK29">
        <v>0</v>
      </c>
      <c r="AP29">
        <v>0</v>
      </c>
      <c r="AU29">
        <v>18.86</v>
      </c>
      <c r="AZ29">
        <v>0</v>
      </c>
      <c r="BE29">
        <v>0</v>
      </c>
      <c r="BJ29">
        <v>0</v>
      </c>
      <c r="BO29">
        <v>0</v>
      </c>
      <c r="BT29">
        <v>0</v>
      </c>
      <c r="BY29">
        <v>10.45</v>
      </c>
      <c r="CD29">
        <v>0</v>
      </c>
      <c r="CI29">
        <v>0</v>
      </c>
      <c r="CN29">
        <v>0</v>
      </c>
    </row>
    <row r="30" spans="1:111" x14ac:dyDescent="0.3">
      <c r="A30" t="s">
        <v>139</v>
      </c>
      <c r="C30">
        <f>C3-C7</f>
        <v>102</v>
      </c>
      <c r="D30">
        <f t="shared" ref="D30:F30" si="51">D3-D7</f>
        <v>72</v>
      </c>
      <c r="E30">
        <f t="shared" si="51"/>
        <v>26</v>
      </c>
      <c r="F30">
        <f t="shared" si="51"/>
        <v>10.4</v>
      </c>
      <c r="H30">
        <f>H3-H7</f>
        <v>155</v>
      </c>
      <c r="I30">
        <f t="shared" ref="I30:K30" si="52">I3-I7</f>
        <v>279</v>
      </c>
      <c r="J30">
        <f t="shared" si="52"/>
        <v>64</v>
      </c>
      <c r="K30">
        <f t="shared" si="52"/>
        <v>121</v>
      </c>
      <c r="M30">
        <f>M3-M7</f>
        <v>48</v>
      </c>
      <c r="N30">
        <f t="shared" ref="N30:P30" si="53">N3-N7</f>
        <v>114</v>
      </c>
      <c r="O30">
        <f t="shared" si="53"/>
        <v>46</v>
      </c>
      <c r="P30">
        <f t="shared" si="53"/>
        <v>75</v>
      </c>
      <c r="AL30">
        <f>AL3-AL7</f>
        <v>29</v>
      </c>
      <c r="AM30">
        <f t="shared" ref="AM30:AO30" si="54">AM3-AM7</f>
        <v>44</v>
      </c>
      <c r="AN30">
        <f t="shared" si="54"/>
        <v>40</v>
      </c>
      <c r="AO30">
        <f t="shared" si="54"/>
        <v>102</v>
      </c>
      <c r="AU30" s="1">
        <f>AU3-AU7</f>
        <v>326</v>
      </c>
      <c r="AV30" s="1">
        <f t="shared" ref="AV30:AY30" si="55">AV3-AV7</f>
        <v>268</v>
      </c>
      <c r="AW30" s="1">
        <f t="shared" si="55"/>
        <v>258</v>
      </c>
      <c r="AX30" s="1">
        <f t="shared" si="55"/>
        <v>234</v>
      </c>
      <c r="AY30" s="1">
        <f t="shared" si="55"/>
        <v>245</v>
      </c>
      <c r="BA30">
        <f>BA3-BA7</f>
        <v>151</v>
      </c>
      <c r="BB30">
        <f t="shared" ref="BB30:BD30" si="56">BB3-BB7</f>
        <v>177</v>
      </c>
      <c r="BC30">
        <f t="shared" si="56"/>
        <v>88</v>
      </c>
      <c r="BD30">
        <f t="shared" si="56"/>
        <v>108</v>
      </c>
      <c r="BF30">
        <f>BF3-BF7</f>
        <v>82</v>
      </c>
      <c r="BG30">
        <f t="shared" ref="BG30:BI30" si="57">BG3-BG7</f>
        <v>74</v>
      </c>
      <c r="BH30">
        <f t="shared" si="57"/>
        <v>31</v>
      </c>
      <c r="BI30">
        <f t="shared" si="57"/>
        <v>34</v>
      </c>
      <c r="BK30">
        <f>BK3-BK7</f>
        <v>70</v>
      </c>
      <c r="BL30">
        <f t="shared" ref="BL30:BN30" si="58">BL3-BL7</f>
        <v>191</v>
      </c>
      <c r="BM30">
        <f t="shared" si="58"/>
        <v>146</v>
      </c>
      <c r="BN30">
        <f t="shared" si="58"/>
        <v>165</v>
      </c>
      <c r="BP30">
        <f>BP3-BP7</f>
        <v>67</v>
      </c>
      <c r="BQ30">
        <f t="shared" ref="BQ30:BS30" si="59">BQ3-BQ7</f>
        <v>29</v>
      </c>
      <c r="BR30">
        <f t="shared" si="59"/>
        <v>30</v>
      </c>
      <c r="BS30">
        <f t="shared" si="59"/>
        <v>67</v>
      </c>
      <c r="BU30">
        <f>BU3-BU7</f>
        <v>141</v>
      </c>
      <c r="BV30">
        <f t="shared" ref="BV30:BX30" si="60">BV3-BV7</f>
        <v>114</v>
      </c>
      <c r="BW30">
        <f t="shared" si="60"/>
        <v>68</v>
      </c>
      <c r="BX30">
        <f t="shared" si="60"/>
        <v>83</v>
      </c>
      <c r="BY30" s="1">
        <f>BY3-BY7</f>
        <v>183</v>
      </c>
      <c r="BZ30" s="1">
        <f t="shared" ref="BZ30:CC30" si="61">BZ3-BZ7</f>
        <v>168</v>
      </c>
      <c r="CA30" s="1">
        <f t="shared" si="61"/>
        <v>258</v>
      </c>
      <c r="CB30" s="1">
        <f t="shared" si="61"/>
        <v>153</v>
      </c>
      <c r="CC30" s="1">
        <f t="shared" si="61"/>
        <v>197</v>
      </c>
      <c r="CE30">
        <f>CE3-CE7</f>
        <v>105</v>
      </c>
      <c r="CF30">
        <f t="shared" ref="CF30:CH30" si="62">CF3-CF7</f>
        <v>139</v>
      </c>
      <c r="CG30">
        <f t="shared" si="62"/>
        <v>73</v>
      </c>
      <c r="CH30">
        <f t="shared" si="62"/>
        <v>110</v>
      </c>
      <c r="CJ30">
        <f>CJ3-CJ7</f>
        <v>176</v>
      </c>
      <c r="CK30">
        <f t="shared" ref="CK30:CM30" si="63">CK3-CK7</f>
        <v>194</v>
      </c>
      <c r="CL30">
        <f t="shared" si="63"/>
        <v>127.5</v>
      </c>
      <c r="CM30">
        <f t="shared" si="63"/>
        <v>110</v>
      </c>
      <c r="CO30">
        <f>CO3-CO7</f>
        <v>30</v>
      </c>
      <c r="CP30">
        <f t="shared" ref="CP30:CR30" si="64">CP3-CP7</f>
        <v>62</v>
      </c>
      <c r="CQ30">
        <f t="shared" si="64"/>
        <v>86</v>
      </c>
      <c r="CR30">
        <f t="shared" si="64"/>
        <v>97</v>
      </c>
      <c r="CT30">
        <f>CT3-CT7</f>
        <v>70</v>
      </c>
      <c r="CU30">
        <f t="shared" ref="CU30:CW30" si="65">CU3-CU7</f>
        <v>100</v>
      </c>
      <c r="CV30">
        <f t="shared" si="65"/>
        <v>39</v>
      </c>
      <c r="CW30">
        <f t="shared" si="65"/>
        <v>10</v>
      </c>
      <c r="CY30">
        <f>CY3-CY7</f>
        <v>11</v>
      </c>
      <c r="CZ30">
        <f t="shared" ref="CZ30:DB30" si="66">CZ3-CZ7</f>
        <v>7.7</v>
      </c>
      <c r="DA30">
        <f t="shared" si="66"/>
        <v>2.4</v>
      </c>
      <c r="DB30">
        <f t="shared" si="66"/>
        <v>10.8</v>
      </c>
    </row>
    <row r="31" spans="1:111" x14ac:dyDescent="0.3">
      <c r="A31" t="s">
        <v>39</v>
      </c>
      <c r="B31">
        <v>0</v>
      </c>
      <c r="C31">
        <v>97</v>
      </c>
      <c r="D31">
        <v>87.9</v>
      </c>
      <c r="E31">
        <v>66.5</v>
      </c>
      <c r="F31">
        <v>63.7</v>
      </c>
      <c r="G31">
        <v>0</v>
      </c>
      <c r="H31">
        <v>1162</v>
      </c>
      <c r="I31">
        <v>887</v>
      </c>
      <c r="J31">
        <v>784</v>
      </c>
      <c r="K31">
        <v>570</v>
      </c>
      <c r="L31">
        <v>0</v>
      </c>
      <c r="M31">
        <v>330</v>
      </c>
      <c r="N31">
        <v>322</v>
      </c>
      <c r="O31">
        <v>320</v>
      </c>
      <c r="P31">
        <v>301</v>
      </c>
      <c r="Q31">
        <v>0</v>
      </c>
      <c r="R31">
        <v>229</v>
      </c>
      <c r="S31">
        <v>175</v>
      </c>
      <c r="T31">
        <v>197</v>
      </c>
      <c r="U31">
        <v>177</v>
      </c>
      <c r="AA31">
        <v>0</v>
      </c>
      <c r="AB31">
        <v>627</v>
      </c>
      <c r="AC31">
        <v>557</v>
      </c>
      <c r="AD31">
        <v>492</v>
      </c>
      <c r="AE31">
        <v>325</v>
      </c>
      <c r="AF31">
        <v>0</v>
      </c>
      <c r="AG31">
        <v>197</v>
      </c>
      <c r="AH31">
        <v>237</v>
      </c>
      <c r="AI31">
        <v>263</v>
      </c>
      <c r="AJ31">
        <v>213</v>
      </c>
      <c r="AK31">
        <v>0</v>
      </c>
      <c r="AL31">
        <v>671.3</v>
      </c>
      <c r="AM31">
        <v>872</v>
      </c>
      <c r="AN31">
        <v>649</v>
      </c>
      <c r="AO31">
        <v>463</v>
      </c>
      <c r="AU31">
        <v>255</v>
      </c>
      <c r="AV31">
        <v>349</v>
      </c>
      <c r="AW31">
        <v>408</v>
      </c>
      <c r="AX31">
        <v>438</v>
      </c>
      <c r="AY31">
        <v>427</v>
      </c>
      <c r="AZ31">
        <v>0</v>
      </c>
      <c r="BA31">
        <v>583</v>
      </c>
      <c r="BB31">
        <v>552</v>
      </c>
      <c r="BC31">
        <v>597</v>
      </c>
      <c r="BD31">
        <v>534</v>
      </c>
      <c r="BE31">
        <v>0</v>
      </c>
      <c r="BF31">
        <v>10.100000000000001</v>
      </c>
      <c r="BG31">
        <v>12.3</v>
      </c>
      <c r="BH31">
        <v>17.399999999999999</v>
      </c>
      <c r="BI31">
        <v>15.4</v>
      </c>
      <c r="BJ31">
        <v>0</v>
      </c>
      <c r="BK31">
        <v>456</v>
      </c>
      <c r="BL31">
        <v>347</v>
      </c>
      <c r="BM31">
        <v>332</v>
      </c>
      <c r="BN31">
        <v>349</v>
      </c>
      <c r="BO31">
        <v>0</v>
      </c>
      <c r="BP31">
        <v>65.2</v>
      </c>
      <c r="BQ31">
        <v>72.400000000000006</v>
      </c>
      <c r="BR31">
        <v>58.4</v>
      </c>
      <c r="BS31">
        <v>41.400000000000006</v>
      </c>
      <c r="BT31">
        <v>0</v>
      </c>
      <c r="BU31">
        <v>326</v>
      </c>
      <c r="BV31">
        <v>346</v>
      </c>
      <c r="BW31">
        <v>332</v>
      </c>
      <c r="BX31">
        <v>196</v>
      </c>
      <c r="BY31">
        <v>151</v>
      </c>
      <c r="BZ31">
        <v>160</v>
      </c>
      <c r="CA31">
        <v>181</v>
      </c>
      <c r="CB31">
        <v>272</v>
      </c>
      <c r="CC31">
        <v>242</v>
      </c>
      <c r="CD31">
        <v>0</v>
      </c>
      <c r="CE31">
        <v>415</v>
      </c>
      <c r="CF31">
        <v>338</v>
      </c>
      <c r="CG31">
        <v>351</v>
      </c>
      <c r="CH31">
        <v>338</v>
      </c>
      <c r="CI31">
        <v>0</v>
      </c>
      <c r="CJ31">
        <v>517</v>
      </c>
      <c r="CK31">
        <v>479</v>
      </c>
      <c r="CL31">
        <v>361</v>
      </c>
      <c r="CM31">
        <v>355</v>
      </c>
      <c r="CN31">
        <v>0</v>
      </c>
      <c r="CO31">
        <v>627</v>
      </c>
      <c r="CP31">
        <v>681</v>
      </c>
      <c r="CQ31">
        <v>824</v>
      </c>
      <c r="CR31">
        <v>557</v>
      </c>
      <c r="CT31">
        <v>16.3</v>
      </c>
      <c r="CU31">
        <v>18.5</v>
      </c>
      <c r="CV31">
        <v>18.399999999999999</v>
      </c>
      <c r="CW31">
        <v>12.7</v>
      </c>
      <c r="CY31">
        <v>3</v>
      </c>
      <c r="CZ31">
        <v>12.3</v>
      </c>
      <c r="DA31">
        <v>8.1999999999999993</v>
      </c>
      <c r="DB31">
        <v>9.1999999999999993</v>
      </c>
      <c r="DD31">
        <v>17.799999999999997</v>
      </c>
      <c r="DE31">
        <v>20.6</v>
      </c>
      <c r="DF31">
        <v>21.7</v>
      </c>
      <c r="DG31">
        <v>21.7</v>
      </c>
    </row>
    <row r="32" spans="1:111" x14ac:dyDescent="0.3">
      <c r="A32" t="s">
        <v>107</v>
      </c>
      <c r="B32">
        <v>0</v>
      </c>
      <c r="C32">
        <v>32.333333333333336</v>
      </c>
      <c r="D32">
        <v>3.9954545454545456</v>
      </c>
      <c r="E32">
        <v>22.166666666666668</v>
      </c>
      <c r="F32">
        <v>-7.0777777777777784</v>
      </c>
      <c r="G32">
        <v>0</v>
      </c>
      <c r="H32">
        <v>29.794871794871796</v>
      </c>
      <c r="I32">
        <v>8.137614678899082</v>
      </c>
      <c r="J32">
        <v>-5.0580645161290319</v>
      </c>
      <c r="K32">
        <v>4.5599999999999996</v>
      </c>
      <c r="L32">
        <v>0</v>
      </c>
      <c r="M32">
        <v>4.647887323943662</v>
      </c>
      <c r="N32">
        <v>4.953846153846154</v>
      </c>
      <c r="O32">
        <v>2.3880597014925371</v>
      </c>
      <c r="P32">
        <v>2.7117117117117115</v>
      </c>
      <c r="Q32">
        <v>0</v>
      </c>
      <c r="R32">
        <v>229</v>
      </c>
      <c r="S32">
        <v>4.7297297297297298</v>
      </c>
      <c r="T32">
        <v>-15.153846153846153</v>
      </c>
      <c r="U32">
        <v>4.5384615384615383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3.8231707317073171</v>
      </c>
      <c r="AC32">
        <v>3.1292134831460676</v>
      </c>
      <c r="AD32">
        <v>12.3</v>
      </c>
      <c r="AE32">
        <v>-18.055555555555557</v>
      </c>
      <c r="AF32">
        <v>0</v>
      </c>
      <c r="AG32">
        <v>3.078125</v>
      </c>
      <c r="AH32">
        <v>10.772727272727273</v>
      </c>
      <c r="AI32">
        <v>10.958333333333334</v>
      </c>
      <c r="AJ32">
        <v>-19.363636363636363</v>
      </c>
      <c r="AK32">
        <v>0</v>
      </c>
      <c r="AL32">
        <v>4.5979452054794514</v>
      </c>
      <c r="AM32">
        <v>-10.765432098765432</v>
      </c>
      <c r="AN32">
        <v>-3.6055555555555556</v>
      </c>
      <c r="AO32">
        <v>3.1496598639455784</v>
      </c>
      <c r="AP32">
        <v>0</v>
      </c>
      <c r="AQ32">
        <v>0</v>
      </c>
      <c r="AR32">
        <v>0</v>
      </c>
      <c r="AS32">
        <v>0</v>
      </c>
      <c r="AT32">
        <v>0</v>
      </c>
      <c r="AU32" s="18">
        <v>0.52577319587628868</v>
      </c>
      <c r="AV32">
        <v>1.0204678362573099</v>
      </c>
      <c r="AW32">
        <v>1.2553846153846153</v>
      </c>
      <c r="AX32">
        <v>2.5764705882352943</v>
      </c>
      <c r="AY32">
        <v>1.721774193548387</v>
      </c>
      <c r="AZ32">
        <v>0</v>
      </c>
      <c r="BA32">
        <v>9.109375</v>
      </c>
      <c r="BB32">
        <v>-6.8148148148148149</v>
      </c>
      <c r="BC32">
        <v>-3.3166666666666669</v>
      </c>
      <c r="BD32">
        <v>7.628571428571429</v>
      </c>
      <c r="BE32">
        <v>0</v>
      </c>
      <c r="BF32">
        <v>0.17719298245614037</v>
      </c>
      <c r="BG32">
        <v>-0.15185185185185185</v>
      </c>
      <c r="BH32">
        <v>-9.6666666666666665E-2</v>
      </c>
      <c r="BI32">
        <v>1.7111111111111112</v>
      </c>
      <c r="BJ32">
        <v>0</v>
      </c>
      <c r="BK32">
        <v>13.818181818181818</v>
      </c>
      <c r="BL32">
        <v>2.0057803468208091</v>
      </c>
      <c r="BM32">
        <v>2.5538461538461537</v>
      </c>
      <c r="BN32">
        <v>2.2088607594936707</v>
      </c>
      <c r="BO32">
        <v>0</v>
      </c>
      <c r="BP32">
        <v>1.3225152129817446</v>
      </c>
      <c r="BQ32">
        <v>3.62</v>
      </c>
      <c r="BR32">
        <v>2.0137931034482759</v>
      </c>
      <c r="BS32">
        <v>1.0894736842105264</v>
      </c>
      <c r="BT32">
        <v>0</v>
      </c>
      <c r="BU32">
        <v>2.8596491228070176</v>
      </c>
      <c r="BV32">
        <v>3.4949494949494948</v>
      </c>
      <c r="BW32">
        <v>166</v>
      </c>
      <c r="BX32">
        <v>2.202247191011236</v>
      </c>
      <c r="BY32">
        <v>0.81182795698924726</v>
      </c>
      <c r="BZ32">
        <v>0.87431693989071035</v>
      </c>
      <c r="CA32">
        <v>0.55521472392638038</v>
      </c>
      <c r="CB32">
        <v>1.8013245033112584</v>
      </c>
      <c r="CC32">
        <v>1.2804232804232805</v>
      </c>
      <c r="CD32">
        <v>0</v>
      </c>
      <c r="CE32">
        <v>3.5775862068965516</v>
      </c>
      <c r="CF32">
        <v>2.036144578313253</v>
      </c>
      <c r="CG32">
        <v>-15.954545454545455</v>
      </c>
      <c r="CH32">
        <v>2.0119047619047619</v>
      </c>
      <c r="CI32">
        <v>0</v>
      </c>
      <c r="CJ32">
        <v>2.2675438596491229</v>
      </c>
      <c r="CK32">
        <v>19.16</v>
      </c>
      <c r="CL32">
        <v>0.83371824480369516</v>
      </c>
      <c r="CM32">
        <v>1.0990712074303406</v>
      </c>
      <c r="CN32">
        <v>0</v>
      </c>
      <c r="CO32">
        <v>26.125</v>
      </c>
      <c r="CP32">
        <v>8.1071428571428577</v>
      </c>
      <c r="CQ32">
        <v>11.605633802816902</v>
      </c>
      <c r="CR32">
        <v>4.6806722689075633</v>
      </c>
      <c r="CS32">
        <v>0</v>
      </c>
      <c r="CT32">
        <v>1.1642857142857139</v>
      </c>
      <c r="CU32">
        <v>0.56748466257668706</v>
      </c>
      <c r="CV32">
        <v>4.31924882629108</v>
      </c>
      <c r="CW32">
        <v>3.6285714285714286</v>
      </c>
      <c r="CX32">
        <v>0</v>
      </c>
      <c r="CY32">
        <v>0.90909090909090895</v>
      </c>
      <c r="CZ32">
        <v>-4.5555555555555571</v>
      </c>
      <c r="DA32">
        <v>6.8333333333333268</v>
      </c>
      <c r="DB32">
        <v>9.1999999999999993</v>
      </c>
      <c r="DC32">
        <v>0</v>
      </c>
      <c r="DD32">
        <v>1.2714285714285711</v>
      </c>
      <c r="DE32">
        <v>1.2117647058823531</v>
      </c>
      <c r="DF32">
        <v>4.34</v>
      </c>
      <c r="DG32">
        <v>5.4249999999999998</v>
      </c>
    </row>
    <row r="33" spans="1:111" x14ac:dyDescent="0.3">
      <c r="A33" t="s">
        <v>109</v>
      </c>
      <c r="B33">
        <v>0</v>
      </c>
      <c r="C33">
        <v>0.67361111111111116</v>
      </c>
      <c r="D33">
        <v>0.88787878787878793</v>
      </c>
      <c r="E33">
        <v>1.4456521739130435</v>
      </c>
      <c r="F33">
        <v>2.0548387096774197</v>
      </c>
      <c r="G33">
        <v>0</v>
      </c>
      <c r="H33">
        <v>3.0181818181818181</v>
      </c>
      <c r="I33">
        <v>1.7847082494969819</v>
      </c>
      <c r="J33">
        <v>5.9847328244274811</v>
      </c>
      <c r="K33">
        <v>2.0141342756183747</v>
      </c>
      <c r="L33">
        <v>0</v>
      </c>
      <c r="M33">
        <v>0.94555873925501432</v>
      </c>
      <c r="N33">
        <v>1.2578125</v>
      </c>
      <c r="O33">
        <v>0.97264437689969607</v>
      </c>
      <c r="P33">
        <v>0.79419525065963059</v>
      </c>
      <c r="Q33">
        <v>0</v>
      </c>
      <c r="R33">
        <v>2.29</v>
      </c>
      <c r="S33">
        <v>0.90206185567010311</v>
      </c>
      <c r="T33">
        <v>1.6416666666666666</v>
      </c>
      <c r="U33">
        <v>1.0172413793103448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0.96165644171779141</v>
      </c>
      <c r="AC33">
        <v>1.2433035714285714</v>
      </c>
      <c r="AD33">
        <v>1.1576470588235295</v>
      </c>
      <c r="AE33">
        <v>0.8783783783783784</v>
      </c>
      <c r="AF33">
        <v>0</v>
      </c>
      <c r="AG33">
        <v>1.2628205128205128</v>
      </c>
      <c r="AH33">
        <v>2.9624999999999999</v>
      </c>
      <c r="AI33">
        <v>2.63</v>
      </c>
      <c r="AJ33">
        <v>5.6052631578947372</v>
      </c>
      <c r="AK33">
        <v>0</v>
      </c>
      <c r="AL33">
        <v>4.5979452054794514</v>
      </c>
      <c r="AM33">
        <v>7.2666666666666666</v>
      </c>
      <c r="AN33">
        <v>5.5</v>
      </c>
      <c r="AO33">
        <v>1.6476868327402134</v>
      </c>
      <c r="AP33">
        <v>0</v>
      </c>
      <c r="AQ33">
        <v>0</v>
      </c>
      <c r="AR33">
        <v>0</v>
      </c>
      <c r="AS33">
        <v>0</v>
      </c>
      <c r="AT33">
        <v>0</v>
      </c>
      <c r="AU33" s="18">
        <v>0.19376899696048633</v>
      </c>
      <c r="AV33">
        <v>0.31384892086330934</v>
      </c>
      <c r="AW33">
        <v>0.3980487804878049</v>
      </c>
      <c r="AX33">
        <v>0.68012422360248448</v>
      </c>
      <c r="AY33">
        <v>0.46717724288840262</v>
      </c>
      <c r="AZ33">
        <v>0</v>
      </c>
      <c r="BA33">
        <v>1.7720364741641337</v>
      </c>
      <c r="BB33">
        <v>1.7579617834394905</v>
      </c>
      <c r="BC33">
        <v>3.262295081967213</v>
      </c>
      <c r="BD33">
        <v>2.1360000000000001</v>
      </c>
      <c r="BE33">
        <v>0</v>
      </c>
      <c r="BF33">
        <v>4.1563786008230456E-2</v>
      </c>
      <c r="BG33">
        <v>7.8343949044585998E-2</v>
      </c>
      <c r="BH33">
        <v>0.22597402597402597</v>
      </c>
      <c r="BI33">
        <v>0.14128440366972478</v>
      </c>
      <c r="BJ33">
        <v>0</v>
      </c>
      <c r="BK33">
        <v>1.5833333333333333</v>
      </c>
      <c r="BL33">
        <v>0.74304068522483935</v>
      </c>
      <c r="BM33">
        <v>0.86233766233766229</v>
      </c>
      <c r="BN33">
        <v>0.85539215686274506</v>
      </c>
      <c r="BO33">
        <v>0</v>
      </c>
      <c r="BP33">
        <v>0.6721649484536083</v>
      </c>
      <c r="BQ33">
        <v>1.5404255319148938</v>
      </c>
      <c r="BR33">
        <v>0.67906976744186043</v>
      </c>
      <c r="BS33">
        <v>0.45494505494505499</v>
      </c>
      <c r="BT33">
        <v>0</v>
      </c>
      <c r="BU33">
        <v>0.90055248618784534</v>
      </c>
      <c r="BV33">
        <v>1.0058139534883721</v>
      </c>
      <c r="BW33">
        <v>1.2769230769230768</v>
      </c>
      <c r="BX33">
        <v>0.50256410256410255</v>
      </c>
      <c r="BY33">
        <v>0.20628415300546449</v>
      </c>
      <c r="BZ33">
        <v>0.22727272727272727</v>
      </c>
      <c r="CA33">
        <v>0.20973348783314022</v>
      </c>
      <c r="CB33">
        <v>0.55623721881390598</v>
      </c>
      <c r="CC33">
        <v>0.40468227424749165</v>
      </c>
      <c r="CD33">
        <v>0</v>
      </c>
      <c r="CE33">
        <v>1.4928057553956835</v>
      </c>
      <c r="CF33">
        <v>0.9159891598915989</v>
      </c>
      <c r="CG33">
        <v>1.6401869158878504</v>
      </c>
      <c r="CH33">
        <v>0.90616621983914214</v>
      </c>
      <c r="CI33">
        <v>0</v>
      </c>
      <c r="CJ33">
        <v>0.87925170068027214</v>
      </c>
      <c r="CK33">
        <v>1.1062355658198615</v>
      </c>
      <c r="CL33">
        <v>1.1176470588235294</v>
      </c>
      <c r="CM33">
        <v>1.0889570552147239</v>
      </c>
      <c r="CN33">
        <v>0</v>
      </c>
      <c r="CO33">
        <v>5.4051724137931032</v>
      </c>
      <c r="CP33">
        <v>4.1024096385542173</v>
      </c>
      <c r="CQ33">
        <v>5.0552147239263805</v>
      </c>
      <c r="CR33">
        <v>2.3208333333333333</v>
      </c>
      <c r="CS33">
        <v>0</v>
      </c>
      <c r="CT33">
        <v>0.16300000000000001</v>
      </c>
      <c r="CU33">
        <v>0.16371681415929204</v>
      </c>
      <c r="CV33">
        <v>0.36078431372549019</v>
      </c>
      <c r="CW33">
        <v>0.63500000000000001</v>
      </c>
      <c r="CX33">
        <v>0</v>
      </c>
      <c r="CY33">
        <v>0.1111111111111111</v>
      </c>
      <c r="CZ33">
        <v>0.82000000000000006</v>
      </c>
      <c r="DA33">
        <v>0.58571428571428563</v>
      </c>
      <c r="DB33">
        <v>0.35384615384615381</v>
      </c>
      <c r="DC33">
        <v>0</v>
      </c>
      <c r="DD33">
        <v>0.23421052631578942</v>
      </c>
      <c r="DE33">
        <v>0.30294117647058827</v>
      </c>
      <c r="DF33">
        <v>0.67812499999999998</v>
      </c>
      <c r="DG33">
        <v>1.2055555555555555</v>
      </c>
    </row>
    <row r="34" spans="1:111" x14ac:dyDescent="0.3">
      <c r="A34" t="s">
        <v>129</v>
      </c>
      <c r="B34">
        <v>0</v>
      </c>
      <c r="C34">
        <v>0.41666666666666669</v>
      </c>
      <c r="D34">
        <v>0.46464646464646464</v>
      </c>
      <c r="E34">
        <v>0.52173913043478259</v>
      </c>
      <c r="F34">
        <v>0.80645161290322576</v>
      </c>
      <c r="G34">
        <v>0</v>
      </c>
      <c r="H34">
        <v>0.64935064935064934</v>
      </c>
      <c r="I34">
        <v>0.52917505030181089</v>
      </c>
      <c r="J34">
        <v>1.5267175572519085</v>
      </c>
      <c r="K34">
        <v>0.5512367491166078</v>
      </c>
      <c r="L34">
        <v>0</v>
      </c>
      <c r="M34">
        <v>0.51002865329512892</v>
      </c>
      <c r="N34">
        <v>0.56640625</v>
      </c>
      <c r="O34">
        <v>0.27659574468085107</v>
      </c>
      <c r="P34">
        <v>0.36411609498680741</v>
      </c>
      <c r="Q34">
        <v>0</v>
      </c>
      <c r="R34">
        <v>0.72</v>
      </c>
      <c r="S34">
        <v>0.54639175257731953</v>
      </c>
      <c r="T34">
        <v>0.7583333333333333</v>
      </c>
      <c r="U34">
        <v>0.53448275862068961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0.42024539877300615</v>
      </c>
      <c r="AC34">
        <v>0.4642857142857143</v>
      </c>
      <c r="AD34">
        <v>0.44235294117647062</v>
      </c>
      <c r="AE34">
        <v>0.60540540540540544</v>
      </c>
      <c r="AF34">
        <v>0</v>
      </c>
      <c r="AG34">
        <v>0.46794871794871795</v>
      </c>
      <c r="AH34">
        <v>0.61250000000000004</v>
      </c>
      <c r="AI34">
        <v>0.49</v>
      </c>
      <c r="AJ34">
        <v>0.97368421052631582</v>
      </c>
      <c r="AK34">
        <v>0</v>
      </c>
      <c r="AL34">
        <v>0.3904109589041096</v>
      </c>
      <c r="AM34">
        <v>0.5</v>
      </c>
      <c r="AN34">
        <v>0.83050847457627119</v>
      </c>
      <c r="AO34">
        <v>0.75088967971530252</v>
      </c>
      <c r="AP34">
        <v>0</v>
      </c>
      <c r="AQ34">
        <v>0</v>
      </c>
      <c r="AR34">
        <v>0</v>
      </c>
      <c r="AS34">
        <v>0</v>
      </c>
      <c r="AT34">
        <v>0</v>
      </c>
      <c r="AU34" s="18">
        <v>0.3518237082066869</v>
      </c>
      <c r="AV34">
        <v>0.39478417266187049</v>
      </c>
      <c r="AW34">
        <v>0.34536585365853656</v>
      </c>
      <c r="AX34">
        <v>0.51552795031055898</v>
      </c>
      <c r="AY34">
        <v>0.35667396061269147</v>
      </c>
      <c r="AZ34">
        <v>0</v>
      </c>
      <c r="BA34">
        <v>0.39513677811550152</v>
      </c>
      <c r="BB34">
        <v>0.37579617834394907</v>
      </c>
      <c r="BC34">
        <v>0.40437158469945356</v>
      </c>
      <c r="BD34">
        <v>0.24399999999999999</v>
      </c>
      <c r="BE34">
        <v>0</v>
      </c>
      <c r="BF34">
        <v>0.34979423868312759</v>
      </c>
      <c r="BG34">
        <v>0.48407643312101911</v>
      </c>
      <c r="BH34">
        <v>0.5714285714285714</v>
      </c>
      <c r="BI34">
        <v>0.6330275229357798</v>
      </c>
      <c r="BJ34">
        <v>0</v>
      </c>
      <c r="BK34">
        <v>0.40277777777777779</v>
      </c>
      <c r="BL34">
        <v>0.28907922912205569</v>
      </c>
      <c r="BM34">
        <v>0.2857142857142857</v>
      </c>
      <c r="BN34">
        <v>0.26715686274509803</v>
      </c>
      <c r="BO34">
        <v>0</v>
      </c>
      <c r="BP34">
        <v>0.34020618556701032</v>
      </c>
      <c r="BQ34">
        <v>0.51063829787234039</v>
      </c>
      <c r="BR34">
        <v>0.54651162790697672</v>
      </c>
      <c r="BS34">
        <v>0.45054945054945056</v>
      </c>
      <c r="BT34">
        <v>0</v>
      </c>
      <c r="BU34">
        <v>0.54696132596685088</v>
      </c>
      <c r="BV34">
        <v>0.52616279069767447</v>
      </c>
      <c r="BW34">
        <v>0.70769230769230773</v>
      </c>
      <c r="BX34">
        <v>0.48717948717948717</v>
      </c>
      <c r="BY34">
        <v>0.55327868852459017</v>
      </c>
      <c r="BZ34">
        <v>0.51846590909090906</v>
      </c>
      <c r="CA34">
        <v>0.41135573580533025</v>
      </c>
      <c r="CB34">
        <v>0.42126789366053169</v>
      </c>
      <c r="CC34">
        <v>0.44648829431438125</v>
      </c>
      <c r="CD34">
        <v>0</v>
      </c>
      <c r="CE34">
        <v>0.39928057553956836</v>
      </c>
      <c r="CF34">
        <v>0.31978319783197834</v>
      </c>
      <c r="CG34">
        <v>0.57476635514018692</v>
      </c>
      <c r="CH34">
        <v>0.40482573726541554</v>
      </c>
      <c r="CI34">
        <v>0</v>
      </c>
      <c r="CJ34">
        <v>0.33673469387755101</v>
      </c>
      <c r="CK34">
        <v>0.50577367205542723</v>
      </c>
      <c r="CL34">
        <v>0.51702786377708976</v>
      </c>
      <c r="CM34">
        <v>0.50613496932515334</v>
      </c>
      <c r="CN34">
        <v>0</v>
      </c>
      <c r="CO34">
        <v>0.57758620689655171</v>
      </c>
      <c r="CP34">
        <v>0.39156626506024095</v>
      </c>
      <c r="CQ34">
        <v>0.47239263803680981</v>
      </c>
      <c r="CR34">
        <v>0.37083333333333335</v>
      </c>
      <c r="CS34">
        <v>0</v>
      </c>
      <c r="CT34">
        <v>0.39</v>
      </c>
      <c r="CU34">
        <v>0.26548672566371684</v>
      </c>
      <c r="CV34">
        <v>0.33333333333333331</v>
      </c>
      <c r="CW34">
        <v>0.65</v>
      </c>
      <c r="CX34">
        <v>0</v>
      </c>
      <c r="CY34">
        <v>0.59259259259259256</v>
      </c>
      <c r="CZ34">
        <v>0.8</v>
      </c>
      <c r="DA34">
        <v>0.54285714285714282</v>
      </c>
      <c r="DB34">
        <v>0.64999999999999991</v>
      </c>
      <c r="DC34">
        <v>0</v>
      </c>
      <c r="DD34">
        <v>0.52631578947368418</v>
      </c>
      <c r="DE34">
        <v>0.41176470588235292</v>
      </c>
      <c r="DF34">
        <v>0.71875</v>
      </c>
      <c r="DG34">
        <v>0.61111111111111116</v>
      </c>
    </row>
    <row r="35" spans="1:111" x14ac:dyDescent="0.3">
      <c r="A35" t="s">
        <v>134</v>
      </c>
      <c r="B35" s="18" t="e">
        <f t="shared" ref="B35:AT35" si="67">(B12+B15)/B11</f>
        <v>#DIV/0!</v>
      </c>
      <c r="C35" s="18">
        <f t="shared" si="67"/>
        <v>0.52777777777777779</v>
      </c>
      <c r="D35" s="18">
        <f t="shared" si="67"/>
        <v>0.46464646464646464</v>
      </c>
      <c r="E35" s="18">
        <f t="shared" si="67"/>
        <v>0.52826086956521745</v>
      </c>
      <c r="F35" s="18">
        <f t="shared" si="67"/>
        <v>0.83225806451612905</v>
      </c>
      <c r="G35" s="18" t="e">
        <f t="shared" si="67"/>
        <v>#DIV/0!</v>
      </c>
      <c r="H35" s="18">
        <f t="shared" si="67"/>
        <v>1.0337662337662337</v>
      </c>
      <c r="I35" s="18">
        <f t="shared" si="67"/>
        <v>0.75452716297786715</v>
      </c>
      <c r="J35" s="18">
        <f t="shared" si="67"/>
        <v>3.4503816793893129</v>
      </c>
      <c r="K35" s="18">
        <f t="shared" si="67"/>
        <v>0.73498233215547704</v>
      </c>
      <c r="L35" s="18" t="e">
        <f t="shared" si="67"/>
        <v>#DIV/0!</v>
      </c>
      <c r="M35" s="18">
        <f t="shared" si="67"/>
        <v>0.7822349570200573</v>
      </c>
      <c r="N35" s="18">
        <f t="shared" si="67"/>
        <v>0.77734375</v>
      </c>
      <c r="O35" s="18">
        <f t="shared" si="67"/>
        <v>0.39209726443769</v>
      </c>
      <c r="P35" s="18">
        <f t="shared" si="67"/>
        <v>0.44327176781002636</v>
      </c>
      <c r="Q35" s="18" t="e">
        <f t="shared" si="67"/>
        <v>#DIV/0!</v>
      </c>
      <c r="R35" s="18">
        <f t="shared" si="67"/>
        <v>0.72</v>
      </c>
      <c r="S35" s="18">
        <f t="shared" si="67"/>
        <v>0.54639175257731953</v>
      </c>
      <c r="T35" s="18">
        <f t="shared" si="67"/>
        <v>0.84166666666666667</v>
      </c>
      <c r="U35" s="18">
        <f t="shared" si="67"/>
        <v>0.72413793103448276</v>
      </c>
      <c r="V35" s="18" t="e">
        <f t="shared" si="67"/>
        <v>#DIV/0!</v>
      </c>
      <c r="W35" s="18" t="e">
        <f t="shared" si="67"/>
        <v>#DIV/0!</v>
      </c>
      <c r="X35" s="18" t="e">
        <f t="shared" si="67"/>
        <v>#DIV/0!</v>
      </c>
      <c r="Y35" s="18" t="e">
        <f t="shared" si="67"/>
        <v>#DIV/0!</v>
      </c>
      <c r="Z35" s="18" t="e">
        <f t="shared" si="67"/>
        <v>#DIV/0!</v>
      </c>
      <c r="AA35" s="18" t="e">
        <f t="shared" si="67"/>
        <v>#DIV/0!</v>
      </c>
      <c r="AB35" s="18">
        <f t="shared" si="67"/>
        <v>0.48466257668711654</v>
      </c>
      <c r="AC35" s="18">
        <f t="shared" si="67"/>
        <v>0.46651785714285715</v>
      </c>
      <c r="AD35" s="18">
        <f t="shared" si="67"/>
        <v>0.59058823529411764</v>
      </c>
      <c r="AE35" s="18">
        <f t="shared" si="67"/>
        <v>0.63513513513513509</v>
      </c>
      <c r="AF35" s="18" t="e">
        <f t="shared" si="67"/>
        <v>#DIV/0!</v>
      </c>
      <c r="AG35" s="18">
        <f t="shared" si="67"/>
        <v>0.51282051282051277</v>
      </c>
      <c r="AH35" s="18">
        <f t="shared" si="67"/>
        <v>0.64</v>
      </c>
      <c r="AI35" s="18">
        <f t="shared" si="67"/>
        <v>0.505</v>
      </c>
      <c r="AJ35" s="18">
        <f t="shared" si="67"/>
        <v>0.99736842105263157</v>
      </c>
      <c r="AK35" s="18" t="e">
        <f t="shared" si="67"/>
        <v>#DIV/0!</v>
      </c>
      <c r="AL35" s="18">
        <f t="shared" si="67"/>
        <v>0.3904109589041096</v>
      </c>
      <c r="AM35" s="18">
        <f t="shared" si="67"/>
        <v>0.5083333333333333</v>
      </c>
      <c r="AN35" s="18">
        <f t="shared" si="67"/>
        <v>0.98305084745762716</v>
      </c>
      <c r="AO35" s="18">
        <f t="shared" si="67"/>
        <v>0.95017793594306055</v>
      </c>
      <c r="AP35" s="18" t="e">
        <f t="shared" si="67"/>
        <v>#DIV/0!</v>
      </c>
      <c r="AQ35" s="18" t="e">
        <f t="shared" si="67"/>
        <v>#DIV/0!</v>
      </c>
      <c r="AR35" s="18" t="e">
        <f t="shared" si="67"/>
        <v>#DIV/0!</v>
      </c>
      <c r="AS35" s="18" t="e">
        <f t="shared" si="67"/>
        <v>#DIV/0!</v>
      </c>
      <c r="AT35" s="18" t="e">
        <f t="shared" si="67"/>
        <v>#DIV/0!</v>
      </c>
      <c r="AU35" s="18">
        <f>(AU12+AU15)/AU11</f>
        <v>0.55927051671732519</v>
      </c>
      <c r="AV35" s="18">
        <f t="shared" ref="AV35:CR35" si="68">(AV12+AV15)/AV11</f>
        <v>0.60251798561151082</v>
      </c>
      <c r="AW35" s="18">
        <f t="shared" si="68"/>
        <v>0.46243902439024392</v>
      </c>
      <c r="AX35" s="18">
        <f t="shared" si="68"/>
        <v>0.79192546583850931</v>
      </c>
      <c r="AY35" s="18">
        <f t="shared" si="68"/>
        <v>0.63019693654266962</v>
      </c>
      <c r="AZ35" s="18" t="e">
        <f t="shared" si="68"/>
        <v>#DIV/0!</v>
      </c>
      <c r="BA35" s="18">
        <f t="shared" si="68"/>
        <v>0.47720364741641336</v>
      </c>
      <c r="BB35" s="18">
        <f t="shared" si="68"/>
        <v>0.41719745222929938</v>
      </c>
      <c r="BC35" s="18">
        <f t="shared" si="68"/>
        <v>0.45027322404371589</v>
      </c>
      <c r="BD35" s="18">
        <f t="shared" si="68"/>
        <v>0.28799999999999998</v>
      </c>
      <c r="BE35" s="18" t="e">
        <f t="shared" si="68"/>
        <v>#DIV/0!</v>
      </c>
      <c r="BF35" s="18">
        <f t="shared" si="68"/>
        <v>0.53909465020576131</v>
      </c>
      <c r="BG35" s="18">
        <f t="shared" si="68"/>
        <v>0.59872611464968151</v>
      </c>
      <c r="BH35" s="18">
        <f t="shared" si="68"/>
        <v>0.66233766233766234</v>
      </c>
      <c r="BI35" s="18">
        <f t="shared" si="68"/>
        <v>0.68440366972477062</v>
      </c>
      <c r="BJ35" s="18" t="e">
        <f t="shared" si="68"/>
        <v>#DIV/0!</v>
      </c>
      <c r="BK35" s="18">
        <f t="shared" si="68"/>
        <v>0.63194444444444442</v>
      </c>
      <c r="BL35" s="18">
        <f t="shared" si="68"/>
        <v>0.42398286937901497</v>
      </c>
      <c r="BM35" s="18">
        <f t="shared" si="68"/>
        <v>0.41038961038961042</v>
      </c>
      <c r="BN35" s="18">
        <f t="shared" si="68"/>
        <v>0.38725490196078433</v>
      </c>
      <c r="BO35" s="18" t="e">
        <f t="shared" si="68"/>
        <v>#DIV/0!</v>
      </c>
      <c r="BP35" s="18">
        <f t="shared" si="68"/>
        <v>0.35876288659793809</v>
      </c>
      <c r="BQ35" s="18">
        <f t="shared" si="68"/>
        <v>0.51063829787234039</v>
      </c>
      <c r="BR35" s="18">
        <f t="shared" si="68"/>
        <v>0.62093023255813951</v>
      </c>
      <c r="BS35" s="18">
        <f t="shared" si="68"/>
        <v>0.51098901098901095</v>
      </c>
      <c r="BT35" s="18" t="e">
        <f t="shared" si="68"/>
        <v>#DIV/0!</v>
      </c>
      <c r="BU35" s="18">
        <f t="shared" si="68"/>
        <v>0.79005524861878451</v>
      </c>
      <c r="BV35" s="18">
        <f t="shared" si="68"/>
        <v>0.6191860465116279</v>
      </c>
      <c r="BW35" s="18">
        <f t="shared" si="68"/>
        <v>0.92307692307692313</v>
      </c>
      <c r="BX35" s="18">
        <f t="shared" si="68"/>
        <v>0.62051282051282053</v>
      </c>
      <c r="BY35" s="18">
        <f t="shared" si="68"/>
        <v>0.75819672131147542</v>
      </c>
      <c r="BZ35" s="18">
        <f t="shared" si="68"/>
        <v>0.66761363636363635</v>
      </c>
      <c r="CA35" s="18">
        <f t="shared" si="68"/>
        <v>0.50521436848203938</v>
      </c>
      <c r="CB35" s="18">
        <f t="shared" si="68"/>
        <v>0.67075664621676889</v>
      </c>
      <c r="CC35" s="18">
        <f t="shared" si="68"/>
        <v>0.62876254180602009</v>
      </c>
      <c r="CD35" s="18" t="e">
        <f t="shared" si="68"/>
        <v>#DIV/0!</v>
      </c>
      <c r="CE35" s="18">
        <f t="shared" si="68"/>
        <v>0.62230215827338131</v>
      </c>
      <c r="CF35" s="18">
        <f t="shared" si="68"/>
        <v>0.36856368563685638</v>
      </c>
      <c r="CG35" s="18">
        <f t="shared" si="68"/>
        <v>0.76635514018691586</v>
      </c>
      <c r="CH35" s="18">
        <f t="shared" si="68"/>
        <v>0.54691689008042899</v>
      </c>
      <c r="CI35" s="18" t="e">
        <f t="shared" si="68"/>
        <v>#DIV/0!</v>
      </c>
      <c r="CJ35" s="18">
        <f t="shared" si="68"/>
        <v>0.46598639455782315</v>
      </c>
      <c r="CK35" s="18">
        <f t="shared" si="68"/>
        <v>0.69976905311778292</v>
      </c>
      <c r="CL35" s="18">
        <f t="shared" si="68"/>
        <v>0.84210526315789469</v>
      </c>
      <c r="CM35" s="18">
        <f t="shared" si="68"/>
        <v>0.94785276073619629</v>
      </c>
      <c r="CN35" s="18" t="e">
        <f t="shared" si="68"/>
        <v>#DIV/0!</v>
      </c>
      <c r="CO35" s="18">
        <f t="shared" si="68"/>
        <v>0.80172413793103448</v>
      </c>
      <c r="CP35" s="18">
        <f t="shared" si="68"/>
        <v>0.40602409638554221</v>
      </c>
      <c r="CQ35" s="18">
        <f t="shared" si="68"/>
        <v>0.48159509202453987</v>
      </c>
      <c r="CR35" s="18">
        <f t="shared" si="68"/>
        <v>0.38500000000000001</v>
      </c>
    </row>
  </sheetData>
  <pageMargins left="0.511811024" right="0.511811024" top="0.78740157499999996" bottom="0.78740157499999996" header="0.31496062000000002" footer="0.31496062000000002"/>
  <ignoredErrors>
    <ignoredError sqref="G9 BJ9 BT9 CD9 CN9 AP9:AZ9 AK9 AF9 V9:AA9 Q9 L9 BE9 BO9 CI9" formulaRange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859E-CB57-4371-B42F-A571327A6D0B}">
  <sheetPr codeName="Planilha5"/>
  <dimension ref="A1:DG35"/>
  <sheetViews>
    <sheetView workbookViewId="0">
      <pane xSplit="1" ySplit="2" topLeftCell="AO11" activePane="bottomRight" state="frozen"/>
      <selection pane="topRight" activeCell="B1" sqref="B1"/>
      <selection pane="bottomLeft" activeCell="A3" sqref="A3"/>
      <selection pane="bottomRight" activeCell="AU30" sqref="AU30"/>
    </sheetView>
  </sheetViews>
  <sheetFormatPr defaultRowHeight="14.4" x14ac:dyDescent="0.3"/>
  <cols>
    <col min="1" max="1" width="54.44140625" bestFit="1" customWidth="1"/>
    <col min="2" max="2" width="7.6640625" customWidth="1"/>
    <col min="3" max="4" width="5.5546875" bestFit="1" customWidth="1"/>
    <col min="5" max="6" width="5.44140625" bestFit="1" customWidth="1"/>
    <col min="7" max="7" width="7.33203125" customWidth="1"/>
    <col min="8" max="8" width="6.5546875" bestFit="1" customWidth="1"/>
    <col min="9" max="9" width="5.5546875" bestFit="1" customWidth="1"/>
    <col min="10" max="10" width="6.21875" bestFit="1" customWidth="1"/>
    <col min="11" max="11" width="5.5546875" bestFit="1" customWidth="1"/>
    <col min="12" max="12" width="8.44140625" bestFit="1" customWidth="1"/>
    <col min="13" max="16" width="5.5546875" bestFit="1" customWidth="1"/>
    <col min="17" max="17" width="6.109375" bestFit="1" customWidth="1"/>
    <col min="18" max="21" width="5.5546875" bestFit="1" customWidth="1"/>
    <col min="22" max="22" width="8.77734375" bestFit="1" customWidth="1"/>
    <col min="23" max="26" width="5.44140625" bestFit="1" customWidth="1"/>
    <col min="27" max="27" width="10.33203125" bestFit="1" customWidth="1"/>
    <col min="28" max="29" width="5.5546875" bestFit="1" customWidth="1"/>
    <col min="30" max="31" width="6.21875" bestFit="1" customWidth="1"/>
    <col min="32" max="32" width="7.44140625" customWidth="1"/>
    <col min="33" max="36" width="5.5546875" bestFit="1" customWidth="1"/>
    <col min="37" max="37" width="7.88671875" bestFit="1" customWidth="1"/>
    <col min="38" max="38" width="5.5546875" bestFit="1" customWidth="1"/>
    <col min="39" max="41" width="6.21875" bestFit="1" customWidth="1"/>
    <col min="42" max="42" width="6.6640625" bestFit="1" customWidth="1"/>
    <col min="43" max="46" width="5.44140625" bestFit="1" customWidth="1"/>
    <col min="47" max="47" width="9" bestFit="1" customWidth="1"/>
    <col min="48" max="49" width="6.5546875" bestFit="1" customWidth="1"/>
    <col min="50" max="50" width="6.21875" bestFit="1" customWidth="1"/>
    <col min="51" max="51" width="6.5546875" bestFit="1" customWidth="1"/>
    <col min="52" max="52" width="10.21875" bestFit="1" customWidth="1"/>
    <col min="53" max="54" width="5.5546875" bestFit="1" customWidth="1"/>
    <col min="55" max="55" width="6.21875" bestFit="1" customWidth="1"/>
    <col min="56" max="56" width="5.5546875" bestFit="1" customWidth="1"/>
    <col min="57" max="57" width="8.6640625" bestFit="1" customWidth="1"/>
    <col min="58" max="59" width="5.5546875" bestFit="1" customWidth="1"/>
    <col min="60" max="60" width="6.21875" bestFit="1" customWidth="1"/>
    <col min="61" max="61" width="5.5546875" bestFit="1" customWidth="1"/>
    <col min="62" max="62" width="7.109375" bestFit="1" customWidth="1"/>
    <col min="63" max="66" width="5.5546875" bestFit="1" customWidth="1"/>
    <col min="67" max="67" width="5.6640625" bestFit="1" customWidth="1"/>
    <col min="68" max="71" width="5.5546875" bestFit="1" customWidth="1"/>
    <col min="72" max="72" width="11.88671875" bestFit="1" customWidth="1"/>
    <col min="73" max="74" width="5.5546875" bestFit="1" customWidth="1"/>
    <col min="75" max="75" width="6.21875" bestFit="1" customWidth="1"/>
    <col min="76" max="76" width="5.5546875" bestFit="1" customWidth="1"/>
    <col min="77" max="77" width="9" bestFit="1" customWidth="1"/>
    <col min="78" max="78" width="5.5546875" bestFit="1" customWidth="1"/>
    <col min="79" max="79" width="6.5546875" bestFit="1" customWidth="1"/>
    <col min="80" max="80" width="6.21875" bestFit="1" customWidth="1"/>
    <col min="81" max="81" width="5.5546875" bestFit="1" customWidth="1"/>
    <col min="82" max="82" width="6.5546875" bestFit="1" customWidth="1"/>
    <col min="83" max="86" width="5.5546875" bestFit="1" customWidth="1"/>
    <col min="87" max="87" width="9.109375" bestFit="1" customWidth="1"/>
    <col min="88" max="88" width="5.5546875" bestFit="1" customWidth="1"/>
    <col min="89" max="91" width="6.21875" bestFit="1" customWidth="1"/>
    <col min="92" max="92" width="13.77734375" bestFit="1" customWidth="1"/>
    <col min="93" max="96" width="5.5546875" bestFit="1" customWidth="1"/>
    <col min="97" max="97" width="10.33203125" bestFit="1" customWidth="1"/>
    <col min="98" max="99" width="5.44140625" bestFit="1" customWidth="1"/>
    <col min="100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A1" s="1"/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112</v>
      </c>
      <c r="CX1" t="s">
        <v>113</v>
      </c>
      <c r="DC1" t="s">
        <v>114</v>
      </c>
    </row>
    <row r="2" spans="1:111" x14ac:dyDescent="0.3">
      <c r="A2" s="1" t="s">
        <v>21</v>
      </c>
      <c r="B2" s="6">
        <v>2023</v>
      </c>
      <c r="C2" s="6">
        <v>2022</v>
      </c>
      <c r="D2" s="6">
        <v>2021</v>
      </c>
      <c r="E2" s="6">
        <v>2020</v>
      </c>
      <c r="F2" s="6">
        <v>2019</v>
      </c>
      <c r="G2" s="6">
        <v>2023</v>
      </c>
      <c r="H2" s="6">
        <v>2022</v>
      </c>
      <c r="I2" s="6">
        <v>2021</v>
      </c>
      <c r="J2" s="6">
        <v>2020</v>
      </c>
      <c r="K2" s="6">
        <v>2019</v>
      </c>
      <c r="L2" s="6">
        <v>2023</v>
      </c>
      <c r="M2" s="6">
        <v>2022</v>
      </c>
      <c r="N2" s="6">
        <v>2021</v>
      </c>
      <c r="O2" s="6">
        <v>2020</v>
      </c>
      <c r="P2" s="6">
        <v>2019</v>
      </c>
      <c r="Q2" s="6">
        <v>2023</v>
      </c>
      <c r="R2" s="6">
        <v>2022</v>
      </c>
      <c r="S2" s="6">
        <v>2021</v>
      </c>
      <c r="T2" s="6">
        <v>2020</v>
      </c>
      <c r="U2" s="6">
        <v>2019</v>
      </c>
      <c r="V2" s="6">
        <v>2023</v>
      </c>
      <c r="W2" s="6">
        <v>2022</v>
      </c>
      <c r="X2" s="6">
        <v>2021</v>
      </c>
      <c r="Y2" s="6">
        <v>2020</v>
      </c>
      <c r="Z2" s="6">
        <v>2019</v>
      </c>
      <c r="AA2" s="6">
        <v>2023</v>
      </c>
      <c r="AB2" s="6">
        <v>2022</v>
      </c>
      <c r="AC2" s="6">
        <v>2021</v>
      </c>
      <c r="AD2" s="6">
        <v>2020</v>
      </c>
      <c r="AE2" s="6">
        <v>2019</v>
      </c>
      <c r="AF2" s="6">
        <v>2023</v>
      </c>
      <c r="AG2" s="6">
        <v>2022</v>
      </c>
      <c r="AH2" s="6">
        <v>2021</v>
      </c>
      <c r="AI2" s="6">
        <v>2020</v>
      </c>
      <c r="AJ2" s="6">
        <v>2019</v>
      </c>
      <c r="AK2" s="6">
        <v>2023</v>
      </c>
      <c r="AL2" s="6">
        <v>2022</v>
      </c>
      <c r="AM2" s="6">
        <v>2021</v>
      </c>
      <c r="AN2" s="6">
        <v>2020</v>
      </c>
      <c r="AO2" s="6">
        <v>2019</v>
      </c>
      <c r="AP2" s="6">
        <v>2023</v>
      </c>
      <c r="AQ2" s="6">
        <v>2022</v>
      </c>
      <c r="AR2" s="6">
        <v>2021</v>
      </c>
      <c r="AS2" s="6">
        <v>2020</v>
      </c>
      <c r="AT2" s="6">
        <v>2019</v>
      </c>
      <c r="AU2" s="6">
        <v>2023</v>
      </c>
      <c r="AV2" s="6">
        <v>2022</v>
      </c>
      <c r="AW2" s="6">
        <v>2021</v>
      </c>
      <c r="AX2" s="6">
        <v>2020</v>
      </c>
      <c r="AY2" s="6">
        <v>2019</v>
      </c>
      <c r="AZ2" s="6">
        <v>2023</v>
      </c>
      <c r="BA2" s="6">
        <v>2022</v>
      </c>
      <c r="BB2" s="6">
        <v>2021</v>
      </c>
      <c r="BC2" s="6">
        <v>2020</v>
      </c>
      <c r="BD2" s="6">
        <v>2019</v>
      </c>
      <c r="BE2" s="6">
        <v>2023</v>
      </c>
      <c r="BF2" s="6">
        <v>2022</v>
      </c>
      <c r="BG2" s="6">
        <v>2021</v>
      </c>
      <c r="BH2" s="6">
        <v>2020</v>
      </c>
      <c r="BI2" s="6">
        <v>2019</v>
      </c>
      <c r="BJ2" s="6">
        <v>2023</v>
      </c>
      <c r="BK2" s="6">
        <v>2022</v>
      </c>
      <c r="BL2" s="6">
        <v>2021</v>
      </c>
      <c r="BM2" s="6">
        <v>2020</v>
      </c>
      <c r="BN2" s="6">
        <v>2019</v>
      </c>
      <c r="BO2" s="6">
        <v>2023</v>
      </c>
      <c r="BP2" s="6">
        <v>2022</v>
      </c>
      <c r="BQ2" s="6">
        <v>2021</v>
      </c>
      <c r="BR2" s="6">
        <v>2020</v>
      </c>
      <c r="BS2" s="6">
        <v>2019</v>
      </c>
      <c r="BT2" s="6">
        <v>2023</v>
      </c>
      <c r="BU2" s="6">
        <v>2022</v>
      </c>
      <c r="BV2" s="6">
        <v>2021</v>
      </c>
      <c r="BW2" s="6">
        <v>2020</v>
      </c>
      <c r="BX2" s="6">
        <v>2019</v>
      </c>
      <c r="BY2" s="6">
        <v>2023</v>
      </c>
      <c r="BZ2" s="6">
        <v>2022</v>
      </c>
      <c r="CA2" s="6">
        <v>2021</v>
      </c>
      <c r="CB2" s="6">
        <v>2020</v>
      </c>
      <c r="CC2" s="6">
        <v>2019</v>
      </c>
      <c r="CD2" s="6">
        <v>2023</v>
      </c>
      <c r="CE2" s="6">
        <v>2022</v>
      </c>
      <c r="CF2" s="6">
        <v>2021</v>
      </c>
      <c r="CG2" s="6">
        <v>2020</v>
      </c>
      <c r="CH2" s="6">
        <v>2019</v>
      </c>
      <c r="CI2" s="6">
        <v>2023</v>
      </c>
      <c r="CJ2" s="6">
        <v>2022</v>
      </c>
      <c r="CK2" s="6">
        <v>2021</v>
      </c>
      <c r="CL2" s="6">
        <v>2020</v>
      </c>
      <c r="CM2" s="6">
        <v>2019</v>
      </c>
      <c r="CN2" s="6">
        <v>2023</v>
      </c>
      <c r="CO2" s="6">
        <v>2022</v>
      </c>
      <c r="CP2" s="6">
        <v>2021</v>
      </c>
      <c r="CQ2" s="6">
        <v>2020</v>
      </c>
      <c r="CR2" s="6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s="8" t="s">
        <v>96</v>
      </c>
      <c r="B3" s="14"/>
      <c r="C3" s="14">
        <f>Painel!C3*IPC!G$3</f>
        <v>105.21300000000001</v>
      </c>
      <c r="D3" s="14">
        <f>Painel!D3*IPC!H$3</f>
        <v>78.241338000000013</v>
      </c>
      <c r="E3" s="14">
        <f>Painel!E3*IPC!I$3</f>
        <v>31.005738227100004</v>
      </c>
      <c r="F3" s="14">
        <f>Painel!F3*IPC!J$3</f>
        <v>13.101784745243378</v>
      </c>
      <c r="G3" s="14"/>
      <c r="H3" s="14">
        <f>Painel!H3*IPC!G$3</f>
        <v>159.88250000000002</v>
      </c>
      <c r="I3" s="14">
        <f>Painel!I3*IPC!H$3</f>
        <v>303.18518475000002</v>
      </c>
      <c r="J3" s="14">
        <f>Painel!J3*IPC!I$3</f>
        <v>76.32181717440001</v>
      </c>
      <c r="K3" s="14">
        <f>Painel!K3*IPC!J$3</f>
        <v>152.43422636292777</v>
      </c>
      <c r="L3" s="14"/>
      <c r="M3" s="14">
        <f>Painel!M3*IPC!G$3</f>
        <v>133.0635</v>
      </c>
      <c r="N3" s="14">
        <f>Painel!N3*IPC!H$3</f>
        <v>205.38351225000002</v>
      </c>
      <c r="O3" s="14">
        <f>Painel!O3*IPC!I$3</f>
        <v>89.43962950125001</v>
      </c>
      <c r="P3" s="14">
        <f>Painel!P3*IPC!J$3</f>
        <v>201.56591915759043</v>
      </c>
      <c r="Q3" s="14"/>
      <c r="R3" s="14">
        <f>Painel!R3*IPC!G$3</f>
        <v>22.693000000000001</v>
      </c>
      <c r="S3" s="14">
        <f>Painel!S3*IPC!H$3</f>
        <v>134.74897100000001</v>
      </c>
      <c r="T3" s="14">
        <f>Painel!T3*IPC!I$3</f>
        <v>64.396533240900013</v>
      </c>
      <c r="U3" s="14">
        <f>Painel!U3*IPC!J$3</f>
        <v>102.04274657353017</v>
      </c>
      <c r="V3" s="14"/>
      <c r="W3" s="14"/>
      <c r="X3" s="14"/>
      <c r="Y3" s="14"/>
      <c r="Z3" s="14"/>
      <c r="AA3" s="14"/>
      <c r="AB3" s="14">
        <f>Painel!AB3*IPC!G$3</f>
        <v>328.01700000000005</v>
      </c>
      <c r="AC3" s="14">
        <f>Painel!AC3*IPC!H$3</f>
        <v>289.05827650000003</v>
      </c>
      <c r="AD3" s="14">
        <f>Painel!AD3*IPC!I$3</f>
        <v>190.80454293600002</v>
      </c>
      <c r="AE3" s="14">
        <f>Painel!AE3*IPC!J$3</f>
        <v>238.0997420049037</v>
      </c>
      <c r="AF3" s="14"/>
      <c r="AG3" s="14">
        <f>Painel!AG3*IPC!G$3</f>
        <v>50.543500000000002</v>
      </c>
      <c r="AH3" s="14">
        <f>Painel!AH3*IPC!H$3</f>
        <v>60.854374000000007</v>
      </c>
      <c r="AI3" s="14">
        <f>Painel!AI3*IPC!I$3</f>
        <v>44.123550553950004</v>
      </c>
      <c r="AJ3" s="14">
        <f>Painel!AJ3*IPC!J$3</f>
        <v>18.896804921024103</v>
      </c>
      <c r="AK3" s="14"/>
      <c r="AL3" s="14">
        <f>Painel!AL3*IPC!G$3</f>
        <v>29.913500000000003</v>
      </c>
      <c r="AM3" s="14">
        <f>Painel!AM3*IPC!H$3</f>
        <v>47.81415100000001</v>
      </c>
      <c r="AN3" s="14">
        <f>Painel!AN3*IPC!I$3</f>
        <v>47.701135734000005</v>
      </c>
      <c r="AO3" s="14">
        <f>Painel!AO3*IPC!J$3</f>
        <v>128.49827346296391</v>
      </c>
      <c r="AP3" s="14"/>
      <c r="AQ3" s="14"/>
      <c r="AR3" s="14"/>
      <c r="AS3" s="14"/>
      <c r="AT3" s="14"/>
      <c r="AU3" s="1">
        <v>425</v>
      </c>
      <c r="AV3">
        <v>518</v>
      </c>
      <c r="AW3">
        <v>403</v>
      </c>
      <c r="AX3">
        <v>325</v>
      </c>
      <c r="AY3">
        <v>420</v>
      </c>
      <c r="AZ3" s="14"/>
      <c r="BA3" s="14">
        <f>Painel!BA3*IPC!G$3</f>
        <v>155.75650000000002</v>
      </c>
      <c r="BB3" s="14">
        <f>Painel!BB3*IPC!H$3</f>
        <v>192.34328925000003</v>
      </c>
      <c r="BC3" s="14">
        <f>Painel!BC3*IPC!I$3</f>
        <v>104.94249861480002</v>
      </c>
      <c r="BD3" s="14">
        <f>Painel!BD3*IPC!J$3</f>
        <v>136.05699543137354</v>
      </c>
      <c r="BE3" s="14"/>
      <c r="BF3" s="14">
        <f>Painel!BF3*IPC!G$3</f>
        <v>121.71700000000001</v>
      </c>
      <c r="BG3" s="14">
        <f>Painel!BG3*IPC!H$3</f>
        <v>118.44869225000002</v>
      </c>
      <c r="BH3" s="14">
        <f>Painel!BH3*IPC!I$3</f>
        <v>36.968380193850003</v>
      </c>
      <c r="BI3" s="14">
        <f>Painel!BI3*IPC!J$3</f>
        <v>57.95020175780725</v>
      </c>
      <c r="BJ3" s="14"/>
      <c r="BK3" s="14">
        <f>Painel!BK3*IPC!G$3</f>
        <v>72.205000000000013</v>
      </c>
      <c r="BL3" s="14">
        <f>Painel!BL3*IPC!H$3</f>
        <v>207.55688275000003</v>
      </c>
      <c r="BM3" s="14">
        <f>Painel!BM3*IPC!I$3</f>
        <v>174.10914542910001</v>
      </c>
      <c r="BN3" s="14">
        <f>Painel!BN3*IPC!J$3</f>
        <v>207.86485413126513</v>
      </c>
      <c r="BO3" s="14"/>
      <c r="BP3" s="14">
        <f>Painel!BP3*IPC!G$3</f>
        <v>76.537300000000016</v>
      </c>
      <c r="BQ3" s="14">
        <f>Painel!BQ3*IPC!H$3</f>
        <v>32.383220450000003</v>
      </c>
      <c r="BR3" s="14">
        <f>Painel!BR3*IPC!I$3</f>
        <v>40.545965373900003</v>
      </c>
      <c r="BS3" s="14">
        <f>Painel!BS3*IPC!J$3</f>
        <v>86.925302636710882</v>
      </c>
      <c r="BT3" s="14"/>
      <c r="BU3" s="14">
        <f>Painel!BU3*IPC!G$3</f>
        <v>159.88250000000002</v>
      </c>
      <c r="BV3" s="14">
        <f>Painel!BV3*IPC!H$3</f>
        <v>187.99654825000002</v>
      </c>
      <c r="BW3" s="14">
        <f>Painel!BW3*IPC!I$3</f>
        <v>120.44536772835002</v>
      </c>
      <c r="BX3" s="14">
        <f>Painel!BX3*IPC!J$3</f>
        <v>195.26698418391575</v>
      </c>
      <c r="BY3" s="14">
        <f>Resultado!Q2+Resultado!Q6</f>
        <v>263</v>
      </c>
      <c r="BZ3" s="14">
        <f>Painel!BZ3*IPC!G$3</f>
        <v>346.584</v>
      </c>
      <c r="CA3" s="14">
        <f>Painel!CA3*IPC!H$3</f>
        <v>544.42931025000007</v>
      </c>
      <c r="CB3" s="14">
        <f>Painel!CB3*IPC!I$3</f>
        <v>217.04016758970002</v>
      </c>
      <c r="CC3" s="14">
        <f>Painel!CC3*IPC!J$3</f>
        <v>273.37377785748203</v>
      </c>
      <c r="CD3" s="14"/>
      <c r="CE3" s="14">
        <f>Painel!CE3*IPC!G$3</f>
        <v>108.3075</v>
      </c>
      <c r="CF3" s="14">
        <f>Painel!CF3*IPC!H$3</f>
        <v>151.04924975000003</v>
      </c>
      <c r="CG3" s="14">
        <f>Painel!CG3*IPC!I$3</f>
        <v>87.054572714550005</v>
      </c>
      <c r="CH3" s="14">
        <f>Painel!CH3*IPC!J$3</f>
        <v>138.57656942084344</v>
      </c>
      <c r="CI3" s="14"/>
      <c r="CJ3" s="14">
        <f>Painel!CJ3*IPC!G$3</f>
        <v>211.45750000000001</v>
      </c>
      <c r="CK3" s="14">
        <f>Painel!CK3*IPC!H$3</f>
        <v>262.97783050000004</v>
      </c>
      <c r="CL3" s="14">
        <f>Painel!CL3*IPC!I$3</f>
        <v>152.64363434880002</v>
      </c>
      <c r="CM3" s="14">
        <f>Painel!CM3*IPC!J$3</f>
        <v>172.59081827868681</v>
      </c>
      <c r="CN3" s="14"/>
      <c r="CO3" s="14">
        <f>Painel!CO3*IPC!G$3</f>
        <v>33.008000000000003</v>
      </c>
      <c r="CP3" s="14">
        <f>Painel!CP3*IPC!H$3</f>
        <v>74.981282250000007</v>
      </c>
      <c r="CQ3" s="14">
        <f>Painel!CQ3*IPC!I$3</f>
        <v>116.86778254830001</v>
      </c>
      <c r="CR3" s="14">
        <f>Painel!CR3*IPC!J$3</f>
        <v>149.9146523734579</v>
      </c>
      <c r="CT3" s="14">
        <f>Painel!CT3*IPC!G$3</f>
        <v>72.205000000000013</v>
      </c>
      <c r="CU3" s="14">
        <f>Painel!CU3*IPC!H$3</f>
        <v>108.66852500000002</v>
      </c>
      <c r="CV3" s="14">
        <f>Painel!CV3*IPC!I$3</f>
        <v>46.508607340650009</v>
      </c>
      <c r="CW3" s="14">
        <f>Painel!CW3*IPC!J$3</f>
        <v>12.597869947349402</v>
      </c>
      <c r="CY3" s="14">
        <f>Painel!CY3*IPC!G$3</f>
        <v>11.346500000000001</v>
      </c>
      <c r="CZ3" s="14">
        <f>Painel!CZ3*IPC!H$3</f>
        <v>8.3674764250000013</v>
      </c>
      <c r="DA3" s="14">
        <f>Painel!DA3*IPC!I$3</f>
        <v>2.8620681440400002</v>
      </c>
      <c r="DB3" s="14">
        <f>Painel!DB3*IPC!J$3</f>
        <v>13.605699543137355</v>
      </c>
      <c r="DD3" s="14">
        <f>Painel!DD3*IPC!G$3</f>
        <v>51.575000000000003</v>
      </c>
      <c r="DE3" s="14">
        <f>Painel!DE3*IPC!H$3</f>
        <v>60.854374000000007</v>
      </c>
      <c r="DF3" s="14">
        <f>Painel!DF3*IPC!I$3</f>
        <v>17.887925900250004</v>
      </c>
      <c r="DG3" s="14">
        <f>Painel!DG3*IPC!J$3</f>
        <v>10.078295957879522</v>
      </c>
    </row>
    <row r="4" spans="1:111" x14ac:dyDescent="0.3">
      <c r="A4" s="8" t="s">
        <v>0</v>
      </c>
      <c r="B4" s="14"/>
      <c r="C4" s="14">
        <f>Painel!C4*IPC!G$3</f>
        <v>18.154400000000003</v>
      </c>
      <c r="D4" s="14">
        <f>Painel!D4*IPC!H$3</f>
        <v>15.213593500000002</v>
      </c>
      <c r="E4" s="14">
        <f>Painel!E4*IPC!I$3</f>
        <v>2.1465511080300002</v>
      </c>
      <c r="F4" s="14">
        <f>Painel!F4*IPC!J$3</f>
        <v>7.18078586998916</v>
      </c>
      <c r="G4" s="14"/>
      <c r="H4" s="14">
        <f>Painel!H4*IPC!G$3</f>
        <v>71.173500000000004</v>
      </c>
      <c r="I4" s="14">
        <f>Painel!I4*IPC!H$3</f>
        <v>54.334262500000008</v>
      </c>
      <c r="J4" s="14">
        <f>Painel!J4*IPC!I$3</f>
        <v>25.043096260350005</v>
      </c>
      <c r="K4" s="14">
        <f>Painel!K4*IPC!J$3</f>
        <v>27.715313884168687</v>
      </c>
      <c r="L4" s="14"/>
      <c r="M4" s="14">
        <f>Painel!M4*IPC!G$3</f>
        <v>72.205000000000013</v>
      </c>
      <c r="N4" s="14">
        <f>Painel!N4*IPC!H$3</f>
        <v>24.993760750000003</v>
      </c>
      <c r="O4" s="14">
        <f>Painel!O4*IPC!I$3</f>
        <v>14.310340720200003</v>
      </c>
      <c r="P4" s="14">
        <f>Painel!P4*IPC!J$3</f>
        <v>21.416378910493986</v>
      </c>
      <c r="Q4" s="14"/>
      <c r="R4" s="14">
        <f>Painel!R4*IPC!G$3</f>
        <v>18.567</v>
      </c>
      <c r="S4" s="14">
        <f>Painel!S4*IPC!H$3</f>
        <v>19.560334500000003</v>
      </c>
      <c r="T4" s="14">
        <f>Painel!T4*IPC!I$3</f>
        <v>11.925283933500001</v>
      </c>
      <c r="U4" s="14">
        <f>Painel!U4*IPC!J$3</f>
        <v>20.156591915759044</v>
      </c>
      <c r="V4" s="14"/>
      <c r="W4" s="14"/>
      <c r="X4" s="14"/>
      <c r="Y4" s="14"/>
      <c r="Z4" s="14"/>
      <c r="AA4" s="14"/>
      <c r="AB4" s="14">
        <f>Painel!AB4*IPC!G$3</f>
        <v>96.961000000000013</v>
      </c>
      <c r="AC4" s="14">
        <f>Painel!AC4*IPC!H$3</f>
        <v>136.92234150000002</v>
      </c>
      <c r="AD4" s="14">
        <f>Painel!AD4*IPC!I$3</f>
        <v>84.669515927850014</v>
      </c>
      <c r="AE4" s="14">
        <f>Painel!AE4*IPC!J$3</f>
        <v>91.964450615650634</v>
      </c>
      <c r="AF4" s="14"/>
      <c r="AG4" s="14">
        <f>Painel!AG4*IPC!G$3</f>
        <v>16.504000000000001</v>
      </c>
      <c r="AH4" s="14">
        <f>Painel!AH4*IPC!H$3</f>
        <v>6.5201115000000005</v>
      </c>
      <c r="AI4" s="14">
        <f>Painel!AI4*IPC!I$3</f>
        <v>6.7974118420950012</v>
      </c>
      <c r="AJ4" s="14">
        <f>Painel!AJ4*IPC!J$3</f>
        <v>5.0391479789397611</v>
      </c>
      <c r="AK4" s="14"/>
      <c r="AL4" s="14">
        <f>Painel!AL4*IPC!G$3</f>
        <v>29.913500000000003</v>
      </c>
      <c r="AM4" s="14">
        <f>Painel!AM4*IPC!H$3</f>
        <v>41.294039500000004</v>
      </c>
      <c r="AN4" s="14">
        <f>Painel!AN4*IPC!I$3</f>
        <v>39.353436980550008</v>
      </c>
      <c r="AO4" s="14">
        <f>Painel!AO4*IPC!J$3</f>
        <v>32.754461863108446</v>
      </c>
      <c r="AP4" s="14"/>
      <c r="AQ4" s="14"/>
      <c r="AR4" s="14"/>
      <c r="AS4" s="14"/>
      <c r="AT4" s="14"/>
      <c r="AU4" s="14">
        <f>Resultado!K3</f>
        <v>183</v>
      </c>
      <c r="AV4" s="14">
        <f>Painel!AV4*IPC!G$3</f>
        <v>154.72500000000002</v>
      </c>
      <c r="AW4" s="14">
        <f>Painel!AW4*IPC!H$3</f>
        <v>173.86964000000003</v>
      </c>
      <c r="AX4" s="14">
        <f>Painel!AX4*IPC!I$3</f>
        <v>113.29019736825002</v>
      </c>
      <c r="AY4" s="14">
        <f>Painel!AY4*IPC!J$3</f>
        <v>99.523172584060276</v>
      </c>
      <c r="AZ4" s="14"/>
      <c r="BA4" s="14">
        <f>Painel!BA4*IPC!G$3</f>
        <v>34.039500000000004</v>
      </c>
      <c r="BB4" s="14">
        <f>Painel!BB4*IPC!H$3</f>
        <v>21.733705000000004</v>
      </c>
      <c r="BC4" s="14">
        <f>Painel!BC4*IPC!I$3</f>
        <v>11.686778254830003</v>
      </c>
      <c r="BD4" s="14">
        <f>Painel!BD4*IPC!J$3</f>
        <v>11.338082952614462</v>
      </c>
      <c r="BE4" s="14"/>
      <c r="BF4" s="14">
        <f>Painel!BF4*IPC!G$3</f>
        <v>22.693000000000001</v>
      </c>
      <c r="BG4" s="14">
        <f>Painel!BG4*IPC!H$3</f>
        <v>9.7801672500000016</v>
      </c>
      <c r="BH4" s="14">
        <f>Painel!BH4*IPC!I$3</f>
        <v>7.1551703601000014</v>
      </c>
      <c r="BI4" s="14">
        <f>Painel!BI4*IPC!J$3</f>
        <v>9.4484024605120513</v>
      </c>
      <c r="BJ4" s="14"/>
      <c r="BK4" s="14">
        <f>Painel!BK4*IPC!G$3</f>
        <v>45.386000000000003</v>
      </c>
      <c r="BL4" s="14">
        <f>Painel!BL4*IPC!H$3</f>
        <v>48.900836250000005</v>
      </c>
      <c r="BM4" s="14">
        <f>Painel!BM4*IPC!I$3</f>
        <v>39.353436980550008</v>
      </c>
      <c r="BN4" s="14">
        <f>Painel!BN4*IPC!J$3</f>
        <v>46.612118805192793</v>
      </c>
      <c r="BO4" s="14"/>
      <c r="BP4" s="14">
        <f>Painel!BP4*IPC!G$3</f>
        <v>13.409500000000001</v>
      </c>
      <c r="BQ4" s="14">
        <f>Painel!BQ4*IPC!H$3</f>
        <v>5.433426250000001</v>
      </c>
      <c r="BR4" s="14">
        <f>Painel!BR4*IPC!I$3</f>
        <v>5.3663777700750011</v>
      </c>
      <c r="BS4" s="14">
        <f>Painel!BS4*IPC!J$3</f>
        <v>7.5587219684096416</v>
      </c>
      <c r="BT4" s="14"/>
      <c r="BU4" s="14">
        <f>Painel!BU4*IPC!G$3</f>
        <v>48.480500000000006</v>
      </c>
      <c r="BV4" s="14">
        <f>Painel!BV4*IPC!H$3</f>
        <v>42.380724750000006</v>
      </c>
      <c r="BW4" s="14">
        <f>Painel!BW4*IPC!I$3</f>
        <v>38.160908587200005</v>
      </c>
      <c r="BX4" s="14">
        <f>Painel!BX4*IPC!J$3</f>
        <v>59.209988752542195</v>
      </c>
      <c r="BY4" s="14">
        <f>Resultado!Q3</f>
        <v>121</v>
      </c>
      <c r="BZ4" s="14">
        <f>Painel!BZ4*IPC!G$3</f>
        <v>140.28400000000002</v>
      </c>
      <c r="CA4" s="14">
        <f>Painel!CA4*IPC!H$3</f>
        <v>191.25660400000004</v>
      </c>
      <c r="CB4" s="14">
        <f>Painel!CB4*IPC!I$3</f>
        <v>137.14076523525003</v>
      </c>
      <c r="CC4" s="14">
        <f>Painel!CC4*IPC!J$3</f>
        <v>142.35593040504824</v>
      </c>
      <c r="CD4" s="14"/>
      <c r="CE4" s="14">
        <f>Painel!CE4*IPC!G$3</f>
        <v>55.701000000000008</v>
      </c>
      <c r="CF4" s="14">
        <f>Painel!CF4*IPC!H$3</f>
        <v>42.380724750000006</v>
      </c>
      <c r="CG4" s="14">
        <f>Painel!CG4*IPC!I$3</f>
        <v>17.887925900250004</v>
      </c>
      <c r="CH4" s="14">
        <f>Painel!CH4*IPC!J$3</f>
        <v>17.637017926289165</v>
      </c>
      <c r="CI4" s="14"/>
      <c r="CJ4" s="14">
        <f>Painel!CJ4*IPC!G$3</f>
        <v>55.701000000000008</v>
      </c>
      <c r="CK4" s="14">
        <f>Painel!CK4*IPC!H$3</f>
        <v>35.860613250000007</v>
      </c>
      <c r="CL4" s="14">
        <f>Painel!CL4*IPC!I$3</f>
        <v>19.080454293600003</v>
      </c>
      <c r="CM4" s="14">
        <f>Painel!CM4*IPC!J$3</f>
        <v>26.455526889433745</v>
      </c>
      <c r="CN4" s="14"/>
      <c r="CO4" s="14">
        <f>Painel!CO4*IPC!G$3</f>
        <v>24.343400000000003</v>
      </c>
      <c r="CP4" s="14">
        <f>Painel!CP4*IPC!H$3</f>
        <v>21.733705000000004</v>
      </c>
      <c r="CQ4" s="14">
        <f>Painel!CQ4*IPC!I$3</f>
        <v>19.080454293600003</v>
      </c>
      <c r="CR4" s="14">
        <f>Painel!CR4*IPC!J$3</f>
        <v>20.156591915759044</v>
      </c>
      <c r="CT4" s="14">
        <f>Painel!CT4*IPC!G$3</f>
        <v>5.1575000000000006</v>
      </c>
      <c r="CU4" s="14">
        <f>Painel!CU4*IPC!H$3</f>
        <v>3.4773928000000005</v>
      </c>
      <c r="CV4" s="14">
        <f>Painel!CV4*IPC!I$3</f>
        <v>4.4123550553950004</v>
      </c>
      <c r="CW4" s="14">
        <f>Painel!CW4*IPC!J$3</f>
        <v>3.6533822847313266</v>
      </c>
      <c r="CY4" s="14">
        <f>Painel!CY4*IPC!G$3</f>
        <v>2.8881999999999999</v>
      </c>
      <c r="CZ4" s="14">
        <f>Painel!CZ4*IPC!H$3</f>
        <v>2.0647019750000002</v>
      </c>
      <c r="DA4" s="14">
        <f>Painel!DA4*IPC!I$3</f>
        <v>0.59626419667500008</v>
      </c>
      <c r="DB4" s="14">
        <f>Painel!DB4*IPC!J$3</f>
        <v>1.6377230931554223</v>
      </c>
      <c r="DD4" s="14">
        <f>Painel!DD4*IPC!G$3</f>
        <v>13.409500000000001</v>
      </c>
      <c r="DE4" s="14">
        <f>Painel!DE4*IPC!H$3</f>
        <v>5.433426250000001</v>
      </c>
      <c r="DF4" s="14">
        <f>Painel!DF4*IPC!I$3</f>
        <v>3.8160908587200009</v>
      </c>
      <c r="DG4" s="14">
        <f>Painel!DG4*IPC!J$3</f>
        <v>2.2676165905228927</v>
      </c>
    </row>
    <row r="5" spans="1:111" x14ac:dyDescent="0.3">
      <c r="A5" s="9" t="s">
        <v>87</v>
      </c>
      <c r="B5" s="14"/>
      <c r="C5" s="14">
        <f>Painel!C5*IPC!G$3</f>
        <v>3.6102500000000002</v>
      </c>
      <c r="D5" s="14">
        <f>Painel!D5*IPC!H$3</f>
        <v>4.1294039500000004</v>
      </c>
      <c r="E5" s="14">
        <f>Painel!E5*IPC!I$3</f>
        <v>0.95402271468000022</v>
      </c>
      <c r="F5" s="14">
        <f>Painel!F5*IPC!J$3</f>
        <v>0.37793609842048209</v>
      </c>
      <c r="G5" s="14"/>
      <c r="H5" s="14">
        <f>Painel!H5*IPC!G$3</f>
        <v>40.228500000000004</v>
      </c>
      <c r="I5" s="14">
        <f>Painel!I5*IPC!H$3</f>
        <v>46.727465750000007</v>
      </c>
      <c r="J5" s="14">
        <f>Painel!J5*IPC!I$3</f>
        <v>0.83476987534500002</v>
      </c>
      <c r="K5" s="14">
        <f>Painel!K5*IPC!J$3</f>
        <v>21.416378910493986</v>
      </c>
      <c r="L5" s="14"/>
      <c r="M5" s="14">
        <f>Painel!M5*IPC!G$3</f>
        <v>24.756</v>
      </c>
      <c r="N5" s="14">
        <f>Painel!N5*IPC!H$3</f>
        <v>5.6507633000000013</v>
      </c>
      <c r="O5" s="14">
        <f>Painel!O5*IPC!I$3</f>
        <v>2.1465511080300002</v>
      </c>
      <c r="P5" s="14">
        <f>Painel!P5*IPC!J$3</f>
        <v>30.234887873638566</v>
      </c>
      <c r="Q5" s="14"/>
      <c r="R5" s="14">
        <f>Painel!R5*IPC!G$3</f>
        <v>18.567</v>
      </c>
      <c r="S5" s="14">
        <f>Painel!S5*IPC!H$3</f>
        <v>2.1733705000000003</v>
      </c>
      <c r="T5" s="14">
        <f>Painel!T5*IPC!I$3</f>
        <v>5.9626419667500006</v>
      </c>
      <c r="U5" s="14">
        <f>Painel!U5*IPC!J$3</f>
        <v>21.416378910493986</v>
      </c>
      <c r="V5" s="14"/>
      <c r="W5" s="14"/>
      <c r="X5" s="14"/>
      <c r="Y5" s="14"/>
      <c r="Z5" s="14"/>
      <c r="AA5" s="14"/>
      <c r="AB5" s="14">
        <f>Painel!AB5*IPC!G$3</f>
        <v>101.087</v>
      </c>
      <c r="AC5" s="14">
        <f>Painel!AC5*IPC!H$3</f>
        <v>16.300278750000004</v>
      </c>
      <c r="AD5" s="14">
        <f>Painel!AD5*IPC!I$3</f>
        <v>8.3476987534500005</v>
      </c>
      <c r="AE5" s="14">
        <f>Painel!AE5*IPC!J$3</f>
        <v>78.106793673566301</v>
      </c>
      <c r="AF5" s="14"/>
      <c r="AG5" s="14">
        <f>Painel!AG5*IPC!G$3</f>
        <v>27.850500000000004</v>
      </c>
      <c r="AH5" s="14">
        <f>Painel!AH5*IPC!H$3</f>
        <v>6.5201115000000005</v>
      </c>
      <c r="AI5" s="14">
        <f>Painel!AI5*IPC!I$3</f>
        <v>5.6048834487450012</v>
      </c>
      <c r="AJ5" s="14">
        <f>Painel!AJ5*IPC!J$3</f>
        <v>6.5508923726216892</v>
      </c>
      <c r="AK5" s="14"/>
      <c r="AL5" s="14">
        <f>Painel!AL5*IPC!G$3</f>
        <v>33.008000000000003</v>
      </c>
      <c r="AM5" s="14">
        <f>Painel!AM5*IPC!H$3</f>
        <v>2.4993760750000003</v>
      </c>
      <c r="AN5" s="14">
        <f>Painel!AN5*IPC!I$3</f>
        <v>1.1925283933500002</v>
      </c>
      <c r="AO5" s="14">
        <f>Painel!AO5*IPC!J$3</f>
        <v>22.676165905228924</v>
      </c>
      <c r="AP5" s="14"/>
      <c r="AQ5" s="14"/>
      <c r="AR5" s="14"/>
      <c r="AS5" s="14"/>
      <c r="AT5" s="14"/>
      <c r="AU5" s="14">
        <f>Resultado!K4</f>
        <v>169</v>
      </c>
      <c r="AV5" s="14">
        <f>Painel!AV5*IPC!G$3</f>
        <v>131.00050000000002</v>
      </c>
      <c r="AW5" s="14">
        <f>Painel!AW5*IPC!H$3</f>
        <v>34.773928000000005</v>
      </c>
      <c r="AX5" s="14">
        <f>Painel!AX5*IPC!I$3</f>
        <v>35.775851800500007</v>
      </c>
      <c r="AY5" s="14">
        <f>Painel!AY5*IPC!J$3</f>
        <v>143.61571739978319</v>
      </c>
      <c r="AZ5" s="14"/>
      <c r="BA5" s="14">
        <f>Painel!BA5*IPC!G$3</f>
        <v>24.756</v>
      </c>
      <c r="BB5" s="14">
        <f>Painel!BB5*IPC!H$3</f>
        <v>2.1733705000000003</v>
      </c>
      <c r="BC5" s="14">
        <f>Painel!BC5*IPC!I$3</f>
        <v>3.5775851800500007</v>
      </c>
      <c r="BD5" s="14">
        <f>Painel!BD5*IPC!J$3</f>
        <v>20.156591915759044</v>
      </c>
      <c r="BE5" s="14"/>
      <c r="BF5" s="14">
        <f>Painel!BF5*IPC!G$3</f>
        <v>19.598500000000001</v>
      </c>
      <c r="BG5" s="14">
        <f>Painel!BG5*IPC!H$3</f>
        <v>6.5201115000000005</v>
      </c>
      <c r="BH5" s="14">
        <f>Painel!BH5*IPC!I$3</f>
        <v>2.3850567867000003</v>
      </c>
      <c r="BI5" s="14">
        <f>Painel!BI5*IPC!J$3</f>
        <v>15.117443936819283</v>
      </c>
      <c r="BJ5" s="14"/>
      <c r="BK5" s="14"/>
      <c r="BL5" s="14"/>
      <c r="BM5" s="14"/>
      <c r="BN5" s="14"/>
      <c r="BO5" s="14"/>
      <c r="BP5" s="14">
        <f>Painel!BP5*IPC!G$3</f>
        <v>5.7763999999999998</v>
      </c>
      <c r="BQ5" s="14">
        <f>Painel!BQ5*IPC!H$3</f>
        <v>0.65201115000000009</v>
      </c>
      <c r="BR5" s="14">
        <f>Painel!BR5*IPC!I$3</f>
        <v>0.23850567867000005</v>
      </c>
      <c r="BS5" s="14">
        <f>Painel!BS5*IPC!J$3</f>
        <v>10.834168154720485</v>
      </c>
      <c r="BT5" s="14"/>
      <c r="BU5" s="14">
        <f>Painel!BU5*IPC!G$3</f>
        <v>15.472500000000002</v>
      </c>
      <c r="BV5" s="14">
        <f>Painel!BV5*IPC!H$3</f>
        <v>3.0427187000000004</v>
      </c>
      <c r="BW5" s="14">
        <f>Painel!BW5*IPC!I$3</f>
        <v>4.2931022160600003</v>
      </c>
      <c r="BX5" s="14">
        <f>Painel!BX5*IPC!J$3</f>
        <v>25.195739894698804</v>
      </c>
      <c r="BY5" s="14">
        <f>Resultado!Q4</f>
        <v>63</v>
      </c>
      <c r="BZ5" s="14">
        <f>Painel!BZ5*IPC!G$3</f>
        <v>57.764000000000003</v>
      </c>
      <c r="CA5" s="14">
        <f>Painel!CA5*IPC!H$3</f>
        <v>13.040223000000001</v>
      </c>
      <c r="CB5" s="14">
        <f>Painel!CB5*IPC!I$3</f>
        <v>7.1551703601000014</v>
      </c>
      <c r="CC5" s="14">
        <f>Painel!CC5*IPC!J$3</f>
        <v>56.690414763072312</v>
      </c>
      <c r="CD5" s="14"/>
      <c r="CE5" s="14">
        <f>Painel!CE5*IPC!G$3</f>
        <v>45.386000000000003</v>
      </c>
      <c r="CF5" s="14">
        <f>Painel!CF5*IPC!H$3</f>
        <v>88.021505250000018</v>
      </c>
      <c r="CG5" s="14">
        <f>Painel!CG5*IPC!I$3</f>
        <v>35.775851800500007</v>
      </c>
      <c r="CH5" s="14">
        <f>Painel!CH5*IPC!J$3</f>
        <v>30.234887873638566</v>
      </c>
      <c r="CI5" s="14"/>
      <c r="CJ5" s="14">
        <f>Painel!CJ5*IPC!G$3</f>
        <v>66.016000000000005</v>
      </c>
      <c r="CK5" s="14">
        <f>Painel!CK5*IPC!H$3</f>
        <v>8.6934820000000013</v>
      </c>
      <c r="CL5" s="14">
        <f>Painel!CL5*IPC!I$3</f>
        <v>7.1551703601000014</v>
      </c>
      <c r="CM5" s="14">
        <f>Painel!CM5*IPC!J$3</f>
        <v>49.131692794662669</v>
      </c>
      <c r="CN5" s="14"/>
      <c r="CO5" s="14">
        <f>Painel!CO5*IPC!G$3</f>
        <v>11.44965</v>
      </c>
      <c r="CP5" s="14">
        <f>Painel!CP5*IPC!H$3</f>
        <v>0.65201115000000009</v>
      </c>
      <c r="CQ5" s="14">
        <f>Painel!CQ5*IPC!I$3</f>
        <v>3.2198266620450005</v>
      </c>
      <c r="CR5" s="14">
        <f>Painel!CR5*IPC!J$3</f>
        <v>20.156591915759044</v>
      </c>
      <c r="CT5" s="14">
        <f>Painel!CT5*IPC!G$3</f>
        <v>8.2520000000000007</v>
      </c>
      <c r="CU5" s="14">
        <f>Painel!CU5*IPC!H$3</f>
        <v>0.76067967500000011</v>
      </c>
      <c r="CV5" s="14">
        <f>Painel!CV5*IPC!I$3</f>
        <v>0.23850567867000005</v>
      </c>
      <c r="CW5" s="14">
        <f>Painel!CW5*IPC!J$3</f>
        <v>1.8896804921024104</v>
      </c>
      <c r="CY5" s="14">
        <f>Painel!CY5*IPC!G$3</f>
        <v>1.2378</v>
      </c>
      <c r="CZ5" s="14">
        <f>Painel!CZ5*IPC!H$3</f>
        <v>0.21733705000000003</v>
      </c>
      <c r="DA5" s="14">
        <f>Painel!DA5*IPC!I$3</f>
        <v>0.11925283933500003</v>
      </c>
      <c r="DB5" s="14">
        <f>Painel!DB5*IPC!J$3</f>
        <v>0.88185089631445812</v>
      </c>
      <c r="DD5" s="14">
        <f>Painel!DD5*IPC!G$3</f>
        <v>1.4440999999999999</v>
      </c>
      <c r="DE5" s="14">
        <f>Painel!DE5*IPC!H$3</f>
        <v>0.54334262500000008</v>
      </c>
      <c r="DF5" s="14">
        <f>Painel!DF5*IPC!I$3</f>
        <v>0.59626419667500008</v>
      </c>
      <c r="DG5" s="14">
        <f>Painel!DG5*IPC!J$3</f>
        <v>1.2597869947349403</v>
      </c>
    </row>
    <row r="6" spans="1:111" x14ac:dyDescent="0.3">
      <c r="A6" s="9" t="s">
        <v>3</v>
      </c>
      <c r="B6" s="14"/>
      <c r="C6" s="14"/>
      <c r="D6" s="14"/>
      <c r="E6" s="14"/>
      <c r="F6" s="14"/>
      <c r="G6" s="14"/>
      <c r="H6" s="14">
        <f>Painel!H6*IPC!G$3</f>
        <v>29.913500000000003</v>
      </c>
      <c r="I6" s="14">
        <f>Painel!I6*IPC!H$3</f>
        <v>14.126908250000001</v>
      </c>
      <c r="J6" s="14">
        <f>Painel!J6*IPC!I$3</f>
        <v>11.925283933500001</v>
      </c>
      <c r="K6" s="14">
        <f>Painel!K6*IPC!J$3</f>
        <v>12.597869947349402</v>
      </c>
      <c r="L6" s="14"/>
      <c r="M6" s="14">
        <f>Painel!M6*IPC!G$3</f>
        <v>39.197000000000003</v>
      </c>
      <c r="N6" s="14">
        <f>Painel!N6*IPC!H$3</f>
        <v>23.907075500000005</v>
      </c>
      <c r="O6" s="14">
        <f>Painel!O6*IPC!I$3</f>
        <v>28.024417243725004</v>
      </c>
      <c r="P6" s="14">
        <f>Painel!P6*IPC!J$3</f>
        <v>34.014248857843384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>
        <f>Painel!AB6*IPC!G$3</f>
        <v>33.008000000000003</v>
      </c>
      <c r="AC6" s="14">
        <f>Painel!AC6*IPC!H$3</f>
        <v>14.126908250000001</v>
      </c>
      <c r="AD6" s="14">
        <f>Painel!AD6*IPC!I$3</f>
        <v>15.502869113550002</v>
      </c>
      <c r="AE6" s="14">
        <f>Painel!AE6*IPC!J$3</f>
        <v>26.455526889433745</v>
      </c>
      <c r="AF6" s="14"/>
      <c r="AG6" s="14">
        <f>Painel!AG6*IPC!G$3</f>
        <v>22.693000000000001</v>
      </c>
      <c r="AH6" s="14">
        <f>Painel!AH6*IPC!H$3</f>
        <v>9.2368246250000006</v>
      </c>
      <c r="AI6" s="14">
        <f>Painel!AI6*IPC!I$3</f>
        <v>11.567525415495</v>
      </c>
      <c r="AJ6" s="14">
        <f>Painel!AJ6*IPC!J$3</f>
        <v>12.597869947349402</v>
      </c>
      <c r="AK6" s="14"/>
      <c r="AL6" s="14">
        <f>Painel!AL6*IPC!G$3</f>
        <v>30.945000000000004</v>
      </c>
      <c r="AM6" s="14">
        <f>Painel!AM6*IPC!H$3</f>
        <v>7.8241338000000011</v>
      </c>
      <c r="AN6" s="14">
        <f>Painel!AN6*IPC!I$3</f>
        <v>14.310340720200003</v>
      </c>
      <c r="AO6" s="14">
        <f>Painel!AO6*IPC!J$3</f>
        <v>17.637017926289165</v>
      </c>
      <c r="AP6" s="14"/>
      <c r="AQ6" s="14"/>
      <c r="AR6" s="14"/>
      <c r="AS6" s="14"/>
      <c r="AT6" s="14"/>
      <c r="AU6" s="14">
        <f>Resultado!K5</f>
        <v>90</v>
      </c>
      <c r="AV6" s="14">
        <f>Painel!AV6*IPC!G$3</f>
        <v>74.268000000000001</v>
      </c>
      <c r="AW6" s="14">
        <f>Painel!AW6*IPC!H$3</f>
        <v>41.294039500000004</v>
      </c>
      <c r="AX6" s="14">
        <f>Painel!AX6*IPC!I$3</f>
        <v>73.936760387700005</v>
      </c>
      <c r="AY6" s="14">
        <f>Painel!AY6*IPC!J$3</f>
        <v>78.106793673566301</v>
      </c>
      <c r="AZ6" s="14"/>
      <c r="BA6" s="14">
        <f>Painel!BA6*IPC!G$3</f>
        <v>22.693000000000001</v>
      </c>
      <c r="BB6" s="14">
        <f>Painel!BB6*IPC!H$3</f>
        <v>9.7801672500000016</v>
      </c>
      <c r="BC6" s="14">
        <f>Painel!BC6*IPC!I$3</f>
        <v>13.117812326850002</v>
      </c>
      <c r="BD6" s="14">
        <f>Painel!BD6*IPC!J$3</f>
        <v>6.2989349736747009</v>
      </c>
      <c r="BE6" s="14"/>
      <c r="BF6" s="14">
        <f>Painel!BF6*IPC!G$3</f>
        <v>36.102500000000006</v>
      </c>
      <c r="BG6" s="14">
        <f>Painel!BG6*IPC!H$3</f>
        <v>15.213593500000002</v>
      </c>
      <c r="BH6" s="14">
        <f>Painel!BH6*IPC!I$3</f>
        <v>13.117812326850002</v>
      </c>
      <c r="BI6" s="14">
        <f>Painel!BI6*IPC!J$3</f>
        <v>23.935952899963866</v>
      </c>
      <c r="BJ6" s="14"/>
      <c r="BK6" s="14"/>
      <c r="BL6" s="14"/>
      <c r="BM6" s="14"/>
      <c r="BN6" s="14"/>
      <c r="BO6" s="14"/>
      <c r="BP6" s="14">
        <f>Painel!BP6*IPC!G$3</f>
        <v>1.3409500000000001</v>
      </c>
      <c r="BQ6" s="14">
        <f>Painel!BQ6*IPC!H$3</f>
        <v>0.97801672500000014</v>
      </c>
      <c r="BR6" s="14">
        <f>Painel!BR6*IPC!I$3</f>
        <v>1.0732755540150001</v>
      </c>
      <c r="BS6" s="14">
        <f>Painel!BS6*IPC!J$3</f>
        <v>1.1338082952614463</v>
      </c>
      <c r="BT6" s="14"/>
      <c r="BU6" s="14"/>
      <c r="BV6" s="14"/>
      <c r="BW6" s="14"/>
      <c r="BX6" s="14"/>
      <c r="BY6" s="14">
        <f>Resultado!Q5</f>
        <v>59</v>
      </c>
      <c r="BZ6" s="14">
        <f>Painel!BZ6*IPC!G$3</f>
        <v>51.575000000000003</v>
      </c>
      <c r="CA6" s="14">
        <f>Painel!CA6*IPC!H$3</f>
        <v>20.647019750000002</v>
      </c>
      <c r="CB6" s="14">
        <f>Painel!CB6*IPC!I$3</f>
        <v>26.235624653700004</v>
      </c>
      <c r="CC6" s="14">
        <f>Painel!CC6*IPC!J$3</f>
        <v>57.95020175780725</v>
      </c>
      <c r="CD6" s="14"/>
      <c r="CE6" s="14"/>
      <c r="CF6" s="14"/>
      <c r="CG6" s="14"/>
      <c r="CH6" s="14"/>
      <c r="CI6" s="14"/>
      <c r="CJ6" s="14">
        <f>Painel!CJ6*IPC!G$3</f>
        <v>18.567</v>
      </c>
      <c r="CK6" s="14">
        <f>Painel!CK6*IPC!H$3</f>
        <v>10.866852500000002</v>
      </c>
      <c r="CL6" s="14">
        <f>Painel!CL6*IPC!I$3</f>
        <v>8.3476987534500005</v>
      </c>
      <c r="CM6" s="14">
        <f>Painel!CM6*IPC!J$3</f>
        <v>12.597869947349402</v>
      </c>
      <c r="CN6" s="14"/>
      <c r="CO6" s="14">
        <f>Painel!CO6*IPC!G$3</f>
        <v>27.850500000000004</v>
      </c>
      <c r="CP6" s="14">
        <f>Painel!CP6*IPC!H$3</f>
        <v>23.907075500000005</v>
      </c>
      <c r="CQ6" s="14">
        <f>Painel!CQ6*IPC!I$3</f>
        <v>34.583323407150004</v>
      </c>
      <c r="CR6" s="14">
        <f>Painel!CR6*IPC!J$3</f>
        <v>45.352331810457848</v>
      </c>
      <c r="CT6" s="14">
        <f>Painel!CT6*IPC!G$3</f>
        <v>0.72204999999999997</v>
      </c>
      <c r="CU6" s="14">
        <f>Painel!CU6*IPC!H$3</f>
        <v>0.21733705000000003</v>
      </c>
      <c r="CV6" s="14">
        <f>Painel!CV6*IPC!I$3</f>
        <v>0.23850567867000005</v>
      </c>
      <c r="CW6" s="14">
        <f>Painel!CW6*IPC!J$3</f>
        <v>0.12597869947349402</v>
      </c>
      <c r="CY6" s="14">
        <f>Painel!CY6*IPC!G$3</f>
        <v>7.8394000000000004</v>
      </c>
      <c r="CZ6" s="14">
        <f>Painel!CZ6*IPC!H$3</f>
        <v>1.8473649250000002</v>
      </c>
      <c r="DA6" s="14">
        <f>Painel!DA6*IPC!I$3</f>
        <v>2.1465511080300002</v>
      </c>
      <c r="DB6" s="14">
        <f>Painel!DB6*IPC!J$3</f>
        <v>3.7793609842048208</v>
      </c>
      <c r="DD6" s="14">
        <f>Painel!DD6*IPC!G$3</f>
        <v>4.4354500000000003</v>
      </c>
      <c r="DE6" s="14">
        <f>Painel!DE6*IPC!H$3</f>
        <v>2.7167131250000005</v>
      </c>
      <c r="DF6" s="14">
        <f>Painel!DF6*IPC!I$3</f>
        <v>1.7887925900250004</v>
      </c>
      <c r="DG6" s="14">
        <f>Painel!DG6*IPC!J$3</f>
        <v>4.6612118805192795</v>
      </c>
    </row>
    <row r="7" spans="1:111" x14ac:dyDescent="0.3">
      <c r="A7" s="9" t="s">
        <v>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>
        <f>Resultado!K6</f>
        <v>137</v>
      </c>
      <c r="AV7" s="14">
        <f>Painel!AV7*IPC!G$3</f>
        <v>257.875</v>
      </c>
      <c r="AW7" s="14">
        <f>Painel!AW7*IPC!H$3</f>
        <v>157.56936125000001</v>
      </c>
      <c r="AX7" s="14">
        <f>Painel!AX7*IPC!I$3</f>
        <v>108.52008379485001</v>
      </c>
      <c r="AY7" s="14">
        <f>Painel!AY7*IPC!J$3</f>
        <v>220.46272407861454</v>
      </c>
      <c r="AZ7" s="14"/>
      <c r="BA7" s="14"/>
      <c r="BB7" s="14"/>
      <c r="BC7" s="14"/>
      <c r="BD7" s="14"/>
      <c r="BE7" s="14"/>
      <c r="BF7" s="14">
        <f>Painel!BF7*IPC!G$3</f>
        <v>37.134</v>
      </c>
      <c r="BG7" s="14">
        <f>Painel!BG7*IPC!H$3</f>
        <v>38.033983750000004</v>
      </c>
      <c r="BH7" s="14">
        <f>Painel!BH7*IPC!I$3</f>
        <v>0</v>
      </c>
      <c r="BI7" s="14">
        <f>Painel!BI7*IPC!J$3</f>
        <v>15.117443936819283</v>
      </c>
      <c r="BJ7" s="14"/>
      <c r="BK7" s="14"/>
      <c r="BL7" s="14"/>
      <c r="BM7" s="14"/>
      <c r="BN7" s="14"/>
      <c r="BO7" s="14"/>
      <c r="BP7" s="14">
        <f>Painel!BP7*IPC!G$3</f>
        <v>7.426800000000001</v>
      </c>
      <c r="BQ7" s="14">
        <f>Painel!BQ7*IPC!H$3</f>
        <v>0.86934820000000013</v>
      </c>
      <c r="BR7" s="14">
        <f>Painel!BR7*IPC!I$3</f>
        <v>4.7701135734000006</v>
      </c>
      <c r="BS7" s="14">
        <f>Painel!BS7*IPC!J$3</f>
        <v>2.5195739894698805</v>
      </c>
      <c r="BT7" s="14"/>
      <c r="BU7" s="14">
        <f>Painel!BU7*IPC!G$3</f>
        <v>14.441000000000001</v>
      </c>
      <c r="BV7" s="14">
        <f>Painel!BV7*IPC!H$3</f>
        <v>64.114429750000014</v>
      </c>
      <c r="BW7" s="14">
        <f>Painel!BW7*IPC!I$3</f>
        <v>39.353436980550008</v>
      </c>
      <c r="BX7" s="14">
        <f>Painel!BX7*IPC!J$3</f>
        <v>90.704663620915696</v>
      </c>
      <c r="BY7" s="14">
        <f>Resultado!Q6</f>
        <v>80</v>
      </c>
      <c r="BZ7" s="14">
        <f>Painel!BZ7*IPC!G$3</f>
        <v>173.292</v>
      </c>
      <c r="CA7" s="14">
        <f>Painel!CA7*IPC!H$3</f>
        <v>264.06451575000006</v>
      </c>
      <c r="CB7" s="14">
        <f>Painel!CB7*IPC!I$3</f>
        <v>34.583323407150004</v>
      </c>
      <c r="CC7" s="14">
        <f>Painel!CC7*IPC!J$3</f>
        <v>25.195739894698804</v>
      </c>
      <c r="CD7" s="14"/>
      <c r="CE7" s="14"/>
      <c r="CF7" s="14"/>
      <c r="CG7" s="14"/>
      <c r="CH7" s="14"/>
      <c r="CI7" s="14"/>
      <c r="CJ7" s="14">
        <f>Painel!CJ7*IPC!G$3</f>
        <v>29.913500000000003</v>
      </c>
      <c r="CK7" s="14">
        <f>Painel!CK7*IPC!H$3</f>
        <v>52.160892000000004</v>
      </c>
      <c r="CL7" s="14">
        <f>Painel!CL7*IPC!I$3</f>
        <v>0.59626419667500008</v>
      </c>
      <c r="CM7" s="14">
        <f>Painel!CM7*IPC!J$3</f>
        <v>34.014248857843384</v>
      </c>
      <c r="CN7" s="14"/>
      <c r="CO7" s="14">
        <f>Painel!CO7*IPC!G$3</f>
        <v>2.0630000000000002</v>
      </c>
      <c r="CP7" s="14">
        <f>Painel!CP7*IPC!H$3</f>
        <v>7.6067967500000009</v>
      </c>
      <c r="CQ7" s="14">
        <f>Painel!CQ7*IPC!I$3</f>
        <v>14.310340720200003</v>
      </c>
      <c r="CR7" s="14">
        <f>Painel!CR7*IPC!J$3</f>
        <v>27.715313884168687</v>
      </c>
      <c r="CT7" s="14">
        <f>Painel!CT7*IPC!G$3</f>
        <v>0</v>
      </c>
      <c r="CU7" s="14">
        <f>Painel!CU7*IPC!H$3</f>
        <v>0</v>
      </c>
      <c r="CV7" s="14">
        <f>Painel!CV7*IPC!I$3</f>
        <v>0</v>
      </c>
      <c r="CW7" s="14">
        <f>Painel!CW7*IPC!J$3</f>
        <v>0</v>
      </c>
      <c r="CY7" s="14">
        <f>Painel!CY7*IPC!G$3</f>
        <v>0</v>
      </c>
      <c r="CZ7" s="14">
        <f>Painel!CZ7*IPC!H$3</f>
        <v>0</v>
      </c>
      <c r="DA7" s="14">
        <f>Painel!DA7*IPC!I$3</f>
        <v>0</v>
      </c>
      <c r="DB7" s="14">
        <f>Painel!DB7*IPC!J$3</f>
        <v>0</v>
      </c>
      <c r="DD7" s="14">
        <f>Painel!DD7*IPC!G$3</f>
        <v>0</v>
      </c>
      <c r="DE7" s="14">
        <f>Painel!DE7*IPC!H$3</f>
        <v>0</v>
      </c>
      <c r="DF7" s="14">
        <f>Painel!DF7*IPC!I$3</f>
        <v>0</v>
      </c>
      <c r="DG7" s="14">
        <f>Painel!DG7*IPC!J$3</f>
        <v>0</v>
      </c>
    </row>
    <row r="8" spans="1:111" x14ac:dyDescent="0.3">
      <c r="A8" s="9" t="s">
        <v>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>
        <f>Painel!M8*IPC!G$3</f>
        <v>80.457000000000008</v>
      </c>
      <c r="N8" s="14">
        <f>Painel!N8*IPC!H$3</f>
        <v>29.340501750000005</v>
      </c>
      <c r="O8" s="14">
        <f>Painel!O8*IPC!I$3</f>
        <v>16.695397506900001</v>
      </c>
      <c r="P8" s="14">
        <f>Painel!P8*IPC!J$3</f>
        <v>34.014248857843384</v>
      </c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>
        <f>Painel!AL8*IPC!G$3</f>
        <v>14.441000000000001</v>
      </c>
      <c r="AM8" s="14"/>
      <c r="AN8" s="14"/>
      <c r="AO8" s="14"/>
      <c r="AP8" s="14"/>
      <c r="AQ8" s="14"/>
      <c r="AR8" s="14"/>
      <c r="AS8" s="14"/>
      <c r="AT8" s="14"/>
      <c r="AU8" s="14">
        <f>Resultado!K7</f>
        <v>59</v>
      </c>
      <c r="AV8" s="14">
        <f>Painel!AV8*IPC!G$3</f>
        <v>90.772000000000006</v>
      </c>
      <c r="AW8" s="14">
        <f>Painel!AW8*IPC!H$3</f>
        <v>45.640780500000005</v>
      </c>
      <c r="AX8" s="14">
        <f>Painel!AX8*IPC!I$3</f>
        <v>14.310340720200003</v>
      </c>
      <c r="AY8" s="14">
        <f>Painel!AY8*IPC!J$3</f>
        <v>17.637017926289165</v>
      </c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>
        <f>Painel!BU8*IPC!G$3</f>
        <v>13.409500000000001</v>
      </c>
      <c r="BV8" s="14">
        <f>Painel!BV8*IPC!H$3</f>
        <v>17.386964000000003</v>
      </c>
      <c r="BW8" s="14">
        <f>Painel!BW8*IPC!I$3</f>
        <v>8.3476987534500005</v>
      </c>
      <c r="BX8" s="14">
        <f>Painel!BX8*IPC!J$3</f>
        <v>3.7793609842048208</v>
      </c>
      <c r="BY8" s="14">
        <f>Resultado!Q7</f>
        <v>36</v>
      </c>
      <c r="BZ8" s="14">
        <f>Painel!BZ8*IPC!G$3</f>
        <v>22.693000000000001</v>
      </c>
      <c r="CA8" s="14">
        <f>Painel!CA8*IPC!H$3</f>
        <v>15.213593500000002</v>
      </c>
      <c r="CB8" s="14">
        <f>Painel!CB8*IPC!I$3</f>
        <v>14.310340720200003</v>
      </c>
      <c r="CC8" s="14">
        <f>Painel!CC8*IPC!J$3</f>
        <v>18.896804921024103</v>
      </c>
      <c r="CD8" s="14"/>
      <c r="CE8" s="14"/>
      <c r="CF8" s="14"/>
      <c r="CG8" s="14"/>
      <c r="CH8" s="14"/>
      <c r="CI8" s="14"/>
      <c r="CJ8" s="14">
        <f>Painel!CJ8*IPC!G$3</f>
        <v>16.504000000000001</v>
      </c>
      <c r="CK8" s="14">
        <f>Painel!CK8*IPC!H$3</f>
        <v>17.386964000000003</v>
      </c>
      <c r="CL8" s="14">
        <f>Painel!CL8*IPC!I$3</f>
        <v>16.695397506900001</v>
      </c>
      <c r="CM8" s="14">
        <f>Painel!CM8*IPC!J$3</f>
        <v>16.377230931554223</v>
      </c>
      <c r="CN8" s="14"/>
      <c r="CO8" s="14">
        <f>Painel!CO8*IPC!G$3</f>
        <v>4.1260000000000003</v>
      </c>
      <c r="CP8" s="14">
        <f>Painel!CP8*IPC!H$3</f>
        <v>4.3467410000000006</v>
      </c>
      <c r="CQ8" s="14">
        <f>Painel!CQ8*IPC!I$3</f>
        <v>4.7701135734000006</v>
      </c>
      <c r="CR8" s="14">
        <f>Painel!CR8*IPC!J$3</f>
        <v>3.7793609842048208</v>
      </c>
      <c r="CT8" s="14">
        <f>Painel!CT8*IPC!G$3</f>
        <v>0</v>
      </c>
      <c r="CU8" s="14">
        <f>Painel!CU8*IPC!H$3</f>
        <v>0</v>
      </c>
      <c r="CV8" s="14">
        <f>Painel!CV8*IPC!I$3</f>
        <v>0</v>
      </c>
      <c r="CW8" s="14">
        <f>Painel!CW8*IPC!J$3</f>
        <v>0</v>
      </c>
      <c r="CY8" s="14">
        <f>Painel!CY8*IPC!G$3</f>
        <v>1.54725</v>
      </c>
      <c r="CZ8" s="14">
        <f>Painel!CZ8*IPC!H$3</f>
        <v>0.43467410000000006</v>
      </c>
      <c r="DA8" s="14">
        <f>Painel!DA8*IPC!I$3</f>
        <v>0</v>
      </c>
      <c r="DB8" s="14">
        <f>Painel!DB8*IPC!J$3</f>
        <v>0</v>
      </c>
      <c r="DD8" s="14">
        <f>Painel!DD8*IPC!G$3</f>
        <v>0.92835000000000012</v>
      </c>
      <c r="DE8" s="14">
        <f>Painel!DE8*IPC!H$3</f>
        <v>0.76067967500000011</v>
      </c>
      <c r="DF8" s="14">
        <f>Painel!DF8*IPC!I$3</f>
        <v>0.83476987534500002</v>
      </c>
      <c r="DG8" s="14">
        <f>Painel!DG8*IPC!J$3</f>
        <v>0.88185089631445812</v>
      </c>
    </row>
    <row r="9" spans="1:111" x14ac:dyDescent="0.3">
      <c r="A9" s="9" t="s">
        <v>75</v>
      </c>
      <c r="B9" s="14"/>
      <c r="C9" s="14">
        <f>SUM(C3:C8)-C7</f>
        <v>126.97765</v>
      </c>
      <c r="D9" s="14">
        <f t="shared" ref="D9:F9" si="0">SUM(D3:D8)-D7</f>
        <v>97.584335450000012</v>
      </c>
      <c r="E9" s="14">
        <f t="shared" si="0"/>
        <v>34.106312049810008</v>
      </c>
      <c r="F9" s="14">
        <f t="shared" si="0"/>
        <v>20.660506713653017</v>
      </c>
      <c r="G9" s="14"/>
      <c r="H9" s="14">
        <f>SUM(H3:H8)-H7</f>
        <v>301.19800000000004</v>
      </c>
      <c r="I9" s="14">
        <f t="shared" ref="I9" si="1">SUM(I3:I8)-I7</f>
        <v>418.37382125000005</v>
      </c>
      <c r="J9" s="14">
        <f t="shared" ref="J9" si="2">SUM(J3:J8)-J7</f>
        <v>114.12496724359501</v>
      </c>
      <c r="K9" s="14">
        <f t="shared" ref="K9" si="3">SUM(K3:K8)-K7</f>
        <v>214.16378910493987</v>
      </c>
      <c r="L9" s="14"/>
      <c r="M9" s="14">
        <f>SUM(M3:M8)-M7</f>
        <v>349.67849999999999</v>
      </c>
      <c r="N9" s="14">
        <f t="shared" ref="N9" si="4">SUM(N3:N8)-N7</f>
        <v>289.27561355</v>
      </c>
      <c r="O9" s="14">
        <f t="shared" ref="O9" si="5">SUM(O3:O8)-O7</f>
        <v>150.61633608010501</v>
      </c>
      <c r="P9" s="14">
        <f t="shared" ref="P9" si="6">SUM(P3:P8)-P7</f>
        <v>321.24568365740976</v>
      </c>
      <c r="Q9" s="14"/>
      <c r="R9" s="14">
        <f>SUM(R3:R8)-R7</f>
        <v>59.827000000000005</v>
      </c>
      <c r="S9" s="14">
        <f t="shared" ref="S9" si="7">SUM(S3:S8)-S7</f>
        <v>156.48267600000003</v>
      </c>
      <c r="T9" s="14">
        <f t="shared" ref="T9" si="8">SUM(T3:T8)-T7</f>
        <v>82.284459141150009</v>
      </c>
      <c r="U9" s="14">
        <f t="shared" ref="U9" si="9">SUM(U3:U8)-U7</f>
        <v>143.61571739978319</v>
      </c>
      <c r="V9" s="14"/>
      <c r="W9" s="14"/>
      <c r="X9" s="14"/>
      <c r="Y9" s="14"/>
      <c r="Z9" s="14"/>
      <c r="AA9" s="14"/>
      <c r="AB9" s="14">
        <f>SUM(AB3:AB8)-AB7</f>
        <v>559.07300000000009</v>
      </c>
      <c r="AC9" s="14">
        <f t="shared" ref="AC9" si="10">SUM(AC3:AC8)-AC7</f>
        <v>456.40780500000005</v>
      </c>
      <c r="AD9" s="14">
        <f t="shared" ref="AD9" si="11">SUM(AD3:AD8)-AD7</f>
        <v>299.32462673085001</v>
      </c>
      <c r="AE9" s="14">
        <f t="shared" ref="AE9" si="12">SUM(AE3:AE8)-AE7</f>
        <v>434.62651318355438</v>
      </c>
      <c r="AF9" s="14"/>
      <c r="AG9" s="14">
        <f>SUM(AG3:AG8)-AG7</f>
        <v>117.59099999999999</v>
      </c>
      <c r="AH9" s="14">
        <f t="shared" ref="AH9" si="13">SUM(AH3:AH8)-AH7</f>
        <v>83.131421625000002</v>
      </c>
      <c r="AI9" s="14">
        <f t="shared" ref="AI9" si="14">SUM(AI3:AI8)-AI7</f>
        <v>68.093371260285011</v>
      </c>
      <c r="AJ9" s="14">
        <f t="shared" ref="AJ9" si="15">SUM(AJ3:AJ8)-AJ7</f>
        <v>43.084715219934957</v>
      </c>
      <c r="AK9" s="14"/>
      <c r="AL9" s="14">
        <f>SUM(AL3:AL8)-AL7</f>
        <v>138.221</v>
      </c>
      <c r="AM9" s="14">
        <f t="shared" ref="AM9" si="16">SUM(AM3:AM8)-AM7</f>
        <v>99.431700375000005</v>
      </c>
      <c r="AN9" s="14">
        <f t="shared" ref="AN9" si="17">SUM(AN3:AN8)-AN7</f>
        <v>102.55744182810001</v>
      </c>
      <c r="AO9" s="14">
        <f t="shared" ref="AO9" si="18">SUM(AO3:AO8)-AO7</f>
        <v>201.56591915759043</v>
      </c>
      <c r="AP9" s="14"/>
      <c r="AQ9" s="14"/>
      <c r="AR9" s="14"/>
      <c r="AS9" s="14"/>
      <c r="AT9" s="14"/>
      <c r="AU9" s="14">
        <f>SUM(AU3:AU8)-AU7</f>
        <v>926</v>
      </c>
      <c r="AV9" s="14">
        <f t="shared" ref="AV9" si="19">SUM(AV3:AV8)-AV7</f>
        <v>968.76549999999997</v>
      </c>
      <c r="AW9" s="14">
        <f t="shared" ref="AW9" si="20">SUM(AW3:AW8)-AW7</f>
        <v>698.57838800000002</v>
      </c>
      <c r="AX9" s="14">
        <f t="shared" ref="AX9:AY9" si="21">SUM(AX3:AX8)-AX7</f>
        <v>562.31315027664994</v>
      </c>
      <c r="AY9" s="14">
        <f t="shared" si="21"/>
        <v>758.88270158369892</v>
      </c>
      <c r="AZ9" s="14"/>
      <c r="BA9" s="14">
        <f>SUM(BA3:BA8)-BA7</f>
        <v>237.24500000000003</v>
      </c>
      <c r="BB9" s="14">
        <f t="shared" ref="BB9:BD9" si="22">SUM(BB3:BB8)-BB7</f>
        <v>226.03053200000005</v>
      </c>
      <c r="BC9" s="14">
        <f t="shared" si="22"/>
        <v>133.32467437653003</v>
      </c>
      <c r="BD9" s="14">
        <f t="shared" si="22"/>
        <v>173.85060527342173</v>
      </c>
      <c r="BE9" s="14"/>
      <c r="BF9" s="14">
        <f>SUM(BF3:BF8)-BF7</f>
        <v>200.11100000000005</v>
      </c>
      <c r="BG9" s="14">
        <f t="shared" ref="BG9" si="23">SUM(BG3:BG8)-BG7</f>
        <v>149.96256450000004</v>
      </c>
      <c r="BH9" s="14">
        <f t="shared" ref="BH9" si="24">SUM(BH3:BH8)-BH7</f>
        <v>59.626419667500002</v>
      </c>
      <c r="BI9" s="14">
        <f t="shared" ref="BI9" si="25">SUM(BI3:BI8)-BI7</f>
        <v>106.45200105510246</v>
      </c>
      <c r="BJ9" s="14"/>
      <c r="BK9" s="14">
        <f>SUM(BK3:BK8)-BK7</f>
        <v>117.59100000000001</v>
      </c>
      <c r="BL9" s="14">
        <f t="shared" ref="BL9" si="26">SUM(BL3:BL8)-BL7</f>
        <v>256.45771900000005</v>
      </c>
      <c r="BM9" s="14">
        <f t="shared" ref="BM9" si="27">SUM(BM3:BM8)-BM7</f>
        <v>213.46258240965003</v>
      </c>
      <c r="BN9" s="14">
        <f t="shared" ref="BN9" si="28">SUM(BN3:BN8)-BN7</f>
        <v>254.47697293645791</v>
      </c>
      <c r="BO9" s="14"/>
      <c r="BP9" s="14">
        <f>SUM(BP3:BP8)-BP7</f>
        <v>97.064150000000026</v>
      </c>
      <c r="BQ9" s="14">
        <f t="shared" ref="BQ9" si="29">SUM(BQ3:BQ8)-BQ7</f>
        <v>39.44667457500001</v>
      </c>
      <c r="BR9" s="14">
        <f t="shared" ref="BR9" si="30">SUM(BR3:BR8)-BR7</f>
        <v>47.224124376660008</v>
      </c>
      <c r="BS9" s="14">
        <f t="shared" ref="BS9" si="31">SUM(BS3:BS8)-BS7</f>
        <v>106.45200105510246</v>
      </c>
      <c r="BT9" s="14"/>
      <c r="BU9" s="14">
        <f>SUM(BU3:BU8)-BU7</f>
        <v>237.24500000000003</v>
      </c>
      <c r="BV9" s="14">
        <f t="shared" ref="BV9" si="32">SUM(BV3:BV8)-BV7</f>
        <v>250.8069557</v>
      </c>
      <c r="BW9" s="14">
        <f t="shared" ref="BW9" si="33">SUM(BW3:BW8)-BW7</f>
        <v>171.24707728506002</v>
      </c>
      <c r="BX9" s="14">
        <f t="shared" ref="BX9:BY9" si="34">SUM(BX3:BX8)-BX7</f>
        <v>283.45207381536153</v>
      </c>
      <c r="BY9" s="14">
        <f t="shared" si="34"/>
        <v>542</v>
      </c>
      <c r="BZ9" s="14">
        <f t="shared" ref="BZ9" si="35">SUM(BZ3:BZ8)-BZ7</f>
        <v>618.90000000000009</v>
      </c>
      <c r="CA9" s="14">
        <f t="shared" ref="CA9" si="36">SUM(CA3:CA8)-CA7</f>
        <v>784.58675050000033</v>
      </c>
      <c r="CB9" s="14">
        <f t="shared" ref="CB9" si="37">SUM(CB3:CB8)-CB7</f>
        <v>401.88206855894998</v>
      </c>
      <c r="CC9" s="14">
        <f t="shared" ref="CC9:CE9" si="38">SUM(CC3:CC8)-CC7</f>
        <v>549.26712970443396</v>
      </c>
      <c r="CD9" s="14"/>
      <c r="CE9" s="14">
        <f t="shared" si="38"/>
        <v>209.39450000000002</v>
      </c>
      <c r="CF9" s="14">
        <f t="shared" ref="CF9" si="39">SUM(CF3:CF8)-CF7</f>
        <v>281.45147975000009</v>
      </c>
      <c r="CG9" s="14">
        <f t="shared" ref="CG9" si="40">SUM(CG3:CG8)-CG7</f>
        <v>140.71835041529999</v>
      </c>
      <c r="CH9" s="14">
        <f t="shared" ref="CH9" si="41">SUM(CH3:CH8)-CH7</f>
        <v>186.44847522077117</v>
      </c>
      <c r="CI9" s="14"/>
      <c r="CJ9" s="14">
        <f t="shared" ref="CJ9" si="42">SUM(CJ3:CJ8)-CJ7</f>
        <v>368.24550000000005</v>
      </c>
      <c r="CK9" s="14">
        <f t="shared" ref="CK9" si="43">SUM(CK3:CK8)-CK7</f>
        <v>335.78574225000006</v>
      </c>
      <c r="CL9" s="14">
        <f t="shared" ref="CL9" si="44">SUM(CL3:CL8)-CL7</f>
        <v>203.92235526285003</v>
      </c>
      <c r="CM9" s="14">
        <f t="shared" ref="CM9" si="45">SUM(CM3:CM8)-CM7</f>
        <v>277.15313884168683</v>
      </c>
      <c r="CN9" s="14"/>
      <c r="CO9" s="14">
        <f t="shared" ref="CO9" si="46">SUM(CO3:CO8)-CO7</f>
        <v>100.77755000000002</v>
      </c>
      <c r="CP9" s="14">
        <f t="shared" ref="CP9" si="47">SUM(CP3:CP8)-CP7</f>
        <v>125.62081490000003</v>
      </c>
      <c r="CQ9" s="14">
        <f t="shared" ref="CQ9" si="48">SUM(CQ3:CQ8)-CQ7</f>
        <v>178.52150048449502</v>
      </c>
      <c r="CR9" s="14">
        <f t="shared" ref="CR9" si="49">SUM(CR3:CR8)-CR7</f>
        <v>239.35952899963863</v>
      </c>
      <c r="CT9" s="14">
        <f t="shared" ref="CT9" si="50">SUM(CT3:CT8)-CT7</f>
        <v>86.336550000000003</v>
      </c>
      <c r="CU9" s="14">
        <f t="shared" ref="CU9" si="51">SUM(CU3:CU8)-CU7</f>
        <v>113.12393452500002</v>
      </c>
      <c r="CV9" s="14">
        <f t="shared" ref="CV9" si="52">SUM(CV3:CV8)-CV7</f>
        <v>51.397973753385017</v>
      </c>
      <c r="CW9" s="14">
        <f t="shared" ref="CW9" si="53">SUM(CW3:CW8)-CW7</f>
        <v>18.26691142365663</v>
      </c>
      <c r="CY9" s="14">
        <f t="shared" ref="CY9" si="54">SUM(CY3:CY8)-CY7</f>
        <v>24.85915</v>
      </c>
      <c r="CZ9" s="14">
        <f t="shared" ref="CZ9" si="55">SUM(CZ3:CZ8)-CZ7</f>
        <v>12.931554475000002</v>
      </c>
      <c r="DA9" s="14">
        <f t="shared" ref="DA9" si="56">SUM(DA3:DA8)-DA7</f>
        <v>5.7241362880800004</v>
      </c>
      <c r="DB9" s="14">
        <f t="shared" ref="DB9" si="57">SUM(DB3:DB8)-DB7</f>
        <v>19.904634516812056</v>
      </c>
      <c r="DD9" s="14">
        <f t="shared" ref="DD9" si="58">SUM(DD3:DD8)-DD7</f>
        <v>71.792400000000001</v>
      </c>
      <c r="DE9" s="14">
        <f t="shared" ref="DE9" si="59">SUM(DE3:DE8)-DE7</f>
        <v>70.308535675000002</v>
      </c>
      <c r="DF9" s="14">
        <f t="shared" ref="DF9" si="60">SUM(DF3:DF8)-DF7</f>
        <v>24.923843421015007</v>
      </c>
      <c r="DG9" s="14">
        <f t="shared" ref="DG9" si="61">SUM(DG3:DG8)-DG7</f>
        <v>19.148762319971091</v>
      </c>
    </row>
    <row r="10" spans="1:111" x14ac:dyDescent="0.3">
      <c r="A10" s="9" t="s">
        <v>2</v>
      </c>
      <c r="B10" s="14"/>
      <c r="C10" s="14">
        <f>Painel!C10*IPC!G$3</f>
        <v>10.315000000000001</v>
      </c>
      <c r="D10" s="14">
        <f>Painel!D10*IPC!H$3</f>
        <v>2.6080446000000004</v>
      </c>
      <c r="E10" s="14">
        <f>Painel!E10*IPC!I$3</f>
        <v>5.6048834487450012</v>
      </c>
      <c r="F10" s="14">
        <f>Painel!F10*IPC!J$3</f>
        <v>5.2911053778867494</v>
      </c>
      <c r="G10" s="14"/>
      <c r="H10" s="14">
        <f>Painel!H10*IPC!G$3</f>
        <v>90.772000000000006</v>
      </c>
      <c r="I10" s="14">
        <f>Painel!I10*IPC!H$3</f>
        <v>107.58183975000001</v>
      </c>
      <c r="J10" s="14">
        <f>Painel!J10*IPC!I$3</f>
        <v>33.390795013800002</v>
      </c>
      <c r="K10" s="14">
        <f>Painel!K10*IPC!J$3</f>
        <v>133.53742144190366</v>
      </c>
      <c r="L10" s="14"/>
      <c r="M10" s="14">
        <f>Painel!M10*IPC!G$3</f>
        <v>104.18150000000001</v>
      </c>
      <c r="N10" s="14">
        <f>Painel!N10*IPC!H$3</f>
        <v>34.773928000000005</v>
      </c>
      <c r="O10" s="14">
        <f>Painel!O10*IPC!I$3</f>
        <v>239.69820706335003</v>
      </c>
      <c r="P10" s="14">
        <f>Painel!P10*IPC!J$3</f>
        <v>167.55167029974706</v>
      </c>
      <c r="Q10" s="14"/>
      <c r="R10" s="14">
        <f>Painel!R10*IPC!G$3</f>
        <v>21.6615</v>
      </c>
      <c r="S10" s="14">
        <f>Painel!S10*IPC!H$3</f>
        <v>38.033983750000004</v>
      </c>
      <c r="T10" s="14">
        <f>Painel!T10*IPC!I$3</f>
        <v>26.235624653700004</v>
      </c>
      <c r="U10" s="14">
        <f>Painel!U10*IPC!J$3</f>
        <v>56.690414763072312</v>
      </c>
      <c r="V10" s="14"/>
      <c r="W10" s="14"/>
      <c r="X10" s="14"/>
      <c r="Y10" s="14"/>
      <c r="Z10" s="14"/>
      <c r="AA10" s="14"/>
      <c r="AB10" s="14">
        <f>Painel!AB10*IPC!G$3</f>
        <v>150.59900000000002</v>
      </c>
      <c r="AC10" s="14">
        <f>Painel!AC10*IPC!H$3</f>
        <v>30.427187000000004</v>
      </c>
      <c r="AD10" s="14">
        <f>Painel!AD10*IPC!I$3</f>
        <v>225.38786634315002</v>
      </c>
      <c r="AE10" s="14">
        <f>Painel!AE10*IPC!J$3</f>
        <v>42.832757820987972</v>
      </c>
      <c r="AF10" s="14"/>
      <c r="AG10" s="14">
        <f>Painel!AG10*IPC!G$3</f>
        <v>35.071000000000005</v>
      </c>
      <c r="AH10" s="14">
        <f>Painel!AH10*IPC!H$3</f>
        <v>4.3467410000000006</v>
      </c>
      <c r="AI10" s="14">
        <f>Painel!AI10*IPC!I$3</f>
        <v>51.278720914050005</v>
      </c>
      <c r="AJ10" s="14">
        <f>Painel!AJ10*IPC!J$3</f>
        <v>3.6533822847313266</v>
      </c>
      <c r="AK10" s="14"/>
      <c r="AL10" s="14">
        <f>Painel!AL10*IPC!G$3</f>
        <v>16.504000000000001</v>
      </c>
      <c r="AM10" s="14">
        <f>Painel!AM10*IPC!H$3</f>
        <v>21.733705000000004</v>
      </c>
      <c r="AN10" s="14">
        <f>Painel!AN10*IPC!I$3</f>
        <v>27.428153047050003</v>
      </c>
      <c r="AO10" s="14">
        <f>Painel!AO10*IPC!J$3</f>
        <v>136.05699543137354</v>
      </c>
      <c r="AP10" s="14"/>
      <c r="AQ10" s="14"/>
      <c r="AR10" s="14"/>
      <c r="AS10" s="14"/>
      <c r="AT10" s="14"/>
      <c r="AU10" s="14">
        <f>Resultado!K9</f>
        <v>303</v>
      </c>
      <c r="AV10" s="14">
        <f>Painel!AV10*IPC!G$3</f>
        <v>137.18950000000001</v>
      </c>
      <c r="AW10" s="14">
        <f>Painel!AW10*IPC!H$3</f>
        <v>302.09849950000006</v>
      </c>
      <c r="AX10" s="14">
        <f>Painel!AX10*IPC!I$3</f>
        <v>264.74130332370004</v>
      </c>
      <c r="AY10" s="14">
        <f>Painel!AY10*IPC!J$3</f>
        <v>377.9360984204821</v>
      </c>
      <c r="AZ10" s="14"/>
      <c r="BA10" s="14">
        <f>Painel!BA10*IPC!G$3</f>
        <v>96.961000000000013</v>
      </c>
      <c r="BB10" s="14">
        <f>Painel!BB10*IPC!H$3</f>
        <v>119.53537750000002</v>
      </c>
      <c r="BC10" s="14">
        <f>Painel!BC10*IPC!I$3</f>
        <v>59.626419667500009</v>
      </c>
      <c r="BD10" s="14">
        <f>Painel!BD10*IPC!J$3</f>
        <v>132.27763444716874</v>
      </c>
      <c r="BE10" s="14"/>
      <c r="BF10" s="14">
        <f>Painel!BF10*IPC!G$3</f>
        <v>20.630000000000003</v>
      </c>
      <c r="BG10" s="14">
        <f>Painel!BG10*IPC!H$3</f>
        <v>2.6080446000000004</v>
      </c>
      <c r="BH10" s="14">
        <f>Painel!BH10*IPC!I$3</f>
        <v>13.117812326850002</v>
      </c>
      <c r="BI10" s="14">
        <f>Painel!BI10*IPC!J$3</f>
        <v>8.1886154657771115</v>
      </c>
      <c r="BJ10" s="14"/>
      <c r="BK10" s="14">
        <f>Painel!BK10*IPC!G$3</f>
        <v>105.21300000000001</v>
      </c>
      <c r="BL10" s="14">
        <f>Painel!BL10*IPC!H$3</f>
        <v>172.78295475000002</v>
      </c>
      <c r="BM10" s="14">
        <f>Painel!BM10*IPC!I$3</f>
        <v>143.10340720200003</v>
      </c>
      <c r="BN10" s="14">
        <f>Painel!BN10*IPC!J$3</f>
        <v>136.05699543137354</v>
      </c>
      <c r="BO10" s="14"/>
      <c r="BP10" s="14">
        <f>Painel!BP10*IPC!G$3</f>
        <v>3.0945</v>
      </c>
      <c r="BQ10" s="14">
        <f>Painel!BQ10*IPC!H$3</f>
        <v>9.2368246250000006</v>
      </c>
      <c r="BR10" s="14">
        <f>Painel!BR10*IPC!I$3</f>
        <v>53.663777700750011</v>
      </c>
      <c r="BS10" s="14">
        <f>Painel!BS10*IPC!J$3</f>
        <v>1.3857656942084344</v>
      </c>
      <c r="BT10" s="14"/>
      <c r="BU10" s="14">
        <f>Painel!BU10*IPC!G$3</f>
        <v>178.4495</v>
      </c>
      <c r="BV10" s="14">
        <f>Painel!BV10*IPC!H$3</f>
        <v>95.628302000000019</v>
      </c>
      <c r="BW10" s="14">
        <f>Painel!BW10*IPC!I$3</f>
        <v>81.091930747800006</v>
      </c>
      <c r="BX10" s="14">
        <f>Painel!BX10*IPC!J$3</f>
        <v>171.33103128395189</v>
      </c>
      <c r="BY10" s="14">
        <f>Resultado!Q9</f>
        <v>187</v>
      </c>
      <c r="BZ10" s="14">
        <f>Painel!BZ10*IPC!G$3</f>
        <v>179.48100000000002</v>
      </c>
      <c r="CA10" s="14">
        <f>Painel!CA10*IPC!H$3</f>
        <v>151.04924975000003</v>
      </c>
      <c r="CB10" s="14">
        <f>Painel!CB10*IPC!I$3</f>
        <v>177.68673060915003</v>
      </c>
      <c r="CC10" s="14">
        <f>Painel!CC10*IPC!J$3</f>
        <v>136.05699543137354</v>
      </c>
      <c r="CD10" s="14"/>
      <c r="CE10" s="14">
        <f>Painel!CE10*IPC!G$3</f>
        <v>72.205000000000013</v>
      </c>
      <c r="CF10" s="14">
        <f>Painel!CF10*IPC!H$3</f>
        <v>116.27532175000002</v>
      </c>
      <c r="CG10" s="14">
        <f>Painel!CG10*IPC!I$3</f>
        <v>100.17238504140002</v>
      </c>
      <c r="CH10" s="14">
        <f>Painel!CH10*IPC!J$3</f>
        <v>272.11399086274707</v>
      </c>
      <c r="CI10" s="14"/>
      <c r="CJ10" s="14">
        <f>Painel!CJ10*IPC!G$3</f>
        <v>236.21350000000001</v>
      </c>
      <c r="CK10" s="14">
        <f>Painel!CK10*IPC!H$3</f>
        <v>131.48891525000002</v>
      </c>
      <c r="CL10" s="14">
        <f>Painel!CL10*IPC!I$3</f>
        <v>180.07178739585004</v>
      </c>
      <c r="CM10" s="14">
        <f>Painel!CM10*IPC!J$3</f>
        <v>132.27763444716874</v>
      </c>
      <c r="CN10" s="14"/>
      <c r="CO10" s="14">
        <f>Painel!CO10*IPC!G$3</f>
        <v>27.334750000000003</v>
      </c>
      <c r="CP10" s="14">
        <f>Painel!CP10*IPC!H$3</f>
        <v>66.287800250000004</v>
      </c>
      <c r="CQ10" s="14">
        <f>Painel!CQ10*IPC!I$3</f>
        <v>39.353436980550008</v>
      </c>
      <c r="CR10" s="14">
        <f>Painel!CR10*IPC!J$3</f>
        <v>17.637017926289165</v>
      </c>
      <c r="CT10" s="14">
        <f>Painel!CT10*IPC!G$3</f>
        <v>14.441000000000001</v>
      </c>
      <c r="CU10" s="14">
        <f>Painel!CU10*IPC!H$3</f>
        <v>4.0207354250000007</v>
      </c>
      <c r="CV10" s="14">
        <f>Painel!CV10*IPC!I$3</f>
        <v>4.4123550553950004</v>
      </c>
      <c r="CW10" s="14">
        <f>Painel!CW10*IPC!J$3</f>
        <v>0.75587219684096418</v>
      </c>
      <c r="CY10" s="14">
        <f>Painel!CY10*IPC!G$3</f>
        <v>1.0315000000000001</v>
      </c>
      <c r="CZ10" s="14">
        <f>Painel!CZ10*IPC!H$3</f>
        <v>0.21733705000000003</v>
      </c>
      <c r="DA10" s="14">
        <f>Painel!DA10*IPC!I$3</f>
        <v>9.5402271468000013</v>
      </c>
      <c r="DB10" s="14">
        <f>Painel!DB10*IPC!J$3</f>
        <v>10.078295957879522</v>
      </c>
      <c r="DD10" s="14">
        <f>Painel!DD10*IPC!G$3</f>
        <v>6.7047500000000007</v>
      </c>
      <c r="DE10" s="14">
        <f>Painel!DE10*IPC!H$3</f>
        <v>3.1513872250000006</v>
      </c>
      <c r="DF10" s="14">
        <f>Painel!DF10*IPC!I$3</f>
        <v>11.329019736825002</v>
      </c>
      <c r="DG10" s="14">
        <f>Painel!DG10*IPC!J$3</f>
        <v>3.1494674868373504</v>
      </c>
    </row>
    <row r="11" spans="1:111" x14ac:dyDescent="0.3">
      <c r="A11" s="9" t="s">
        <v>72</v>
      </c>
      <c r="B11" s="14"/>
      <c r="C11" s="14">
        <f>Painel!C11*IPC!G$3</f>
        <v>148.536</v>
      </c>
      <c r="D11" s="14">
        <f>Painel!D11*IPC!H$3</f>
        <v>107.58183975000001</v>
      </c>
      <c r="E11" s="14">
        <f>Painel!E11*IPC!I$3</f>
        <v>54.856306094100006</v>
      </c>
      <c r="F11" s="14">
        <f>Painel!F11*IPC!J$3</f>
        <v>39.053396836783151</v>
      </c>
      <c r="G11" s="14"/>
      <c r="H11" s="14">
        <f>Painel!H11*IPC!G$3</f>
        <v>397.12750000000005</v>
      </c>
      <c r="I11" s="14">
        <f>Painel!I11*IPC!H$3</f>
        <v>540.08256925000012</v>
      </c>
      <c r="J11" s="14">
        <f>Painel!J11*IPC!I$3</f>
        <v>156.22121952885001</v>
      </c>
      <c r="K11" s="14">
        <f>Painel!K11*IPC!J$3</f>
        <v>356.51971950998808</v>
      </c>
      <c r="L11" s="14"/>
      <c r="M11" s="14">
        <f>Painel!M11*IPC!G$3</f>
        <v>359.99350000000004</v>
      </c>
      <c r="N11" s="14">
        <f>Painel!N11*IPC!H$3</f>
        <v>278.19142400000004</v>
      </c>
      <c r="O11" s="14">
        <f>Painel!O11*IPC!I$3</f>
        <v>392.34184141215007</v>
      </c>
      <c r="P11" s="14">
        <f>Painel!P11*IPC!J$3</f>
        <v>477.45927100454236</v>
      </c>
      <c r="Q11" s="14"/>
      <c r="R11" s="14">
        <f>Painel!R11*IPC!G$3</f>
        <v>103.15</v>
      </c>
      <c r="S11" s="14">
        <f>Painel!S11*IPC!H$3</f>
        <v>210.81693850000002</v>
      </c>
      <c r="T11" s="14">
        <f>Painel!T11*IPC!I$3</f>
        <v>143.10340720200003</v>
      </c>
      <c r="U11" s="14">
        <f>Painel!U11*IPC!J$3</f>
        <v>219.20293708387962</v>
      </c>
      <c r="V11" s="14"/>
      <c r="W11" s="14"/>
      <c r="X11" s="14"/>
      <c r="Y11" s="14"/>
      <c r="Z11" s="14"/>
      <c r="AA11" s="14"/>
      <c r="AB11" s="14">
        <f>Painel!AB11*IPC!G$3</f>
        <v>672.53800000000001</v>
      </c>
      <c r="AC11" s="14">
        <f>Painel!AC11*IPC!H$3</f>
        <v>486.83499200000006</v>
      </c>
      <c r="AD11" s="14">
        <f>Painel!AD11*IPC!I$3</f>
        <v>506.82456717375004</v>
      </c>
      <c r="AE11" s="14">
        <f>Painel!AE11*IPC!J$3</f>
        <v>466.1211880519279</v>
      </c>
      <c r="AF11" s="14"/>
      <c r="AG11" s="14">
        <f>Painel!AG11*IPC!G$3</f>
        <v>160.91400000000002</v>
      </c>
      <c r="AH11" s="14">
        <f>Painel!AH11*IPC!H$3</f>
        <v>86.934820000000016</v>
      </c>
      <c r="AI11" s="14">
        <f>Painel!AI11*IPC!I$3</f>
        <v>119.25283933500002</v>
      </c>
      <c r="AJ11" s="14">
        <f>Painel!AJ11*IPC!J$3</f>
        <v>47.871905799927731</v>
      </c>
      <c r="AK11" s="14"/>
      <c r="AL11" s="14">
        <f>Painel!AL11*IPC!G$3</f>
        <v>150.59900000000002</v>
      </c>
      <c r="AM11" s="14">
        <f>Painel!AM11*IPC!H$3</f>
        <v>130.40223000000003</v>
      </c>
      <c r="AN11" s="14">
        <f>Painel!AN11*IPC!I$3</f>
        <v>140.71835041530002</v>
      </c>
      <c r="AO11" s="14">
        <f>Painel!AO11*IPC!J$3</f>
        <v>354.00014552051823</v>
      </c>
      <c r="AP11" s="14"/>
      <c r="AQ11" s="14"/>
      <c r="AR11" s="14"/>
      <c r="AS11" s="14"/>
      <c r="AT11" s="14"/>
      <c r="AU11" s="14">
        <f>Resultado!K11</f>
        <v>1316</v>
      </c>
      <c r="AV11" s="14">
        <f>Painel!AV11*IPC!G$3</f>
        <v>1147.028</v>
      </c>
      <c r="AW11" s="14">
        <f>Painel!AW11*IPC!H$3</f>
        <v>1113.8523812500002</v>
      </c>
      <c r="AX11" s="14">
        <f>Painel!AX11*IPC!I$3</f>
        <v>767.98828531740014</v>
      </c>
      <c r="AY11" s="14">
        <f>Painel!AY11*IPC!J$3</f>
        <v>1151.4453131877353</v>
      </c>
      <c r="AZ11" s="14"/>
      <c r="BA11" s="14">
        <f>Painel!BA11*IPC!G$3</f>
        <v>339.36350000000004</v>
      </c>
      <c r="BB11" s="14">
        <f>Painel!BB11*IPC!H$3</f>
        <v>341.21916850000002</v>
      </c>
      <c r="BC11" s="14">
        <f>Painel!BC11*IPC!I$3</f>
        <v>218.23269598305004</v>
      </c>
      <c r="BD11" s="14">
        <f>Painel!BD11*IPC!J$3</f>
        <v>314.94674868373505</v>
      </c>
      <c r="BE11" s="14"/>
      <c r="BF11" s="14">
        <f>Painel!BF11*IPC!G$3</f>
        <v>250.65450000000001</v>
      </c>
      <c r="BG11" s="14">
        <f>Painel!BG11*IPC!H$3</f>
        <v>170.60958425000001</v>
      </c>
      <c r="BH11" s="14">
        <f>Painel!BH11*IPC!I$3</f>
        <v>91.824686287950016</v>
      </c>
      <c r="BI11" s="14">
        <f>Painel!BI11*IPC!J$3</f>
        <v>137.31678242610849</v>
      </c>
      <c r="BJ11" s="14"/>
      <c r="BK11" s="14">
        <f>Painel!BK11*IPC!G$3</f>
        <v>297.072</v>
      </c>
      <c r="BL11" s="14">
        <f>Painel!BL11*IPC!H$3</f>
        <v>507.48201175000008</v>
      </c>
      <c r="BM11" s="14">
        <f>Painel!BM11*IPC!I$3</f>
        <v>459.12343143975005</v>
      </c>
      <c r="BN11" s="14">
        <f>Painel!BN11*IPC!J$3</f>
        <v>513.99309385185563</v>
      </c>
      <c r="BO11" s="14"/>
      <c r="BP11" s="14">
        <f>Painel!BP11*IPC!G$3</f>
        <v>100.05550000000001</v>
      </c>
      <c r="BQ11" s="14">
        <f>Painel!BQ11*IPC!H$3</f>
        <v>51.074206750000009</v>
      </c>
      <c r="BR11" s="14">
        <f>Painel!BR11*IPC!I$3</f>
        <v>102.55744182810001</v>
      </c>
      <c r="BS11" s="14">
        <f>Painel!BS11*IPC!J$3</f>
        <v>114.64061652087956</v>
      </c>
      <c r="BT11" s="14"/>
      <c r="BU11" s="14">
        <f>Painel!BU11*IPC!G$3</f>
        <v>373.40300000000002</v>
      </c>
      <c r="BV11" s="14">
        <f>Painel!BV11*IPC!H$3</f>
        <v>373.81972600000006</v>
      </c>
      <c r="BW11" s="14">
        <f>Painel!BW11*IPC!I$3</f>
        <v>310.05738227100005</v>
      </c>
      <c r="BX11" s="14">
        <f>Painel!BX11*IPC!J$3</f>
        <v>491.31692794662672</v>
      </c>
      <c r="BY11" s="14">
        <f>Resultado!Q11</f>
        <v>732</v>
      </c>
      <c r="BZ11" s="14">
        <f>Painel!BZ11*IPC!G$3</f>
        <v>726.17600000000004</v>
      </c>
      <c r="CA11" s="14">
        <f>Painel!CA11*IPC!H$3</f>
        <v>937.80937075000008</v>
      </c>
      <c r="CB11" s="14">
        <f>Painel!CB11*IPC!I$3</f>
        <v>583.14638434815004</v>
      </c>
      <c r="CC11" s="14">
        <f>Painel!CC11*IPC!J$3</f>
        <v>753.35262285149429</v>
      </c>
      <c r="CD11" s="14"/>
      <c r="CE11" s="14">
        <f>Painel!CE11*IPC!G$3</f>
        <v>286.75700000000001</v>
      </c>
      <c r="CF11" s="14">
        <f>Painel!CF11*IPC!H$3</f>
        <v>400.98685725000007</v>
      </c>
      <c r="CG11" s="14">
        <f>Painel!CG11*IPC!I$3</f>
        <v>255.20107617690005</v>
      </c>
      <c r="CH11" s="14">
        <f>Painel!CH11*IPC!J$3</f>
        <v>469.9005490361327</v>
      </c>
      <c r="CI11" s="14"/>
      <c r="CJ11" s="14">
        <f>Painel!CJ11*IPC!G$3</f>
        <v>606.52200000000005</v>
      </c>
      <c r="CK11" s="14">
        <f>Painel!CK11*IPC!H$3</f>
        <v>470.5347132500001</v>
      </c>
      <c r="CL11" s="14">
        <f>Painel!CL11*IPC!I$3</f>
        <v>385.18667105205003</v>
      </c>
      <c r="CM11" s="14">
        <f>Painel!CM11*IPC!J$3</f>
        <v>410.69056028359051</v>
      </c>
      <c r="CN11" s="14"/>
      <c r="CO11" s="14">
        <f>Painel!CO11*IPC!G$3</f>
        <v>119.65400000000001</v>
      </c>
      <c r="CP11" s="14">
        <f>Painel!CP11*IPC!H$3</f>
        <v>180.38975150000002</v>
      </c>
      <c r="CQ11" s="14">
        <f>Painel!CQ11*IPC!I$3</f>
        <v>194.38212811605001</v>
      </c>
      <c r="CR11" s="14">
        <f>Painel!CR11*IPC!J$3</f>
        <v>302.34887873638564</v>
      </c>
      <c r="CT11" s="14">
        <f>Painel!CT11*IPC!G$3</f>
        <v>103.15</v>
      </c>
      <c r="CU11" s="14">
        <f>Painel!CU11*IPC!H$3</f>
        <v>122.79543325000002</v>
      </c>
      <c r="CV11" s="14">
        <f>Painel!CV11*IPC!I$3</f>
        <v>60.818948060850005</v>
      </c>
      <c r="CW11" s="14">
        <f>Painel!CW11*IPC!J$3</f>
        <v>25.195739894698804</v>
      </c>
      <c r="CY11" s="14">
        <f>Painel!CY11*IPC!G$3</f>
        <v>27.850500000000004</v>
      </c>
      <c r="CZ11" s="14">
        <f>Painel!CZ11*IPC!H$3</f>
        <v>16.300278750000004</v>
      </c>
      <c r="DA11" s="14">
        <f>Painel!DA11*IPC!I$3</f>
        <v>16.695397506900001</v>
      </c>
      <c r="DB11" s="14">
        <f>Painel!DB11*IPC!J$3</f>
        <v>32.754461863108446</v>
      </c>
      <c r="DD11" s="14">
        <f>Painel!DD11*IPC!G$3</f>
        <v>78.394000000000005</v>
      </c>
      <c r="DE11" s="14">
        <f>Painel!DE11*IPC!H$3</f>
        <v>73.894597000000005</v>
      </c>
      <c r="DF11" s="14">
        <f>Painel!DF11*IPC!I$3</f>
        <v>38.160908587200005</v>
      </c>
      <c r="DG11" s="14">
        <f>Painel!DG11*IPC!J$3</f>
        <v>22.676165905228924</v>
      </c>
    </row>
    <row r="12" spans="1:111" x14ac:dyDescent="0.3">
      <c r="A12" s="10" t="s">
        <v>65</v>
      </c>
      <c r="B12" s="14"/>
      <c r="C12" s="14">
        <f>Painel!C12*IPC!G$3</f>
        <v>61.890000000000008</v>
      </c>
      <c r="D12" s="14">
        <f>Painel!D12*IPC!H$3</f>
        <v>49.987521500000007</v>
      </c>
      <c r="E12" s="14">
        <f>Painel!E12*IPC!I$3</f>
        <v>28.620681440400006</v>
      </c>
      <c r="F12" s="14">
        <f>Painel!F12*IPC!J$3</f>
        <v>31.494674868373508</v>
      </c>
      <c r="G12" s="14"/>
      <c r="H12" s="14">
        <f>Painel!H12*IPC!G$3</f>
        <v>257.875</v>
      </c>
      <c r="I12" s="14">
        <f>Painel!I12*IPC!H$3</f>
        <v>285.79822075000004</v>
      </c>
      <c r="J12" s="14">
        <f>Painel!J12*IPC!I$3</f>
        <v>238.50567867000004</v>
      </c>
      <c r="K12" s="14">
        <f>Painel!K12*IPC!J$3</f>
        <v>196.52677117865068</v>
      </c>
      <c r="L12" s="14"/>
      <c r="M12" s="14">
        <f>Painel!M12*IPC!G$3</f>
        <v>183.60700000000003</v>
      </c>
      <c r="N12" s="14">
        <f>Painel!N12*IPC!H$3</f>
        <v>157.56936125000001</v>
      </c>
      <c r="O12" s="14">
        <f>Painel!O12*IPC!I$3</f>
        <v>108.52008379485001</v>
      </c>
      <c r="P12" s="14">
        <f>Painel!P12*IPC!J$3</f>
        <v>173.85060527342176</v>
      </c>
      <c r="Q12" s="14"/>
      <c r="R12" s="14">
        <f>Painel!R12*IPC!G$3</f>
        <v>74.268000000000001</v>
      </c>
      <c r="S12" s="14">
        <f>Painel!S12*IPC!H$3</f>
        <v>115.18863650000002</v>
      </c>
      <c r="T12" s="14">
        <f>Painel!T12*IPC!I$3</f>
        <v>108.52008379485001</v>
      </c>
      <c r="U12" s="14">
        <f>Painel!U12*IPC!J$3</f>
        <v>117.16019051034945</v>
      </c>
      <c r="V12" s="14"/>
      <c r="W12" s="14"/>
      <c r="X12" s="14"/>
      <c r="Y12" s="14"/>
      <c r="Z12" s="14"/>
      <c r="AA12" s="14"/>
      <c r="AB12" s="14">
        <f>Painel!AB12*IPC!G$3</f>
        <v>282.63100000000003</v>
      </c>
      <c r="AC12" s="14">
        <f>Painel!AC12*IPC!H$3</f>
        <v>226.03053200000002</v>
      </c>
      <c r="AD12" s="14">
        <f>Painel!AD12*IPC!I$3</f>
        <v>224.19533794980003</v>
      </c>
      <c r="AE12" s="14">
        <f>Painel!AE12*IPC!J$3</f>
        <v>282.19228682062663</v>
      </c>
      <c r="AF12" s="14"/>
      <c r="AG12" s="14">
        <f>Painel!AG12*IPC!G$3</f>
        <v>75.299500000000009</v>
      </c>
      <c r="AH12" s="14">
        <f>Painel!AH12*IPC!H$3</f>
        <v>53.247577250000006</v>
      </c>
      <c r="AI12" s="14">
        <f>Painel!AI12*IPC!I$3</f>
        <v>58.433891274150007</v>
      </c>
      <c r="AJ12" s="14">
        <f>Painel!AJ12*IPC!J$3</f>
        <v>46.612118805192793</v>
      </c>
      <c r="AK12" s="14"/>
      <c r="AL12" s="14">
        <f>Painel!AL12*IPC!G$3</f>
        <v>58.795500000000004</v>
      </c>
      <c r="AM12" s="14">
        <f>Painel!AM12*IPC!H$3</f>
        <v>65.201115000000016</v>
      </c>
      <c r="AN12" s="14">
        <f>Painel!AN12*IPC!I$3</f>
        <v>116.86778254830001</v>
      </c>
      <c r="AO12" s="14">
        <f>Painel!AO12*IPC!J$3</f>
        <v>265.81505588907237</v>
      </c>
      <c r="AP12" s="14"/>
      <c r="AQ12" s="14"/>
      <c r="AR12" s="14"/>
      <c r="AS12" s="14"/>
      <c r="AT12" s="14"/>
      <c r="AU12" s="14">
        <f>Índices!K28</f>
        <v>463</v>
      </c>
      <c r="AV12" s="14">
        <f>Painel!AV12*IPC!G$3</f>
        <v>452.82850000000002</v>
      </c>
      <c r="AW12" s="14">
        <f>Painel!AW12*IPC!H$3</f>
        <v>384.68657850000005</v>
      </c>
      <c r="AX12" s="14">
        <f>Painel!AX12*IPC!I$3</f>
        <v>395.91942659220007</v>
      </c>
      <c r="AY12" s="14">
        <f>Painel!AY12*IPC!J$3</f>
        <v>410.69056028359051</v>
      </c>
      <c r="AZ12" s="14"/>
      <c r="BA12" s="14">
        <f>Painel!BA12*IPC!G$3</f>
        <v>134.095</v>
      </c>
      <c r="BB12" s="14">
        <f>Painel!BB12*IPC!H$3</f>
        <v>128.22885950000003</v>
      </c>
      <c r="BC12" s="14">
        <f>Painel!BC12*IPC!I$3</f>
        <v>88.247101107900008</v>
      </c>
      <c r="BD12" s="14">
        <f>Painel!BD12*IPC!J$3</f>
        <v>76.847006678831363</v>
      </c>
      <c r="BE12" s="14"/>
      <c r="BF12" s="14">
        <f>Painel!BF12*IPC!G$3</f>
        <v>87.677500000000009</v>
      </c>
      <c r="BG12" s="14">
        <f>Painel!BG12*IPC!H$3</f>
        <v>82.588079000000008</v>
      </c>
      <c r="BH12" s="14">
        <f>Painel!BH12*IPC!I$3</f>
        <v>52.471249307400008</v>
      </c>
      <c r="BI12" s="14">
        <f>Painel!BI12*IPC!J$3</f>
        <v>86.925302636710882</v>
      </c>
      <c r="BJ12" s="14"/>
      <c r="BK12" s="14">
        <f>Painel!BK12*IPC!G$3</f>
        <v>119.65400000000001</v>
      </c>
      <c r="BL12" s="14">
        <f>Painel!BL12*IPC!H$3</f>
        <v>146.70250875000002</v>
      </c>
      <c r="BM12" s="14">
        <f>Painel!BM12*IPC!I$3</f>
        <v>131.17812326850003</v>
      </c>
      <c r="BN12" s="14">
        <f>Painel!BN12*IPC!J$3</f>
        <v>137.31678242610849</v>
      </c>
      <c r="BO12" s="14"/>
      <c r="BP12" s="14">
        <f>Painel!BP12*IPC!G$3</f>
        <v>34.039500000000004</v>
      </c>
      <c r="BQ12" s="14">
        <f>Painel!BQ12*IPC!H$3</f>
        <v>26.080446000000002</v>
      </c>
      <c r="BR12" s="14">
        <f>Painel!BR12*IPC!I$3</f>
        <v>56.048834487450009</v>
      </c>
      <c r="BS12" s="14">
        <f>Painel!BS12*IPC!J$3</f>
        <v>51.651266784132552</v>
      </c>
      <c r="BT12" s="14"/>
      <c r="BU12" s="14">
        <f>Painel!BU12*IPC!G$3</f>
        <v>204.23700000000002</v>
      </c>
      <c r="BV12" s="14">
        <f>Painel!BV12*IPC!H$3</f>
        <v>196.69003025000004</v>
      </c>
      <c r="BW12" s="14">
        <f>Painel!BW12*IPC!I$3</f>
        <v>219.42522437640002</v>
      </c>
      <c r="BX12" s="14">
        <f>Painel!BX12*IPC!J$3</f>
        <v>239.35952899963866</v>
      </c>
      <c r="BY12" s="14">
        <f>Índices!Q28</f>
        <v>405</v>
      </c>
      <c r="BZ12" s="14">
        <f>Painel!BZ12*IPC!G$3</f>
        <v>376.4975</v>
      </c>
      <c r="CA12" s="14">
        <f>Painel!CA12*IPC!H$3</f>
        <v>385.77326375000007</v>
      </c>
      <c r="CB12" s="14">
        <f>Painel!CB12*IPC!I$3</f>
        <v>245.66084903010002</v>
      </c>
      <c r="CC12" s="14">
        <f>Painel!CC12*IPC!J$3</f>
        <v>336.36312759422907</v>
      </c>
      <c r="CD12" s="14"/>
      <c r="CE12" s="14">
        <f>Painel!CE12*IPC!G$3</f>
        <v>114.49650000000001</v>
      </c>
      <c r="CF12" s="14">
        <f>Painel!CF12*IPC!H$3</f>
        <v>128.22885950000003</v>
      </c>
      <c r="CG12" s="14">
        <f>Painel!CG12*IPC!I$3</f>
        <v>146.68099238205002</v>
      </c>
      <c r="CH12" s="14">
        <f>Painel!CH12*IPC!J$3</f>
        <v>190.22783620497597</v>
      </c>
      <c r="CI12" s="14"/>
      <c r="CJ12" s="14">
        <f>Painel!CJ12*IPC!G$3</f>
        <v>204.23700000000002</v>
      </c>
      <c r="CK12" s="14">
        <f>Painel!CK12*IPC!H$3</f>
        <v>237.98406975000003</v>
      </c>
      <c r="CL12" s="14">
        <f>Painel!CL12*IPC!I$3</f>
        <v>199.15224168945002</v>
      </c>
      <c r="CM12" s="14">
        <f>Painel!CM12*IPC!J$3</f>
        <v>207.86485413126513</v>
      </c>
      <c r="CN12" s="14"/>
      <c r="CO12" s="14">
        <f>Painel!CO12*IPC!G$3</f>
        <v>69.110500000000002</v>
      </c>
      <c r="CP12" s="14">
        <f>Painel!CP12*IPC!H$3</f>
        <v>70.634541250000012</v>
      </c>
      <c r="CQ12" s="14">
        <f>Painel!CQ12*IPC!I$3</f>
        <v>91.824686287950016</v>
      </c>
      <c r="CR12" s="14">
        <f>Painel!CR12*IPC!J$3</f>
        <v>112.12104253140969</v>
      </c>
      <c r="CT12" s="14">
        <f>Painel!CT12*IPC!G$3</f>
        <v>40.228500000000004</v>
      </c>
      <c r="CU12" s="14">
        <f>Painel!CU12*IPC!H$3</f>
        <v>32.600557500000008</v>
      </c>
      <c r="CV12" s="14">
        <f>Painel!CV12*IPC!I$3</f>
        <v>20.272982686950002</v>
      </c>
      <c r="CW12" s="14">
        <f>Painel!CW12*IPC!J$3</f>
        <v>16.377230931554223</v>
      </c>
      <c r="CY12" s="14">
        <f>Painel!CY12*IPC!G$3</f>
        <v>16.504000000000001</v>
      </c>
      <c r="CZ12" s="14">
        <f>Painel!CZ12*IPC!H$3</f>
        <v>13.040223000000001</v>
      </c>
      <c r="DA12" s="14">
        <f>Painel!DA12*IPC!I$3</f>
        <v>9.0632157894600009</v>
      </c>
      <c r="DB12" s="14">
        <f>Painel!DB12*IPC!J$3</f>
        <v>21.29040021102049</v>
      </c>
      <c r="DD12" s="14">
        <f>Painel!DD12*IPC!G$3</f>
        <v>41.260000000000005</v>
      </c>
      <c r="DE12" s="14">
        <f>Painel!DE12*IPC!H$3</f>
        <v>30.427187000000004</v>
      </c>
      <c r="DF12" s="14">
        <f>Painel!DF12*IPC!I$3</f>
        <v>27.428153047050003</v>
      </c>
      <c r="DG12" s="14">
        <f>Painel!DG12*IPC!J$3</f>
        <v>13.857656942084343</v>
      </c>
    </row>
    <row r="13" spans="1:111" x14ac:dyDescent="0.3">
      <c r="A13" t="s">
        <v>74</v>
      </c>
      <c r="B13" s="14"/>
      <c r="C13" s="14">
        <f>Painel!C13*IPC!G$3</f>
        <v>-21.6615</v>
      </c>
      <c r="D13" s="14">
        <f>Painel!D13*IPC!H$3</f>
        <v>-5.2160892000000008</v>
      </c>
      <c r="E13" s="14">
        <f>Painel!E13*IPC!I$3</f>
        <v>-10.255744182810002</v>
      </c>
      <c r="F13" s="14">
        <f>Painel!F13*IPC!J$3</f>
        <v>-21.416378910493986</v>
      </c>
      <c r="G13" s="14"/>
      <c r="H13" s="14">
        <f>Painel!H13*IPC!G$3</f>
        <v>73.236500000000007</v>
      </c>
      <c r="I13" s="14">
        <f>Painel!I13*IPC!H$3</f>
        <v>109.75521025000002</v>
      </c>
      <c r="J13" s="14">
        <f>Painel!J13*IPC!I$3</f>
        <v>22.658039473650003</v>
      </c>
      <c r="K13" s="14">
        <f>Painel!K13*IPC!J$3</f>
        <v>-59.209988752542195</v>
      </c>
      <c r="L13" s="14"/>
      <c r="M13" s="14">
        <f>Painel!M13*IPC!G$3</f>
        <v>49.512</v>
      </c>
      <c r="N13" s="14">
        <f>Painel!N13*IPC!H$3</f>
        <v>71.721226500000014</v>
      </c>
      <c r="O13" s="14">
        <f>Painel!O13*IPC!I$3</f>
        <v>159.79880470890001</v>
      </c>
      <c r="P13" s="14">
        <f>Painel!P13*IPC!J$3</f>
        <v>79.366580668301239</v>
      </c>
      <c r="Q13" s="14"/>
      <c r="R13" s="14">
        <f>Painel!R13*IPC!G$3</f>
        <v>-80.457000000000008</v>
      </c>
      <c r="S13" s="14">
        <f>Painel!S13*IPC!H$3</f>
        <v>30.427187000000004</v>
      </c>
      <c r="T13" s="14">
        <f>Painel!T13*IPC!I$3</f>
        <v>-60.818948060850005</v>
      </c>
      <c r="U13" s="14">
        <f>Painel!U13*IPC!J$3</f>
        <v>4.7871905799927728</v>
      </c>
      <c r="V13" s="14"/>
      <c r="W13" s="14"/>
      <c r="X13" s="14"/>
      <c r="Y13" s="14"/>
      <c r="Z13" s="14"/>
      <c r="AA13" s="14"/>
      <c r="AB13" s="15">
        <f>Painel!AB13*IPC!G$3</f>
        <v>15.472500000000002</v>
      </c>
      <c r="AC13" s="15">
        <f>Painel!AC13*IPC!H$3</f>
        <v>6.5201115000000005</v>
      </c>
      <c r="AD13" s="15">
        <f>Painel!AD13*IPC!I$3</f>
        <v>-146.68099238205002</v>
      </c>
      <c r="AE13" s="15">
        <f>Painel!AE13*IPC!J$3</f>
        <v>-246.91825096804828</v>
      </c>
      <c r="AF13" s="14"/>
      <c r="AG13" s="14">
        <f>Painel!AG13*IPC!G$3</f>
        <v>62.921500000000002</v>
      </c>
      <c r="AH13" s="14">
        <f>Painel!AH13*IPC!H$3</f>
        <v>4.3467410000000006</v>
      </c>
      <c r="AI13" s="14">
        <f>Painel!AI13*IPC!I$3</f>
        <v>-26.235624653700004</v>
      </c>
      <c r="AJ13" s="14">
        <f>Painel!AJ13*IPC!J$3</f>
        <v>-62.989349736747016</v>
      </c>
      <c r="AK13" s="14"/>
      <c r="AL13" s="14">
        <f>Painel!AL13*IPC!G$3</f>
        <v>-25.787500000000001</v>
      </c>
      <c r="AM13" s="14">
        <f>Painel!AM13*IPC!H$3</f>
        <v>-122.79543325000002</v>
      </c>
      <c r="AN13" s="14">
        <f>Painel!AN13*IPC!I$3</f>
        <v>-269.51141689710005</v>
      </c>
      <c r="AO13" s="14">
        <f>Painel!AO13*IPC!J$3</f>
        <v>-496.35607592556647</v>
      </c>
      <c r="AP13" s="14"/>
      <c r="AQ13" s="14"/>
      <c r="AR13" s="14"/>
      <c r="AS13" s="14"/>
      <c r="AT13" s="14"/>
      <c r="AU13" s="14">
        <f>Resultado!K21</f>
        <v>320</v>
      </c>
      <c r="AV13" s="14">
        <f>Painel!AV13*IPC!G$3</f>
        <v>140.28400000000002</v>
      </c>
      <c r="AW13" s="14">
        <f>Painel!AW13*IPC!H$3</f>
        <v>193.42997450000001</v>
      </c>
      <c r="AX13" s="14">
        <f>Painel!AX13*IPC!I$3</f>
        <v>-127.60053808845002</v>
      </c>
      <c r="AY13" s="14">
        <f>Painel!AY13*IPC!J$3</f>
        <v>79.366580668301239</v>
      </c>
      <c r="AZ13" s="14"/>
      <c r="BA13" s="14">
        <f>Painel!BA13*IPC!G$3</f>
        <v>7.2205000000000004</v>
      </c>
      <c r="BB13" s="14">
        <f>Painel!BB13*IPC!H$3</f>
        <v>-2.1733705000000003</v>
      </c>
      <c r="BC13" s="14">
        <f>Painel!BC13*IPC!I$3</f>
        <v>-3.5775851800500007</v>
      </c>
      <c r="BD13" s="14">
        <f>Painel!BD13*IPC!J$3</f>
        <v>-11.338082952614462</v>
      </c>
      <c r="BE13" s="14"/>
      <c r="BF13" s="14">
        <f>Painel!BF13*IPC!G$3</f>
        <v>33.008000000000003</v>
      </c>
      <c r="BG13" s="14">
        <f>Painel!BG13*IPC!H$3</f>
        <v>16.300278750000004</v>
      </c>
      <c r="BH13" s="14">
        <f>Painel!BH13*IPC!I$3</f>
        <v>-11.686778254830003</v>
      </c>
      <c r="BI13" s="14">
        <f>Painel!BI13*IPC!J$3</f>
        <v>4.283275782098797</v>
      </c>
      <c r="BJ13" s="14"/>
      <c r="BK13" s="14">
        <f>Painel!BK13*IPC!G$3</f>
        <v>-99.024000000000001</v>
      </c>
      <c r="BL13" s="14">
        <f>Painel!BL13*IPC!H$3</f>
        <v>15.213593500000002</v>
      </c>
      <c r="BM13" s="14">
        <f>Painel!BM13*IPC!I$3</f>
        <v>45.316078947300007</v>
      </c>
      <c r="BN13" s="14">
        <f>Painel!BN13*IPC!J$3</f>
        <v>27.715313884168687</v>
      </c>
      <c r="BO13" s="14"/>
      <c r="BP13" s="14">
        <f>Painel!BP13*IPC!G$3</f>
        <v>13.409500000000001</v>
      </c>
      <c r="BQ13" s="14">
        <f>Painel!BQ13*IPC!H$3</f>
        <v>-7.6067967500000009</v>
      </c>
      <c r="BR13" s="14">
        <f>Painel!BR13*IPC!I$3</f>
        <v>-3.5775851800500007</v>
      </c>
      <c r="BS13" s="14">
        <f>Painel!BS13*IPC!J$3</f>
        <v>3.5274035852578325</v>
      </c>
      <c r="BT13" s="14"/>
      <c r="BU13" s="14">
        <f>Painel!BU13*IPC!G$3</f>
        <v>1.0315000000000001</v>
      </c>
      <c r="BV13" s="14">
        <f>Painel!BV13*IPC!H$3</f>
        <v>0.86934820000000013</v>
      </c>
      <c r="BW13" s="14">
        <f>Painel!BW13*IPC!I$3</f>
        <v>-109.71261218820001</v>
      </c>
      <c r="BX13" s="14">
        <f>Painel!BX13*IPC!J$3</f>
        <v>-3.7793609842048208</v>
      </c>
      <c r="BY13" s="14">
        <f>Resultado!Q21</f>
        <v>-16</v>
      </c>
      <c r="BZ13" s="14">
        <f>Painel!BZ13*IPC!G$3</f>
        <v>54.669500000000006</v>
      </c>
      <c r="CA13" s="14">
        <f>Painel!CA13*IPC!H$3</f>
        <v>195.60334500000002</v>
      </c>
      <c r="CB13" s="14">
        <f>Painel!CB13*IPC!I$3</f>
        <v>-104.94249861480002</v>
      </c>
      <c r="CC13" s="14">
        <f>Painel!CC13*IPC!J$3</f>
        <v>31.494674868373508</v>
      </c>
      <c r="CD13" s="14"/>
      <c r="CE13" s="14">
        <f>Painel!CE13*IPC!G$3</f>
        <v>110.37050000000001</v>
      </c>
      <c r="CF13" s="14">
        <f>Painel!CF13*IPC!H$3</f>
        <v>160.82941700000003</v>
      </c>
      <c r="CG13" s="14">
        <f>Painel!CG13*IPC!I$3</f>
        <v>-64.396533240900013</v>
      </c>
      <c r="CH13" s="14">
        <f>Painel!CH13*IPC!J$3</f>
        <v>166.29188330501211</v>
      </c>
      <c r="CI13" s="14"/>
      <c r="CJ13" s="14">
        <f>Painel!CJ13*IPC!G$3</f>
        <v>38.165500000000002</v>
      </c>
      <c r="CK13" s="14">
        <f>Painel!CK13*IPC!H$3</f>
        <v>-115.18863650000002</v>
      </c>
      <c r="CL13" s="14">
        <f>Painel!CL13*IPC!I$3</f>
        <v>-153.83616274215001</v>
      </c>
      <c r="CM13" s="14">
        <f>Painel!CM13*IPC!J$3</f>
        <v>-196.52677117865068</v>
      </c>
      <c r="CN13" s="14"/>
      <c r="CO13" s="14">
        <f>Painel!CO13*IPC!G$3</f>
        <v>-90.772000000000006</v>
      </c>
      <c r="CP13" s="14">
        <f>Painel!CP13*IPC!H$3</f>
        <v>132.57560050000001</v>
      </c>
      <c r="CQ13" s="14">
        <f>Painel!CQ13*IPC!I$3</f>
        <v>-91.824686287950016</v>
      </c>
      <c r="CR13" s="14">
        <f>Painel!CR13*IPC!J$3</f>
        <v>-6.2989349736747009</v>
      </c>
      <c r="CT13" s="14">
        <f>Painel!CT13*IPC!G$3</f>
        <v>14.441000000000001</v>
      </c>
      <c r="CU13" s="14">
        <f>Painel!CU13*IPC!H$3</f>
        <v>33.687242750000003</v>
      </c>
      <c r="CV13" s="14">
        <f>Painel!CV13*IPC!I$3</f>
        <v>3.5775851800500007</v>
      </c>
      <c r="CW13" s="14">
        <f>Painel!CW13*IPC!J$3</f>
        <v>2.5195739894698805</v>
      </c>
      <c r="CY13" s="14">
        <f>Painel!CY13*IPC!G$3</f>
        <v>2.2693000000000003</v>
      </c>
      <c r="CZ13" s="14">
        <f>Painel!CZ13*IPC!H$3</f>
        <v>-3.2600557500000003</v>
      </c>
      <c r="DA13" s="14">
        <f>Painel!DA13*IPC!I$3</f>
        <v>0.83476987534500002</v>
      </c>
      <c r="DB13" s="14">
        <f>Painel!DB13*IPC!J$3</f>
        <v>0.12597869947349402</v>
      </c>
      <c r="DD13" s="14">
        <f>Painel!DD13*IPC!G$3</f>
        <v>5.1575000000000006</v>
      </c>
      <c r="DE13" s="14">
        <f>Painel!DE13*IPC!H$3</f>
        <v>19.560334500000003</v>
      </c>
      <c r="DF13" s="14">
        <f>Painel!DF13*IPC!I$3</f>
        <v>-3.2198266620450005</v>
      </c>
      <c r="DG13" s="14">
        <f>Painel!DG13*IPC!J$3</f>
        <v>-5.0391479789397611</v>
      </c>
    </row>
    <row r="14" spans="1:111" x14ac:dyDescent="0.3">
      <c r="A14" t="s">
        <v>38</v>
      </c>
      <c r="B14" s="14"/>
      <c r="C14" s="14">
        <f>Painel!C14*IPC!G$3</f>
        <v>3.0945</v>
      </c>
      <c r="D14" s="14">
        <f>Painel!D14*IPC!H$3</f>
        <v>23.907075500000005</v>
      </c>
      <c r="E14" s="14">
        <f>Painel!E14*IPC!I$3</f>
        <v>3.5775851800500007</v>
      </c>
      <c r="F14" s="14">
        <f>Painel!F14*IPC!J$3</f>
        <v>-11.338082952614462</v>
      </c>
      <c r="G14" s="14"/>
      <c r="H14" s="14">
        <f>Painel!H14*IPC!G$3</f>
        <v>40.228500000000004</v>
      </c>
      <c r="I14" s="14">
        <f>Painel!I14*IPC!H$3</f>
        <v>118.44869225000002</v>
      </c>
      <c r="J14" s="14">
        <f>Painel!J14*IPC!I$3</f>
        <v>-184.84190096925002</v>
      </c>
      <c r="K14" s="14">
        <f>Painel!K14*IPC!J$3</f>
        <v>157.47337434186753</v>
      </c>
      <c r="L14" s="14"/>
      <c r="M14" s="14">
        <f>Painel!M14*IPC!G$3</f>
        <v>73.236500000000007</v>
      </c>
      <c r="N14" s="14">
        <f>Painel!N14*IPC!H$3</f>
        <v>70.634541250000012</v>
      </c>
      <c r="O14" s="14">
        <f>Painel!O14*IPC!I$3</f>
        <v>159.79880470890001</v>
      </c>
      <c r="P14" s="14">
        <f>Painel!P14*IPC!J$3</f>
        <v>139.83635641557836</v>
      </c>
      <c r="Q14" s="14"/>
      <c r="R14" s="14">
        <f>Painel!R14*IPC!G$3</f>
        <v>1.0315000000000001</v>
      </c>
      <c r="S14" s="14">
        <f>Painel!S14*IPC!H$3</f>
        <v>40.207354250000009</v>
      </c>
      <c r="T14" s="14">
        <f>Painel!T14*IPC!I$3</f>
        <v>-15.502869113550002</v>
      </c>
      <c r="U14" s="14">
        <f>Painel!U14*IPC!J$3</f>
        <v>49.131692794662669</v>
      </c>
      <c r="V14" s="14"/>
      <c r="W14" s="14"/>
      <c r="X14" s="14"/>
      <c r="Y14" s="14"/>
      <c r="Z14" s="14"/>
      <c r="AA14" s="14"/>
      <c r="AB14" s="14">
        <f>Painel!AB14*IPC!G$3</f>
        <v>169.16600000000003</v>
      </c>
      <c r="AC14" s="14">
        <f>Painel!AC14*IPC!H$3</f>
        <v>193.42997450000001</v>
      </c>
      <c r="AD14" s="14">
        <f>Painel!AD14*IPC!I$3</f>
        <v>47.701135734000005</v>
      </c>
      <c r="AE14" s="14">
        <f>Painel!AE14*IPC!J$3</f>
        <v>-22.676165905228924</v>
      </c>
      <c r="AF14" s="14"/>
      <c r="AG14" s="14">
        <f>Painel!AG14*IPC!G$3</f>
        <v>66.016000000000005</v>
      </c>
      <c r="AH14" s="14">
        <f>Painel!AH14*IPC!H$3</f>
        <v>23.907075500000005</v>
      </c>
      <c r="AI14" s="14">
        <f>Painel!AI14*IPC!I$3</f>
        <v>28.620681440400006</v>
      </c>
      <c r="AJ14" s="14">
        <f>Painel!AJ14*IPC!J$3</f>
        <v>-13.857656942084343</v>
      </c>
      <c r="AK14" s="14"/>
      <c r="AL14" s="14">
        <f>Painel!AL14*IPC!G$3</f>
        <v>150.59900000000002</v>
      </c>
      <c r="AM14" s="14">
        <f>Painel!AM14*IPC!H$3</f>
        <v>-88.021505250000018</v>
      </c>
      <c r="AN14" s="14">
        <f>Painel!AN14*IPC!I$3</f>
        <v>-214.65511080300004</v>
      </c>
      <c r="AO14" s="14">
        <f>Painel!AO14*IPC!J$3</f>
        <v>185.18868822603622</v>
      </c>
      <c r="AP14" s="14"/>
      <c r="AQ14" s="14"/>
      <c r="AR14" s="14"/>
      <c r="AS14" s="14"/>
      <c r="AT14" s="14"/>
      <c r="AU14" s="14">
        <v>485</v>
      </c>
      <c r="AV14" s="14">
        <v>342</v>
      </c>
      <c r="AW14" s="14">
        <v>325</v>
      </c>
      <c r="AX14" s="14">
        <v>170</v>
      </c>
      <c r="AY14" s="14">
        <v>248</v>
      </c>
      <c r="AZ14" s="14"/>
      <c r="BA14" s="14">
        <f>Painel!BA14*IPC!G$3</f>
        <v>66.016000000000005</v>
      </c>
      <c r="BB14" s="14">
        <f>Painel!BB14*IPC!H$3</f>
        <v>-88.021505250000018</v>
      </c>
      <c r="BC14" s="14">
        <f>Painel!BC14*IPC!I$3</f>
        <v>-214.65511080300004</v>
      </c>
      <c r="BD14" s="14">
        <f>Painel!BD14*IPC!J$3</f>
        <v>88.18508963144582</v>
      </c>
      <c r="BE14" s="14"/>
      <c r="BF14" s="14">
        <f>Painel!BF14*IPC!G$3</f>
        <v>58.795500000000004</v>
      </c>
      <c r="BG14" s="14">
        <f>Painel!BG14*IPC!H$3</f>
        <v>-88.021505250000018</v>
      </c>
      <c r="BH14" s="14">
        <f>Painel!BH14*IPC!I$3</f>
        <v>-214.65511080300004</v>
      </c>
      <c r="BI14" s="14">
        <f>Painel!BI14*IPC!J$3</f>
        <v>11.338082952614462</v>
      </c>
      <c r="BJ14" s="14"/>
      <c r="BK14" s="14">
        <f>Painel!BK14*IPC!G$3</f>
        <v>34.039500000000004</v>
      </c>
      <c r="BL14" s="14">
        <f>Painel!BL14*IPC!H$3</f>
        <v>187.99654825000002</v>
      </c>
      <c r="BM14" s="14">
        <f>Painel!BM14*IPC!I$3</f>
        <v>155.02869113550003</v>
      </c>
      <c r="BN14" s="14">
        <f>Painel!BN14*IPC!J$3</f>
        <v>199.04634516812055</v>
      </c>
      <c r="BO14" s="14"/>
      <c r="BP14" s="14">
        <f>Painel!BP14*IPC!G$3</f>
        <v>50.85295</v>
      </c>
      <c r="BQ14" s="14">
        <f>Painel!BQ14*IPC!H$3</f>
        <v>21.733705000000004</v>
      </c>
      <c r="BR14" s="14">
        <f>Painel!BR14*IPC!I$3</f>
        <v>34.583323407150004</v>
      </c>
      <c r="BS14" s="14">
        <f>Painel!BS14*IPC!J$3</f>
        <v>47.871905799927731</v>
      </c>
      <c r="BT14" s="14"/>
      <c r="BU14" s="14">
        <f>Painel!BU14*IPC!G$3</f>
        <v>117.59100000000001</v>
      </c>
      <c r="BV14" s="14">
        <f>Painel!BV14*IPC!H$3</f>
        <v>107.58183975000001</v>
      </c>
      <c r="BW14" s="14">
        <f>Painel!BW14*IPC!I$3</f>
        <v>2.3850567867000003</v>
      </c>
      <c r="BX14" s="14">
        <f>Painel!BX14*IPC!J$3</f>
        <v>112.12104253140969</v>
      </c>
      <c r="BY14" s="14">
        <f>Painel!BY14</f>
        <v>186</v>
      </c>
      <c r="BZ14" s="14">
        <f>Painel!BZ14*IPC!G$3</f>
        <v>188.76450000000003</v>
      </c>
      <c r="CA14" s="14">
        <f>Painel!CA14*IPC!H$3</f>
        <v>354.25939150000005</v>
      </c>
      <c r="CB14" s="14">
        <f>Painel!CB14*IPC!I$3</f>
        <v>180.07178739585004</v>
      </c>
      <c r="CC14" s="14">
        <f>Painel!CC14*IPC!J$3</f>
        <v>238.0997420049037</v>
      </c>
      <c r="CD14" s="14"/>
      <c r="CE14" s="14">
        <f>Painel!CE14*IPC!G$3</f>
        <v>119.65400000000001</v>
      </c>
      <c r="CF14" s="14">
        <f>Painel!CF14*IPC!H$3</f>
        <v>180.38975150000002</v>
      </c>
      <c r="CG14" s="14">
        <f>Painel!CG14*IPC!I$3</f>
        <v>-26.235624653700004</v>
      </c>
      <c r="CH14" s="14">
        <f>Painel!CH14*IPC!J$3</f>
        <v>211.64421511546996</v>
      </c>
      <c r="CI14" s="14"/>
      <c r="CJ14" s="14">
        <f>Painel!CJ14*IPC!G$3</f>
        <v>235.18200000000002</v>
      </c>
      <c r="CK14" s="14">
        <f>Painel!CK14*IPC!H$3</f>
        <v>27.167131250000004</v>
      </c>
      <c r="CL14" s="14">
        <f>Painel!CL14*IPC!I$3</f>
        <v>516.36479432055012</v>
      </c>
      <c r="CM14" s="14">
        <f>Painel!CM14*IPC!J$3</f>
        <v>406.91119929938571</v>
      </c>
      <c r="CN14" s="14"/>
      <c r="CO14" s="14">
        <f>Painel!CO14*IPC!G$3</f>
        <v>24.756</v>
      </c>
      <c r="CP14" s="14">
        <f>Painel!CP14*IPC!H$3</f>
        <v>91.281561000000011</v>
      </c>
      <c r="CQ14" s="14">
        <f>Painel!CQ14*IPC!I$3</f>
        <v>84.669515927850014</v>
      </c>
      <c r="CR14" s="14">
        <f>Painel!CR14*IPC!J$3</f>
        <v>149.9146523734579</v>
      </c>
      <c r="CT14" s="14">
        <f>Painel!CT14*IPC!G$3</f>
        <v>14.441000000000006</v>
      </c>
      <c r="CU14" s="14">
        <f>Painel!CU14*IPC!H$3</f>
        <v>35.425939150000005</v>
      </c>
      <c r="CV14" s="14">
        <f>Painel!CV14*IPC!I$3</f>
        <v>5.0801709556710009</v>
      </c>
      <c r="CW14" s="14">
        <f>Painel!CW14*IPC!J$3</f>
        <v>4.4092544815722912</v>
      </c>
      <c r="CY14" s="14">
        <f>Painel!CY14*IPC!G$3</f>
        <v>3.4039500000000009</v>
      </c>
      <c r="CZ14" s="14">
        <f>Painel!CZ14*IPC!H$3</f>
        <v>-2.9340501749999999</v>
      </c>
      <c r="DA14" s="14">
        <f>Painel!DA14*IPC!I$3</f>
        <v>1.4310340720200014</v>
      </c>
      <c r="DB14" s="14">
        <f>Painel!DB14*IPC!J$3</f>
        <v>1.2597869947349403</v>
      </c>
      <c r="DD14" s="14">
        <f>Painel!DD14*IPC!G$3</f>
        <v>14.441000000000001</v>
      </c>
      <c r="DE14" s="14">
        <f>Painel!DE14*IPC!H$3</f>
        <v>18.473649250000001</v>
      </c>
      <c r="DF14" s="14">
        <f>Painel!DF14*IPC!I$3</f>
        <v>5.9626419667500006</v>
      </c>
      <c r="DG14" s="14">
        <f>Painel!DG14*IPC!J$3</f>
        <v>5.0391479789397611</v>
      </c>
    </row>
    <row r="15" spans="1:111" x14ac:dyDescent="0.3">
      <c r="A15" t="s">
        <v>66</v>
      </c>
      <c r="B15" s="14"/>
      <c r="C15" s="14">
        <f>Painel!C15*IPC!G$3</f>
        <v>16.504000000000001</v>
      </c>
      <c r="D15" s="14">
        <f>Painel!D15*IPC!H$3</f>
        <v>0</v>
      </c>
      <c r="E15" s="14">
        <f>Painel!E15*IPC!I$3</f>
        <v>0.35775851800500003</v>
      </c>
      <c r="F15" s="14">
        <f>Painel!F15*IPC!J$3</f>
        <v>1.0078295957879522</v>
      </c>
      <c r="G15" s="14"/>
      <c r="H15" s="14">
        <f>Painel!H15*IPC!G$3</f>
        <v>152.66200000000001</v>
      </c>
      <c r="I15" s="14">
        <f>Painel!I15*IPC!H$3</f>
        <v>121.70874800000001</v>
      </c>
      <c r="J15" s="14">
        <f>Painel!J15*IPC!I$3</f>
        <v>300.51715512420003</v>
      </c>
      <c r="K15" s="14">
        <f>Painel!K15*IPC!J$3</f>
        <v>65.508923726216892</v>
      </c>
      <c r="L15" s="14"/>
      <c r="M15" s="14">
        <f>Painel!M15*IPC!G$3</f>
        <v>97.992500000000007</v>
      </c>
      <c r="N15" s="14">
        <f>Painel!N15*IPC!H$3</f>
        <v>58.68100350000001</v>
      </c>
      <c r="O15" s="14">
        <f>Painel!O15*IPC!I$3</f>
        <v>45.316078947300007</v>
      </c>
      <c r="P15" s="14">
        <f>Painel!P15*IPC!J$3</f>
        <v>37.793609842048205</v>
      </c>
      <c r="Q15" s="14"/>
      <c r="R15" s="14">
        <f>Painel!R15*IPC!G$3</f>
        <v>0</v>
      </c>
      <c r="S15" s="14">
        <f>Painel!S15*IPC!H$3</f>
        <v>0</v>
      </c>
      <c r="T15" s="14">
        <f>Painel!T15*IPC!I$3</f>
        <v>11.925283933500001</v>
      </c>
      <c r="U15" s="14">
        <f>Painel!U15*IPC!J$3</f>
        <v>41.572970826253027</v>
      </c>
      <c r="V15" s="14"/>
      <c r="W15" s="14"/>
      <c r="X15" s="14"/>
      <c r="Y15" s="14"/>
      <c r="Z15" s="14"/>
      <c r="AA15" s="14"/>
      <c r="AB15" s="14">
        <f>Painel!AB15*IPC!G$3</f>
        <v>43.323</v>
      </c>
      <c r="AC15" s="14">
        <f>Painel!AC15*IPC!H$3</f>
        <v>1.0866852500000002</v>
      </c>
      <c r="AD15" s="14">
        <f>Painel!AD15*IPC!I$3</f>
        <v>75.129288781050008</v>
      </c>
      <c r="AE15" s="14">
        <f>Painel!AE15*IPC!J$3</f>
        <v>13.857656942084343</v>
      </c>
      <c r="AF15" s="14"/>
      <c r="AG15" s="14">
        <f>Painel!AG15*IPC!G$3</f>
        <v>7.2205000000000004</v>
      </c>
      <c r="AH15" s="14">
        <f>Painel!AH15*IPC!H$3</f>
        <v>2.3907075500000006</v>
      </c>
      <c r="AI15" s="14">
        <f>Painel!AI15*IPC!I$3</f>
        <v>1.7887925900250004</v>
      </c>
      <c r="AJ15" s="14">
        <f>Painel!AJ15*IPC!J$3</f>
        <v>1.1338082952614463</v>
      </c>
      <c r="AK15" s="14"/>
      <c r="AL15" s="14">
        <f>Painel!AL15*IPC!G$3</f>
        <v>0</v>
      </c>
      <c r="AM15" s="14">
        <f>Painel!AM15*IPC!H$3</f>
        <v>1.0866852500000002</v>
      </c>
      <c r="AN15" s="14">
        <f>Painel!AN15*IPC!I$3</f>
        <v>21.465511080300004</v>
      </c>
      <c r="AO15" s="14">
        <f>Painel!AO15*IPC!J$3</f>
        <v>70.548071705156659</v>
      </c>
      <c r="AP15" s="14"/>
      <c r="AQ15" s="14"/>
      <c r="AR15" s="14"/>
      <c r="AS15" s="14"/>
      <c r="AT15" s="14"/>
      <c r="AU15" s="14">
        <v>273</v>
      </c>
      <c r="AV15" s="14">
        <f>Painel!AV15*IPC!G$3</f>
        <v>238.27650000000003</v>
      </c>
      <c r="AW15" s="14">
        <f>Painel!AW15*IPC!H$3</f>
        <v>130.40223000000003</v>
      </c>
      <c r="AX15" s="14">
        <f>Painel!AX15*IPC!I$3</f>
        <v>212.27005401630004</v>
      </c>
      <c r="AY15" s="14">
        <f>Painel!AY15*IPC!J$3</f>
        <v>314.94674868373505</v>
      </c>
      <c r="AZ15" s="14"/>
      <c r="BA15" s="14">
        <f>Painel!BA15*IPC!G$3</f>
        <v>27.850500000000004</v>
      </c>
      <c r="BB15" s="14">
        <f>Painel!BB15*IPC!H$3</f>
        <v>14.126908250000001</v>
      </c>
      <c r="BC15" s="14">
        <f>Painel!BC15*IPC!I$3</f>
        <v>10.017238504140002</v>
      </c>
      <c r="BD15" s="14">
        <f>Painel!BD15*IPC!J$3</f>
        <v>13.857656942084343</v>
      </c>
      <c r="BE15" s="14"/>
      <c r="BF15" s="14">
        <f>Painel!BF15*IPC!G$3</f>
        <v>47.449000000000005</v>
      </c>
      <c r="BG15" s="14">
        <f>Painel!BG15*IPC!H$3</f>
        <v>19.560334500000003</v>
      </c>
      <c r="BH15" s="14">
        <f>Painel!BH15*IPC!I$3</f>
        <v>8.3476987534500005</v>
      </c>
      <c r="BI15" s="14">
        <f>Painel!BI15*IPC!J$3</f>
        <v>7.054807170515665</v>
      </c>
      <c r="BJ15" s="14"/>
      <c r="BK15" s="14">
        <f>Painel!BK15*IPC!G$3</f>
        <v>68.079000000000008</v>
      </c>
      <c r="BL15" s="14">
        <f>Painel!BL15*IPC!H$3</f>
        <v>68.461170750000008</v>
      </c>
      <c r="BM15" s="14">
        <f>Painel!BM15*IPC!I$3</f>
        <v>57.241362880800011</v>
      </c>
      <c r="BN15" s="14">
        <f>Painel!BN15*IPC!J$3</f>
        <v>61.729562742012071</v>
      </c>
      <c r="BO15" s="14"/>
      <c r="BP15" s="14">
        <f>Painel!BP15*IPC!G$3</f>
        <v>1.8567000000000002</v>
      </c>
      <c r="BQ15" s="14">
        <f>Painel!BQ15*IPC!H$3</f>
        <v>0</v>
      </c>
      <c r="BR15" s="14">
        <f>Painel!BR15*IPC!I$3</f>
        <v>7.6321817174400017</v>
      </c>
      <c r="BS15" s="14">
        <f>Painel!BS15*IPC!J$3</f>
        <v>6.9288284710421717</v>
      </c>
      <c r="BT15" s="14"/>
      <c r="BU15" s="14">
        <f>Painel!BU15*IPC!G$3</f>
        <v>90.772000000000006</v>
      </c>
      <c r="BV15" s="14">
        <f>Painel!BV15*IPC!H$3</f>
        <v>34.773928000000005</v>
      </c>
      <c r="BW15" s="14">
        <f>Painel!BW15*IPC!I$3</f>
        <v>66.781590027600004</v>
      </c>
      <c r="BX15" s="14">
        <f>Painel!BX15*IPC!J$3</f>
        <v>65.508923726216892</v>
      </c>
      <c r="BY15" s="14">
        <v>150</v>
      </c>
      <c r="BZ15" s="14">
        <f>Painel!BZ15*IPC!G$3</f>
        <v>108.3075</v>
      </c>
      <c r="CA15" s="14">
        <f>Painel!CA15*IPC!H$3</f>
        <v>88.021505250000018</v>
      </c>
      <c r="CB15" s="14">
        <f>Painel!CB15*IPC!I$3</f>
        <v>145.48846398870003</v>
      </c>
      <c r="CC15" s="14">
        <f>Painel!CC15*IPC!J$3</f>
        <v>137.31678242610849</v>
      </c>
      <c r="CD15" s="14"/>
      <c r="CE15" s="14">
        <f>Painel!CE15*IPC!G$3</f>
        <v>63.953000000000003</v>
      </c>
      <c r="CF15" s="14">
        <f>Painel!CF15*IPC!H$3</f>
        <v>19.560334500000003</v>
      </c>
      <c r="CG15" s="14">
        <f>Painel!CG15*IPC!I$3</f>
        <v>48.893664127350007</v>
      </c>
      <c r="CH15" s="14">
        <f>Painel!CH15*IPC!J$3</f>
        <v>66.76871072095183</v>
      </c>
      <c r="CI15" s="14"/>
      <c r="CJ15" s="14">
        <f>Painel!CJ15*IPC!G$3</f>
        <v>78.394000000000005</v>
      </c>
      <c r="CK15" s="14">
        <f>Painel!CK15*IPC!H$3</f>
        <v>91.281561000000011</v>
      </c>
      <c r="CL15" s="14">
        <f>Painel!CL15*IPC!I$3</f>
        <v>125.21548130175002</v>
      </c>
      <c r="CM15" s="14">
        <f>Painel!CM15*IPC!J$3</f>
        <v>181.40932724183139</v>
      </c>
      <c r="CN15" s="14"/>
      <c r="CO15" s="14">
        <f>Painel!CO15*IPC!G$3</f>
        <v>26.819000000000003</v>
      </c>
      <c r="CP15" s="14">
        <f>Painel!CP15*IPC!H$3</f>
        <v>2.6080446000000004</v>
      </c>
      <c r="CQ15" s="14">
        <f>Painel!CQ15*IPC!I$3</f>
        <v>1.7887925900250004</v>
      </c>
      <c r="CR15" s="14">
        <f>Painel!CR15*IPC!J$3</f>
        <v>4.283275782098797</v>
      </c>
      <c r="CT15" s="14">
        <f>Painel!CT15*IPC!G$3</f>
        <v>6.6016000000000012</v>
      </c>
      <c r="CU15" s="14">
        <f>Painel!CU15*IPC!H$3</f>
        <v>1.9560334500000003</v>
      </c>
      <c r="CV15" s="14">
        <f>Painel!CV15*IPC!I$3</f>
        <v>2.6235624653700005</v>
      </c>
      <c r="CW15" s="14">
        <f>Painel!CW15*IPC!J$3</f>
        <v>0.37793609842048209</v>
      </c>
      <c r="CY15" s="14">
        <f>Painel!CY15*IPC!G$3</f>
        <v>0</v>
      </c>
      <c r="CZ15" s="14">
        <f>Painel!CZ15*IPC!H$3</f>
        <v>0</v>
      </c>
      <c r="DA15" s="14">
        <f>Painel!DA15*IPC!I$3</f>
        <v>0</v>
      </c>
      <c r="DB15" s="14">
        <f>Painel!DB15*IPC!J$3</f>
        <v>0</v>
      </c>
      <c r="DD15" s="14">
        <f>Painel!DD15*IPC!G$3</f>
        <v>2.8881999999999999</v>
      </c>
      <c r="DE15" s="14">
        <f>Painel!DE15*IPC!H$3</f>
        <v>1.6300278750000001</v>
      </c>
      <c r="DF15" s="14">
        <f>Painel!DF15*IPC!I$3</f>
        <v>0</v>
      </c>
      <c r="DG15" s="14">
        <f>Painel!DG15*IPC!J$3</f>
        <v>0</v>
      </c>
    </row>
    <row r="16" spans="1:111" x14ac:dyDescent="0.3">
      <c r="A16" t="s">
        <v>85</v>
      </c>
      <c r="B16" s="14"/>
      <c r="C16" s="14">
        <f>Painel!C16*IPC!G$3</f>
        <v>5.1575000000000006</v>
      </c>
      <c r="D16" s="14">
        <f>Painel!D16*IPC!H$3</f>
        <v>0</v>
      </c>
      <c r="E16" s="14">
        <f>Painel!E16*IPC!I$3</f>
        <v>4.4123550553950004</v>
      </c>
      <c r="F16" s="14">
        <f>Painel!F16*IPC!J$3</f>
        <v>1.3857656942084344</v>
      </c>
      <c r="G16" s="14"/>
      <c r="H16" s="14">
        <f>Painel!H16*IPC!G$3</f>
        <v>18.567</v>
      </c>
      <c r="I16" s="14">
        <f>Painel!I16*IPC!H$3</f>
        <v>19.560334500000003</v>
      </c>
      <c r="J16" s="14">
        <f>Painel!J16*IPC!I$3</f>
        <v>14.310340720200003</v>
      </c>
      <c r="K16" s="14">
        <f>Painel!K16*IPC!J$3</f>
        <v>17.637017926289165</v>
      </c>
      <c r="L16" s="14"/>
      <c r="M16" s="14">
        <f>Painel!M16*IPC!G$3</f>
        <v>14.441000000000001</v>
      </c>
      <c r="N16" s="14">
        <f>Painel!N16*IPC!H$3</f>
        <v>10.323509875000001</v>
      </c>
      <c r="O16" s="14">
        <f>Painel!O16*IPC!I$3</f>
        <v>9.0632157894600009</v>
      </c>
      <c r="P16" s="14">
        <f>Painel!P16*IPC!J$3</f>
        <v>27.715313884168687</v>
      </c>
      <c r="Q16" s="14"/>
      <c r="R16" s="14">
        <f>Painel!R16*IPC!G$3</f>
        <v>13.409500000000001</v>
      </c>
      <c r="S16" s="14">
        <f>Painel!S16*IPC!H$3</f>
        <v>14.126908250000001</v>
      </c>
      <c r="T16" s="14">
        <f>Painel!T16*IPC!I$3</f>
        <v>9.5402271468000013</v>
      </c>
      <c r="U16" s="14">
        <f>Painel!U16*IPC!J$3</f>
        <v>17.637017926289165</v>
      </c>
      <c r="V16" s="14"/>
      <c r="W16" s="14"/>
      <c r="X16" s="14"/>
      <c r="Y16" s="14"/>
      <c r="Z16" s="14"/>
      <c r="AA16" s="14"/>
      <c r="AB16" s="14">
        <f>Painel!AB16*IPC!G$3</f>
        <v>0</v>
      </c>
      <c r="AC16" s="14">
        <f>Painel!AC16*IPC!H$3</f>
        <v>0</v>
      </c>
      <c r="AD16" s="14">
        <f>Painel!AD16*IPC!I$3</f>
        <v>0</v>
      </c>
      <c r="AE16" s="14">
        <f>Painel!AE16*IPC!J$3</f>
        <v>0</v>
      </c>
      <c r="AF16" s="14"/>
      <c r="AG16" s="14">
        <f>Painel!AG16*IPC!G$3</f>
        <v>10.624450000000001</v>
      </c>
      <c r="AH16" s="14">
        <f>Painel!AH16*IPC!H$3</f>
        <v>9.6714987250000011</v>
      </c>
      <c r="AI16" s="14">
        <f>Painel!AI16*IPC!I$3</f>
        <v>12.998559487515003</v>
      </c>
      <c r="AJ16" s="14">
        <f>Painel!AJ16*IPC!J$3</f>
        <v>19.904634516812056</v>
      </c>
      <c r="AK16" s="14"/>
      <c r="AL16" s="14">
        <f>Painel!AL16*IPC!G$3</f>
        <v>0</v>
      </c>
      <c r="AM16" s="14">
        <f>Painel!AM16*IPC!H$3</f>
        <v>4.5640780500000009</v>
      </c>
      <c r="AN16" s="14">
        <f>Painel!AN16*IPC!I$3</f>
        <v>9.5402271468000013</v>
      </c>
      <c r="AO16" s="14">
        <f>Painel!AO16*IPC!J$3</f>
        <v>23.935952899963866</v>
      </c>
      <c r="AP16" s="14"/>
      <c r="AQ16" s="14"/>
      <c r="AR16" s="14"/>
      <c r="AS16" s="14"/>
      <c r="AT16" s="14"/>
      <c r="AU16" s="22">
        <v>16</v>
      </c>
      <c r="AV16" s="14">
        <f>Painel!AV16*IPC!G$3</f>
        <v>28.882000000000001</v>
      </c>
      <c r="AW16" s="14">
        <f>Painel!AW16*IPC!H$3</f>
        <v>53.247577250000006</v>
      </c>
      <c r="AX16" s="14">
        <f>Painel!AX16*IPC!I$3</f>
        <v>31.005738227100004</v>
      </c>
      <c r="AY16" s="14">
        <f>Painel!AY16*IPC!J$3</f>
        <v>40.313183831518089</v>
      </c>
      <c r="AZ16" s="14"/>
      <c r="BA16" s="14">
        <f>Painel!BA16*IPC!G$3</f>
        <v>20.630000000000003</v>
      </c>
      <c r="BB16" s="14">
        <f>Painel!BB16*IPC!H$3</f>
        <v>20.647019750000002</v>
      </c>
      <c r="BC16" s="14">
        <f>Painel!BC16*IPC!I$3</f>
        <v>13.117812326850002</v>
      </c>
      <c r="BD16" s="14">
        <f>Painel!BD16*IPC!J$3</f>
        <v>20.156591915759044</v>
      </c>
      <c r="BE16" s="14"/>
      <c r="BF16" s="14">
        <f>Painel!BF16*IPC!G$3</f>
        <v>4.1260000000000003</v>
      </c>
      <c r="BG16" s="14">
        <f>Painel!BG16*IPC!H$3</f>
        <v>2.0647019750000002</v>
      </c>
      <c r="BH16" s="14">
        <f>Painel!BH16*IPC!I$3</f>
        <v>2.3850567867000003</v>
      </c>
      <c r="BI16" s="14">
        <f>Painel!BI16*IPC!J$3</f>
        <v>2.0156591915759043</v>
      </c>
      <c r="BJ16" s="14"/>
      <c r="BK16" s="14">
        <f>Painel!BK16*IPC!G$3</f>
        <v>25.787500000000001</v>
      </c>
      <c r="BL16" s="14">
        <f>Painel!BL16*IPC!H$3</f>
        <v>31.513872250000006</v>
      </c>
      <c r="BM16" s="14">
        <f>Painel!BM16*IPC!I$3</f>
        <v>23.850567867000002</v>
      </c>
      <c r="BN16" s="14">
        <f>Painel!BN16*IPC!J$3</f>
        <v>28.975100878903625</v>
      </c>
      <c r="BO16" s="14"/>
      <c r="BP16" s="14">
        <f>Painel!BP16*IPC!G$3</f>
        <v>4.7449000000000003</v>
      </c>
      <c r="BQ16" s="14">
        <f>Painel!BQ16*IPC!H$3</f>
        <v>3.6947298500000003</v>
      </c>
      <c r="BR16" s="14">
        <f>Painel!BR16*IPC!I$3</f>
        <v>5.7241362880800004</v>
      </c>
      <c r="BS16" s="14">
        <f>Painel!BS16*IPC!J$3</f>
        <v>7.9366580668301232</v>
      </c>
      <c r="BT16" s="14"/>
      <c r="BU16" s="14">
        <f>Painel!BU16*IPC!G$3</f>
        <v>22.693000000000001</v>
      </c>
      <c r="BV16" s="14">
        <f>Painel!BV16*IPC!H$3</f>
        <v>23.907075500000005</v>
      </c>
      <c r="BW16" s="14">
        <f>Painel!BW16*IPC!I$3</f>
        <v>17.887925900250004</v>
      </c>
      <c r="BX16" s="14">
        <f>Painel!BX16*IPC!J$3</f>
        <v>27.21139908627471</v>
      </c>
      <c r="BY16" s="15">
        <v>29</v>
      </c>
      <c r="BZ16" s="14">
        <f>Painel!BZ16*IPC!G$3</f>
        <v>30.945000000000004</v>
      </c>
      <c r="CA16" s="14">
        <f>Painel!CA16*IPC!H$3</f>
        <v>31.513872250000006</v>
      </c>
      <c r="CB16" s="14">
        <f>Painel!CB16*IPC!I$3</f>
        <v>22.658039473650003</v>
      </c>
      <c r="CC16" s="14">
        <f>Painel!CC16*IPC!J$3</f>
        <v>32.754461863108446</v>
      </c>
      <c r="CD16" s="14"/>
      <c r="CE16" s="14">
        <f>Painel!CE16*IPC!G$3</f>
        <v>10.315000000000001</v>
      </c>
      <c r="CF16" s="14">
        <f>Painel!CF16*IPC!H$3</f>
        <v>10.214841350000002</v>
      </c>
      <c r="CG16" s="14">
        <f>Painel!CG16*IPC!I$3</f>
        <v>9.3017214681300011</v>
      </c>
      <c r="CH16" s="14">
        <f>Painel!CH16*IPC!J$3</f>
        <v>11.338082952614462</v>
      </c>
      <c r="CI16" s="14"/>
      <c r="CJ16" s="14">
        <f>Painel!CJ16*IPC!G$3</f>
        <v>16.504000000000001</v>
      </c>
      <c r="CK16" s="14">
        <f>Painel!CK16*IPC!H$3</f>
        <v>30.427187000000004</v>
      </c>
      <c r="CL16" s="14">
        <f>Painel!CL16*IPC!I$3</f>
        <v>42.931022160600008</v>
      </c>
      <c r="CM16" s="14">
        <f>Painel!CM16*IPC!J$3</f>
        <v>50.391479789397607</v>
      </c>
      <c r="CN16" s="14"/>
      <c r="CO16" s="14">
        <f>Painel!CO16*IPC!G$3</f>
        <v>8.9740500000000001</v>
      </c>
      <c r="CP16" s="14">
        <f>Painel!CP16*IPC!H$3</f>
        <v>3.9120669000000006</v>
      </c>
      <c r="CQ16" s="14">
        <f>Painel!CQ16*IPC!I$3</f>
        <v>10.732755540150002</v>
      </c>
      <c r="CR16" s="14">
        <f>Painel!CR16*IPC!J$3</f>
        <v>16.377230931554223</v>
      </c>
      <c r="CT16" s="14">
        <f>Painel!CT16*IPC!G$3</f>
        <v>1.1346500000000002</v>
      </c>
      <c r="CU16" s="14">
        <f>Painel!CU16*IPC!H$3</f>
        <v>1.9560334500000003</v>
      </c>
      <c r="CV16" s="14">
        <f>Painel!CV16*IPC!I$3</f>
        <v>1.1925283933500002</v>
      </c>
      <c r="CW16" s="14">
        <f>Painel!CW16*IPC!J$3</f>
        <v>2.0156591915759043</v>
      </c>
      <c r="CY16" s="14">
        <f>Painel!CY16*IPC!G$3</f>
        <v>0</v>
      </c>
      <c r="CZ16" s="14">
        <f>Painel!CZ16*IPC!H$3</f>
        <v>0</v>
      </c>
      <c r="DA16" s="14">
        <f>Painel!DA16*IPC!I$3</f>
        <v>0</v>
      </c>
      <c r="DB16" s="14">
        <f>Painel!DB16*IPC!J$3</f>
        <v>0</v>
      </c>
      <c r="DD16" s="14">
        <f>Painel!DD16*IPC!G$3</f>
        <v>3.0945</v>
      </c>
      <c r="DE16" s="14">
        <f>Painel!DE16*IPC!H$3</f>
        <v>8.4761449500000019</v>
      </c>
      <c r="DF16" s="14">
        <f>Painel!DF16*IPC!I$3</f>
        <v>0</v>
      </c>
      <c r="DG16" s="14">
        <f>Painel!DG16*IPC!J$3</f>
        <v>0</v>
      </c>
    </row>
    <row r="17" spans="1:111" x14ac:dyDescent="0.3">
      <c r="A17" t="s">
        <v>59</v>
      </c>
      <c r="B17" s="14">
        <v>0.5</v>
      </c>
      <c r="C17" s="14">
        <v>0.5</v>
      </c>
      <c r="D17" s="14">
        <v>0.5</v>
      </c>
      <c r="E17" s="14">
        <v>0.5</v>
      </c>
      <c r="F17" s="14">
        <v>0.5</v>
      </c>
      <c r="G17" s="14">
        <v>4.3</v>
      </c>
      <c r="H17" s="14">
        <v>4.3</v>
      </c>
      <c r="I17" s="14">
        <v>4.3</v>
      </c>
      <c r="J17" s="14">
        <v>4.3</v>
      </c>
      <c r="K17" s="14">
        <v>4.3</v>
      </c>
      <c r="L17" s="14">
        <v>1.5</v>
      </c>
      <c r="M17" s="14">
        <v>1.5</v>
      </c>
      <c r="N17" s="14">
        <v>1.5</v>
      </c>
      <c r="O17" s="14">
        <v>1.5</v>
      </c>
      <c r="P17" s="14">
        <v>1.5</v>
      </c>
      <c r="Q17" s="14">
        <v>3.6</v>
      </c>
      <c r="R17" s="14">
        <v>3.6</v>
      </c>
      <c r="S17" s="14">
        <v>3.6</v>
      </c>
      <c r="T17" s="14">
        <v>3.6</v>
      </c>
      <c r="U17" s="14">
        <v>3.6</v>
      </c>
      <c r="V17" s="14">
        <v>2</v>
      </c>
      <c r="W17" s="14">
        <v>2</v>
      </c>
      <c r="X17" s="14">
        <v>2</v>
      </c>
      <c r="Y17" s="14">
        <v>2</v>
      </c>
      <c r="Z17" s="14">
        <v>2</v>
      </c>
      <c r="AA17" s="14">
        <v>14.2</v>
      </c>
      <c r="AB17" s="14">
        <v>14.2</v>
      </c>
      <c r="AC17" s="14">
        <v>14.2</v>
      </c>
      <c r="AD17" s="14">
        <v>14.2</v>
      </c>
      <c r="AE17" s="14">
        <v>14.2</v>
      </c>
      <c r="AF17" s="14">
        <v>0.1</v>
      </c>
      <c r="AG17" s="14">
        <v>0.1</v>
      </c>
      <c r="AH17" s="14">
        <v>0.1</v>
      </c>
      <c r="AI17" s="14">
        <v>0.1</v>
      </c>
      <c r="AJ17" s="14">
        <v>0.1</v>
      </c>
      <c r="AK17" s="14">
        <v>6.1</v>
      </c>
      <c r="AL17" s="14">
        <v>6.1</v>
      </c>
      <c r="AM17" s="14">
        <v>6.1</v>
      </c>
      <c r="AN17" s="14">
        <v>6.1</v>
      </c>
      <c r="AO17" s="14">
        <v>6.1</v>
      </c>
      <c r="AP17" s="14">
        <v>0.1</v>
      </c>
      <c r="AQ17" s="14"/>
      <c r="AR17" s="14"/>
      <c r="AS17" s="14"/>
      <c r="AT17" s="14"/>
      <c r="AU17" s="14">
        <v>21.9</v>
      </c>
      <c r="AV17" s="14">
        <v>21.9</v>
      </c>
      <c r="AW17" s="14">
        <v>21.9</v>
      </c>
      <c r="AX17" s="14">
        <v>21.9</v>
      </c>
      <c r="AY17" s="14">
        <v>21.9</v>
      </c>
      <c r="AZ17" s="14">
        <v>3.4</v>
      </c>
      <c r="BA17" s="14">
        <v>3.4</v>
      </c>
      <c r="BB17" s="14">
        <v>3.4</v>
      </c>
      <c r="BC17" s="14">
        <v>3.4</v>
      </c>
      <c r="BD17" s="14">
        <v>3.4</v>
      </c>
      <c r="BE17" s="14">
        <v>1.2</v>
      </c>
      <c r="BF17" s="14">
        <v>1.2</v>
      </c>
      <c r="BG17" s="14">
        <v>1.2</v>
      </c>
      <c r="BH17" s="14">
        <v>1.2</v>
      </c>
      <c r="BI17" s="14">
        <v>1.2</v>
      </c>
      <c r="BJ17" s="14">
        <v>4.5999999999999996</v>
      </c>
      <c r="BK17" s="14">
        <v>4.5999999999999996</v>
      </c>
      <c r="BL17" s="14">
        <v>4.5999999999999996</v>
      </c>
      <c r="BM17" s="14">
        <v>4.5999999999999996</v>
      </c>
      <c r="BN17" s="14">
        <v>4.5999999999999996</v>
      </c>
      <c r="BO17" s="14">
        <v>0.2</v>
      </c>
      <c r="BP17" s="14">
        <v>0.2</v>
      </c>
      <c r="BQ17" s="14">
        <v>0.2</v>
      </c>
      <c r="BR17" s="14">
        <v>0.2</v>
      </c>
      <c r="BS17" s="14">
        <v>0.2</v>
      </c>
      <c r="BT17" s="14">
        <v>3.5</v>
      </c>
      <c r="BU17" s="14">
        <v>3.5</v>
      </c>
      <c r="BV17" s="14">
        <v>3.5</v>
      </c>
      <c r="BW17" s="14">
        <v>3.5</v>
      </c>
      <c r="BX17" s="14">
        <v>3.5</v>
      </c>
      <c r="BY17" s="14">
        <v>7.7</v>
      </c>
      <c r="BZ17" s="14">
        <v>7.7</v>
      </c>
      <c r="CA17" s="14">
        <v>7.7</v>
      </c>
      <c r="CB17" s="14">
        <v>7.7</v>
      </c>
      <c r="CC17" s="14">
        <v>7.7</v>
      </c>
      <c r="CD17" s="14">
        <v>3.1</v>
      </c>
      <c r="CE17" s="14">
        <v>3.1</v>
      </c>
      <c r="CF17" s="14">
        <v>3.1</v>
      </c>
      <c r="CG17" s="14">
        <v>3.1</v>
      </c>
      <c r="CH17" s="14">
        <v>3.1</v>
      </c>
      <c r="CI17" s="14">
        <v>9.9</v>
      </c>
      <c r="CJ17" s="14">
        <v>9.9</v>
      </c>
      <c r="CK17" s="14">
        <v>9.9</v>
      </c>
      <c r="CL17" s="14">
        <v>9.9</v>
      </c>
      <c r="CM17" s="14">
        <v>9.9</v>
      </c>
      <c r="CN17" s="14">
        <v>6.2</v>
      </c>
      <c r="CO17" s="14">
        <v>6.2</v>
      </c>
      <c r="CP17" s="14">
        <v>6.2</v>
      </c>
      <c r="CQ17" s="14">
        <v>6.2</v>
      </c>
      <c r="CR17" s="14">
        <v>6.2</v>
      </c>
      <c r="CS17">
        <v>0.4</v>
      </c>
      <c r="CT17">
        <v>0.4</v>
      </c>
      <c r="CU17">
        <v>0.4</v>
      </c>
      <c r="CV17">
        <v>0.4</v>
      </c>
      <c r="CW17">
        <v>0.4</v>
      </c>
      <c r="CX17">
        <v>0.1</v>
      </c>
      <c r="CY17">
        <v>0.1</v>
      </c>
      <c r="CZ17">
        <v>0.1</v>
      </c>
      <c r="DA17">
        <v>0.1</v>
      </c>
      <c r="DB17">
        <v>0.1</v>
      </c>
      <c r="DC17">
        <v>0.1</v>
      </c>
      <c r="DD17">
        <v>0.1</v>
      </c>
      <c r="DE17">
        <v>0.1</v>
      </c>
      <c r="DF17">
        <v>0.1</v>
      </c>
      <c r="DG17">
        <v>0.1</v>
      </c>
    </row>
    <row r="18" spans="1:111" x14ac:dyDescent="0.3">
      <c r="A18" t="s">
        <v>76</v>
      </c>
      <c r="B18" s="14">
        <v>1</v>
      </c>
      <c r="C18" s="14">
        <v>1</v>
      </c>
      <c r="D18" s="14">
        <v>1</v>
      </c>
      <c r="E18" s="14">
        <v>1</v>
      </c>
      <c r="F18" s="14">
        <v>1</v>
      </c>
      <c r="G18" s="14">
        <v>9.5</v>
      </c>
      <c r="H18" s="14">
        <v>9.5</v>
      </c>
      <c r="I18" s="14">
        <v>9.5</v>
      </c>
      <c r="J18" s="14">
        <v>9.5</v>
      </c>
      <c r="K18" s="14">
        <v>9.5</v>
      </c>
      <c r="L18" s="14">
        <v>3.3</v>
      </c>
      <c r="M18" s="14">
        <v>3.3</v>
      </c>
      <c r="N18" s="14">
        <v>3.3</v>
      </c>
      <c r="O18" s="14">
        <v>3.3</v>
      </c>
      <c r="P18" s="14">
        <v>3.3</v>
      </c>
      <c r="Q18" s="14">
        <v>7.9</v>
      </c>
      <c r="R18" s="14">
        <v>7.9</v>
      </c>
      <c r="S18" s="14">
        <v>7.9</v>
      </c>
      <c r="T18" s="14">
        <v>7.9</v>
      </c>
      <c r="U18" s="14">
        <v>7.9</v>
      </c>
      <c r="V18" s="14">
        <v>4.4000000000000004</v>
      </c>
      <c r="W18" s="14">
        <v>4.4000000000000004</v>
      </c>
      <c r="X18" s="14">
        <v>4.4000000000000004</v>
      </c>
      <c r="Y18" s="14">
        <v>4.4000000000000004</v>
      </c>
      <c r="Z18" s="14">
        <v>4.4000000000000004</v>
      </c>
      <c r="AA18" s="14">
        <v>31.2</v>
      </c>
      <c r="AB18" s="14">
        <v>31.2</v>
      </c>
      <c r="AC18" s="14">
        <v>31.2</v>
      </c>
      <c r="AD18" s="14">
        <v>31.2</v>
      </c>
      <c r="AE18" s="14">
        <v>31.2</v>
      </c>
      <c r="AF18" s="14">
        <v>3.3</v>
      </c>
      <c r="AG18" s="14">
        <v>3.3</v>
      </c>
      <c r="AH18" s="14">
        <v>3.3</v>
      </c>
      <c r="AI18" s="14">
        <v>3.3</v>
      </c>
      <c r="AJ18" s="14">
        <v>3.3</v>
      </c>
      <c r="AK18" s="14">
        <v>13.4</v>
      </c>
      <c r="AL18" s="14">
        <v>13.4</v>
      </c>
      <c r="AM18" s="14">
        <v>13.4</v>
      </c>
      <c r="AN18" s="14">
        <v>13.4</v>
      </c>
      <c r="AO18" s="14">
        <v>13.4</v>
      </c>
      <c r="AP18" s="14">
        <v>0.2</v>
      </c>
      <c r="AQ18" s="14"/>
      <c r="AR18" s="14"/>
      <c r="AS18" s="14"/>
      <c r="AT18" s="14"/>
      <c r="AU18" s="14">
        <v>48.1</v>
      </c>
      <c r="AV18" s="14">
        <v>48.1</v>
      </c>
      <c r="AW18" s="14">
        <v>48.1</v>
      </c>
      <c r="AX18" s="14">
        <v>48.1</v>
      </c>
      <c r="AY18" s="14">
        <v>48.1</v>
      </c>
      <c r="AZ18" s="14">
        <v>7.5</v>
      </c>
      <c r="BA18" s="14">
        <v>7.5</v>
      </c>
      <c r="BB18" s="14">
        <v>7.5</v>
      </c>
      <c r="BC18" s="14">
        <v>7.5</v>
      </c>
      <c r="BD18" s="14">
        <v>7.5</v>
      </c>
      <c r="BE18" s="14">
        <v>2.6</v>
      </c>
      <c r="BF18" s="14">
        <v>2.6</v>
      </c>
      <c r="BG18" s="14">
        <v>2.6</v>
      </c>
      <c r="BH18" s="14">
        <v>2.6</v>
      </c>
      <c r="BI18" s="14">
        <v>2.6</v>
      </c>
      <c r="BJ18" s="14">
        <v>10.1</v>
      </c>
      <c r="BK18" s="14">
        <v>10.1</v>
      </c>
      <c r="BL18" s="14">
        <v>10.1</v>
      </c>
      <c r="BM18" s="14">
        <v>10.1</v>
      </c>
      <c r="BN18" s="14">
        <v>10.1</v>
      </c>
      <c r="BO18" s="14">
        <v>0.4</v>
      </c>
      <c r="BP18" s="14">
        <v>0.4</v>
      </c>
      <c r="BQ18" s="14">
        <v>0.4</v>
      </c>
      <c r="BR18" s="14">
        <v>0.4</v>
      </c>
      <c r="BS18" s="14">
        <v>0.4</v>
      </c>
      <c r="BT18" s="14">
        <v>7.7</v>
      </c>
      <c r="BU18" s="14">
        <v>7.7</v>
      </c>
      <c r="BV18" s="14">
        <v>7.7</v>
      </c>
      <c r="BW18" s="14">
        <v>7.7</v>
      </c>
      <c r="BX18" s="14">
        <v>7.7</v>
      </c>
      <c r="BY18" s="14">
        <v>16.899999999999999</v>
      </c>
      <c r="BZ18" s="14">
        <v>16.899999999999999</v>
      </c>
      <c r="CA18" s="14">
        <v>16.899999999999999</v>
      </c>
      <c r="CB18" s="14">
        <v>16.899999999999999</v>
      </c>
      <c r="CC18" s="14">
        <v>16.899999999999999</v>
      </c>
      <c r="CD18" s="14">
        <v>6.8</v>
      </c>
      <c r="CE18" s="14">
        <v>6.8</v>
      </c>
      <c r="CF18" s="14">
        <v>6.8</v>
      </c>
      <c r="CG18" s="14">
        <v>6.8</v>
      </c>
      <c r="CH18" s="14">
        <v>6.8</v>
      </c>
      <c r="CI18" s="14">
        <v>21.8</v>
      </c>
      <c r="CJ18" s="14">
        <v>21.8</v>
      </c>
      <c r="CK18" s="14">
        <v>21.8</v>
      </c>
      <c r="CL18" s="14">
        <v>21.8</v>
      </c>
      <c r="CM18" s="14">
        <v>21.8</v>
      </c>
      <c r="CN18" s="14">
        <v>13.6</v>
      </c>
      <c r="CO18" s="14">
        <v>13.6</v>
      </c>
      <c r="CP18" s="14">
        <v>13.6</v>
      </c>
      <c r="CQ18" s="14">
        <v>13.6</v>
      </c>
      <c r="CR18" s="14">
        <v>13.6</v>
      </c>
      <c r="CS18">
        <v>0.88</v>
      </c>
      <c r="CT18">
        <v>0.88</v>
      </c>
      <c r="CU18">
        <v>0.88</v>
      </c>
      <c r="CV18">
        <v>0.88</v>
      </c>
      <c r="CW18">
        <v>0.88</v>
      </c>
      <c r="CX18">
        <v>0.22</v>
      </c>
      <c r="CY18">
        <v>0.22</v>
      </c>
      <c r="CZ18">
        <v>0.22</v>
      </c>
      <c r="DA18">
        <v>0.22</v>
      </c>
      <c r="DB18">
        <v>0.22</v>
      </c>
      <c r="DC18">
        <v>0.22</v>
      </c>
      <c r="DD18">
        <v>0.22</v>
      </c>
      <c r="DE18">
        <v>0.22</v>
      </c>
      <c r="DF18">
        <v>0.22</v>
      </c>
      <c r="DG18">
        <v>0.22</v>
      </c>
    </row>
    <row r="19" spans="1:111" x14ac:dyDescent="0.3">
      <c r="A19" t="s">
        <v>88</v>
      </c>
      <c r="B19">
        <v>24</v>
      </c>
      <c r="C19">
        <v>53</v>
      </c>
      <c r="D19">
        <v>53</v>
      </c>
      <c r="G19">
        <v>66</v>
      </c>
      <c r="H19">
        <v>58</v>
      </c>
      <c r="I19">
        <v>84</v>
      </c>
      <c r="J19">
        <v>68</v>
      </c>
      <c r="K19">
        <v>48</v>
      </c>
      <c r="L19">
        <v>56</v>
      </c>
      <c r="M19">
        <v>58</v>
      </c>
      <c r="N19">
        <v>47</v>
      </c>
      <c r="O19">
        <v>53</v>
      </c>
      <c r="P19">
        <v>64</v>
      </c>
      <c r="Q19">
        <v>44</v>
      </c>
      <c r="S19">
        <v>43</v>
      </c>
      <c r="T19">
        <v>44</v>
      </c>
      <c r="U19">
        <v>49</v>
      </c>
      <c r="V19">
        <v>64</v>
      </c>
      <c r="W19">
        <v>53</v>
      </c>
      <c r="Y19">
        <v>27</v>
      </c>
      <c r="Z19">
        <v>43</v>
      </c>
      <c r="AA19">
        <v>50</v>
      </c>
      <c r="AB19">
        <v>65</v>
      </c>
      <c r="AC19">
        <v>57</v>
      </c>
      <c r="AD19">
        <v>51</v>
      </c>
      <c r="AE19">
        <v>56</v>
      </c>
      <c r="AF19">
        <v>30</v>
      </c>
      <c r="AG19">
        <v>42</v>
      </c>
      <c r="AI19">
        <v>31</v>
      </c>
      <c r="AK19">
        <v>47</v>
      </c>
      <c r="AO19">
        <v>36</v>
      </c>
      <c r="AP19">
        <v>51</v>
      </c>
      <c r="AQ19">
        <v>41</v>
      </c>
      <c r="AR19">
        <v>47</v>
      </c>
      <c r="AU19">
        <v>66</v>
      </c>
      <c r="AV19">
        <v>62</v>
      </c>
      <c r="AW19">
        <v>71</v>
      </c>
      <c r="AX19">
        <v>71</v>
      </c>
      <c r="AY19">
        <v>90</v>
      </c>
      <c r="AZ19">
        <v>56</v>
      </c>
      <c r="BA19">
        <v>70</v>
      </c>
      <c r="BB19">
        <v>54</v>
      </c>
      <c r="BC19">
        <v>64</v>
      </c>
      <c r="BD19">
        <v>46</v>
      </c>
      <c r="BE19">
        <v>54</v>
      </c>
      <c r="BF19">
        <v>55</v>
      </c>
      <c r="BG19">
        <v>58</v>
      </c>
      <c r="BH19">
        <v>41</v>
      </c>
      <c r="BI19">
        <v>53</v>
      </c>
      <c r="BJ19">
        <v>68</v>
      </c>
      <c r="BL19">
        <v>43</v>
      </c>
      <c r="BM19">
        <v>59</v>
      </c>
      <c r="BN19">
        <v>65</v>
      </c>
      <c r="BO19">
        <v>38</v>
      </c>
      <c r="BP19">
        <v>46</v>
      </c>
      <c r="BR19">
        <v>37</v>
      </c>
      <c r="BS19">
        <v>52</v>
      </c>
      <c r="BT19">
        <v>55</v>
      </c>
      <c r="BU19">
        <v>73</v>
      </c>
      <c r="BV19">
        <v>48</v>
      </c>
      <c r="BW19">
        <v>70</v>
      </c>
      <c r="BX19">
        <v>57</v>
      </c>
      <c r="BY19">
        <v>70</v>
      </c>
      <c r="BZ19">
        <v>81</v>
      </c>
      <c r="CA19">
        <v>66</v>
      </c>
      <c r="CB19">
        <v>58</v>
      </c>
      <c r="CC19">
        <v>74</v>
      </c>
      <c r="CD19">
        <v>43</v>
      </c>
      <c r="CE19">
        <v>47</v>
      </c>
      <c r="CF19">
        <v>50</v>
      </c>
      <c r="CG19">
        <v>54</v>
      </c>
      <c r="CH19">
        <v>74</v>
      </c>
      <c r="CI19">
        <v>53</v>
      </c>
      <c r="CJ19">
        <v>54</v>
      </c>
      <c r="CK19">
        <v>48</v>
      </c>
      <c r="CL19">
        <v>66</v>
      </c>
      <c r="CM19">
        <v>63</v>
      </c>
      <c r="CN19">
        <v>45</v>
      </c>
      <c r="CQ19">
        <v>41</v>
      </c>
      <c r="CR19">
        <v>49</v>
      </c>
      <c r="CT19">
        <v>36</v>
      </c>
      <c r="CU19">
        <v>53</v>
      </c>
      <c r="CV19">
        <v>50</v>
      </c>
      <c r="DD19">
        <v>22</v>
      </c>
      <c r="DE19">
        <v>46</v>
      </c>
    </row>
    <row r="20" spans="1:111" x14ac:dyDescent="0.3">
      <c r="A20" t="s">
        <v>89</v>
      </c>
      <c r="B20" s="6">
        <v>0</v>
      </c>
      <c r="C20" s="6">
        <v>0.24369580448359887</v>
      </c>
      <c r="D20" s="6">
        <v>0.31698925390914107</v>
      </c>
      <c r="E20" s="6"/>
      <c r="F20" s="6"/>
      <c r="G20" s="6">
        <v>0.94936786212601332</v>
      </c>
      <c r="H20" s="6">
        <v>0.36084880671453018</v>
      </c>
      <c r="I20" s="6">
        <v>1</v>
      </c>
      <c r="J20" s="6">
        <v>0.63915119328546977</v>
      </c>
      <c r="K20" s="6">
        <v>0.15751996908273488</v>
      </c>
      <c r="L20" s="6">
        <v>0.84248003091726509</v>
      </c>
      <c r="M20" s="6">
        <v>0.41148094458851686</v>
      </c>
      <c r="N20" s="6">
        <v>0.13317855801757725</v>
      </c>
      <c r="O20" s="6">
        <v>0.27830238657093959</v>
      </c>
      <c r="P20" s="6">
        <v>0.47136605318055197</v>
      </c>
      <c r="Q20" s="6">
        <v>0.52863394681944809</v>
      </c>
      <c r="R20" s="6"/>
      <c r="S20" s="6">
        <v>5.0632137873986717E-2</v>
      </c>
      <c r="T20" s="6">
        <v>0.13317855801757725</v>
      </c>
      <c r="U20" s="6">
        <v>0.21239034303474383</v>
      </c>
      <c r="V20" s="6">
        <v>0.91068099478781195</v>
      </c>
      <c r="W20" s="6">
        <v>0.21239034303474383</v>
      </c>
      <c r="X20" s="6"/>
      <c r="Y20" s="6">
        <v>1.6025555786645992E-2</v>
      </c>
      <c r="Z20" s="6">
        <v>0.11051724646602176</v>
      </c>
      <c r="AA20" s="6">
        <v>0.68301074609085888</v>
      </c>
      <c r="AB20" s="6">
        <v>0.54465950260609397</v>
      </c>
      <c r="AC20" s="6">
        <v>0.47136605318055197</v>
      </c>
      <c r="AD20" s="6">
        <v>0.18381069589156382</v>
      </c>
      <c r="AE20" s="6">
        <v>0.31698925390914107</v>
      </c>
      <c r="AF20" s="6">
        <v>0.22767024869695299</v>
      </c>
      <c r="AG20" s="6">
        <v>0.11051724646602176</v>
      </c>
      <c r="AH20" s="6"/>
      <c r="AI20" s="6">
        <v>3.2873286567669809E-2</v>
      </c>
      <c r="AJ20" s="6"/>
      <c r="AK20" s="6">
        <v>0.63915119328546977</v>
      </c>
      <c r="AL20" s="6"/>
      <c r="AM20" s="6"/>
      <c r="AN20" s="6"/>
      <c r="AO20" s="6">
        <v>6.9406318392981087E-2</v>
      </c>
      <c r="AP20" s="6">
        <v>0.72169761342906036</v>
      </c>
      <c r="AQ20" s="6">
        <v>8.9319005212188038E-2</v>
      </c>
      <c r="AR20" s="6">
        <v>0.11051724646602176</v>
      </c>
      <c r="AS20" s="6"/>
      <c r="AT20" s="6"/>
      <c r="AU20" s="6">
        <v>0.93059368160701894</v>
      </c>
      <c r="AV20" s="6">
        <v>0.47136605318055197</v>
      </c>
      <c r="AW20" s="6">
        <v>0.77232975130304693</v>
      </c>
      <c r="AX20" s="6">
        <v>1</v>
      </c>
      <c r="AY20" s="6">
        <v>1</v>
      </c>
      <c r="AZ20" s="6">
        <v>0.86682144198242272</v>
      </c>
      <c r="BA20" s="6">
        <v>0.63915119328546977</v>
      </c>
      <c r="BB20" s="6">
        <v>0.36084880671453018</v>
      </c>
      <c r="BC20" s="6">
        <v>0.47136605318055197</v>
      </c>
      <c r="BD20" s="6">
        <v>0.13317855801757725</v>
      </c>
      <c r="BE20" s="6">
        <v>0.7876096569652562</v>
      </c>
      <c r="BF20" s="6">
        <v>0.31698925390914107</v>
      </c>
      <c r="BG20" s="6">
        <v>0.54465950260609397</v>
      </c>
      <c r="BH20" s="6">
        <v>8.9319005212188038E-2</v>
      </c>
      <c r="BI20" s="6">
        <v>0.27830238657093959</v>
      </c>
      <c r="BJ20" s="6">
        <v>0.96712671343233014</v>
      </c>
      <c r="BK20" s="6"/>
      <c r="BL20" s="6">
        <v>6.9406318392981087E-2</v>
      </c>
      <c r="BM20" s="6">
        <v>0.41148094458851686</v>
      </c>
      <c r="BN20" s="6">
        <v>0.54465950260609397</v>
      </c>
      <c r="BO20" s="6">
        <v>0.36084880671453018</v>
      </c>
      <c r="BP20" s="6">
        <v>0.15751996908273488</v>
      </c>
      <c r="BQ20" s="6"/>
      <c r="BR20" s="6">
        <v>5.0632137873986717E-2</v>
      </c>
      <c r="BS20" s="6">
        <v>0.24369580448359887</v>
      </c>
      <c r="BT20" s="6">
        <v>0.81618930410843615</v>
      </c>
      <c r="BU20" s="6">
        <v>0.77232975130304693</v>
      </c>
      <c r="BV20" s="6">
        <v>0.18381069589156382</v>
      </c>
      <c r="BW20" s="6">
        <v>0.77232975130304693</v>
      </c>
      <c r="BX20" s="6">
        <v>0.36084880671453018</v>
      </c>
      <c r="BY20" s="6">
        <v>0.983974444213354</v>
      </c>
      <c r="BZ20" s="6">
        <v>1</v>
      </c>
      <c r="CA20" s="6">
        <v>0.63915119328546977</v>
      </c>
      <c r="CB20" s="6">
        <v>0.36084880671453018</v>
      </c>
      <c r="CC20" s="6">
        <v>0.63915119328546977</v>
      </c>
      <c r="CD20" s="6">
        <v>0.45534049739390597</v>
      </c>
      <c r="CE20" s="6">
        <v>0.18381069589156382</v>
      </c>
      <c r="CF20" s="6">
        <v>0.24369580448359887</v>
      </c>
      <c r="CG20" s="6">
        <v>0.31698925390914107</v>
      </c>
      <c r="CH20" s="6">
        <v>0.77232975130304693</v>
      </c>
      <c r="CI20" s="6">
        <v>0.75630419551640116</v>
      </c>
      <c r="CJ20" s="6">
        <v>0.27830238657093959</v>
      </c>
      <c r="CK20" s="6">
        <v>0.15751996908273488</v>
      </c>
      <c r="CL20" s="6">
        <v>0.54465950260609397</v>
      </c>
      <c r="CM20" s="6">
        <v>0.41148094458851686</v>
      </c>
      <c r="CN20" s="6">
        <v>0.58851905541148319</v>
      </c>
      <c r="CO20" s="6"/>
      <c r="CP20" s="6"/>
      <c r="CQ20" s="6">
        <v>6.9406318392981087E-2</v>
      </c>
      <c r="CR20" s="6">
        <v>0.18381069589156382</v>
      </c>
      <c r="CT20" s="6">
        <v>5.0632137873986717E-2</v>
      </c>
      <c r="CU20" s="6">
        <v>0.27830238657093959</v>
      </c>
      <c r="CV20" s="6">
        <v>0.15751996908273488</v>
      </c>
      <c r="CW20" s="6"/>
      <c r="CX20" s="6"/>
      <c r="CY20" s="6"/>
      <c r="CZ20" s="6"/>
      <c r="DA20" s="6"/>
      <c r="DB20" s="6"/>
      <c r="DC20" s="6"/>
      <c r="DD20" s="6">
        <v>1.6025555786645992E-2</v>
      </c>
      <c r="DE20" s="6">
        <v>8.9319005212188038E-2</v>
      </c>
    </row>
    <row r="21" spans="1:111" x14ac:dyDescent="0.3">
      <c r="A21" t="s">
        <v>77</v>
      </c>
      <c r="B21" s="14">
        <v>7.3</v>
      </c>
      <c r="C21" s="14"/>
      <c r="D21" s="14"/>
      <c r="E21" s="14"/>
      <c r="F21" s="14"/>
      <c r="G21" s="14">
        <v>31.2</v>
      </c>
      <c r="H21" s="14"/>
      <c r="I21" s="14"/>
      <c r="J21" s="14"/>
      <c r="K21" s="14"/>
      <c r="L21" s="14">
        <v>18.600000000000001</v>
      </c>
      <c r="M21" s="14"/>
      <c r="N21" s="14"/>
      <c r="O21" s="14"/>
      <c r="P21" s="14"/>
      <c r="Q21" s="14">
        <v>22.6</v>
      </c>
      <c r="R21" s="14"/>
      <c r="S21" s="14"/>
      <c r="T21" s="14"/>
      <c r="U21" s="14"/>
      <c r="V21" s="14">
        <v>24.1</v>
      </c>
      <c r="W21" s="14"/>
      <c r="X21" s="14"/>
      <c r="Y21" s="14"/>
      <c r="Z21" s="14"/>
      <c r="AA21" s="14">
        <v>42.9</v>
      </c>
      <c r="AB21" s="14"/>
      <c r="AC21" s="14"/>
      <c r="AD21" s="14"/>
      <c r="AE21" s="14"/>
      <c r="AF21" s="14">
        <v>12</v>
      </c>
      <c r="AG21" s="14"/>
      <c r="AH21" s="14"/>
      <c r="AI21" s="14"/>
      <c r="AJ21" s="14"/>
      <c r="AK21" s="14">
        <v>25.6</v>
      </c>
      <c r="AL21" s="14"/>
      <c r="AM21" s="14"/>
      <c r="AN21" s="14"/>
      <c r="AO21" s="14"/>
      <c r="AP21" s="14">
        <v>14.9</v>
      </c>
      <c r="AQ21" s="14"/>
      <c r="AR21" s="14"/>
      <c r="AS21" s="14"/>
      <c r="AT21" s="14"/>
      <c r="AU21" s="14">
        <v>69.599999999999994</v>
      </c>
      <c r="AV21" s="14"/>
      <c r="AW21" s="14"/>
      <c r="AX21" s="14"/>
      <c r="AY21" s="14"/>
      <c r="AZ21" s="14">
        <v>25.9</v>
      </c>
      <c r="BA21" s="14"/>
      <c r="BB21" s="14"/>
      <c r="BC21" s="14"/>
      <c r="BD21" s="14"/>
      <c r="BE21" s="14">
        <v>10.7</v>
      </c>
      <c r="BF21" s="14"/>
      <c r="BG21" s="14"/>
      <c r="BH21" s="14"/>
      <c r="BI21" s="14"/>
      <c r="BJ21" s="14">
        <v>38</v>
      </c>
      <c r="BK21" s="14"/>
      <c r="BL21" s="14"/>
      <c r="BM21" s="14"/>
      <c r="BN21" s="14"/>
      <c r="BO21" s="14">
        <v>5</v>
      </c>
      <c r="BP21" s="14"/>
      <c r="BQ21" s="14"/>
      <c r="BR21" s="14"/>
      <c r="BS21" s="14"/>
      <c r="BT21" s="14">
        <v>23.3</v>
      </c>
      <c r="BU21" s="14"/>
      <c r="BV21" s="14"/>
      <c r="BW21" s="14"/>
      <c r="BX21" s="14"/>
      <c r="BY21" s="14">
        <v>45.9</v>
      </c>
      <c r="BZ21" s="14"/>
      <c r="CA21" s="14"/>
      <c r="CB21" s="14"/>
      <c r="CC21" s="14"/>
      <c r="CD21" s="14">
        <v>8.4</v>
      </c>
      <c r="CE21" s="14"/>
      <c r="CF21" s="14"/>
      <c r="CG21" s="14"/>
      <c r="CH21" s="14"/>
      <c r="CI21" s="14">
        <v>47.8</v>
      </c>
      <c r="CJ21" s="14"/>
      <c r="CK21" s="14"/>
      <c r="CL21" s="14"/>
      <c r="CM21" s="14"/>
      <c r="CN21" s="14">
        <v>21.5</v>
      </c>
      <c r="CO21" s="14"/>
      <c r="CP21" s="14"/>
      <c r="CQ21" s="14"/>
      <c r="CR21" s="14"/>
    </row>
    <row r="22" spans="1:111" x14ac:dyDescent="0.3">
      <c r="A22" t="s">
        <v>62</v>
      </c>
      <c r="B22" s="6">
        <v>386</v>
      </c>
      <c r="C22" s="6"/>
      <c r="D22" s="6"/>
      <c r="E22" s="6"/>
      <c r="F22" s="6"/>
      <c r="G22" s="6">
        <v>1645</v>
      </c>
      <c r="H22" s="6"/>
      <c r="I22" s="6"/>
      <c r="J22" s="6"/>
      <c r="K22" s="6"/>
      <c r="L22" s="6">
        <v>977</v>
      </c>
      <c r="M22" s="6"/>
      <c r="N22" s="6"/>
      <c r="O22" s="6"/>
      <c r="P22" s="6"/>
      <c r="Q22" s="6">
        <v>1189</v>
      </c>
      <c r="R22" s="6"/>
      <c r="S22" s="6"/>
      <c r="T22" s="6"/>
      <c r="U22" s="6"/>
      <c r="V22" s="6">
        <v>1271</v>
      </c>
      <c r="W22" s="6"/>
      <c r="X22" s="6"/>
      <c r="Y22" s="6"/>
      <c r="Z22" s="6"/>
      <c r="AA22" s="6">
        <v>2384</v>
      </c>
      <c r="AB22" s="6"/>
      <c r="AC22" s="6"/>
      <c r="AD22" s="6"/>
      <c r="AE22" s="6"/>
      <c r="AF22" s="6">
        <v>704</v>
      </c>
      <c r="AG22" s="6"/>
      <c r="AH22" s="6"/>
      <c r="AI22" s="6"/>
      <c r="AJ22" s="6"/>
      <c r="AK22" s="6">
        <v>1436</v>
      </c>
      <c r="AL22" s="6"/>
      <c r="AM22" s="6"/>
      <c r="AN22" s="6"/>
      <c r="AO22" s="6"/>
      <c r="AP22" s="6">
        <v>782</v>
      </c>
      <c r="AQ22" s="6"/>
      <c r="AR22" s="6"/>
      <c r="AS22" s="6"/>
      <c r="AT22" s="6"/>
      <c r="AU22" s="6">
        <v>3661</v>
      </c>
      <c r="AV22" s="6"/>
      <c r="AW22" s="6"/>
      <c r="AX22" s="6"/>
      <c r="AY22" s="6"/>
      <c r="AZ22" s="6">
        <v>1363</v>
      </c>
      <c r="BA22" s="6"/>
      <c r="BB22" s="6"/>
      <c r="BC22" s="6"/>
      <c r="BD22" s="6"/>
      <c r="BE22" s="6">
        <v>564</v>
      </c>
      <c r="BF22" s="6"/>
      <c r="BG22" s="6"/>
      <c r="BH22" s="6"/>
      <c r="BI22" s="6"/>
      <c r="BJ22" s="6">
        <v>2001</v>
      </c>
      <c r="BK22" s="6"/>
      <c r="BL22" s="6"/>
      <c r="BM22" s="6"/>
      <c r="BN22" s="6"/>
      <c r="BO22" s="6">
        <v>266</v>
      </c>
      <c r="BP22" s="6"/>
      <c r="BQ22" s="6"/>
      <c r="BR22" s="6"/>
      <c r="BS22" s="6"/>
      <c r="BT22" s="6">
        <v>1226</v>
      </c>
      <c r="BU22" s="6"/>
      <c r="BV22" s="6"/>
      <c r="BW22" s="6"/>
      <c r="BX22" s="6"/>
      <c r="BY22" s="6">
        <v>2416</v>
      </c>
      <c r="BZ22" s="6"/>
      <c r="CA22" s="6"/>
      <c r="CB22" s="6"/>
      <c r="CC22" s="6"/>
      <c r="CD22" s="6">
        <v>558</v>
      </c>
      <c r="CE22" s="6"/>
      <c r="CF22" s="6"/>
      <c r="CG22" s="6"/>
      <c r="CH22" s="6"/>
      <c r="CI22" s="6">
        <v>2515</v>
      </c>
      <c r="CJ22" s="6"/>
      <c r="CK22" s="6"/>
      <c r="CL22" s="6"/>
      <c r="CM22" s="6"/>
      <c r="CN22" s="6">
        <v>1435</v>
      </c>
      <c r="CO22" s="14"/>
      <c r="CP22" s="14"/>
      <c r="CQ22" s="14"/>
      <c r="CR22" s="14"/>
    </row>
    <row r="23" spans="1:111" x14ac:dyDescent="0.3">
      <c r="A23" t="s">
        <v>63</v>
      </c>
      <c r="B23" s="6">
        <v>4910</v>
      </c>
      <c r="C23" s="6"/>
      <c r="D23" s="6"/>
      <c r="E23" s="6"/>
      <c r="F23" s="6"/>
      <c r="G23" s="6">
        <v>27989</v>
      </c>
      <c r="H23" s="6"/>
      <c r="I23" s="6"/>
      <c r="J23" s="6"/>
      <c r="K23" s="6"/>
      <c r="L23" s="6">
        <v>22283</v>
      </c>
      <c r="M23" s="6"/>
      <c r="N23" s="6"/>
      <c r="O23" s="6"/>
      <c r="P23" s="6"/>
      <c r="Q23" s="6">
        <v>36461</v>
      </c>
      <c r="R23" s="6"/>
      <c r="S23" s="6"/>
      <c r="T23" s="6"/>
      <c r="U23" s="6"/>
      <c r="V23" s="6">
        <v>26691</v>
      </c>
      <c r="W23" s="6"/>
      <c r="X23" s="6"/>
      <c r="Y23" s="6"/>
      <c r="Z23" s="6"/>
      <c r="AA23" s="6">
        <v>38433</v>
      </c>
      <c r="AB23" s="6"/>
      <c r="AC23" s="6"/>
      <c r="AD23" s="6"/>
      <c r="AE23" s="6"/>
      <c r="AF23" s="6">
        <v>21466</v>
      </c>
      <c r="AG23" s="6"/>
      <c r="AH23" s="6"/>
      <c r="AI23" s="6"/>
      <c r="AJ23" s="6"/>
      <c r="AK23" s="6">
        <v>29307</v>
      </c>
      <c r="AL23" s="6"/>
      <c r="AM23" s="6"/>
      <c r="AN23" s="6"/>
      <c r="AO23" s="6"/>
      <c r="AP23" s="6">
        <v>14701</v>
      </c>
      <c r="AQ23" s="6"/>
      <c r="AR23" s="6"/>
      <c r="AS23" s="6"/>
      <c r="AT23" s="6"/>
      <c r="AU23" s="6">
        <v>54499</v>
      </c>
      <c r="AV23" s="6"/>
      <c r="AW23" s="6"/>
      <c r="AX23" s="6"/>
      <c r="AY23" s="6"/>
      <c r="AZ23" s="6">
        <v>29783</v>
      </c>
      <c r="BA23" s="6"/>
      <c r="BB23" s="6"/>
      <c r="BC23" s="6"/>
      <c r="BD23" s="6"/>
      <c r="BE23" s="6">
        <v>32787</v>
      </c>
      <c r="BF23" s="6"/>
      <c r="BG23" s="6"/>
      <c r="BH23" s="6"/>
      <c r="BI23" s="6"/>
      <c r="BJ23" s="6">
        <v>31385</v>
      </c>
      <c r="BK23" s="6"/>
      <c r="BL23" s="6"/>
      <c r="BM23" s="6"/>
      <c r="BN23" s="6"/>
      <c r="BO23" s="6">
        <v>7698</v>
      </c>
      <c r="BP23" s="6"/>
      <c r="BQ23" s="6"/>
      <c r="BR23" s="6"/>
      <c r="BS23" s="6"/>
      <c r="BT23" s="6">
        <v>27325</v>
      </c>
      <c r="BU23" s="6"/>
      <c r="BV23" s="6"/>
      <c r="BW23" s="6"/>
      <c r="BX23" s="6"/>
      <c r="BY23" s="6">
        <v>33167</v>
      </c>
      <c r="BZ23" s="6"/>
      <c r="CA23" s="6"/>
      <c r="CB23" s="6"/>
      <c r="CC23" s="6"/>
      <c r="CD23" s="6">
        <v>12147</v>
      </c>
      <c r="CE23" s="6"/>
      <c r="CF23" s="6"/>
      <c r="CG23" s="6"/>
      <c r="CH23" s="6"/>
      <c r="CI23" s="6">
        <v>43780</v>
      </c>
      <c r="CJ23" s="6"/>
      <c r="CK23" s="6"/>
      <c r="CL23" s="6"/>
      <c r="CM23" s="6"/>
      <c r="CN23" s="6">
        <v>26347</v>
      </c>
      <c r="CO23" s="14"/>
      <c r="CP23" s="14"/>
      <c r="CQ23" s="14"/>
      <c r="CR23" s="14"/>
    </row>
    <row r="24" spans="1:111" x14ac:dyDescent="0.3">
      <c r="A24" t="s">
        <v>80</v>
      </c>
      <c r="B24" s="14">
        <f t="shared" ref="B24:AP24" si="62">B11/B18</f>
        <v>0</v>
      </c>
      <c r="C24" s="14">
        <f t="shared" si="62"/>
        <v>148.536</v>
      </c>
      <c r="D24" s="14">
        <f t="shared" si="62"/>
        <v>107.58183975000001</v>
      </c>
      <c r="E24" s="14">
        <f t="shared" si="62"/>
        <v>54.856306094100006</v>
      </c>
      <c r="F24" s="14">
        <f t="shared" si="62"/>
        <v>39.053396836783151</v>
      </c>
      <c r="G24" s="14">
        <f t="shared" si="62"/>
        <v>0</v>
      </c>
      <c r="H24" s="14">
        <f t="shared" si="62"/>
        <v>41.802894736842113</v>
      </c>
      <c r="I24" s="14">
        <f t="shared" si="62"/>
        <v>56.850796763157909</v>
      </c>
      <c r="J24" s="14">
        <f t="shared" si="62"/>
        <v>16.444338897773687</v>
      </c>
      <c r="K24" s="14">
        <f>K11/K18</f>
        <v>37.52839152736717</v>
      </c>
      <c r="L24" s="14">
        <f t="shared" si="62"/>
        <v>0</v>
      </c>
      <c r="M24" s="14">
        <f t="shared" si="62"/>
        <v>109.08893939393941</v>
      </c>
      <c r="N24" s="14">
        <f t="shared" si="62"/>
        <v>84.30043151515153</v>
      </c>
      <c r="O24" s="14">
        <f t="shared" si="62"/>
        <v>118.89146709459094</v>
      </c>
      <c r="P24" s="14">
        <f t="shared" si="62"/>
        <v>144.68462757713405</v>
      </c>
      <c r="Q24" s="14">
        <f t="shared" si="62"/>
        <v>0</v>
      </c>
      <c r="R24" s="14">
        <f t="shared" si="62"/>
        <v>13.056962025316455</v>
      </c>
      <c r="S24" s="14">
        <f t="shared" si="62"/>
        <v>26.685688417721522</v>
      </c>
      <c r="T24" s="14">
        <f t="shared" si="62"/>
        <v>18.11435534202532</v>
      </c>
      <c r="U24" s="14">
        <f t="shared" si="62"/>
        <v>27.747207225807546</v>
      </c>
      <c r="V24" s="14">
        <f t="shared" si="62"/>
        <v>0</v>
      </c>
      <c r="W24" s="14">
        <f t="shared" si="62"/>
        <v>0</v>
      </c>
      <c r="X24" s="14">
        <f t="shared" si="62"/>
        <v>0</v>
      </c>
      <c r="Y24" s="14">
        <f t="shared" si="62"/>
        <v>0</v>
      </c>
      <c r="Z24" s="14">
        <f t="shared" si="62"/>
        <v>0</v>
      </c>
      <c r="AA24" s="14">
        <f t="shared" si="62"/>
        <v>0</v>
      </c>
      <c r="AB24" s="14">
        <f t="shared" si="62"/>
        <v>21.55570512820513</v>
      </c>
      <c r="AC24" s="14">
        <f t="shared" si="62"/>
        <v>15.603685641025644</v>
      </c>
      <c r="AD24" s="14">
        <f t="shared" si="62"/>
        <v>16.244377153004809</v>
      </c>
      <c r="AE24" s="14">
        <f t="shared" si="62"/>
        <v>14.939781668331023</v>
      </c>
      <c r="AF24" s="14">
        <f t="shared" si="62"/>
        <v>0</v>
      </c>
      <c r="AG24" s="14">
        <f t="shared" si="62"/>
        <v>48.761818181818192</v>
      </c>
      <c r="AH24" s="14">
        <f t="shared" si="62"/>
        <v>26.343884848484855</v>
      </c>
      <c r="AI24" s="14">
        <f t="shared" si="62"/>
        <v>36.137224040909096</v>
      </c>
      <c r="AJ24" s="14">
        <f t="shared" si="62"/>
        <v>14.506638121190223</v>
      </c>
      <c r="AK24" s="14">
        <f t="shared" si="62"/>
        <v>0</v>
      </c>
      <c r="AL24" s="14">
        <f t="shared" si="62"/>
        <v>11.238731343283582</v>
      </c>
      <c r="AM24" s="14">
        <f t="shared" si="62"/>
        <v>9.7315097014925396</v>
      </c>
      <c r="AN24" s="14">
        <f t="shared" si="62"/>
        <v>10.501369433977613</v>
      </c>
      <c r="AO24" s="14">
        <f t="shared" si="62"/>
        <v>26.417921307501359</v>
      </c>
      <c r="AP24" s="14">
        <f t="shared" si="62"/>
        <v>0</v>
      </c>
      <c r="AQ24" s="14"/>
      <c r="AR24" s="14"/>
      <c r="AS24" s="14"/>
      <c r="AT24" s="14"/>
      <c r="AU24" s="14">
        <f>AU11/AU18</f>
        <v>27.359667359667359</v>
      </c>
      <c r="AV24" s="14">
        <f t="shared" ref="AV24:CR24" si="63">AV11/AV18</f>
        <v>23.846735966735967</v>
      </c>
      <c r="AW24" s="14">
        <f t="shared" si="63"/>
        <v>23.157014163201666</v>
      </c>
      <c r="AX24" s="14">
        <f t="shared" si="63"/>
        <v>15.966492418241167</v>
      </c>
      <c r="AY24" s="14">
        <f t="shared" si="63"/>
        <v>23.938571999745015</v>
      </c>
      <c r="AZ24" s="14">
        <f t="shared" si="63"/>
        <v>0</v>
      </c>
      <c r="BA24" s="14">
        <f>BA11/BA18</f>
        <v>45.248466666666673</v>
      </c>
      <c r="BB24" s="14">
        <f t="shared" si="63"/>
        <v>45.495889133333336</v>
      </c>
      <c r="BC24" s="14">
        <f t="shared" si="63"/>
        <v>29.097692797740006</v>
      </c>
      <c r="BD24" s="14">
        <f t="shared" si="63"/>
        <v>41.992899824498004</v>
      </c>
      <c r="BE24" s="14">
        <f t="shared" si="63"/>
        <v>0</v>
      </c>
      <c r="BF24" s="14">
        <f t="shared" si="63"/>
        <v>96.405576923076922</v>
      </c>
      <c r="BG24" s="14">
        <f t="shared" si="63"/>
        <v>65.619070865384614</v>
      </c>
      <c r="BH24" s="14">
        <f t="shared" si="63"/>
        <v>35.317187033826926</v>
      </c>
      <c r="BI24" s="14">
        <f t="shared" si="63"/>
        <v>52.814147086964802</v>
      </c>
      <c r="BJ24" s="14">
        <f t="shared" si="63"/>
        <v>0</v>
      </c>
      <c r="BK24" s="14">
        <f t="shared" si="63"/>
        <v>29.413069306930694</v>
      </c>
      <c r="BL24" s="14">
        <f t="shared" si="63"/>
        <v>50.245743737623769</v>
      </c>
      <c r="BM24" s="14">
        <f t="shared" si="63"/>
        <v>45.457765489084167</v>
      </c>
      <c r="BN24" s="14">
        <f t="shared" si="63"/>
        <v>50.890405331866894</v>
      </c>
      <c r="BO24" s="14">
        <f t="shared" si="63"/>
        <v>0</v>
      </c>
      <c r="BP24" s="14">
        <f t="shared" si="63"/>
        <v>250.13875000000002</v>
      </c>
      <c r="BQ24" s="14">
        <f t="shared" si="63"/>
        <v>127.68551687500002</v>
      </c>
      <c r="BR24" s="14">
        <f t="shared" si="63"/>
        <v>256.39360457025003</v>
      </c>
      <c r="BS24" s="14">
        <f>BS11/BS18</f>
        <v>286.60154130219888</v>
      </c>
      <c r="BT24" s="14">
        <f t="shared" si="63"/>
        <v>0</v>
      </c>
      <c r="BU24" s="14">
        <f t="shared" si="63"/>
        <v>48.493896103896105</v>
      </c>
      <c r="BV24" s="14">
        <f t="shared" si="63"/>
        <v>48.548016363636371</v>
      </c>
      <c r="BW24" s="14">
        <f t="shared" si="63"/>
        <v>40.267192502727276</v>
      </c>
      <c r="BX24" s="14">
        <f t="shared" si="63"/>
        <v>63.80739323982165</v>
      </c>
      <c r="BY24" s="14">
        <f t="shared" si="63"/>
        <v>43.313609467455628</v>
      </c>
      <c r="BZ24" s="14">
        <f t="shared" si="63"/>
        <v>42.96899408284024</v>
      </c>
      <c r="CA24" s="14">
        <f t="shared" si="63"/>
        <v>55.491678742603561</v>
      </c>
      <c r="CB24" s="14">
        <f t="shared" si="63"/>
        <v>34.505703215866866</v>
      </c>
      <c r="CC24" s="14">
        <f t="shared" si="63"/>
        <v>44.577078275236353</v>
      </c>
      <c r="CD24" s="14">
        <f t="shared" si="63"/>
        <v>0</v>
      </c>
      <c r="CE24" s="14">
        <f t="shared" si="63"/>
        <v>42.170147058823531</v>
      </c>
      <c r="CF24" s="14">
        <f t="shared" si="63"/>
        <v>58.968655477941191</v>
      </c>
      <c r="CG24" s="14">
        <f t="shared" si="63"/>
        <v>37.52957002601471</v>
      </c>
      <c r="CH24" s="14">
        <f t="shared" si="63"/>
        <v>69.103021917078337</v>
      </c>
      <c r="CI24" s="14">
        <f t="shared" si="63"/>
        <v>0</v>
      </c>
      <c r="CJ24" s="14">
        <f t="shared" si="63"/>
        <v>27.82211009174312</v>
      </c>
      <c r="CK24" s="14">
        <f t="shared" si="63"/>
        <v>21.584161158256883</v>
      </c>
      <c r="CL24" s="14">
        <f t="shared" si="63"/>
        <v>17.669113351011468</v>
      </c>
      <c r="CM24" s="14">
        <f t="shared" si="63"/>
        <v>18.839016526770205</v>
      </c>
      <c r="CN24" s="14">
        <f t="shared" si="63"/>
        <v>0</v>
      </c>
      <c r="CO24" s="14">
        <f t="shared" si="63"/>
        <v>8.7980882352941183</v>
      </c>
      <c r="CP24" s="14">
        <f t="shared" si="63"/>
        <v>13.263952316176471</v>
      </c>
      <c r="CQ24" s="14">
        <f t="shared" si="63"/>
        <v>14.292803537944854</v>
      </c>
      <c r="CR24" s="14">
        <f t="shared" si="63"/>
        <v>22.231535201204828</v>
      </c>
    </row>
    <row r="25" spans="1:111" x14ac:dyDescent="0.3">
      <c r="A25" t="s">
        <v>86</v>
      </c>
      <c r="B25" s="14"/>
      <c r="C25" s="14">
        <v>2</v>
      </c>
      <c r="D25" s="14"/>
      <c r="E25" s="14">
        <v>1.2702702702702704</v>
      </c>
      <c r="F25" s="14">
        <v>3.8181818181818179</v>
      </c>
      <c r="G25" s="14"/>
      <c r="H25" s="14">
        <v>4.8888888888888893</v>
      </c>
      <c r="I25" s="14">
        <v>5.5</v>
      </c>
      <c r="J25" s="14">
        <v>2.333333333333333</v>
      </c>
      <c r="K25" s="14">
        <v>7.5714285714285703</v>
      </c>
      <c r="L25" s="14"/>
      <c r="M25" s="14">
        <v>7.2142857142857153</v>
      </c>
      <c r="N25" s="14">
        <v>3.3684210526315792</v>
      </c>
      <c r="O25" s="14">
        <v>26.44736842105263</v>
      </c>
      <c r="P25" s="14">
        <v>6.045454545454545</v>
      </c>
      <c r="Q25" s="14"/>
      <c r="R25" s="14">
        <v>1.6153846153846152</v>
      </c>
      <c r="S25" s="14">
        <v>2.6923076923076925</v>
      </c>
      <c r="T25" s="14">
        <v>2.75</v>
      </c>
      <c r="U25" s="14">
        <v>3.214285714285714</v>
      </c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>
        <v>3.3009708737864076</v>
      </c>
      <c r="AH25" s="14">
        <v>0.44943820224719105</v>
      </c>
      <c r="AI25" s="14">
        <v>3.9449541284403664</v>
      </c>
      <c r="AJ25" s="14">
        <v>0.18354430379746836</v>
      </c>
      <c r="AK25" s="14"/>
      <c r="AL25" s="14"/>
      <c r="AM25" s="14">
        <v>4.7619047619047619</v>
      </c>
      <c r="AN25" s="14">
        <v>2.875</v>
      </c>
      <c r="AO25" s="14">
        <v>5.6842105263157885</v>
      </c>
      <c r="AP25" s="14"/>
      <c r="AQ25" s="14"/>
      <c r="AR25" s="14"/>
      <c r="AS25" s="14"/>
      <c r="AT25" s="14"/>
      <c r="AU25" s="14">
        <v>18.9375</v>
      </c>
      <c r="AV25" s="14">
        <v>4.75</v>
      </c>
      <c r="AW25" s="14">
        <v>5.6734693877551026</v>
      </c>
      <c r="AX25" s="14">
        <v>8.5384615384615383</v>
      </c>
      <c r="AY25" s="14">
        <v>9.375</v>
      </c>
      <c r="AZ25" s="14"/>
      <c r="BA25" s="14"/>
      <c r="BB25" s="14">
        <v>5.5</v>
      </c>
      <c r="BC25" s="14">
        <v>4.5866476667307703</v>
      </c>
      <c r="BD25" s="14">
        <v>16.534704305896092</v>
      </c>
      <c r="BE25" s="14"/>
      <c r="BF25" s="14"/>
      <c r="BG25" s="14">
        <v>0.96</v>
      </c>
      <c r="BH25" s="14">
        <v>5.7894736842105265</v>
      </c>
      <c r="BI25" s="14">
        <v>4.0625</v>
      </c>
      <c r="BJ25" s="14"/>
      <c r="BK25" s="14">
        <v>4.08</v>
      </c>
      <c r="BL25" s="14">
        <v>5.4827586206896548</v>
      </c>
      <c r="BM25" s="14">
        <v>6.0000000000000009</v>
      </c>
      <c r="BN25" s="14">
        <v>4.695652173913043</v>
      </c>
      <c r="BO25" s="14"/>
      <c r="BP25" s="14"/>
      <c r="BQ25" s="14">
        <v>1.8478260869565217</v>
      </c>
      <c r="BR25" s="14">
        <v>13.235294117647062</v>
      </c>
      <c r="BS25" s="14">
        <v>0.22916666666666669</v>
      </c>
      <c r="BT25" s="14"/>
      <c r="BU25" s="14">
        <v>7.8636363636363633</v>
      </c>
      <c r="BV25" s="14">
        <v>4</v>
      </c>
      <c r="BW25" s="14">
        <v>4.5333333333333332</v>
      </c>
      <c r="BX25" s="14">
        <v>6.2962962962962967</v>
      </c>
      <c r="BY25" s="14">
        <v>6.4482758620689653</v>
      </c>
      <c r="BZ25" s="14">
        <v>5.8</v>
      </c>
      <c r="CA25" s="14">
        <v>4.7931034482758621</v>
      </c>
      <c r="CB25" s="14">
        <v>7.8421052631578947</v>
      </c>
      <c r="CC25" s="14">
        <v>4.1538461538461533</v>
      </c>
      <c r="CD25" s="14"/>
      <c r="CE25" s="14">
        <v>7</v>
      </c>
      <c r="CF25" s="14">
        <v>11.382978723404255</v>
      </c>
      <c r="CG25" s="14">
        <v>10.76923076923077</v>
      </c>
      <c r="CH25" s="14">
        <v>24</v>
      </c>
      <c r="CI25" s="14"/>
      <c r="CJ25" s="14">
        <v>14.3125</v>
      </c>
      <c r="CK25" s="14">
        <v>4.3214285714285712</v>
      </c>
      <c r="CL25" s="14">
        <v>4.1944444444444446</v>
      </c>
      <c r="CM25" s="14">
        <v>2.6250000000000004</v>
      </c>
      <c r="CN25" s="14"/>
      <c r="CO25" s="14">
        <v>3.0459770114942533</v>
      </c>
      <c r="CP25" s="14">
        <v>16.944444444444443</v>
      </c>
      <c r="CQ25" s="14">
        <v>3.6666666666666665</v>
      </c>
      <c r="CR25" s="14">
        <v>1.0769230769230771</v>
      </c>
    </row>
    <row r="26" spans="1:111" x14ac:dyDescent="0.3">
      <c r="A26" t="s">
        <v>135</v>
      </c>
      <c r="B26" s="14">
        <v>0</v>
      </c>
      <c r="C26" s="14">
        <v>0.19462264150943398</v>
      </c>
      <c r="D26" s="14">
        <v>4.9208388679245291E-2</v>
      </c>
      <c r="E26" s="14"/>
      <c r="F26" s="14"/>
      <c r="G26" s="14">
        <v>0</v>
      </c>
      <c r="H26" s="14">
        <v>1.5650344827586209</v>
      </c>
      <c r="I26" s="14">
        <v>1.2807361875000001</v>
      </c>
      <c r="J26" s="14">
        <v>0.4910411031441177</v>
      </c>
      <c r="K26" s="14">
        <v>2.7820296133729929</v>
      </c>
      <c r="L26" s="14">
        <v>0</v>
      </c>
      <c r="M26" s="14">
        <v>1.7962327586206899</v>
      </c>
      <c r="N26" s="14">
        <v>0.73987080851063836</v>
      </c>
      <c r="O26" s="14">
        <v>4.5226076804405668</v>
      </c>
      <c r="P26" s="14">
        <v>2.6179948484335478</v>
      </c>
      <c r="Q26" s="14">
        <v>0</v>
      </c>
      <c r="R26" s="14"/>
      <c r="S26" s="14">
        <v>0.88451125000000008</v>
      </c>
      <c r="T26" s="14">
        <v>0.59626419667500008</v>
      </c>
      <c r="U26" s="14">
        <v>1.1569472400627003</v>
      </c>
      <c r="V26" s="14">
        <v>0</v>
      </c>
      <c r="W26" s="14">
        <v>0</v>
      </c>
      <c r="X26" s="14"/>
      <c r="Y26" s="14">
        <v>0</v>
      </c>
      <c r="Z26" s="14">
        <v>0</v>
      </c>
      <c r="AA26" s="14">
        <v>0</v>
      </c>
      <c r="AB26" s="14">
        <v>2.3169076923076926</v>
      </c>
      <c r="AC26" s="14">
        <v>0.5338102982456141</v>
      </c>
      <c r="AD26" s="14">
        <v>4.4193699282970593</v>
      </c>
      <c r="AE26" s="14">
        <v>0.76487067537478526</v>
      </c>
      <c r="AF26" s="14">
        <v>0</v>
      </c>
      <c r="AG26" s="14">
        <v>0.83502380952380961</v>
      </c>
      <c r="AH26" s="14"/>
      <c r="AI26" s="14">
        <v>1.6541522875500001</v>
      </c>
      <c r="AJ26" s="14"/>
      <c r="AK26" s="14">
        <v>0</v>
      </c>
      <c r="AL26" s="14"/>
      <c r="AM26" s="14"/>
      <c r="AN26" s="14"/>
      <c r="AO26" s="14">
        <v>3.7793609842048204</v>
      </c>
      <c r="AP26" s="14">
        <v>0</v>
      </c>
      <c r="AQ26" s="14">
        <v>0</v>
      </c>
      <c r="AR26" s="14">
        <v>0</v>
      </c>
      <c r="AS26" s="14"/>
      <c r="AT26" s="14"/>
      <c r="AU26" s="14">
        <v>4.5909090909090908</v>
      </c>
      <c r="AV26" s="14">
        <v>2.212733870967742</v>
      </c>
      <c r="AW26" s="14">
        <v>4.2549084436619724</v>
      </c>
      <c r="AX26" s="14">
        <v>3.7287507510380289</v>
      </c>
      <c r="AY26" s="14">
        <v>4.1992899824498009</v>
      </c>
      <c r="AZ26" s="14">
        <v>0</v>
      </c>
      <c r="BA26" s="14">
        <v>1.385157142857143</v>
      </c>
      <c r="BB26" s="14">
        <v>2.2136181018518521</v>
      </c>
      <c r="BC26" s="14">
        <v>0.93166280730468765</v>
      </c>
      <c r="BD26" s="14">
        <v>2.8756007488514941</v>
      </c>
      <c r="BE26" s="14">
        <v>0</v>
      </c>
      <c r="BF26" s="14">
        <v>0.37509090909090914</v>
      </c>
      <c r="BG26" s="14">
        <v>4.4966286206896557E-2</v>
      </c>
      <c r="BH26" s="14">
        <v>0.31994664211829271</v>
      </c>
      <c r="BI26" s="14">
        <v>0.15450217859956814</v>
      </c>
      <c r="BJ26" s="14">
        <v>0</v>
      </c>
      <c r="BK26" s="14"/>
      <c r="BL26" s="14">
        <v>4.0182082500000007</v>
      </c>
      <c r="BM26" s="14">
        <v>2.4254814780000005</v>
      </c>
      <c r="BN26" s="14">
        <v>2.0931845450980546</v>
      </c>
      <c r="BO26" s="14">
        <v>0</v>
      </c>
      <c r="BP26" s="14">
        <v>6.7271739130434785E-2</v>
      </c>
      <c r="BQ26" s="14"/>
      <c r="BR26" s="14">
        <v>1.4503723702905409</v>
      </c>
      <c r="BS26" s="14">
        <v>2.6649340273239123E-2</v>
      </c>
      <c r="BT26" s="14">
        <v>0</v>
      </c>
      <c r="BU26" s="14">
        <v>2.444513698630137</v>
      </c>
      <c r="BV26" s="14">
        <v>1.9922562916666671</v>
      </c>
      <c r="BW26" s="14">
        <v>1.1584561535400002</v>
      </c>
      <c r="BX26" s="14">
        <v>3.0058075663851209</v>
      </c>
      <c r="BY26" s="14">
        <v>2.6714285714285713</v>
      </c>
      <c r="BZ26" s="14">
        <v>2.2158148148148151</v>
      </c>
      <c r="CA26" s="14">
        <v>2.2886249962121217</v>
      </c>
      <c r="CB26" s="14">
        <v>3.0635643208474144</v>
      </c>
      <c r="CC26" s="14">
        <v>1.8386080463699126</v>
      </c>
      <c r="CD26" s="14">
        <v>0</v>
      </c>
      <c r="CE26" s="14">
        <v>1.5362765957446811</v>
      </c>
      <c r="CF26" s="14">
        <v>2.3255064350000003</v>
      </c>
      <c r="CG26" s="14">
        <v>1.8550441674333338</v>
      </c>
      <c r="CH26" s="14">
        <v>3.6772160927398252</v>
      </c>
      <c r="CI26" s="14">
        <v>0</v>
      </c>
      <c r="CJ26" s="14">
        <v>4.3743240740740745</v>
      </c>
      <c r="CK26" s="14">
        <v>2.7393524010416672</v>
      </c>
      <c r="CL26" s="14">
        <v>2.7283604150886371</v>
      </c>
      <c r="CM26" s="14">
        <v>2.0996449912249004</v>
      </c>
      <c r="CN26" s="14">
        <v>0</v>
      </c>
      <c r="CO26" s="14"/>
      <c r="CP26" s="14"/>
      <c r="CQ26" s="14">
        <v>0.95983992635487825</v>
      </c>
      <c r="CR26" s="14">
        <v>0.35993914135284011</v>
      </c>
    </row>
    <row r="27" spans="1:111" x14ac:dyDescent="0.3">
      <c r="A27" t="s">
        <v>82</v>
      </c>
      <c r="B27" s="5"/>
      <c r="C27" s="5">
        <v>0</v>
      </c>
      <c r="D27" s="5">
        <v>0</v>
      </c>
      <c r="E27" s="5">
        <v>0</v>
      </c>
      <c r="F27" s="5">
        <v>0</v>
      </c>
      <c r="G27" s="5"/>
      <c r="H27" s="5">
        <v>0</v>
      </c>
      <c r="I27" s="5">
        <v>0</v>
      </c>
      <c r="J27" s="5">
        <v>0</v>
      </c>
      <c r="K27" s="5">
        <v>0</v>
      </c>
      <c r="L27" s="5"/>
      <c r="M27" s="5">
        <v>0</v>
      </c>
      <c r="N27" s="5">
        <v>0</v>
      </c>
      <c r="O27" s="5">
        <v>0</v>
      </c>
      <c r="P27" s="5">
        <v>0</v>
      </c>
      <c r="Q27" s="5"/>
      <c r="R27" s="5">
        <v>0</v>
      </c>
      <c r="S27" s="5">
        <v>0</v>
      </c>
      <c r="T27" s="5">
        <v>0</v>
      </c>
      <c r="U27" s="5">
        <v>0</v>
      </c>
      <c r="V27" s="5"/>
      <c r="W27" s="5"/>
      <c r="X27" s="5"/>
      <c r="Y27" s="5"/>
      <c r="Z27" s="5"/>
      <c r="AA27" s="5"/>
      <c r="AB27" s="5">
        <v>0</v>
      </c>
      <c r="AC27" s="5">
        <v>0</v>
      </c>
      <c r="AD27" s="5">
        <v>0</v>
      </c>
      <c r="AE27" s="5">
        <v>0</v>
      </c>
      <c r="AF27" s="5"/>
      <c r="AG27" s="5">
        <v>0</v>
      </c>
      <c r="AH27" s="5">
        <v>0</v>
      </c>
      <c r="AI27" s="5">
        <v>0</v>
      </c>
      <c r="AJ27" s="5">
        <v>0</v>
      </c>
      <c r="AK27" s="5"/>
      <c r="AL27" s="5">
        <v>0</v>
      </c>
      <c r="AM27" s="5">
        <v>0</v>
      </c>
      <c r="AN27" s="5">
        <v>0</v>
      </c>
      <c r="AO27" s="5">
        <v>0</v>
      </c>
      <c r="AP27" s="5"/>
      <c r="AQ27" s="5"/>
      <c r="AR27" s="5"/>
      <c r="AS27" s="5"/>
      <c r="AT27" s="5"/>
      <c r="AU27" s="5">
        <v>0.29589632829373652</v>
      </c>
      <c r="AV27" s="5">
        <v>0.56947608200455579</v>
      </c>
      <c r="AW27" s="5">
        <v>0.4096045197740113</v>
      </c>
      <c r="AX27" s="5">
        <v>0.27409638554216864</v>
      </c>
      <c r="AY27" s="5">
        <v>0.53680981595092025</v>
      </c>
      <c r="AZ27" s="5"/>
      <c r="BA27" s="5">
        <v>0</v>
      </c>
      <c r="BB27" s="5">
        <v>0</v>
      </c>
      <c r="BC27" s="5">
        <v>0</v>
      </c>
      <c r="BD27" s="5">
        <v>0</v>
      </c>
      <c r="BE27" s="5"/>
      <c r="BF27" s="5">
        <v>0.42352941176470582</v>
      </c>
      <c r="BG27" s="5">
        <v>0.46052631578947367</v>
      </c>
      <c r="BH27" s="5">
        <v>0</v>
      </c>
      <c r="BI27" s="5">
        <v>0.17391304347826086</v>
      </c>
      <c r="BJ27" s="5"/>
      <c r="BK27" s="5">
        <v>0</v>
      </c>
      <c r="BL27" s="5">
        <v>0</v>
      </c>
      <c r="BM27" s="5">
        <v>0</v>
      </c>
      <c r="BN27" s="5">
        <v>0</v>
      </c>
      <c r="BO27" s="5"/>
      <c r="BP27" s="5">
        <v>0.2181818181818182</v>
      </c>
      <c r="BQ27" s="5">
        <v>3.3333333333333333E-2</v>
      </c>
      <c r="BR27" s="5">
        <v>8.5106382978723402E-2</v>
      </c>
      <c r="BS27" s="5">
        <v>4.878048780487805E-2</v>
      </c>
      <c r="BT27" s="5"/>
      <c r="BU27" s="5">
        <v>7.0707070707070704E-2</v>
      </c>
      <c r="BV27" s="5">
        <v>0.32596685082872928</v>
      </c>
      <c r="BW27" s="5">
        <v>0.17934782608695654</v>
      </c>
      <c r="BX27" s="5">
        <v>0.37894736842105259</v>
      </c>
      <c r="BY27" s="5">
        <v>0.16877637130801687</v>
      </c>
      <c r="BZ27" s="5">
        <v>0.50755287009063443</v>
      </c>
      <c r="CA27" s="5">
        <v>0.69627507163323787</v>
      </c>
      <c r="CB27" s="5">
        <v>0.14285714285714285</v>
      </c>
      <c r="CC27" s="5">
        <v>8.1300813008130079E-2</v>
      </c>
      <c r="CD27" s="5"/>
      <c r="CE27" s="5">
        <v>0</v>
      </c>
      <c r="CF27" s="5">
        <v>0</v>
      </c>
      <c r="CG27" s="5">
        <v>0</v>
      </c>
      <c r="CH27" s="5">
        <v>0</v>
      </c>
      <c r="CI27" s="5"/>
      <c r="CJ27" s="5">
        <v>0.14646464646464646</v>
      </c>
      <c r="CK27" s="5">
        <v>0.21917808219178081</v>
      </c>
      <c r="CL27" s="5">
        <v>2.9940119760479044E-3</v>
      </c>
      <c r="CM27" s="5">
        <v>0.16363636363636364</v>
      </c>
      <c r="CN27" s="5"/>
      <c r="CO27" s="5">
        <v>2.9850746268656719E-2</v>
      </c>
      <c r="CP27" s="5">
        <v>0.10769230769230768</v>
      </c>
      <c r="CQ27" s="5">
        <v>0.15584415584415584</v>
      </c>
      <c r="CR27" s="5">
        <v>0.24719101123595505</v>
      </c>
    </row>
    <row r="28" spans="1:111" x14ac:dyDescent="0.3">
      <c r="A28" t="s">
        <v>136</v>
      </c>
      <c r="B28" s="14">
        <v>0</v>
      </c>
      <c r="C28" s="14">
        <v>1.1677358490566039</v>
      </c>
      <c r="D28" s="14">
        <v>0.94316078301886808</v>
      </c>
      <c r="E28" s="14"/>
      <c r="F28" s="14"/>
      <c r="G28" s="14">
        <v>0</v>
      </c>
      <c r="H28" s="14">
        <v>4.4461206896551726</v>
      </c>
      <c r="I28" s="14">
        <v>3.4023597708333337</v>
      </c>
      <c r="J28" s="14">
        <v>3.5074364510294123</v>
      </c>
      <c r="K28" s="14">
        <v>4.0943077328885558</v>
      </c>
      <c r="L28" s="14">
        <v>0</v>
      </c>
      <c r="M28" s="14">
        <v>3.1656379310344831</v>
      </c>
      <c r="N28" s="14">
        <v>3.35253960106383</v>
      </c>
      <c r="O28" s="14">
        <v>2.0475487508462265</v>
      </c>
      <c r="P28" s="14">
        <v>2.7164157073972151</v>
      </c>
      <c r="Q28" s="14">
        <v>0</v>
      </c>
      <c r="R28" s="14"/>
      <c r="S28" s="14">
        <v>2.6788055000000002</v>
      </c>
      <c r="T28" s="14">
        <v>2.4663655407920455</v>
      </c>
      <c r="U28" s="14">
        <v>2.3910242961295807</v>
      </c>
      <c r="V28" s="14">
        <v>0</v>
      </c>
      <c r="W28" s="14">
        <v>0</v>
      </c>
      <c r="X28" s="14"/>
      <c r="Y28" s="14">
        <v>0</v>
      </c>
      <c r="Z28" s="14">
        <v>0</v>
      </c>
      <c r="AA28" s="14">
        <v>0</v>
      </c>
      <c r="AB28" s="14">
        <v>4.3481692307692308</v>
      </c>
      <c r="AC28" s="14">
        <v>3.965447929824562</v>
      </c>
      <c r="AD28" s="14">
        <v>4.3959870186235301</v>
      </c>
      <c r="AE28" s="14">
        <v>5.0391479789397611</v>
      </c>
      <c r="AF28" s="14">
        <v>0</v>
      </c>
      <c r="AG28" s="14">
        <v>1.7928452380952382</v>
      </c>
      <c r="AH28" s="14"/>
      <c r="AI28" s="14">
        <v>1.8849642346500002</v>
      </c>
      <c r="AJ28" s="14"/>
      <c r="AK28" s="14">
        <v>0</v>
      </c>
      <c r="AL28" s="14"/>
      <c r="AM28" s="14"/>
      <c r="AN28" s="14"/>
      <c r="AO28" s="14">
        <v>7.3837515524742328</v>
      </c>
      <c r="AP28" s="14">
        <v>0</v>
      </c>
      <c r="AQ28" s="14">
        <v>0</v>
      </c>
      <c r="AR28" s="14">
        <v>0</v>
      </c>
      <c r="AS28" s="14"/>
      <c r="AT28" s="14"/>
      <c r="AU28" s="14">
        <v>7.0151515151515156</v>
      </c>
      <c r="AV28" s="14">
        <v>7.3036854838709679</v>
      </c>
      <c r="AW28" s="14">
        <v>5.4181208239436627</v>
      </c>
      <c r="AX28" s="14">
        <v>5.5763299520028182</v>
      </c>
      <c r="AY28" s="14">
        <v>4.5632284475954501</v>
      </c>
      <c r="AZ28" s="14">
        <v>0</v>
      </c>
      <c r="BA28" s="14">
        <v>1.9156428571428572</v>
      </c>
      <c r="BB28" s="14">
        <v>2.3746085092592599</v>
      </c>
      <c r="BC28" s="14">
        <v>1.3788609548109376</v>
      </c>
      <c r="BD28" s="14">
        <v>1.6705871017137253</v>
      </c>
      <c r="BE28" s="14">
        <v>0</v>
      </c>
      <c r="BF28" s="14">
        <v>1.5941363636363639</v>
      </c>
      <c r="BG28" s="14">
        <v>1.4239323965517243</v>
      </c>
      <c r="BH28" s="14">
        <v>1.2797865684731708</v>
      </c>
      <c r="BI28" s="14">
        <v>1.6401000497492619</v>
      </c>
      <c r="BJ28" s="14">
        <v>0</v>
      </c>
      <c r="BK28" s="14"/>
      <c r="BL28" s="14">
        <v>3.4116862500000007</v>
      </c>
      <c r="BM28" s="14">
        <v>2.2233580215000006</v>
      </c>
      <c r="BN28" s="14">
        <v>2.1125658834785921</v>
      </c>
      <c r="BO28" s="14">
        <v>0</v>
      </c>
      <c r="BP28" s="14">
        <v>0.73998913043478265</v>
      </c>
      <c r="BQ28" s="14"/>
      <c r="BR28" s="14">
        <v>1.514833364525676</v>
      </c>
      <c r="BS28" s="14">
        <v>0.99329359200254908</v>
      </c>
      <c r="BT28" s="14">
        <v>0</v>
      </c>
      <c r="BU28" s="14">
        <v>2.7977671232876715</v>
      </c>
      <c r="BV28" s="14">
        <v>4.0977089635416677</v>
      </c>
      <c r="BW28" s="14">
        <v>3.1346460625200003</v>
      </c>
      <c r="BX28" s="14">
        <v>4.1992899824498009</v>
      </c>
      <c r="BY28" s="14">
        <v>6.7714285714285714</v>
      </c>
      <c r="BZ28" s="14">
        <v>4.2151419753086428</v>
      </c>
      <c r="CA28" s="14">
        <v>5.7462598825757576</v>
      </c>
      <c r="CB28" s="14">
        <v>4.1738493767250002</v>
      </c>
      <c r="CC28" s="14">
        <v>4.187940550064801</v>
      </c>
      <c r="CD28" s="14">
        <v>0</v>
      </c>
      <c r="CE28" s="14">
        <v>2.4360957446808511</v>
      </c>
      <c r="CF28" s="14">
        <v>2.5645771900000005</v>
      </c>
      <c r="CG28" s="14">
        <v>2.716314673741667</v>
      </c>
      <c r="CH28" s="14">
        <v>2.5706464352023781</v>
      </c>
      <c r="CI28" s="14">
        <v>0</v>
      </c>
      <c r="CJ28" s="14">
        <v>3.7821666666666669</v>
      </c>
      <c r="CK28" s="14">
        <v>4.958001453125001</v>
      </c>
      <c r="CL28" s="14">
        <v>3.0174582074159093</v>
      </c>
      <c r="CM28" s="14">
        <v>3.2994421290677005</v>
      </c>
      <c r="CN28" s="14">
        <v>0</v>
      </c>
      <c r="CO28" s="14"/>
      <c r="CP28" s="14"/>
      <c r="CQ28" s="14">
        <v>2.2396264948280491</v>
      </c>
      <c r="CR28" s="14">
        <v>2.2881845414573405</v>
      </c>
    </row>
    <row r="29" spans="1:111" x14ac:dyDescent="0.3">
      <c r="A29" t="s">
        <v>137</v>
      </c>
      <c r="B29" s="14">
        <v>0</v>
      </c>
      <c r="C29" s="14">
        <v>2.8025660377358492</v>
      </c>
      <c r="D29" s="14">
        <v>2.0298460330188681</v>
      </c>
      <c r="E29" s="14"/>
      <c r="F29" s="14"/>
      <c r="G29" s="14">
        <v>0</v>
      </c>
      <c r="H29" s="14">
        <v>6.8470258620689668</v>
      </c>
      <c r="I29" s="14">
        <v>6.4295543958333345</v>
      </c>
      <c r="J29" s="14">
        <v>2.297370875424265</v>
      </c>
      <c r="K29" s="14">
        <v>7.427494156458085</v>
      </c>
      <c r="L29" s="14">
        <v>0</v>
      </c>
      <c r="M29" s="14">
        <v>6.2067844827586214</v>
      </c>
      <c r="N29" s="14">
        <v>5.9189664680851068</v>
      </c>
      <c r="O29" s="14">
        <v>7.4026762530594352</v>
      </c>
      <c r="P29" s="14">
        <v>7.4603011094459744</v>
      </c>
      <c r="Q29" s="14">
        <v>0</v>
      </c>
      <c r="R29" s="14"/>
      <c r="S29" s="14">
        <v>4.9027195000000008</v>
      </c>
      <c r="T29" s="14">
        <v>3.2523501636818186</v>
      </c>
      <c r="U29" s="14">
        <v>4.4735293282424413</v>
      </c>
      <c r="V29" s="14">
        <v>0</v>
      </c>
      <c r="W29" s="14">
        <v>0</v>
      </c>
      <c r="X29" s="14"/>
      <c r="Y29" s="14">
        <v>0</v>
      </c>
      <c r="Z29" s="14">
        <v>0</v>
      </c>
      <c r="AA29" s="14">
        <v>0</v>
      </c>
      <c r="AB29" s="14">
        <v>10.346738461538461</v>
      </c>
      <c r="AC29" s="14">
        <v>8.5409647719298256</v>
      </c>
      <c r="AD29" s="14">
        <v>9.937736611250001</v>
      </c>
      <c r="AE29" s="14">
        <v>8.3235926437844263</v>
      </c>
      <c r="AF29" s="14">
        <v>0</v>
      </c>
      <c r="AG29" s="14">
        <v>3.8312857142857148</v>
      </c>
      <c r="AH29" s="14"/>
      <c r="AI29" s="14">
        <v>3.8468657850000008</v>
      </c>
      <c r="AJ29" s="14"/>
      <c r="AK29" s="14">
        <v>0</v>
      </c>
      <c r="AL29" s="14"/>
      <c r="AM29" s="14"/>
      <c r="AN29" s="14"/>
      <c r="AO29" s="14">
        <v>9.8333373755699505</v>
      </c>
      <c r="AP29" s="14">
        <v>0</v>
      </c>
      <c r="AQ29" s="14">
        <v>0</v>
      </c>
      <c r="AR29" s="14">
        <v>0</v>
      </c>
      <c r="AS29" s="14"/>
      <c r="AT29" s="14"/>
      <c r="AU29" s="14">
        <v>18.863636363636363</v>
      </c>
      <c r="AV29" s="14">
        <v>18.500451612903227</v>
      </c>
      <c r="AW29" s="14">
        <v>15.688061707746483</v>
      </c>
      <c r="AX29" s="14">
        <v>10.816736412921129</v>
      </c>
      <c r="AY29" s="14">
        <v>12.793836813197059</v>
      </c>
      <c r="AZ29" s="14">
        <v>0</v>
      </c>
      <c r="BA29" s="14">
        <v>4.8480500000000006</v>
      </c>
      <c r="BB29" s="14">
        <v>6.3188734907407413</v>
      </c>
      <c r="BC29" s="14">
        <v>3.4098858747351568</v>
      </c>
      <c r="BD29" s="14">
        <v>6.8466684496464145</v>
      </c>
      <c r="BE29" s="14">
        <v>0</v>
      </c>
      <c r="BF29" s="14">
        <v>4.5573545454545457</v>
      </c>
      <c r="BG29" s="14">
        <v>2.9415445560344828</v>
      </c>
      <c r="BH29" s="14">
        <v>2.2396264948280491</v>
      </c>
      <c r="BI29" s="14">
        <v>2.5908826872850659</v>
      </c>
      <c r="BJ29" s="14">
        <v>0</v>
      </c>
      <c r="BK29" s="14"/>
      <c r="BL29" s="14">
        <v>11.801907250000001</v>
      </c>
      <c r="BM29" s="14">
        <v>7.781753075250001</v>
      </c>
      <c r="BN29" s="14">
        <v>7.9075860592593177</v>
      </c>
      <c r="BO29" s="14">
        <v>0</v>
      </c>
      <c r="BP29" s="14">
        <v>2.1751195652173916</v>
      </c>
      <c r="BQ29" s="14"/>
      <c r="BR29" s="14">
        <v>2.7718227521108112</v>
      </c>
      <c r="BS29" s="14">
        <v>2.2046272407861456</v>
      </c>
      <c r="BT29" s="14">
        <v>0</v>
      </c>
      <c r="BU29" s="14">
        <v>5.1151095890410962</v>
      </c>
      <c r="BV29" s="14">
        <v>7.7879109583333346</v>
      </c>
      <c r="BW29" s="14">
        <v>4.429391175300001</v>
      </c>
      <c r="BX29" s="14">
        <v>8.6195952271338019</v>
      </c>
      <c r="BY29" s="14">
        <v>10.457142857142857</v>
      </c>
      <c r="BZ29" s="14">
        <v>8.9651358024691366</v>
      </c>
      <c r="CA29" s="14">
        <v>14.209232890151517</v>
      </c>
      <c r="CB29" s="14">
        <v>10.054248006002586</v>
      </c>
      <c r="CC29" s="14">
        <v>10.180440849344517</v>
      </c>
      <c r="CD29" s="14">
        <v>0</v>
      </c>
      <c r="CE29" s="14">
        <v>6.1012127659574471</v>
      </c>
      <c r="CF29" s="14">
        <v>8.0197371450000006</v>
      </c>
      <c r="CG29" s="14">
        <v>4.7259458551277786</v>
      </c>
      <c r="CH29" s="14">
        <v>6.3500074194071985</v>
      </c>
      <c r="CI29" s="14">
        <v>0</v>
      </c>
      <c r="CJ29" s="14">
        <v>11.231888888888889</v>
      </c>
      <c r="CK29" s="14">
        <v>9.8028065260416692</v>
      </c>
      <c r="CL29" s="14">
        <v>5.8361616826068188</v>
      </c>
      <c r="CM29" s="14">
        <v>6.5188977822792147</v>
      </c>
      <c r="CN29" s="14">
        <v>0</v>
      </c>
      <c r="CO29" s="14"/>
      <c r="CP29" s="14"/>
      <c r="CQ29" s="14">
        <v>4.7410275150256105</v>
      </c>
      <c r="CR29" s="14">
        <v>6.1703852803344006</v>
      </c>
    </row>
    <row r="30" spans="1:111" x14ac:dyDescent="0.3">
      <c r="A30" t="s">
        <v>139</v>
      </c>
      <c r="C30" s="14" t="s">
        <v>108</v>
      </c>
      <c r="D30" s="14" t="s">
        <v>108</v>
      </c>
      <c r="E30" s="14" t="s">
        <v>108</v>
      </c>
      <c r="F30" s="14" t="s">
        <v>108</v>
      </c>
      <c r="G30" s="14" t="s">
        <v>108</v>
      </c>
      <c r="H30" s="14" t="s">
        <v>108</v>
      </c>
      <c r="I30" s="14" t="s">
        <v>108</v>
      </c>
      <c r="J30" s="14" t="s">
        <v>108</v>
      </c>
      <c r="K30" s="14" t="s">
        <v>108</v>
      </c>
      <c r="L30" s="14" t="s">
        <v>108</v>
      </c>
      <c r="M30" s="14" t="s">
        <v>108</v>
      </c>
      <c r="N30" s="14" t="s">
        <v>108</v>
      </c>
      <c r="O30" s="14" t="s">
        <v>108</v>
      </c>
      <c r="P30" s="14" t="s">
        <v>108</v>
      </c>
      <c r="Q30" s="14" t="s">
        <v>108</v>
      </c>
      <c r="R30" s="14" t="s">
        <v>108</v>
      </c>
      <c r="S30" s="14" t="s">
        <v>108</v>
      </c>
      <c r="T30" s="14" t="s">
        <v>108</v>
      </c>
      <c r="U30" s="14" t="s">
        <v>108</v>
      </c>
      <c r="V30" s="14" t="s">
        <v>108</v>
      </c>
      <c r="W30" s="14" t="s">
        <v>108</v>
      </c>
      <c r="X30" s="14" t="s">
        <v>108</v>
      </c>
      <c r="Y30" s="14" t="s">
        <v>108</v>
      </c>
      <c r="Z30" s="14" t="s">
        <v>108</v>
      </c>
      <c r="AA30" s="14" t="s">
        <v>108</v>
      </c>
      <c r="AB30" s="14" t="s">
        <v>108</v>
      </c>
      <c r="AC30" s="14" t="s">
        <v>108</v>
      </c>
      <c r="AD30" s="14" t="s">
        <v>108</v>
      </c>
      <c r="AE30" s="14" t="s">
        <v>108</v>
      </c>
      <c r="AF30" s="14" t="s">
        <v>108</v>
      </c>
      <c r="AG30" s="14" t="s">
        <v>108</v>
      </c>
      <c r="AH30" s="14" t="s">
        <v>108</v>
      </c>
      <c r="AI30" s="14" t="s">
        <v>108</v>
      </c>
      <c r="AJ30" s="14" t="s">
        <v>108</v>
      </c>
      <c r="AK30" s="14" t="s">
        <v>108</v>
      </c>
      <c r="AL30" s="14" t="s">
        <v>108</v>
      </c>
      <c r="AM30" s="14" t="s">
        <v>108</v>
      </c>
      <c r="AN30" s="14" t="s">
        <v>108</v>
      </c>
      <c r="AO30" s="14" t="s">
        <v>108</v>
      </c>
      <c r="AP30" s="14" t="s">
        <v>108</v>
      </c>
      <c r="AQ30" s="14" t="s">
        <v>108</v>
      </c>
      <c r="AR30" s="14" t="s">
        <v>108</v>
      </c>
      <c r="AS30" s="14" t="s">
        <v>108</v>
      </c>
      <c r="AT30" s="14" t="s">
        <v>108</v>
      </c>
      <c r="AU30" s="14">
        <f>Painel!AU30</f>
        <v>326</v>
      </c>
      <c r="AV30" s="14">
        <v>260.125</v>
      </c>
      <c r="AW30" s="14">
        <v>245.43063874999999</v>
      </c>
      <c r="AX30" s="14">
        <v>216.47991620515</v>
      </c>
      <c r="AY30" s="14">
        <v>199.53727592138546</v>
      </c>
      <c r="AZ30" s="14" t="s">
        <v>108</v>
      </c>
      <c r="BA30" s="14" t="s">
        <v>108</v>
      </c>
      <c r="BB30" s="14" t="s">
        <v>108</v>
      </c>
      <c r="BC30" s="14" t="s">
        <v>108</v>
      </c>
      <c r="BD30" s="14" t="s">
        <v>108</v>
      </c>
      <c r="BE30" s="14" t="s">
        <v>108</v>
      </c>
      <c r="BF30" s="14">
        <v>84.583000000000013</v>
      </c>
      <c r="BG30" s="14">
        <v>80.414708500000017</v>
      </c>
      <c r="BH30" s="14">
        <v>36.968380193850003</v>
      </c>
      <c r="BI30" s="14">
        <v>42.832757820987965</v>
      </c>
      <c r="BJ30" s="14" t="s">
        <v>108</v>
      </c>
      <c r="BK30" s="14" t="s">
        <v>108</v>
      </c>
      <c r="BL30" s="14" t="s">
        <v>108</v>
      </c>
      <c r="BM30" s="14" t="s">
        <v>108</v>
      </c>
      <c r="BN30" s="14" t="s">
        <v>108</v>
      </c>
      <c r="BO30" s="14" t="s">
        <v>108</v>
      </c>
      <c r="BP30" s="14">
        <v>69.110500000000016</v>
      </c>
      <c r="BQ30" s="14">
        <v>31.513872250000002</v>
      </c>
      <c r="BR30" s="14">
        <v>35.7758518005</v>
      </c>
      <c r="BS30" s="14">
        <v>84.405728647241006</v>
      </c>
      <c r="BT30" s="14" t="s">
        <v>108</v>
      </c>
      <c r="BU30" s="14">
        <v>145.44150000000002</v>
      </c>
      <c r="BV30" s="14">
        <v>123.8821185</v>
      </c>
      <c r="BW30" s="14">
        <v>81.091930747800006</v>
      </c>
      <c r="BX30" s="14">
        <v>104.56232056300006</v>
      </c>
      <c r="BY30" s="14">
        <v>183</v>
      </c>
      <c r="BZ30" s="14">
        <v>173.292</v>
      </c>
      <c r="CA30" s="14">
        <v>280.36479450000002</v>
      </c>
      <c r="CB30" s="14">
        <v>182.45684418255001</v>
      </c>
      <c r="CC30" s="14">
        <v>248.17803796278321</v>
      </c>
      <c r="CD30" s="14" t="s">
        <v>108</v>
      </c>
      <c r="CE30" s="14" t="s">
        <v>108</v>
      </c>
      <c r="CF30" s="14" t="s">
        <v>108</v>
      </c>
      <c r="CG30" s="14" t="s">
        <v>108</v>
      </c>
      <c r="CH30" s="14" t="s">
        <v>108</v>
      </c>
      <c r="CI30" s="14" t="s">
        <v>108</v>
      </c>
      <c r="CJ30" s="14">
        <v>181.54400000000001</v>
      </c>
      <c r="CK30" s="14">
        <v>210.81693850000005</v>
      </c>
      <c r="CL30" s="14">
        <v>152.04737015212501</v>
      </c>
      <c r="CM30" s="14">
        <v>138.57656942084344</v>
      </c>
      <c r="CN30" s="14" t="s">
        <v>108</v>
      </c>
      <c r="CO30" s="14">
        <v>30.945000000000004</v>
      </c>
      <c r="CP30" s="14">
        <v>67.374485500000006</v>
      </c>
      <c r="CQ30" s="14">
        <v>102.55744182810001</v>
      </c>
      <c r="CR30" s="14">
        <v>122.1993384892892</v>
      </c>
    </row>
    <row r="31" spans="1:111" x14ac:dyDescent="0.3">
      <c r="A31" t="s">
        <v>39</v>
      </c>
      <c r="C31" s="14">
        <f>Painel!C31*IPC!G$3</f>
        <v>100.05550000000001</v>
      </c>
      <c r="D31" s="14">
        <f>Painel!D31*IPC!H$3</f>
        <v>95.51963347500002</v>
      </c>
      <c r="E31" s="14">
        <f>Painel!E31*IPC!I$3</f>
        <v>79.30313815777501</v>
      </c>
      <c r="F31" s="14">
        <f>Painel!F31*IPC!J$3</f>
        <v>80.2484315646157</v>
      </c>
      <c r="G31" s="14"/>
      <c r="H31" s="14">
        <f>Painel!H31*IPC!G$3</f>
        <v>1198.6030000000001</v>
      </c>
      <c r="I31" s="14">
        <f>Painel!I31*IPC!H$3</f>
        <v>963.88981675000014</v>
      </c>
      <c r="J31" s="14">
        <f>Painel!J31*IPC!I$3</f>
        <v>934.94226038640011</v>
      </c>
      <c r="K31" s="14">
        <f>Painel!K31*IPC!J$3</f>
        <v>718.07858699891597</v>
      </c>
      <c r="L31" s="14"/>
      <c r="M31" s="14">
        <v>334.20600000000002</v>
      </c>
      <c r="N31" s="14">
        <v>330.35231600000003</v>
      </c>
      <c r="O31" s="14">
        <v>362.52863157840005</v>
      </c>
      <c r="P31" s="14">
        <v>360.29908049419294</v>
      </c>
      <c r="Q31" s="14"/>
      <c r="R31" s="14">
        <v>206.3</v>
      </c>
      <c r="S31" s="14">
        <v>140.18239725000001</v>
      </c>
      <c r="T31" s="14">
        <v>187.22695775595002</v>
      </c>
      <c r="U31" s="14">
        <v>178.88975325236152</v>
      </c>
      <c r="V31" s="14"/>
      <c r="W31" s="14"/>
      <c r="X31" s="14"/>
      <c r="Y31" s="14"/>
      <c r="Z31" s="14"/>
      <c r="AA31" s="14"/>
      <c r="AB31" s="14">
        <v>620.96300000000008</v>
      </c>
      <c r="AC31" s="14">
        <v>563.98964475000014</v>
      </c>
      <c r="AD31" s="14">
        <v>512.78720914050007</v>
      </c>
      <c r="AE31" s="14">
        <v>403.13183831518086</v>
      </c>
      <c r="AF31" s="14"/>
      <c r="AG31" s="14">
        <v>172.26050000000001</v>
      </c>
      <c r="AH31" s="14">
        <v>212.99030900000002</v>
      </c>
      <c r="AI31" s="14">
        <v>273.08900207715004</v>
      </c>
      <c r="AJ31" s="14">
        <v>224.24208506281937</v>
      </c>
      <c r="AK31" s="14"/>
      <c r="AL31" s="14">
        <v>681.82150000000001</v>
      </c>
      <c r="AM31" s="14">
        <v>747.63945200000012</v>
      </c>
      <c r="AN31" s="14">
        <v>585.53144113485007</v>
      </c>
      <c r="AO31" s="14">
        <v>525.33117680447015</v>
      </c>
      <c r="AP31" s="14"/>
      <c r="AQ31" s="14"/>
      <c r="AR31" s="14"/>
      <c r="AS31" s="14"/>
      <c r="AT31" s="14"/>
      <c r="AU31" s="14">
        <f>Painel!AU31</f>
        <v>255</v>
      </c>
      <c r="AV31" s="14">
        <f>Painel!AV31*IPC!G$3</f>
        <v>359.99350000000004</v>
      </c>
      <c r="AW31" s="14">
        <f>Painel!AW31*IPC!H$3</f>
        <v>443.36758200000008</v>
      </c>
      <c r="AX31" s="14">
        <f>Painel!AX31*IPC!I$3</f>
        <v>522.32743628730009</v>
      </c>
      <c r="AY31" s="14">
        <f>Painel!AY31*IPC!J$3</f>
        <v>537.92904675181944</v>
      </c>
      <c r="AZ31" s="14"/>
      <c r="BA31" s="14">
        <f>Painel!BA31*IPC!G$3</f>
        <v>601.36450000000002</v>
      </c>
      <c r="BB31" s="14">
        <f>Painel!BB31*IPC!H$3</f>
        <v>599.85025800000005</v>
      </c>
      <c r="BC31" s="14">
        <f>Painel!BC31*IPC!I$3</f>
        <v>711.93945082995015</v>
      </c>
      <c r="BD31" s="14">
        <f>Painel!BD31*IPC!J$3</f>
        <v>672.72625518845814</v>
      </c>
      <c r="BE31" s="14"/>
      <c r="BF31" s="14">
        <f>Painel!BF31*IPC!G$3</f>
        <v>10.418150000000002</v>
      </c>
      <c r="BG31" s="14">
        <f>Painel!BG31*IPC!H$3</f>
        <v>13.366228575000003</v>
      </c>
      <c r="BH31" s="14">
        <f>Painel!BH31*IPC!I$3</f>
        <v>20.749994044290002</v>
      </c>
      <c r="BI31" s="14">
        <f>Painel!BI31*IPC!J$3</f>
        <v>19.400719718918079</v>
      </c>
      <c r="BJ31" s="14"/>
      <c r="BK31" s="14">
        <f>Painel!BK31*IPC!G$3</f>
        <v>470.36400000000003</v>
      </c>
      <c r="BL31" s="14">
        <f>Painel!BL31*IPC!H$3</f>
        <v>377.07978175000005</v>
      </c>
      <c r="BM31" s="14">
        <f>Painel!BM31*IPC!I$3</f>
        <v>395.91942659220007</v>
      </c>
      <c r="BN31" s="14">
        <f>Painel!BN31*IPC!J$3</f>
        <v>439.66566116249413</v>
      </c>
      <c r="BO31" s="14"/>
      <c r="BP31" s="14">
        <f>Painel!BP31*IPC!G$3</f>
        <v>67.253800000000012</v>
      </c>
      <c r="BQ31" s="14">
        <f>Painel!BQ31*IPC!H$3</f>
        <v>78.676012100000023</v>
      </c>
      <c r="BR31" s="14">
        <f>Painel!BR31*IPC!I$3</f>
        <v>69.643658171640013</v>
      </c>
      <c r="BS31" s="14">
        <f>Painel!BS31*IPC!J$3</f>
        <v>52.155181582026536</v>
      </c>
      <c r="BT31" s="14"/>
      <c r="BU31" s="14">
        <f>Painel!BU31*IPC!G$3</f>
        <v>336.26900000000001</v>
      </c>
      <c r="BV31" s="14">
        <f>Painel!BV31*IPC!H$3</f>
        <v>375.99309650000004</v>
      </c>
      <c r="BW31" s="14">
        <f>Painel!BW31*IPC!I$3</f>
        <v>395.91942659220007</v>
      </c>
      <c r="BX31" s="14">
        <f>Painel!BX31*IPC!J$3</f>
        <v>246.91825096804828</v>
      </c>
      <c r="BY31">
        <v>128</v>
      </c>
      <c r="BZ31" s="14">
        <f>Painel!BZ31*IPC!G$3</f>
        <v>165.04000000000002</v>
      </c>
      <c r="CA31" s="14">
        <f>Painel!CA31*IPC!H$3</f>
        <v>196.69003025000004</v>
      </c>
      <c r="CB31" s="14">
        <f>Painel!CB31*IPC!I$3</f>
        <v>324.36772299120003</v>
      </c>
      <c r="CC31" s="14">
        <f>Painel!CC31*IPC!J$3</f>
        <v>304.86845272585555</v>
      </c>
      <c r="CD31" s="14"/>
      <c r="CE31" s="14">
        <f>Painel!CE31*IPC!G$3</f>
        <v>428.07250000000005</v>
      </c>
      <c r="CF31" s="14">
        <f>Painel!CF31*IPC!H$3</f>
        <v>367.29961450000008</v>
      </c>
      <c r="CG31" s="14">
        <f>Painel!CG31*IPC!I$3</f>
        <v>418.57746606585005</v>
      </c>
      <c r="CH31" s="14">
        <f>Painel!CH31*IPC!J$3</f>
        <v>425.80800422040983</v>
      </c>
      <c r="CI31" s="14"/>
      <c r="CJ31" s="14">
        <f>Painel!CJ31*IPC!G$3</f>
        <v>533.28550000000007</v>
      </c>
      <c r="CK31" s="14">
        <f>Painel!CK31*IPC!H$3</f>
        <v>520.52223475000005</v>
      </c>
      <c r="CL31" s="14">
        <f>Painel!CL31*IPC!I$3</f>
        <v>430.50274999935004</v>
      </c>
      <c r="CM31" s="14">
        <f>Painel!CM31*IPC!J$3</f>
        <v>447.22438313090379</v>
      </c>
      <c r="CN31" s="14"/>
      <c r="CO31" s="14">
        <f>Painel!CO31*IPC!G$3</f>
        <v>646.7505000000001</v>
      </c>
      <c r="CP31" s="14">
        <f>Painel!CP31*IPC!H$3</f>
        <v>740.03265525000006</v>
      </c>
      <c r="CQ31" s="14">
        <f>Painel!CQ31*IPC!I$3</f>
        <v>982.6433961204001</v>
      </c>
      <c r="CR31" s="14">
        <f>Painel!CR31*IPC!J$3</f>
        <v>701.70135606736176</v>
      </c>
    </row>
    <row r="32" spans="1:111" x14ac:dyDescent="0.3">
      <c r="A32" t="s">
        <v>110</v>
      </c>
      <c r="B32" s="14"/>
      <c r="C32" s="14">
        <v>31</v>
      </c>
      <c r="D32" s="14">
        <v>3.8181818181818179</v>
      </c>
      <c r="E32" s="14">
        <v>19.333333333333332</v>
      </c>
      <c r="F32" s="14">
        <v>-6.5555555555555554</v>
      </c>
      <c r="G32" s="14"/>
      <c r="H32" s="14">
        <v>28.358974358974361</v>
      </c>
      <c r="I32" s="14">
        <v>7.9449541284403669</v>
      </c>
      <c r="J32" s="14">
        <v>-4.8645161290322587</v>
      </c>
      <c r="K32" s="14">
        <v>4.4640000000000004</v>
      </c>
      <c r="L32" s="14"/>
      <c r="M32" s="14">
        <v>4.563380281690141</v>
      </c>
      <c r="N32" s="14">
        <v>4.6769230769230763</v>
      </c>
      <c r="O32" s="14">
        <v>2.2686567164179108</v>
      </c>
      <c r="P32" s="14">
        <v>2.5765765765765769</v>
      </c>
      <c r="Q32" s="14"/>
      <c r="R32" s="14">
        <v>200</v>
      </c>
      <c r="S32" s="14">
        <v>3.486486486486486</v>
      </c>
      <c r="T32" s="14">
        <v>-12.076923076923077</v>
      </c>
      <c r="U32" s="14">
        <v>3.641025641025641</v>
      </c>
      <c r="V32" s="14"/>
      <c r="W32" s="14"/>
      <c r="X32" s="14"/>
      <c r="Y32" s="14"/>
      <c r="Z32" s="14"/>
      <c r="AA32" s="14"/>
      <c r="AB32" s="14">
        <v>3.6707317073170729</v>
      </c>
      <c r="AC32" s="14">
        <v>2.915730337078652</v>
      </c>
      <c r="AD32" s="14">
        <v>10.75</v>
      </c>
      <c r="AE32" s="14">
        <v>-17.777777777777779</v>
      </c>
      <c r="AF32" s="14"/>
      <c r="AG32" s="14">
        <v>2.609375</v>
      </c>
      <c r="AH32" s="14">
        <v>8.9090909090909083</v>
      </c>
      <c r="AI32" s="14">
        <v>9.5416666666666661</v>
      </c>
      <c r="AJ32" s="14">
        <v>-16.18181818181818</v>
      </c>
      <c r="AK32" s="14"/>
      <c r="AL32" s="14">
        <v>4.5273972602739718</v>
      </c>
      <c r="AM32" s="14">
        <v>-8.4938271604938276</v>
      </c>
      <c r="AN32" s="14">
        <v>-2.7277777777777774</v>
      </c>
      <c r="AO32" s="14">
        <v>2.8367346938775513</v>
      </c>
      <c r="AP32" s="14"/>
      <c r="AQ32" s="14"/>
      <c r="AR32" s="14"/>
      <c r="AS32" s="14"/>
      <c r="AT32" s="14"/>
      <c r="AU32" s="20">
        <f>AU31/AU14</f>
        <v>0.52577319587628868</v>
      </c>
      <c r="AV32" s="14">
        <v>0.75100438596491226</v>
      </c>
      <c r="AW32" s="14">
        <v>0.9696576076923078</v>
      </c>
      <c r="AX32" s="14">
        <v>2.2587890744629417</v>
      </c>
      <c r="AY32" s="14">
        <v>1.7271273314914504</v>
      </c>
      <c r="AZ32" s="14"/>
      <c r="BA32" s="14">
        <v>0</v>
      </c>
      <c r="BB32" s="14">
        <v>-4.5679012345679002</v>
      </c>
      <c r="BC32" s="14">
        <v>-6.0562266378696959E-2</v>
      </c>
      <c r="BD32" s="14">
        <v>9.0718283934785385E-2</v>
      </c>
      <c r="BE32" s="14"/>
      <c r="BF32" s="14">
        <v>0</v>
      </c>
      <c r="BG32" s="14">
        <v>-0.12716049382716049</v>
      </c>
      <c r="BH32" s="14">
        <v>-8.8888888888888878E-2</v>
      </c>
      <c r="BI32" s="14">
        <v>1.5555555555555558</v>
      </c>
      <c r="BJ32" s="14"/>
      <c r="BK32" s="14">
        <v>9.1818181818181817</v>
      </c>
      <c r="BL32" s="14">
        <v>1.8612716763005781</v>
      </c>
      <c r="BM32" s="14">
        <v>2.453846153846154</v>
      </c>
      <c r="BN32" s="14">
        <v>0</v>
      </c>
      <c r="BO32" s="14"/>
      <c r="BP32" s="14">
        <v>0</v>
      </c>
      <c r="BQ32" s="14">
        <v>1.42</v>
      </c>
      <c r="BR32" s="14">
        <v>0.91034482758620705</v>
      </c>
      <c r="BS32" s="14">
        <v>0</v>
      </c>
      <c r="BT32" s="14"/>
      <c r="BU32" s="14">
        <v>2.763157894736842</v>
      </c>
      <c r="BV32" s="14">
        <v>2.8686868686868685</v>
      </c>
      <c r="BW32" s="14">
        <v>84.5</v>
      </c>
      <c r="BX32" s="14">
        <v>1.4382022471910112</v>
      </c>
      <c r="BY32" s="20">
        <f>BY31/BY14</f>
        <v>0.68817204301075274</v>
      </c>
      <c r="BZ32" s="14">
        <v>0.92349726775956287</v>
      </c>
      <c r="CA32" s="14">
        <v>0.70245398773006129</v>
      </c>
      <c r="CB32" s="14">
        <v>1.5298013245033111</v>
      </c>
      <c r="CC32" s="14">
        <v>1.22</v>
      </c>
      <c r="CD32" s="14"/>
      <c r="CE32" s="14">
        <v>2.2413793103448274</v>
      </c>
      <c r="CF32" s="14">
        <v>1.4337349397590362</v>
      </c>
      <c r="CG32" s="14">
        <v>-10.636363636363635</v>
      </c>
      <c r="CH32" s="14">
        <v>0</v>
      </c>
      <c r="CI32" s="14"/>
      <c r="CJ32" s="14">
        <v>2.0043859649122808</v>
      </c>
      <c r="CK32" s="14">
        <v>12.6</v>
      </c>
      <c r="CL32" s="14">
        <v>0.69053117782909923</v>
      </c>
      <c r="CM32" s="14">
        <v>0</v>
      </c>
      <c r="CN32" s="14"/>
      <c r="CO32" s="14">
        <v>27.625</v>
      </c>
      <c r="CP32" s="14">
        <v>8.5238095238095237</v>
      </c>
      <c r="CQ32" s="14">
        <v>6.732394366197183</v>
      </c>
      <c r="CR32" s="14">
        <v>0</v>
      </c>
    </row>
    <row r="33" spans="1:96" s="18" customFormat="1" x14ac:dyDescent="0.3">
      <c r="A33" s="18" t="s">
        <v>111</v>
      </c>
      <c r="C33" s="18">
        <v>0.64583333333333337</v>
      </c>
      <c r="D33" s="18">
        <v>0.84848484848484851</v>
      </c>
      <c r="E33" s="18">
        <v>1.2608695652173914</v>
      </c>
      <c r="F33" s="18">
        <v>1.9032258064516128</v>
      </c>
      <c r="H33" s="18">
        <v>2.8727272727272726</v>
      </c>
      <c r="I33" s="18">
        <v>1.7424547283702212</v>
      </c>
      <c r="J33" s="18">
        <v>5.7557251908396951</v>
      </c>
      <c r="K33" s="18">
        <v>1.9717314487632509</v>
      </c>
      <c r="M33" s="18">
        <v>0.92836676217765035</v>
      </c>
      <c r="N33" s="18">
        <v>1.1875</v>
      </c>
      <c r="O33" s="18">
        <v>0.92401215805471115</v>
      </c>
      <c r="P33" s="18">
        <v>0.7546174142480212</v>
      </c>
      <c r="R33" s="18">
        <v>2</v>
      </c>
      <c r="S33" s="18">
        <v>0.66494845360824739</v>
      </c>
      <c r="T33" s="18">
        <v>1.3083333333333333</v>
      </c>
      <c r="U33" s="18">
        <v>0.8160919540229884</v>
      </c>
      <c r="AB33" s="18">
        <v>0.92331288343558293</v>
      </c>
      <c r="AC33" s="18">
        <v>1.158482142857143</v>
      </c>
      <c r="AD33" s="18">
        <v>1.0117647058823529</v>
      </c>
      <c r="AE33" s="18">
        <v>0.8648648648648648</v>
      </c>
      <c r="AG33" s="18">
        <v>1.0705128205128205</v>
      </c>
      <c r="AH33" s="18">
        <v>2.4499999999999997</v>
      </c>
      <c r="AI33" s="18">
        <v>2.29</v>
      </c>
      <c r="AJ33" s="18">
        <v>4.6842105263157894</v>
      </c>
      <c r="AL33" s="18">
        <v>4.5273972602739718</v>
      </c>
      <c r="AM33" s="18">
        <v>5.7333333333333325</v>
      </c>
      <c r="AN33" s="18">
        <v>4.1610169491525424</v>
      </c>
      <c r="AO33" s="18">
        <v>1.4839857651245552</v>
      </c>
      <c r="AU33" s="18">
        <f>AU31/AU11</f>
        <v>0.19376899696048633</v>
      </c>
      <c r="AV33" s="18">
        <v>0.22392086330935251</v>
      </c>
      <c r="AW33" s="18">
        <v>0.28292682926829266</v>
      </c>
      <c r="AX33" s="18">
        <v>0.5</v>
      </c>
      <c r="AY33" s="18">
        <v>0.37199124726477023</v>
      </c>
      <c r="BA33" s="18">
        <v>0</v>
      </c>
      <c r="BB33" s="18">
        <v>1.1783439490445859</v>
      </c>
      <c r="BC33" s="18">
        <v>5.9569442339701927E-2</v>
      </c>
      <c r="BD33" s="18">
        <v>2.5401119501739906E-2</v>
      </c>
      <c r="BF33" s="18">
        <v>0</v>
      </c>
      <c r="BG33" s="18">
        <v>6.5605095541401287E-2</v>
      </c>
      <c r="BH33" s="18">
        <v>0.20779220779220778</v>
      </c>
      <c r="BI33" s="18">
        <v>0.12844036697247707</v>
      </c>
      <c r="BK33" s="18">
        <v>1.0520833333333335</v>
      </c>
      <c r="BL33" s="18">
        <v>0.68950749464668093</v>
      </c>
      <c r="BM33" s="18">
        <v>0.82857142857142863</v>
      </c>
      <c r="BN33" s="18">
        <v>0</v>
      </c>
      <c r="BP33" s="18">
        <v>0</v>
      </c>
      <c r="BQ33" s="18">
        <v>0.60425531914893615</v>
      </c>
      <c r="BR33" s="18">
        <v>0.30697674418604654</v>
      </c>
      <c r="BS33" s="18">
        <v>0</v>
      </c>
      <c r="BU33" s="18">
        <v>0.87016574585635353</v>
      </c>
      <c r="BV33" s="18">
        <v>0.82558139534883723</v>
      </c>
      <c r="BW33" s="18">
        <v>0.65</v>
      </c>
      <c r="BX33" s="18">
        <v>0.3282051282051282</v>
      </c>
      <c r="BY33" s="18">
        <v>0.17486338797814208</v>
      </c>
      <c r="BZ33" s="18">
        <v>0.19602272727272727</v>
      </c>
      <c r="CA33" s="18">
        <v>0.19582850521436851</v>
      </c>
      <c r="CB33" s="18">
        <v>0.4683026584867076</v>
      </c>
      <c r="CC33" s="18">
        <v>0.38628762541806017</v>
      </c>
      <c r="CE33" s="18">
        <v>0.93525179856115104</v>
      </c>
      <c r="CF33" s="18">
        <v>0.6449864498644986</v>
      </c>
      <c r="CG33" s="18">
        <v>1.0934579439252334</v>
      </c>
      <c r="CH33" s="18">
        <v>0</v>
      </c>
      <c r="CJ33" s="18">
        <v>0.77721088435374153</v>
      </c>
      <c r="CK33" s="18">
        <v>0.72748267898383367</v>
      </c>
      <c r="CL33" s="18">
        <v>0.92569659442724461</v>
      </c>
      <c r="CM33" s="18">
        <v>0</v>
      </c>
      <c r="CO33" s="18">
        <v>5.7155172413793096</v>
      </c>
      <c r="CP33" s="18">
        <v>4.3132530120481931</v>
      </c>
      <c r="CQ33" s="18">
        <v>2.9325153374233133</v>
      </c>
      <c r="CR33" s="18">
        <v>0</v>
      </c>
    </row>
    <row r="34" spans="1:96" x14ac:dyDescent="0.3">
      <c r="A34" t="s">
        <v>129</v>
      </c>
      <c r="B34" s="18">
        <v>0</v>
      </c>
      <c r="C34" s="18">
        <v>0.41666666666666674</v>
      </c>
      <c r="D34" s="18">
        <v>0.46464646464646464</v>
      </c>
      <c r="E34" s="18">
        <v>0.52173913043478271</v>
      </c>
      <c r="F34" s="18">
        <v>0.80645161290322576</v>
      </c>
      <c r="G34" s="18">
        <v>0</v>
      </c>
      <c r="H34" s="18">
        <v>0.64935064935064923</v>
      </c>
      <c r="I34" s="18">
        <v>0.52917505030181078</v>
      </c>
      <c r="J34" s="18">
        <v>1.5267175572519085</v>
      </c>
      <c r="K34" s="18">
        <v>0.5512367491166078</v>
      </c>
      <c r="L34" s="18">
        <v>0</v>
      </c>
      <c r="M34" s="18">
        <v>0.51002865329512892</v>
      </c>
      <c r="N34" s="18">
        <v>0.56640625</v>
      </c>
      <c r="O34" s="18">
        <v>0.27659574468085102</v>
      </c>
      <c r="P34" s="18">
        <v>0.36411609498680741</v>
      </c>
      <c r="Q34" s="18">
        <v>0</v>
      </c>
      <c r="R34" s="18">
        <v>0.72</v>
      </c>
      <c r="S34" s="18">
        <v>0.54639175257731964</v>
      </c>
      <c r="T34" s="18">
        <v>0.7583333333333333</v>
      </c>
      <c r="U34" s="18">
        <v>0.53448275862068961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0.42024539877300615</v>
      </c>
      <c r="AC34" s="18">
        <v>0.4642857142857143</v>
      </c>
      <c r="AD34" s="18">
        <v>0.44235294117647062</v>
      </c>
      <c r="AE34" s="18">
        <v>0.60540540540540544</v>
      </c>
      <c r="AF34" s="18">
        <v>0</v>
      </c>
      <c r="AG34" s="18">
        <v>0.46794871794871795</v>
      </c>
      <c r="AH34" s="18">
        <v>0.61249999999999993</v>
      </c>
      <c r="AI34" s="18">
        <v>0.49</v>
      </c>
      <c r="AJ34" s="18">
        <v>0.97368421052631582</v>
      </c>
      <c r="AK34" s="18">
        <v>0</v>
      </c>
      <c r="AL34" s="18">
        <v>0.3904109589041096</v>
      </c>
      <c r="AM34" s="18">
        <v>0.5</v>
      </c>
      <c r="AN34" s="18">
        <v>0.83050847457627119</v>
      </c>
      <c r="AO34" s="18">
        <v>0.7508896797153024</v>
      </c>
      <c r="AP34" s="18">
        <v>0</v>
      </c>
      <c r="AQ34" s="18">
        <v>0</v>
      </c>
      <c r="AR34" s="18">
        <v>0</v>
      </c>
      <c r="AS34" s="18">
        <v>0</v>
      </c>
      <c r="AT34" s="18">
        <v>0</v>
      </c>
      <c r="AU34" s="18">
        <v>0.3518237082066869</v>
      </c>
      <c r="AV34" s="18">
        <v>0.39478417266187049</v>
      </c>
      <c r="AW34" s="18">
        <v>0.34536585365853656</v>
      </c>
      <c r="AX34" s="18">
        <v>0.51552795031055898</v>
      </c>
      <c r="AY34" s="18">
        <v>0.35667396061269147</v>
      </c>
      <c r="AZ34" s="18">
        <v>0</v>
      </c>
      <c r="BA34" s="18">
        <v>0.39513677811550146</v>
      </c>
      <c r="BB34" s="18">
        <v>0.37579617834394907</v>
      </c>
      <c r="BC34" s="18">
        <v>0.4043715846994535</v>
      </c>
      <c r="BD34" s="18">
        <v>0.24400000000000002</v>
      </c>
      <c r="BE34" s="18">
        <v>0</v>
      </c>
      <c r="BF34" s="18">
        <v>0.34979423868312759</v>
      </c>
      <c r="BG34" s="18">
        <v>0.48407643312101911</v>
      </c>
      <c r="BH34" s="18">
        <v>0.5714285714285714</v>
      </c>
      <c r="BI34" s="18">
        <v>0.6330275229357798</v>
      </c>
      <c r="BJ34" s="18">
        <v>0</v>
      </c>
      <c r="BK34" s="18">
        <v>0.40277777777777779</v>
      </c>
      <c r="BL34" s="18">
        <v>0.28907922912205569</v>
      </c>
      <c r="BM34" s="18">
        <v>0.28571428571428575</v>
      </c>
      <c r="BN34" s="18">
        <v>0.26715686274509803</v>
      </c>
      <c r="BO34" s="18">
        <v>0</v>
      </c>
      <c r="BP34" s="18">
        <v>0.34020618556701032</v>
      </c>
      <c r="BQ34" s="18">
        <v>0.51063829787234039</v>
      </c>
      <c r="BR34" s="18">
        <v>0.54651162790697683</v>
      </c>
      <c r="BS34" s="18">
        <v>0.45054945054945056</v>
      </c>
      <c r="BT34" s="18">
        <v>0</v>
      </c>
      <c r="BU34" s="18">
        <v>0.54696132596685088</v>
      </c>
      <c r="BV34" s="18">
        <v>0.52616279069767447</v>
      </c>
      <c r="BW34" s="18">
        <v>0.70769230769230762</v>
      </c>
      <c r="BX34" s="18">
        <v>0.48717948717948717</v>
      </c>
      <c r="BY34" s="18">
        <v>0.55327868852459017</v>
      </c>
      <c r="BZ34" s="18">
        <v>0.51846590909090906</v>
      </c>
      <c r="CA34" s="18">
        <v>0.4113557358053303</v>
      </c>
      <c r="CB34" s="18">
        <v>0.42126789366053169</v>
      </c>
      <c r="CC34" s="18">
        <v>0.44648829431438131</v>
      </c>
      <c r="CD34" s="18">
        <v>0</v>
      </c>
      <c r="CE34" s="18">
        <v>0.39928057553956836</v>
      </c>
      <c r="CF34" s="18">
        <v>0.31978319783197834</v>
      </c>
      <c r="CG34" s="18">
        <v>0.57476635514018692</v>
      </c>
      <c r="CH34" s="18">
        <v>0.40482573726541554</v>
      </c>
      <c r="CI34" s="18">
        <v>0</v>
      </c>
      <c r="CJ34" s="18">
        <v>0.33673469387755101</v>
      </c>
      <c r="CK34" s="18">
        <v>0.50577367205542723</v>
      </c>
      <c r="CL34" s="18">
        <v>0.51702786377708976</v>
      </c>
      <c r="CM34" s="18">
        <v>0.50613496932515334</v>
      </c>
      <c r="CN34" s="18">
        <v>0</v>
      </c>
      <c r="CO34" s="18">
        <v>0.57758620689655171</v>
      </c>
      <c r="CP34" s="18">
        <v>0.391566265060241</v>
      </c>
      <c r="CQ34" s="18">
        <v>0.47239263803680986</v>
      </c>
      <c r="CR34" s="18">
        <v>0.37083333333333335</v>
      </c>
    </row>
    <row r="35" spans="1:96" x14ac:dyDescent="0.3">
      <c r="A35" t="s">
        <v>134</v>
      </c>
      <c r="B35" s="18">
        <v>0</v>
      </c>
      <c r="C35" s="18">
        <v>0.52777777777777779</v>
      </c>
      <c r="D35" s="18">
        <v>0.46464646464646464</v>
      </c>
      <c r="E35" s="18">
        <v>0.52826086956521745</v>
      </c>
      <c r="F35" s="18">
        <v>0.83225806451612905</v>
      </c>
      <c r="G35" s="18">
        <v>0</v>
      </c>
      <c r="H35" s="18">
        <v>1.0337662337662337</v>
      </c>
      <c r="I35" s="18">
        <v>0.75452716297786715</v>
      </c>
      <c r="J35" s="18">
        <v>3.4503816793893134</v>
      </c>
      <c r="K35" s="18">
        <v>0.73498233215547704</v>
      </c>
      <c r="L35" s="18">
        <v>0</v>
      </c>
      <c r="M35" s="18">
        <v>0.7822349570200573</v>
      </c>
      <c r="N35" s="18">
        <v>0.77734375</v>
      </c>
      <c r="O35" s="18">
        <v>0.39209726443768994</v>
      </c>
      <c r="P35" s="18">
        <v>0.44327176781002636</v>
      </c>
      <c r="Q35" s="18">
        <v>0</v>
      </c>
      <c r="R35" s="18">
        <v>0.72</v>
      </c>
      <c r="S35" s="18">
        <v>0.54639175257731964</v>
      </c>
      <c r="T35" s="18">
        <v>0.84166666666666656</v>
      </c>
      <c r="U35" s="18">
        <v>0.72413793103448276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0.48466257668711654</v>
      </c>
      <c r="AC35" s="18">
        <v>0.4665178571428571</v>
      </c>
      <c r="AD35" s="18">
        <v>0.59058823529411764</v>
      </c>
      <c r="AE35" s="18">
        <v>0.6351351351351352</v>
      </c>
      <c r="AF35" s="18">
        <v>0</v>
      </c>
      <c r="AG35" s="18">
        <v>0.51282051282051289</v>
      </c>
      <c r="AH35" s="18">
        <v>0.64</v>
      </c>
      <c r="AI35" s="18">
        <v>0.505</v>
      </c>
      <c r="AJ35" s="18">
        <v>0.99736842105263157</v>
      </c>
      <c r="AK35" s="18">
        <v>0</v>
      </c>
      <c r="AL35" s="18">
        <v>0.3904109589041096</v>
      </c>
      <c r="AM35" s="18">
        <v>0.5083333333333333</v>
      </c>
      <c r="AN35" s="18">
        <v>0.98305084745762705</v>
      </c>
      <c r="AO35" s="18">
        <v>0.95017793594306033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0.55927051671732519</v>
      </c>
      <c r="AV35" s="18">
        <v>0.60251798561151082</v>
      </c>
      <c r="AW35" s="18">
        <v>0.46243902439024392</v>
      </c>
      <c r="AX35" s="18">
        <v>0.79192546583850942</v>
      </c>
      <c r="AY35" s="18">
        <v>0.63019693654266962</v>
      </c>
      <c r="AZ35" s="18">
        <v>0</v>
      </c>
      <c r="BA35" s="18">
        <v>0.47720364741641336</v>
      </c>
      <c r="BB35" s="18">
        <v>0.41719745222929944</v>
      </c>
      <c r="BC35" s="18">
        <v>0.45027322404371578</v>
      </c>
      <c r="BD35" s="18">
        <v>0.28800000000000003</v>
      </c>
      <c r="BE35" s="18">
        <v>0</v>
      </c>
      <c r="BF35" s="18">
        <v>0.53909465020576142</v>
      </c>
      <c r="BG35" s="18">
        <v>0.59872611464968151</v>
      </c>
      <c r="BH35" s="18">
        <v>0.66233766233766223</v>
      </c>
      <c r="BI35" s="18">
        <v>0.68440366972477062</v>
      </c>
      <c r="BJ35" s="18">
        <v>0</v>
      </c>
      <c r="BK35" s="18">
        <v>0.63194444444444442</v>
      </c>
      <c r="BL35" s="18">
        <v>0.42398286937901497</v>
      </c>
      <c r="BM35" s="18">
        <v>0.41038961038961042</v>
      </c>
      <c r="BN35" s="18">
        <v>0.38725490196078427</v>
      </c>
      <c r="BO35" s="18">
        <v>0</v>
      </c>
      <c r="BP35" s="18">
        <v>0.3587628865979382</v>
      </c>
      <c r="BQ35" s="18">
        <v>0.51063829787234039</v>
      </c>
      <c r="BR35" s="18">
        <v>0.62093023255813962</v>
      </c>
      <c r="BS35" s="18">
        <v>0.51098901098901106</v>
      </c>
      <c r="BT35" s="18">
        <v>0</v>
      </c>
      <c r="BU35" s="18">
        <v>0.79005524861878451</v>
      </c>
      <c r="BV35" s="18">
        <v>0.6191860465116279</v>
      </c>
      <c r="BW35" s="18">
        <v>0.92307692307692313</v>
      </c>
      <c r="BX35" s="18">
        <v>0.62051282051282053</v>
      </c>
      <c r="BY35" s="18">
        <v>0.75819672131147542</v>
      </c>
      <c r="BZ35" s="18">
        <v>0.66761363636363635</v>
      </c>
      <c r="CA35" s="18">
        <v>0.50521436848203949</v>
      </c>
      <c r="CB35" s="18">
        <v>0.670756646216769</v>
      </c>
      <c r="CC35" s="18">
        <v>0.62876254180602009</v>
      </c>
      <c r="CD35" s="18">
        <v>0</v>
      </c>
      <c r="CE35" s="18">
        <v>0.62230215827338131</v>
      </c>
      <c r="CF35" s="18">
        <v>0.36856368563685638</v>
      </c>
      <c r="CG35" s="18">
        <v>0.76635514018691586</v>
      </c>
      <c r="CH35" s="18">
        <v>0.54691689008042899</v>
      </c>
      <c r="CI35" s="18">
        <v>0</v>
      </c>
      <c r="CJ35" s="18">
        <v>0.46598639455782315</v>
      </c>
      <c r="CK35" s="18">
        <v>0.69976905311778281</v>
      </c>
      <c r="CL35" s="18">
        <v>0.84210526315789469</v>
      </c>
      <c r="CM35" s="18">
        <v>0.9478527607361964</v>
      </c>
      <c r="CN35" s="18">
        <v>0</v>
      </c>
      <c r="CO35" s="18">
        <v>0.80172413793103448</v>
      </c>
      <c r="CP35" s="18">
        <v>0.40602409638554221</v>
      </c>
      <c r="CQ35" s="18">
        <v>0.48159509202453993</v>
      </c>
      <c r="CR35" s="18">
        <v>0.38500000000000001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E02C-9E35-4D4E-AA66-24970E3CCF5E}">
  <sheetPr codeName="Planilha6"/>
  <dimension ref="A1:DG65"/>
  <sheetViews>
    <sheetView workbookViewId="0">
      <pane xSplit="1" ySplit="1" topLeftCell="BV9" activePane="bottomRight" state="frozen"/>
      <selection pane="topRight" activeCell="B1" sqref="B1"/>
      <selection pane="bottomLeft" activeCell="A2" sqref="A2"/>
      <selection pane="bottomRight" activeCell="BY21" sqref="BY21:CC21"/>
    </sheetView>
  </sheetViews>
  <sheetFormatPr defaultRowHeight="14.4" x14ac:dyDescent="0.3"/>
  <cols>
    <col min="1" max="1" width="39.6640625" bestFit="1" customWidth="1"/>
    <col min="2" max="2" width="7.6640625" bestFit="1" customWidth="1"/>
    <col min="3" max="6" width="5" bestFit="1" customWidth="1"/>
    <col min="7" max="7" width="7.33203125" bestFit="1" customWidth="1"/>
    <col min="8" max="10" width="6.44140625" bestFit="1" customWidth="1"/>
    <col min="11" max="11" width="5" bestFit="1" customWidth="1"/>
    <col min="12" max="12" width="8.33203125" bestFit="1" customWidth="1"/>
    <col min="13" max="16" width="5" bestFit="1" customWidth="1"/>
    <col min="17" max="17" width="5.5546875" bestFit="1" customWidth="1"/>
    <col min="18" max="21" width="5" bestFit="1" customWidth="1"/>
    <col min="22" max="22" width="8.6640625" bestFit="1" customWidth="1"/>
    <col min="23" max="26" width="5" bestFit="1" customWidth="1"/>
    <col min="27" max="27" width="10.21875" bestFit="1" customWidth="1"/>
    <col min="28" max="31" width="5" bestFit="1" customWidth="1"/>
    <col min="32" max="32" width="7.44140625" bestFit="1" customWidth="1"/>
    <col min="33" max="36" width="5" bestFit="1" customWidth="1"/>
    <col min="37" max="37" width="7.77734375" bestFit="1" customWidth="1"/>
    <col min="38" max="41" width="5" bestFit="1" customWidth="1"/>
    <col min="42" max="42" width="6.5546875" bestFit="1" customWidth="1"/>
    <col min="43" max="46" width="5" bestFit="1" customWidth="1"/>
    <col min="48" max="49" width="5.88671875" bestFit="1" customWidth="1"/>
    <col min="50" max="50" width="6.88671875" bestFit="1" customWidth="1"/>
    <col min="51" max="51" width="5.88671875" bestFit="1" customWidth="1"/>
    <col min="52" max="52" width="10.109375" bestFit="1" customWidth="1"/>
    <col min="53" max="56" width="5" bestFit="1" customWidth="1"/>
    <col min="57" max="57" width="8.5546875" bestFit="1" customWidth="1"/>
    <col min="58" max="61" width="5" bestFit="1" customWidth="1"/>
    <col min="62" max="62" width="7" bestFit="1" customWidth="1"/>
    <col min="63" max="66" width="5" bestFit="1" customWidth="1"/>
    <col min="67" max="67" width="5.5546875" bestFit="1" customWidth="1"/>
    <col min="68" max="71" width="5" bestFit="1" customWidth="1"/>
    <col min="72" max="72" width="11.77734375" bestFit="1" customWidth="1"/>
    <col min="73" max="76" width="5" bestFit="1" customWidth="1"/>
    <col min="78" max="81" width="5.88671875" bestFit="1" customWidth="1"/>
    <col min="82" max="82" width="6.44140625" bestFit="1" customWidth="1"/>
    <col min="83" max="86" width="5" bestFit="1" customWidth="1"/>
    <col min="87" max="87" width="9" bestFit="1" customWidth="1"/>
    <col min="88" max="91" width="5" bestFit="1" customWidth="1"/>
    <col min="92" max="92" width="13.6640625" bestFit="1" customWidth="1"/>
    <col min="93" max="96" width="5" bestFit="1" customWidth="1"/>
    <col min="97" max="97" width="10.33203125" bestFit="1" customWidth="1"/>
    <col min="98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112</v>
      </c>
      <c r="CX1" t="s">
        <v>113</v>
      </c>
      <c r="DC1" t="s">
        <v>114</v>
      </c>
    </row>
    <row r="2" spans="1:111" x14ac:dyDescent="0.3">
      <c r="A2" t="s">
        <v>39</v>
      </c>
      <c r="B2" s="6">
        <v>2023</v>
      </c>
      <c r="C2" s="6">
        <v>2022</v>
      </c>
      <c r="D2" s="6">
        <v>2021</v>
      </c>
      <c r="E2" s="6">
        <v>2020</v>
      </c>
      <c r="F2" s="6">
        <v>2019</v>
      </c>
      <c r="G2" s="6">
        <v>2023</v>
      </c>
      <c r="H2" s="6">
        <v>2022</v>
      </c>
      <c r="I2" s="6">
        <v>2021</v>
      </c>
      <c r="J2" s="6">
        <v>2020</v>
      </c>
      <c r="K2" s="6">
        <v>2019</v>
      </c>
      <c r="L2" s="6">
        <v>2023</v>
      </c>
      <c r="M2" s="6">
        <v>2022</v>
      </c>
      <c r="N2" s="6">
        <v>2021</v>
      </c>
      <c r="O2" s="6">
        <v>2020</v>
      </c>
      <c r="P2" s="6">
        <v>2019</v>
      </c>
      <c r="Q2" s="6">
        <v>2023</v>
      </c>
      <c r="R2" s="6">
        <v>2022</v>
      </c>
      <c r="S2" s="6">
        <v>2021</v>
      </c>
      <c r="T2" s="6">
        <v>2020</v>
      </c>
      <c r="U2" s="6">
        <v>2019</v>
      </c>
      <c r="V2" s="6">
        <v>2023</v>
      </c>
      <c r="W2" s="6">
        <v>2022</v>
      </c>
      <c r="X2" s="6">
        <v>2021</v>
      </c>
      <c r="Y2" s="6">
        <v>2020</v>
      </c>
      <c r="Z2" s="6">
        <v>2019</v>
      </c>
      <c r="AA2" s="6">
        <v>2023</v>
      </c>
      <c r="AB2" s="6">
        <v>2022</v>
      </c>
      <c r="AC2" s="6">
        <v>2021</v>
      </c>
      <c r="AD2" s="6">
        <v>2020</v>
      </c>
      <c r="AE2" s="6">
        <v>2019</v>
      </c>
      <c r="AF2" s="6">
        <v>2023</v>
      </c>
      <c r="AG2" s="6">
        <v>2022</v>
      </c>
      <c r="AH2" s="6">
        <v>2021</v>
      </c>
      <c r="AI2" s="6">
        <v>2020</v>
      </c>
      <c r="AJ2" s="6">
        <v>2019</v>
      </c>
      <c r="AK2" s="6">
        <v>2023</v>
      </c>
      <c r="AL2" s="6">
        <v>2022</v>
      </c>
      <c r="AM2" s="6">
        <v>2021</v>
      </c>
      <c r="AN2" s="6">
        <v>2020</v>
      </c>
      <c r="AO2" s="6">
        <v>2019</v>
      </c>
      <c r="AP2" s="6">
        <v>2023</v>
      </c>
      <c r="AQ2" s="6">
        <v>2022</v>
      </c>
      <c r="AR2" s="6">
        <v>2021</v>
      </c>
      <c r="AS2" s="6">
        <v>2020</v>
      </c>
      <c r="AT2" s="6">
        <v>2019</v>
      </c>
      <c r="AU2" s="6">
        <v>2023</v>
      </c>
      <c r="AV2" s="6">
        <v>2022</v>
      </c>
      <c r="AW2" s="6">
        <v>2021</v>
      </c>
      <c r="AX2" s="6">
        <v>2020</v>
      </c>
      <c r="AY2" s="6">
        <v>2019</v>
      </c>
      <c r="AZ2" s="6">
        <v>2023</v>
      </c>
      <c r="BA2" s="6">
        <v>2022</v>
      </c>
      <c r="BB2" s="6">
        <v>2021</v>
      </c>
      <c r="BC2" s="6">
        <v>2020</v>
      </c>
      <c r="BD2" s="6">
        <v>2019</v>
      </c>
      <c r="BE2" s="6">
        <v>2023</v>
      </c>
      <c r="BF2" s="6">
        <v>2022</v>
      </c>
      <c r="BG2" s="6">
        <v>2021</v>
      </c>
      <c r="BH2" s="6">
        <v>2020</v>
      </c>
      <c r="BI2" s="6">
        <v>2019</v>
      </c>
      <c r="BJ2" s="6">
        <v>2023</v>
      </c>
      <c r="BK2" s="6">
        <v>2022</v>
      </c>
      <c r="BL2" s="6">
        <v>2021</v>
      </c>
      <c r="BM2" s="6">
        <v>2020</v>
      </c>
      <c r="BN2" s="6">
        <v>2019</v>
      </c>
      <c r="BO2" s="6">
        <v>2023</v>
      </c>
      <c r="BP2" s="6">
        <v>2022</v>
      </c>
      <c r="BQ2" s="6">
        <v>2021</v>
      </c>
      <c r="BR2" s="6">
        <v>2020</v>
      </c>
      <c r="BS2" s="6">
        <v>2019</v>
      </c>
      <c r="BT2" s="6">
        <v>2023</v>
      </c>
      <c r="BU2" s="6">
        <v>2022</v>
      </c>
      <c r="BV2" s="6">
        <v>2021</v>
      </c>
      <c r="BW2" s="6">
        <v>2020</v>
      </c>
      <c r="BX2" s="6">
        <v>2019</v>
      </c>
      <c r="BY2" s="6">
        <v>2023</v>
      </c>
      <c r="BZ2" s="6">
        <v>2022</v>
      </c>
      <c r="CA2" s="6">
        <v>2021</v>
      </c>
      <c r="CB2" s="6">
        <v>2020</v>
      </c>
      <c r="CC2" s="6">
        <v>2019</v>
      </c>
      <c r="CD2" s="6">
        <v>2023</v>
      </c>
      <c r="CE2" s="6">
        <v>2022</v>
      </c>
      <c r="CF2" s="6">
        <v>2021</v>
      </c>
      <c r="CG2" s="6">
        <v>2020</v>
      </c>
      <c r="CH2" s="6">
        <v>2019</v>
      </c>
      <c r="CI2" s="6">
        <v>2023</v>
      </c>
      <c r="CJ2" s="6">
        <v>2022</v>
      </c>
      <c r="CK2" s="6">
        <v>2021</v>
      </c>
      <c r="CL2" s="6">
        <v>2020</v>
      </c>
      <c r="CM2" s="6">
        <v>2019</v>
      </c>
      <c r="CN2" s="6">
        <v>2023</v>
      </c>
      <c r="CO2" s="6">
        <v>2022</v>
      </c>
      <c r="CP2" s="6">
        <v>2021</v>
      </c>
      <c r="CQ2" s="6">
        <v>2020</v>
      </c>
      <c r="CR2" s="6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t="s">
        <v>102</v>
      </c>
      <c r="C3">
        <v>36</v>
      </c>
      <c r="D3">
        <v>28</v>
      </c>
      <c r="E3">
        <v>21</v>
      </c>
      <c r="F3">
        <v>22</v>
      </c>
      <c r="H3">
        <v>843</v>
      </c>
      <c r="I3">
        <v>580</v>
      </c>
      <c r="J3">
        <v>478</v>
      </c>
      <c r="K3">
        <v>312</v>
      </c>
      <c r="M3">
        <v>312</v>
      </c>
      <c r="N3">
        <v>291</v>
      </c>
      <c r="O3">
        <v>290</v>
      </c>
      <c r="P3">
        <v>275</v>
      </c>
      <c r="R3">
        <v>1</v>
      </c>
      <c r="S3">
        <v>2</v>
      </c>
      <c r="T3">
        <v>1</v>
      </c>
      <c r="U3">
        <v>5</v>
      </c>
      <c r="AB3">
        <v>97</v>
      </c>
      <c r="AC3">
        <v>117</v>
      </c>
      <c r="AD3">
        <v>104</v>
      </c>
      <c r="AE3">
        <v>97</v>
      </c>
      <c r="AG3">
        <v>22</v>
      </c>
      <c r="AH3">
        <v>34</v>
      </c>
      <c r="AI3">
        <v>31</v>
      </c>
      <c r="AJ3">
        <v>25</v>
      </c>
      <c r="AL3">
        <f>24+94</f>
        <v>118</v>
      </c>
      <c r="AM3">
        <f>33+96</f>
        <v>129</v>
      </c>
      <c r="AN3">
        <v>129</v>
      </c>
      <c r="AO3">
        <v>128</v>
      </c>
      <c r="AU3">
        <v>0</v>
      </c>
      <c r="AV3">
        <v>36</v>
      </c>
      <c r="AW3">
        <v>71</v>
      </c>
      <c r="AX3">
        <v>60</v>
      </c>
      <c r="AY3">
        <v>53</v>
      </c>
      <c r="BA3">
        <v>59</v>
      </c>
      <c r="BB3">
        <v>33</v>
      </c>
      <c r="BC3">
        <v>44</v>
      </c>
      <c r="BD3">
        <v>48</v>
      </c>
      <c r="BF3">
        <v>3.3</v>
      </c>
      <c r="BG3">
        <v>3.3</v>
      </c>
      <c r="BH3">
        <v>8</v>
      </c>
      <c r="BI3">
        <v>6</v>
      </c>
      <c r="BK3">
        <v>77</v>
      </c>
      <c r="BL3">
        <v>23</v>
      </c>
      <c r="BM3">
        <v>7</v>
      </c>
      <c r="BN3">
        <v>27</v>
      </c>
      <c r="BP3">
        <v>0.4</v>
      </c>
      <c r="BQ3">
        <v>6</v>
      </c>
      <c r="BR3">
        <v>0.7</v>
      </c>
      <c r="BS3">
        <v>0.6</v>
      </c>
      <c r="BU3">
        <v>41</v>
      </c>
      <c r="BV3">
        <v>72</v>
      </c>
      <c r="BW3">
        <v>78</v>
      </c>
      <c r="BX3">
        <v>25</v>
      </c>
      <c r="BY3">
        <v>73</v>
      </c>
      <c r="BZ3">
        <v>35</v>
      </c>
      <c r="CA3">
        <v>4</v>
      </c>
      <c r="CB3">
        <v>16</v>
      </c>
      <c r="CC3">
        <v>0</v>
      </c>
      <c r="CE3">
        <v>97</v>
      </c>
      <c r="CF3">
        <v>59</v>
      </c>
      <c r="CG3">
        <v>39</v>
      </c>
      <c r="CH3">
        <v>49</v>
      </c>
      <c r="CJ3">
        <v>205</v>
      </c>
      <c r="CK3">
        <v>189</v>
      </c>
      <c r="CL3">
        <v>154</v>
      </c>
      <c r="CM3">
        <v>159</v>
      </c>
      <c r="CO3">
        <v>39</v>
      </c>
      <c r="CP3">
        <v>122</v>
      </c>
      <c r="CQ3">
        <v>105</v>
      </c>
      <c r="CR3">
        <v>123</v>
      </c>
      <c r="CT3">
        <v>0.5</v>
      </c>
      <c r="CU3">
        <v>1.1000000000000001</v>
      </c>
      <c r="CV3">
        <v>1.5</v>
      </c>
      <c r="CW3">
        <v>0.5</v>
      </c>
      <c r="CY3">
        <v>1.8</v>
      </c>
      <c r="CZ3">
        <v>12</v>
      </c>
      <c r="DA3">
        <v>8.1999999999999993</v>
      </c>
      <c r="DB3">
        <v>9.1999999999999993</v>
      </c>
      <c r="DD3">
        <v>0.4</v>
      </c>
      <c r="DE3">
        <v>0.8</v>
      </c>
      <c r="DF3">
        <v>0.7</v>
      </c>
      <c r="DG3">
        <v>0.7</v>
      </c>
    </row>
    <row r="4" spans="1:111" x14ac:dyDescent="0.3">
      <c r="A4" t="s">
        <v>99</v>
      </c>
      <c r="C4">
        <v>57</v>
      </c>
      <c r="D4">
        <v>56</v>
      </c>
      <c r="E4">
        <v>37</v>
      </c>
      <c r="F4">
        <v>37</v>
      </c>
      <c r="H4">
        <v>147</v>
      </c>
      <c r="I4">
        <v>48</v>
      </c>
      <c r="J4">
        <v>48</v>
      </c>
      <c r="K4">
        <v>30</v>
      </c>
      <c r="R4">
        <v>14</v>
      </c>
      <c r="S4">
        <v>9</v>
      </c>
      <c r="T4">
        <v>9</v>
      </c>
      <c r="U4">
        <v>10</v>
      </c>
      <c r="AG4">
        <f>33+112</f>
        <v>145</v>
      </c>
      <c r="AH4">
        <f>48+114</f>
        <v>162</v>
      </c>
      <c r="AI4">
        <v>198</v>
      </c>
      <c r="AJ4">
        <f>64+89</f>
        <v>153</v>
      </c>
      <c r="AL4">
        <v>287</v>
      </c>
      <c r="AM4">
        <v>327</v>
      </c>
      <c r="AN4">
        <v>130</v>
      </c>
      <c r="AO4">
        <v>72</v>
      </c>
      <c r="AU4">
        <v>167</v>
      </c>
      <c r="AV4">
        <v>213</v>
      </c>
      <c r="AW4">
        <v>219</v>
      </c>
      <c r="AX4">
        <v>262</v>
      </c>
      <c r="AY4">
        <v>287</v>
      </c>
      <c r="BA4">
        <v>314</v>
      </c>
      <c r="BB4">
        <v>250</v>
      </c>
      <c r="BC4">
        <v>246</v>
      </c>
      <c r="BD4">
        <v>199</v>
      </c>
      <c r="BF4">
        <v>6</v>
      </c>
      <c r="BG4">
        <v>7</v>
      </c>
      <c r="BH4">
        <v>8</v>
      </c>
      <c r="BI4">
        <v>8</v>
      </c>
      <c r="BK4">
        <v>82</v>
      </c>
      <c r="BL4">
        <v>79</v>
      </c>
      <c r="BM4">
        <v>91</v>
      </c>
      <c r="BN4">
        <v>93</v>
      </c>
      <c r="BP4">
        <v>28</v>
      </c>
      <c r="BQ4">
        <v>31</v>
      </c>
      <c r="BR4">
        <v>23</v>
      </c>
      <c r="BS4">
        <v>24</v>
      </c>
      <c r="BU4">
        <v>60</v>
      </c>
      <c r="BV4">
        <v>15</v>
      </c>
      <c r="BW4">
        <v>111</v>
      </c>
      <c r="BX4">
        <v>59</v>
      </c>
      <c r="BY4">
        <v>30</v>
      </c>
      <c r="BZ4">
        <v>37</v>
      </c>
      <c r="CA4">
        <v>45</v>
      </c>
      <c r="CB4">
        <v>52</v>
      </c>
      <c r="CC4">
        <v>59</v>
      </c>
      <c r="CE4">
        <v>58</v>
      </c>
      <c r="CF4">
        <v>50</v>
      </c>
      <c r="CG4">
        <v>46</v>
      </c>
      <c r="CH4">
        <v>20</v>
      </c>
      <c r="CJ4">
        <v>181</v>
      </c>
      <c r="CK4">
        <v>143</v>
      </c>
      <c r="CL4">
        <v>59</v>
      </c>
      <c r="CM4">
        <v>58</v>
      </c>
      <c r="CO4">
        <v>243</v>
      </c>
      <c r="CP4">
        <v>246</v>
      </c>
      <c r="CQ4">
        <v>285</v>
      </c>
      <c r="CR4">
        <v>73</v>
      </c>
      <c r="CT4">
        <v>1.6</v>
      </c>
      <c r="CU4">
        <v>1.2</v>
      </c>
      <c r="CV4">
        <v>0.4</v>
      </c>
      <c r="CW4">
        <v>0.3</v>
      </c>
      <c r="CY4">
        <v>0.7</v>
      </c>
      <c r="CZ4">
        <v>0.3</v>
      </c>
      <c r="DD4">
        <v>16</v>
      </c>
      <c r="DE4">
        <v>18</v>
      </c>
      <c r="DF4">
        <v>21</v>
      </c>
      <c r="DG4">
        <v>21</v>
      </c>
    </row>
    <row r="5" spans="1:111" x14ac:dyDescent="0.3">
      <c r="A5" t="s">
        <v>103</v>
      </c>
      <c r="H5">
        <v>116</v>
      </c>
      <c r="I5">
        <v>238</v>
      </c>
      <c r="J5">
        <v>228</v>
      </c>
      <c r="K5">
        <v>216</v>
      </c>
      <c r="M5">
        <v>12</v>
      </c>
      <c r="N5">
        <v>13</v>
      </c>
      <c r="O5">
        <v>14</v>
      </c>
      <c r="P5">
        <v>11</v>
      </c>
      <c r="R5">
        <v>116</v>
      </c>
      <c r="S5">
        <v>103</v>
      </c>
      <c r="T5">
        <v>130</v>
      </c>
      <c r="U5">
        <v>110</v>
      </c>
      <c r="AB5">
        <v>505</v>
      </c>
      <c r="AC5">
        <v>402</v>
      </c>
      <c r="AD5">
        <v>326</v>
      </c>
      <c r="AE5">
        <v>223</v>
      </c>
      <c r="AL5">
        <v>223</v>
      </c>
      <c r="AM5">
        <v>232</v>
      </c>
      <c r="AN5">
        <f>224+8</f>
        <v>232</v>
      </c>
      <c r="AO5">
        <f>202+15</f>
        <v>217</v>
      </c>
      <c r="BU5">
        <v>10</v>
      </c>
      <c r="BV5">
        <v>76</v>
      </c>
      <c r="BW5">
        <v>79</v>
      </c>
      <c r="BX5">
        <v>68</v>
      </c>
      <c r="CE5">
        <v>142</v>
      </c>
      <c r="CF5">
        <v>133</v>
      </c>
      <c r="CG5">
        <v>136</v>
      </c>
      <c r="CH5">
        <v>165</v>
      </c>
      <c r="CJ5">
        <v>98</v>
      </c>
      <c r="CK5">
        <v>100</v>
      </c>
      <c r="CL5">
        <v>72</v>
      </c>
      <c r="CM5">
        <v>51</v>
      </c>
      <c r="CO5">
        <v>257</v>
      </c>
      <c r="CP5">
        <v>295</v>
      </c>
      <c r="CQ5">
        <v>326</v>
      </c>
      <c r="CR5">
        <v>282</v>
      </c>
      <c r="CT5">
        <v>1.2</v>
      </c>
      <c r="CU5">
        <v>1.2</v>
      </c>
      <c r="CV5">
        <v>1.5</v>
      </c>
      <c r="CW5">
        <v>0.9</v>
      </c>
    </row>
    <row r="6" spans="1:111" x14ac:dyDescent="0.3">
      <c r="A6" t="s">
        <v>101</v>
      </c>
      <c r="R6">
        <v>69</v>
      </c>
      <c r="S6">
        <v>15</v>
      </c>
      <c r="T6">
        <v>17</v>
      </c>
      <c r="U6">
        <v>17</v>
      </c>
      <c r="AL6">
        <v>33</v>
      </c>
      <c r="BA6">
        <v>80</v>
      </c>
      <c r="BB6">
        <v>87</v>
      </c>
      <c r="BC6">
        <v>45</v>
      </c>
      <c r="BD6">
        <v>39</v>
      </c>
      <c r="BK6">
        <v>261</v>
      </c>
      <c r="BL6">
        <v>201</v>
      </c>
      <c r="BM6">
        <v>224</v>
      </c>
      <c r="BN6">
        <v>199</v>
      </c>
      <c r="BP6">
        <v>2.8</v>
      </c>
      <c r="BQ6">
        <v>3.4</v>
      </c>
      <c r="BR6">
        <v>4.7</v>
      </c>
      <c r="BS6">
        <v>1.8</v>
      </c>
      <c r="BU6">
        <v>189</v>
      </c>
      <c r="BV6">
        <v>152</v>
      </c>
      <c r="BW6">
        <v>16</v>
      </c>
      <c r="BX6">
        <v>17</v>
      </c>
      <c r="BY6">
        <v>25</v>
      </c>
      <c r="BZ6">
        <v>66</v>
      </c>
      <c r="CA6">
        <v>120</v>
      </c>
      <c r="CB6">
        <v>161</v>
      </c>
      <c r="CC6">
        <v>172</v>
      </c>
      <c r="CE6">
        <v>22</v>
      </c>
      <c r="CF6">
        <v>18</v>
      </c>
      <c r="CG6">
        <v>17</v>
      </c>
      <c r="CH6">
        <v>0</v>
      </c>
      <c r="CJ6">
        <v>19</v>
      </c>
      <c r="CK6">
        <v>25</v>
      </c>
      <c r="CL6">
        <v>30</v>
      </c>
      <c r="CM6">
        <v>31</v>
      </c>
      <c r="CO6">
        <v>73</v>
      </c>
      <c r="CT6">
        <v>13</v>
      </c>
      <c r="CU6">
        <v>15</v>
      </c>
      <c r="CV6">
        <v>15</v>
      </c>
      <c r="CW6">
        <v>11</v>
      </c>
      <c r="CY6">
        <v>0.5</v>
      </c>
      <c r="CZ6">
        <v>0</v>
      </c>
      <c r="DD6">
        <v>1.4</v>
      </c>
      <c r="DE6">
        <v>1.8</v>
      </c>
    </row>
    <row r="7" spans="1:111" x14ac:dyDescent="0.3">
      <c r="A7" t="s">
        <v>119</v>
      </c>
      <c r="C7">
        <v>4</v>
      </c>
      <c r="D7">
        <v>3.9</v>
      </c>
      <c r="E7">
        <v>8.5</v>
      </c>
      <c r="F7">
        <v>4.7</v>
      </c>
      <c r="H7">
        <v>56</v>
      </c>
      <c r="I7">
        <v>21</v>
      </c>
      <c r="J7">
        <v>30</v>
      </c>
      <c r="K7">
        <v>12</v>
      </c>
      <c r="M7">
        <v>6</v>
      </c>
      <c r="N7">
        <v>18</v>
      </c>
      <c r="O7">
        <v>16</v>
      </c>
      <c r="P7">
        <v>15</v>
      </c>
      <c r="R7">
        <v>29</v>
      </c>
      <c r="S7">
        <v>46</v>
      </c>
      <c r="T7">
        <v>40</v>
      </c>
      <c r="U7">
        <v>35</v>
      </c>
      <c r="AB7">
        <v>25</v>
      </c>
      <c r="AC7">
        <v>38</v>
      </c>
      <c r="AD7">
        <v>62</v>
      </c>
      <c r="AE7">
        <v>5</v>
      </c>
      <c r="AG7">
        <v>30</v>
      </c>
      <c r="AH7">
        <v>41</v>
      </c>
      <c r="AI7">
        <v>34</v>
      </c>
      <c r="AJ7">
        <v>35</v>
      </c>
      <c r="AL7">
        <v>10.3</v>
      </c>
      <c r="AM7">
        <v>184</v>
      </c>
      <c r="AN7">
        <v>158</v>
      </c>
      <c r="AO7">
        <v>46</v>
      </c>
      <c r="AU7">
        <v>88</v>
      </c>
      <c r="AV7">
        <v>100</v>
      </c>
      <c r="AW7">
        <v>118</v>
      </c>
      <c r="AX7">
        <v>116</v>
      </c>
      <c r="AY7">
        <v>87</v>
      </c>
      <c r="BA7">
        <v>130</v>
      </c>
      <c r="BB7">
        <v>182</v>
      </c>
      <c r="BC7">
        <v>262</v>
      </c>
      <c r="BD7">
        <v>248</v>
      </c>
      <c r="BF7">
        <v>0.8</v>
      </c>
      <c r="BG7">
        <v>2</v>
      </c>
      <c r="BH7">
        <v>1.4</v>
      </c>
      <c r="BI7">
        <v>1.4</v>
      </c>
      <c r="BK7">
        <v>36</v>
      </c>
      <c r="BL7">
        <v>44</v>
      </c>
      <c r="BM7">
        <v>10</v>
      </c>
      <c r="BN7">
        <v>30</v>
      </c>
      <c r="BP7">
        <v>34</v>
      </c>
      <c r="BQ7">
        <v>32</v>
      </c>
      <c r="BR7">
        <v>30</v>
      </c>
      <c r="BS7">
        <v>15</v>
      </c>
      <c r="BU7">
        <v>26</v>
      </c>
      <c r="BV7">
        <v>31</v>
      </c>
      <c r="BW7">
        <v>48</v>
      </c>
      <c r="BX7">
        <v>27</v>
      </c>
      <c r="BY7">
        <v>23</v>
      </c>
      <c r="BZ7">
        <v>22</v>
      </c>
      <c r="CA7">
        <v>12</v>
      </c>
      <c r="CB7">
        <v>43</v>
      </c>
      <c r="CC7">
        <v>11</v>
      </c>
      <c r="CE7">
        <v>96</v>
      </c>
      <c r="CF7">
        <v>78</v>
      </c>
      <c r="CG7">
        <v>113</v>
      </c>
      <c r="CH7">
        <v>104</v>
      </c>
      <c r="CJ7">
        <v>14</v>
      </c>
      <c r="CK7">
        <v>22</v>
      </c>
      <c r="CL7">
        <v>46</v>
      </c>
      <c r="CM7">
        <v>56</v>
      </c>
      <c r="CO7">
        <v>15</v>
      </c>
      <c r="CP7">
        <v>18</v>
      </c>
      <c r="CQ7">
        <v>108</v>
      </c>
      <c r="CR7">
        <v>79</v>
      </c>
    </row>
    <row r="8" spans="1:111" x14ac:dyDescent="0.3">
      <c r="A8" s="17" t="s">
        <v>100</v>
      </c>
      <c r="B8">
        <f>SUM(B3:B7)</f>
        <v>0</v>
      </c>
      <c r="C8">
        <f t="shared" ref="C8:F8" si="0">SUM(C3:C7)</f>
        <v>97</v>
      </c>
      <c r="D8">
        <f t="shared" si="0"/>
        <v>87.9</v>
      </c>
      <c r="E8">
        <f t="shared" si="0"/>
        <v>66.5</v>
      </c>
      <c r="F8">
        <f t="shared" si="0"/>
        <v>63.7</v>
      </c>
      <c r="G8">
        <f>SUM(G3:G7)</f>
        <v>0</v>
      </c>
      <c r="H8">
        <f t="shared" ref="H8" si="1">SUM(H3:H7)</f>
        <v>1162</v>
      </c>
      <c r="I8">
        <f t="shared" ref="I8" si="2">SUM(I3:I7)</f>
        <v>887</v>
      </c>
      <c r="J8">
        <f t="shared" ref="J8" si="3">SUM(J3:J7)</f>
        <v>784</v>
      </c>
      <c r="K8">
        <f t="shared" ref="K8" si="4">SUM(K3:K7)</f>
        <v>570</v>
      </c>
      <c r="L8">
        <f>SUM(L3:L7)</f>
        <v>0</v>
      </c>
      <c r="M8">
        <f t="shared" ref="M8" si="5">SUM(M3:M7)</f>
        <v>330</v>
      </c>
      <c r="N8">
        <f t="shared" ref="N8" si="6">SUM(N3:N7)</f>
        <v>322</v>
      </c>
      <c r="O8">
        <f t="shared" ref="O8" si="7">SUM(O3:O7)</f>
        <v>320</v>
      </c>
      <c r="P8">
        <f t="shared" ref="P8" si="8">SUM(P3:P7)</f>
        <v>301</v>
      </c>
      <c r="Q8">
        <f>SUM(Q3:Q7)</f>
        <v>0</v>
      </c>
      <c r="R8">
        <f t="shared" ref="R8" si="9">SUM(R3:R7)</f>
        <v>229</v>
      </c>
      <c r="S8">
        <f t="shared" ref="S8" si="10">SUM(S3:S7)</f>
        <v>175</v>
      </c>
      <c r="T8">
        <f t="shared" ref="T8" si="11">SUM(T3:T7)</f>
        <v>197</v>
      </c>
      <c r="U8">
        <f t="shared" ref="U8" si="12">SUM(U3:U7)</f>
        <v>177</v>
      </c>
      <c r="AA8">
        <f>SUM(AA3:AA7)</f>
        <v>0</v>
      </c>
      <c r="AB8">
        <f t="shared" ref="AB8" si="13">SUM(AB3:AB7)</f>
        <v>627</v>
      </c>
      <c r="AC8">
        <f t="shared" ref="AC8" si="14">SUM(AC3:AC7)</f>
        <v>557</v>
      </c>
      <c r="AD8">
        <f t="shared" ref="AD8" si="15">SUM(AD3:AD7)</f>
        <v>492</v>
      </c>
      <c r="AE8">
        <f t="shared" ref="AE8" si="16">SUM(AE3:AE7)</f>
        <v>325</v>
      </c>
      <c r="AF8">
        <f>SUM(AF3:AF7)</f>
        <v>0</v>
      </c>
      <c r="AG8">
        <f t="shared" ref="AG8" si="17">SUM(AG3:AG7)</f>
        <v>197</v>
      </c>
      <c r="AH8">
        <f t="shared" ref="AH8" si="18">SUM(AH3:AH7)</f>
        <v>237</v>
      </c>
      <c r="AI8">
        <f t="shared" ref="AI8" si="19">SUM(AI3:AI7)</f>
        <v>263</v>
      </c>
      <c r="AJ8">
        <f t="shared" ref="AJ8" si="20">SUM(AJ3:AJ7)</f>
        <v>213</v>
      </c>
      <c r="AK8">
        <f>SUM(AK3:AK7)</f>
        <v>0</v>
      </c>
      <c r="AL8">
        <f t="shared" ref="AL8" si="21">SUM(AL3:AL7)</f>
        <v>671.3</v>
      </c>
      <c r="AM8">
        <f t="shared" ref="AM8" si="22">SUM(AM3:AM7)</f>
        <v>872</v>
      </c>
      <c r="AN8">
        <f t="shared" ref="AN8" si="23">SUM(AN3:AN7)</f>
        <v>649</v>
      </c>
      <c r="AO8">
        <f t="shared" ref="AO8" si="24">SUM(AO3:AO7)</f>
        <v>463</v>
      </c>
      <c r="AU8">
        <f>SUM(AU3:AU7)</f>
        <v>255</v>
      </c>
      <c r="AV8">
        <f t="shared" ref="AV8" si="25">SUM(AV3:AV7)</f>
        <v>349</v>
      </c>
      <c r="AW8">
        <f t="shared" ref="AW8" si="26">SUM(AW3:AW7)</f>
        <v>408</v>
      </c>
      <c r="AX8">
        <f t="shared" ref="AX8" si="27">SUM(AX3:AX7)</f>
        <v>438</v>
      </c>
      <c r="AY8">
        <f t="shared" ref="AY8" si="28">SUM(AY3:AY7)</f>
        <v>427</v>
      </c>
      <c r="AZ8">
        <f>SUM(AZ3:AZ7)</f>
        <v>0</v>
      </c>
      <c r="BA8">
        <f t="shared" ref="BA8" si="29">SUM(BA3:BA7)</f>
        <v>583</v>
      </c>
      <c r="BB8">
        <f t="shared" ref="BB8" si="30">SUM(BB3:BB7)</f>
        <v>552</v>
      </c>
      <c r="BC8">
        <f t="shared" ref="BC8" si="31">SUM(BC3:BC7)</f>
        <v>597</v>
      </c>
      <c r="BD8">
        <f t="shared" ref="BD8" si="32">SUM(BD3:BD7)</f>
        <v>534</v>
      </c>
      <c r="BE8">
        <f>SUM(BE3:BE7)</f>
        <v>0</v>
      </c>
      <c r="BF8">
        <f t="shared" ref="BF8" si="33">SUM(BF3:BF7)</f>
        <v>10.100000000000001</v>
      </c>
      <c r="BG8">
        <f t="shared" ref="BG8" si="34">SUM(BG3:BG7)</f>
        <v>12.3</v>
      </c>
      <c r="BH8">
        <f t="shared" ref="BH8" si="35">SUM(BH3:BH7)</f>
        <v>17.399999999999999</v>
      </c>
      <c r="BI8">
        <f t="shared" ref="BI8" si="36">SUM(BI3:BI7)</f>
        <v>15.4</v>
      </c>
      <c r="BJ8">
        <f>SUM(BJ3:BJ7)</f>
        <v>0</v>
      </c>
      <c r="BK8">
        <f t="shared" ref="BK8" si="37">SUM(BK3:BK7)</f>
        <v>456</v>
      </c>
      <c r="BL8">
        <f t="shared" ref="BL8" si="38">SUM(BL3:BL7)</f>
        <v>347</v>
      </c>
      <c r="BM8">
        <f t="shared" ref="BM8" si="39">SUM(BM3:BM7)</f>
        <v>332</v>
      </c>
      <c r="BN8">
        <f t="shared" ref="BN8" si="40">SUM(BN3:BN7)</f>
        <v>349</v>
      </c>
      <c r="BO8">
        <f>SUM(BO3:BO7)</f>
        <v>0</v>
      </c>
      <c r="BP8">
        <f t="shared" ref="BP8" si="41">SUM(BP3:BP7)</f>
        <v>65.2</v>
      </c>
      <c r="BQ8">
        <f t="shared" ref="BQ8" si="42">SUM(BQ3:BQ7)</f>
        <v>72.400000000000006</v>
      </c>
      <c r="BR8">
        <f t="shared" ref="BR8" si="43">SUM(BR3:BR7)</f>
        <v>58.4</v>
      </c>
      <c r="BS8">
        <f t="shared" ref="BS8" si="44">SUM(BS3:BS7)</f>
        <v>41.400000000000006</v>
      </c>
      <c r="BT8">
        <f>SUM(BT3:BT7)</f>
        <v>0</v>
      </c>
      <c r="BU8">
        <f t="shared" ref="BU8" si="45">SUM(BU3:BU7)</f>
        <v>326</v>
      </c>
      <c r="BV8">
        <f t="shared" ref="BV8" si="46">SUM(BV3:BV7)</f>
        <v>346</v>
      </c>
      <c r="BW8">
        <f t="shared" ref="BW8" si="47">SUM(BW3:BW7)</f>
        <v>332</v>
      </c>
      <c r="BX8">
        <f t="shared" ref="BX8" si="48">SUM(BX3:BX7)</f>
        <v>196</v>
      </c>
      <c r="BY8">
        <f>SUM(BY3:BY7)</f>
        <v>151</v>
      </c>
      <c r="BZ8">
        <f t="shared" ref="BZ8" si="49">SUM(BZ3:BZ7)</f>
        <v>160</v>
      </c>
      <c r="CA8">
        <f t="shared" ref="CA8" si="50">SUM(CA3:CA7)</f>
        <v>181</v>
      </c>
      <c r="CB8">
        <f t="shared" ref="CB8" si="51">SUM(CB3:CB7)</f>
        <v>272</v>
      </c>
      <c r="CC8">
        <f t="shared" ref="CC8" si="52">SUM(CC3:CC7)</f>
        <v>242</v>
      </c>
      <c r="CD8">
        <f>SUM(CD3:CD7)</f>
        <v>0</v>
      </c>
      <c r="CE8">
        <f t="shared" ref="CE8" si="53">SUM(CE3:CE7)</f>
        <v>415</v>
      </c>
      <c r="CF8">
        <f t="shared" ref="CF8" si="54">SUM(CF3:CF7)</f>
        <v>338</v>
      </c>
      <c r="CG8">
        <f t="shared" ref="CG8" si="55">SUM(CG3:CG7)</f>
        <v>351</v>
      </c>
      <c r="CH8">
        <f t="shared" ref="CH8" si="56">SUM(CH3:CH7)</f>
        <v>338</v>
      </c>
      <c r="CI8">
        <f>SUM(CI3:CI7)</f>
        <v>0</v>
      </c>
      <c r="CJ8">
        <f t="shared" ref="CJ8" si="57">SUM(CJ3:CJ7)</f>
        <v>517</v>
      </c>
      <c r="CK8">
        <f t="shared" ref="CK8" si="58">SUM(CK3:CK7)</f>
        <v>479</v>
      </c>
      <c r="CL8">
        <f t="shared" ref="CL8" si="59">SUM(CL3:CL7)</f>
        <v>361</v>
      </c>
      <c r="CM8">
        <f t="shared" ref="CM8" si="60">SUM(CM3:CM7)</f>
        <v>355</v>
      </c>
      <c r="CN8">
        <f>SUM(CN3:CN7)</f>
        <v>0</v>
      </c>
      <c r="CO8">
        <f t="shared" ref="CO8" si="61">SUM(CO3:CO7)</f>
        <v>627</v>
      </c>
      <c r="CP8">
        <f t="shared" ref="CP8" si="62">SUM(CP3:CP7)</f>
        <v>681</v>
      </c>
      <c r="CQ8">
        <f t="shared" ref="CQ8" si="63">SUM(CQ3:CQ7)</f>
        <v>824</v>
      </c>
      <c r="CR8">
        <f t="shared" ref="CR8" si="64">SUM(CR3:CR7)</f>
        <v>557</v>
      </c>
      <c r="CS8">
        <f>SUM(CS3:CS7)</f>
        <v>0</v>
      </c>
      <c r="CT8">
        <f t="shared" ref="CT8" si="65">SUM(CT3:CT7)</f>
        <v>16.3</v>
      </c>
      <c r="CU8">
        <f t="shared" ref="CU8" si="66">SUM(CU3:CU7)</f>
        <v>18.5</v>
      </c>
      <c r="CV8">
        <f t="shared" ref="CV8" si="67">SUM(CV3:CV7)</f>
        <v>18.399999999999999</v>
      </c>
      <c r="CW8">
        <f t="shared" ref="CW8" si="68">SUM(CW3:CW7)</f>
        <v>12.7</v>
      </c>
      <c r="CX8">
        <f>SUM(CX3:CX7)</f>
        <v>0</v>
      </c>
      <c r="CY8">
        <f t="shared" ref="CY8" si="69">SUM(CY3:CY7)</f>
        <v>3</v>
      </c>
      <c r="CZ8">
        <f t="shared" ref="CZ8" si="70">SUM(CZ3:CZ7)</f>
        <v>12.3</v>
      </c>
      <c r="DA8">
        <f t="shared" ref="DA8" si="71">SUM(DA3:DA7)</f>
        <v>8.1999999999999993</v>
      </c>
      <c r="DB8">
        <f t="shared" ref="DB8" si="72">SUM(DB3:DB7)</f>
        <v>9.1999999999999993</v>
      </c>
      <c r="DC8">
        <f>SUM(DC3:DC7)</f>
        <v>0</v>
      </c>
      <c r="DD8">
        <f t="shared" ref="DD8" si="73">SUM(DD3:DD7)</f>
        <v>17.799999999999997</v>
      </c>
      <c r="DE8">
        <f t="shared" ref="DE8" si="74">SUM(DE3:DE7)</f>
        <v>20.6</v>
      </c>
      <c r="DF8">
        <f t="shared" ref="DF8" si="75">SUM(DF3:DF7)</f>
        <v>21.7</v>
      </c>
      <c r="DG8">
        <f t="shared" ref="DG8" si="76">SUM(DG3:DG7)</f>
        <v>21.7</v>
      </c>
    </row>
    <row r="9" spans="1:111" x14ac:dyDescent="0.3">
      <c r="A9" s="17"/>
    </row>
    <row r="10" spans="1:111" x14ac:dyDescent="0.3">
      <c r="A10" t="s">
        <v>38</v>
      </c>
      <c r="C10">
        <f>C11-C12+C13</f>
        <v>3</v>
      </c>
      <c r="D10">
        <f t="shared" ref="D10:F10" si="77">D11-D12+D13</f>
        <v>22</v>
      </c>
      <c r="E10">
        <f t="shared" si="77"/>
        <v>3</v>
      </c>
      <c r="F10">
        <f t="shared" si="77"/>
        <v>-9</v>
      </c>
      <c r="H10">
        <f>H11-H12+H13</f>
        <v>39</v>
      </c>
      <c r="I10">
        <v>109</v>
      </c>
      <c r="J10">
        <v>-155</v>
      </c>
      <c r="K10">
        <f>K11-K12+K13</f>
        <v>125</v>
      </c>
      <c r="M10">
        <f>M11-M12+M13</f>
        <v>71</v>
      </c>
      <c r="N10">
        <f t="shared" ref="N10:P10" si="78">N11-N12+N13</f>
        <v>65</v>
      </c>
      <c r="O10">
        <f t="shared" si="78"/>
        <v>134</v>
      </c>
      <c r="P10">
        <f t="shared" si="78"/>
        <v>111</v>
      </c>
      <c r="R10">
        <f>R11-R12+R13</f>
        <v>1</v>
      </c>
      <c r="S10">
        <f t="shared" ref="S10" si="79">S11-S12+S13</f>
        <v>37</v>
      </c>
      <c r="T10">
        <f t="shared" ref="T10" si="80">T11-T12+T13</f>
        <v>-13</v>
      </c>
      <c r="U10">
        <f t="shared" ref="U10" si="81">U11-U12+U13</f>
        <v>39</v>
      </c>
      <c r="AB10">
        <f>AB11-AB12+AB13</f>
        <v>164</v>
      </c>
      <c r="AC10">
        <f t="shared" ref="AC10" si="82">AC11-AC12+AC13</f>
        <v>178</v>
      </c>
      <c r="AD10">
        <f t="shared" ref="AD10" si="83">AD11-AD12+AD13</f>
        <v>40</v>
      </c>
      <c r="AE10">
        <f t="shared" ref="AE10" si="84">AE11-AE12+AE13</f>
        <v>-18</v>
      </c>
      <c r="AG10">
        <f>AG11-AG12+AG13</f>
        <v>64</v>
      </c>
      <c r="AH10">
        <f t="shared" ref="AH10" si="85">AH11-AH12+AH13</f>
        <v>22</v>
      </c>
      <c r="AI10">
        <f t="shared" ref="AI10" si="86">AI11-AI12+AI13</f>
        <v>24</v>
      </c>
      <c r="AJ10">
        <f t="shared" ref="AJ10" si="87">AJ11-AJ12+AJ13</f>
        <v>-11</v>
      </c>
      <c r="AL10">
        <f>AL11-AL12+AL13</f>
        <v>146</v>
      </c>
      <c r="AM10">
        <v>-81</v>
      </c>
      <c r="AN10">
        <v>-180</v>
      </c>
      <c r="AO10">
        <f>AO11-AO12+AO13</f>
        <v>147</v>
      </c>
      <c r="AU10">
        <v>485</v>
      </c>
      <c r="AV10">
        <v>342</v>
      </c>
      <c r="AW10">
        <v>325</v>
      </c>
      <c r="AX10">
        <v>170</v>
      </c>
      <c r="AY10">
        <v>248</v>
      </c>
      <c r="BA10">
        <f>BA11-BA12+BA13</f>
        <v>64</v>
      </c>
      <c r="BB10">
        <v>-81</v>
      </c>
      <c r="BC10">
        <v>-180</v>
      </c>
      <c r="BD10">
        <f>BD11-BD12+BD13</f>
        <v>70</v>
      </c>
      <c r="BF10">
        <f>BF11-BF12+BF13</f>
        <v>57</v>
      </c>
      <c r="BG10">
        <v>-81</v>
      </c>
      <c r="BH10">
        <v>-180</v>
      </c>
      <c r="BI10">
        <f>BI11-BI12+BI13</f>
        <v>9</v>
      </c>
      <c r="BK10">
        <f>BK11-BK12+BK13</f>
        <v>33</v>
      </c>
      <c r="BL10">
        <f>BL11-BL12+BL13</f>
        <v>173</v>
      </c>
      <c r="BM10">
        <f>BM11-BM12+BM13</f>
        <v>130</v>
      </c>
      <c r="BN10">
        <f>BN11-BN12+BN13</f>
        <v>158</v>
      </c>
      <c r="BP10">
        <f>BP11-BP12+BP13</f>
        <v>49.3</v>
      </c>
      <c r="BQ10">
        <f t="shared" ref="BQ10:BS10" si="88">BQ11-BQ12+BQ13</f>
        <v>20</v>
      </c>
      <c r="BR10">
        <f t="shared" si="88"/>
        <v>29</v>
      </c>
      <c r="BS10">
        <f t="shared" si="88"/>
        <v>38</v>
      </c>
      <c r="BU10">
        <v>114</v>
      </c>
      <c r="BV10">
        <v>99</v>
      </c>
      <c r="BW10">
        <v>2</v>
      </c>
      <c r="BX10">
        <v>89</v>
      </c>
      <c r="BY10">
        <v>186</v>
      </c>
      <c r="BZ10">
        <v>183</v>
      </c>
      <c r="CA10">
        <v>326</v>
      </c>
      <c r="CB10">
        <v>151</v>
      </c>
      <c r="CC10">
        <v>189</v>
      </c>
      <c r="CE10">
        <f>CE11-CE12+CE13</f>
        <v>116</v>
      </c>
      <c r="CF10">
        <f t="shared" ref="CF10" si="89">CF11-CF12+CF13</f>
        <v>166</v>
      </c>
      <c r="CG10">
        <f t="shared" ref="CG10" si="90">CG11-CG12+CG13</f>
        <v>-22</v>
      </c>
      <c r="CH10">
        <f t="shared" ref="CH10" si="91">CH11-CH12+CH13</f>
        <v>168</v>
      </c>
      <c r="CJ10">
        <v>228</v>
      </c>
      <c r="CK10">
        <v>25</v>
      </c>
      <c r="CL10">
        <f>CK11+CL12+CL13</f>
        <v>433</v>
      </c>
      <c r="CM10">
        <f>CL11+CM12+CM13</f>
        <v>323</v>
      </c>
      <c r="CO10">
        <f>CO11-CO12+CO13</f>
        <v>24</v>
      </c>
      <c r="CP10">
        <f t="shared" ref="CP10" si="92">CP11-CP12+CP13</f>
        <v>84</v>
      </c>
      <c r="CQ10">
        <f t="shared" ref="CQ10" si="93">CQ11-CQ12+CQ13</f>
        <v>71</v>
      </c>
      <c r="CR10">
        <f t="shared" ref="CR10" si="94">CR11-CR12+CR13</f>
        <v>119</v>
      </c>
      <c r="CT10">
        <f>CT11-CT12+CT13</f>
        <v>14.000000000000005</v>
      </c>
      <c r="CU10">
        <f>CU11-CU12+CU13</f>
        <v>32.6</v>
      </c>
      <c r="CV10">
        <f>CV11-CV12+CV13</f>
        <v>4.26</v>
      </c>
      <c r="CW10">
        <f>CW11-CW12+CW13</f>
        <v>3.5</v>
      </c>
      <c r="CY10">
        <f>CY11-CY12+CY13</f>
        <v>3.3000000000000007</v>
      </c>
      <c r="CZ10">
        <f t="shared" ref="CZ10:DD10" si="95">CZ11-CZ12+CZ13</f>
        <v>-2.6999999999999993</v>
      </c>
      <c r="DA10">
        <f t="shared" si="95"/>
        <v>1.2000000000000011</v>
      </c>
      <c r="DB10">
        <f t="shared" si="95"/>
        <v>1</v>
      </c>
      <c r="DD10">
        <f t="shared" si="95"/>
        <v>14</v>
      </c>
      <c r="DE10">
        <f t="shared" ref="DE10" si="96">DE11-DE12+DE13</f>
        <v>17</v>
      </c>
      <c r="DF10">
        <f t="shared" ref="DF10" si="97">DF11-DF12+DF13</f>
        <v>5</v>
      </c>
      <c r="DG10">
        <f t="shared" ref="DG10" si="98">DG11-DG12+DG13</f>
        <v>4</v>
      </c>
    </row>
    <row r="11" spans="1:111" x14ac:dyDescent="0.3">
      <c r="A11" t="s">
        <v>104</v>
      </c>
      <c r="C11">
        <v>125</v>
      </c>
      <c r="D11">
        <v>102</v>
      </c>
      <c r="E11">
        <v>47</v>
      </c>
      <c r="F11">
        <v>32</v>
      </c>
      <c r="H11">
        <v>398</v>
      </c>
      <c r="I11">
        <v>505</v>
      </c>
      <c r="J11">
        <v>129</v>
      </c>
      <c r="K11">
        <v>354</v>
      </c>
      <c r="M11">
        <v>349</v>
      </c>
      <c r="N11">
        <v>256</v>
      </c>
      <c r="O11">
        <v>329</v>
      </c>
      <c r="P11">
        <v>379</v>
      </c>
      <c r="R11">
        <v>100</v>
      </c>
      <c r="S11">
        <v>194</v>
      </c>
      <c r="T11">
        <v>120</v>
      </c>
      <c r="U11">
        <v>174</v>
      </c>
      <c r="AB11">
        <v>652</v>
      </c>
      <c r="AC11">
        <v>448</v>
      </c>
      <c r="AD11">
        <v>425</v>
      </c>
      <c r="AE11">
        <v>370</v>
      </c>
      <c r="AG11">
        <v>156</v>
      </c>
      <c r="AH11">
        <v>80</v>
      </c>
      <c r="AI11">
        <v>100</v>
      </c>
      <c r="AJ11">
        <v>38</v>
      </c>
      <c r="AL11">
        <v>146</v>
      </c>
      <c r="AM11">
        <v>120</v>
      </c>
      <c r="AN11">
        <v>118</v>
      </c>
      <c r="AO11">
        <v>281</v>
      </c>
      <c r="AU11" s="1">
        <v>1245</v>
      </c>
      <c r="AV11">
        <v>1112</v>
      </c>
      <c r="AW11">
        <v>1025</v>
      </c>
      <c r="AX11">
        <v>644</v>
      </c>
      <c r="AY11">
        <v>914</v>
      </c>
      <c r="BA11">
        <v>329</v>
      </c>
      <c r="BB11">
        <v>314</v>
      </c>
      <c r="BC11">
        <v>183</v>
      </c>
      <c r="BD11">
        <v>250</v>
      </c>
      <c r="BF11">
        <v>243</v>
      </c>
      <c r="BG11">
        <v>157</v>
      </c>
      <c r="BH11">
        <v>77</v>
      </c>
      <c r="BI11">
        <v>109</v>
      </c>
      <c r="BK11">
        <v>288</v>
      </c>
      <c r="BL11">
        <v>467</v>
      </c>
      <c r="BM11">
        <v>385</v>
      </c>
      <c r="BN11">
        <v>408</v>
      </c>
      <c r="BP11">
        <v>97</v>
      </c>
      <c r="BQ11">
        <v>47</v>
      </c>
      <c r="BR11">
        <v>86</v>
      </c>
      <c r="BS11">
        <v>91</v>
      </c>
      <c r="BU11">
        <v>362</v>
      </c>
      <c r="BV11">
        <v>344</v>
      </c>
      <c r="BW11">
        <v>260</v>
      </c>
      <c r="BX11">
        <v>390</v>
      </c>
      <c r="BY11" s="1">
        <v>732</v>
      </c>
      <c r="BZ11">
        <v>704</v>
      </c>
      <c r="CA11">
        <v>863</v>
      </c>
      <c r="CB11">
        <v>489</v>
      </c>
      <c r="CC11">
        <v>598</v>
      </c>
      <c r="CE11">
        <v>278</v>
      </c>
      <c r="CF11">
        <v>370</v>
      </c>
      <c r="CG11">
        <v>214</v>
      </c>
      <c r="CH11">
        <v>373</v>
      </c>
      <c r="CJ11">
        <v>588</v>
      </c>
      <c r="CK11">
        <v>433</v>
      </c>
      <c r="CL11">
        <v>323</v>
      </c>
      <c r="CM11">
        <v>326</v>
      </c>
      <c r="CO11">
        <v>116</v>
      </c>
      <c r="CP11">
        <v>166</v>
      </c>
      <c r="CQ11">
        <v>163</v>
      </c>
      <c r="CR11">
        <v>240</v>
      </c>
      <c r="CT11">
        <v>100</v>
      </c>
      <c r="CU11">
        <v>113</v>
      </c>
      <c r="CV11">
        <v>51</v>
      </c>
      <c r="CW11">
        <v>20</v>
      </c>
      <c r="CY11">
        <v>27.3</v>
      </c>
      <c r="CZ11">
        <v>15.3</v>
      </c>
      <c r="DA11">
        <v>13.8</v>
      </c>
      <c r="DB11">
        <v>26</v>
      </c>
      <c r="DD11">
        <v>76</v>
      </c>
      <c r="DE11">
        <v>68</v>
      </c>
      <c r="DF11">
        <v>32</v>
      </c>
      <c r="DG11">
        <v>18</v>
      </c>
    </row>
    <row r="12" spans="1:111" x14ac:dyDescent="0.3">
      <c r="A12" t="s">
        <v>105</v>
      </c>
      <c r="C12">
        <v>128</v>
      </c>
      <c r="D12">
        <v>95</v>
      </c>
      <c r="E12">
        <v>51</v>
      </c>
      <c r="F12">
        <v>43</v>
      </c>
      <c r="H12">
        <f>250+198+25</f>
        <v>473</v>
      </c>
      <c r="I12">
        <f>263+227+25</f>
        <v>515</v>
      </c>
      <c r="J12">
        <v>288</v>
      </c>
      <c r="K12">
        <f>149+115</f>
        <v>264</v>
      </c>
      <c r="M12">
        <v>320</v>
      </c>
      <c r="N12">
        <v>214</v>
      </c>
      <c r="O12">
        <v>215</v>
      </c>
      <c r="P12">
        <v>282</v>
      </c>
      <c r="R12">
        <v>100</v>
      </c>
      <c r="S12">
        <v>159</v>
      </c>
      <c r="T12">
        <v>135</v>
      </c>
      <c r="U12">
        <v>136</v>
      </c>
      <c r="AB12">
        <v>565</v>
      </c>
      <c r="AC12">
        <v>332</v>
      </c>
      <c r="AD12">
        <v>462</v>
      </c>
      <c r="AE12">
        <v>454</v>
      </c>
      <c r="AG12">
        <f>AG11-61</f>
        <v>95</v>
      </c>
      <c r="AH12">
        <f>AH11-21</f>
        <v>59</v>
      </c>
      <c r="AI12">
        <v>78</v>
      </c>
      <c r="AJ12">
        <v>51</v>
      </c>
      <c r="AM12">
        <v>169</v>
      </c>
      <c r="AN12">
        <v>275</v>
      </c>
      <c r="AO12">
        <v>134</v>
      </c>
      <c r="BA12">
        <v>292</v>
      </c>
      <c r="BB12">
        <v>291</v>
      </c>
      <c r="BC12">
        <v>183</v>
      </c>
      <c r="BD12">
        <v>201</v>
      </c>
      <c r="BF12">
        <v>208</v>
      </c>
      <c r="BG12">
        <v>140</v>
      </c>
      <c r="BH12">
        <v>85</v>
      </c>
      <c r="BI12">
        <v>103</v>
      </c>
      <c r="BK12">
        <v>340</v>
      </c>
      <c r="BL12">
        <v>366</v>
      </c>
      <c r="BM12">
        <v>310</v>
      </c>
      <c r="BN12">
        <v>311</v>
      </c>
      <c r="BP12">
        <v>58</v>
      </c>
      <c r="BQ12">
        <v>34</v>
      </c>
      <c r="BR12">
        <v>58</v>
      </c>
      <c r="BS12">
        <v>59</v>
      </c>
      <c r="CE12">
        <v>171</v>
      </c>
      <c r="CF12">
        <v>218</v>
      </c>
      <c r="CG12">
        <v>263</v>
      </c>
      <c r="CH12">
        <v>235</v>
      </c>
      <c r="CO12">
        <f>54+48</f>
        <v>102</v>
      </c>
      <c r="CP12">
        <v>92</v>
      </c>
      <c r="CQ12">
        <v>95</v>
      </c>
      <c r="CR12">
        <v>129</v>
      </c>
      <c r="CT12">
        <f>80+7.6</f>
        <v>87.6</v>
      </c>
      <c r="CU12">
        <f>69+13</f>
        <v>82</v>
      </c>
      <c r="CV12">
        <v>48</v>
      </c>
      <c r="CW12">
        <v>18</v>
      </c>
      <c r="CY12">
        <v>24</v>
      </c>
      <c r="CZ12">
        <v>18</v>
      </c>
      <c r="DA12">
        <v>12.6</v>
      </c>
      <c r="DB12">
        <v>25</v>
      </c>
      <c r="DD12">
        <v>62</v>
      </c>
      <c r="DE12">
        <v>51</v>
      </c>
      <c r="DF12">
        <v>27</v>
      </c>
      <c r="DG12">
        <v>14</v>
      </c>
    </row>
    <row r="13" spans="1:111" x14ac:dyDescent="0.3">
      <c r="A13" t="s">
        <v>106</v>
      </c>
      <c r="C13">
        <v>6</v>
      </c>
      <c r="D13">
        <v>15</v>
      </c>
      <c r="E13">
        <v>7</v>
      </c>
      <c r="F13">
        <v>2</v>
      </c>
      <c r="H13">
        <v>114</v>
      </c>
      <c r="I13">
        <v>129</v>
      </c>
      <c r="J13">
        <v>59</v>
      </c>
      <c r="K13">
        <v>35</v>
      </c>
      <c r="M13">
        <v>42</v>
      </c>
      <c r="N13">
        <v>23</v>
      </c>
      <c r="O13">
        <v>20</v>
      </c>
      <c r="P13">
        <v>14</v>
      </c>
      <c r="R13">
        <v>1</v>
      </c>
      <c r="S13">
        <v>2</v>
      </c>
      <c r="T13">
        <v>2</v>
      </c>
      <c r="U13">
        <v>1</v>
      </c>
      <c r="AB13">
        <v>77</v>
      </c>
      <c r="AC13">
        <v>62</v>
      </c>
      <c r="AD13">
        <v>77</v>
      </c>
      <c r="AE13">
        <v>66</v>
      </c>
      <c r="AG13">
        <v>3</v>
      </c>
      <c r="AH13">
        <v>1</v>
      </c>
      <c r="AI13">
        <v>2</v>
      </c>
      <c r="AJ13">
        <v>2</v>
      </c>
      <c r="AM13">
        <v>0</v>
      </c>
      <c r="AN13">
        <v>0</v>
      </c>
      <c r="AO13">
        <v>0</v>
      </c>
      <c r="BA13">
        <v>27</v>
      </c>
      <c r="BB13">
        <v>18</v>
      </c>
      <c r="BC13">
        <v>16</v>
      </c>
      <c r="BD13">
        <v>21</v>
      </c>
      <c r="BF13">
        <v>22</v>
      </c>
      <c r="BG13">
        <v>6</v>
      </c>
      <c r="BH13">
        <v>5</v>
      </c>
      <c r="BI13">
        <v>3</v>
      </c>
      <c r="BK13">
        <v>85</v>
      </c>
      <c r="BL13">
        <v>72</v>
      </c>
      <c r="BM13">
        <v>55</v>
      </c>
      <c r="BN13">
        <v>61</v>
      </c>
      <c r="BP13">
        <f>3.3+7</f>
        <v>10.3</v>
      </c>
      <c r="BQ13">
        <f>4+3</f>
        <v>7</v>
      </c>
      <c r="BR13">
        <v>1</v>
      </c>
      <c r="BS13">
        <v>6</v>
      </c>
      <c r="CE13">
        <v>9</v>
      </c>
      <c r="CF13">
        <v>14</v>
      </c>
      <c r="CG13">
        <v>27</v>
      </c>
      <c r="CH13">
        <v>30</v>
      </c>
      <c r="CO13">
        <f>8+2</f>
        <v>10</v>
      </c>
      <c r="CP13">
        <v>10</v>
      </c>
      <c r="CQ13">
        <v>3</v>
      </c>
      <c r="CR13">
        <v>8</v>
      </c>
      <c r="CT13">
        <v>1.6</v>
      </c>
      <c r="CU13">
        <v>1.6</v>
      </c>
      <c r="CV13">
        <f>1+0.26</f>
        <v>1.26</v>
      </c>
      <c r="CW13">
        <f>1.1+0.4</f>
        <v>1.5</v>
      </c>
    </row>
    <row r="14" spans="1:111" x14ac:dyDescent="0.3">
      <c r="B14" s="1" t="s">
        <v>35</v>
      </c>
      <c r="G14" s="1" t="s">
        <v>27</v>
      </c>
      <c r="H14" s="1"/>
      <c r="I14" s="1"/>
      <c r="J14" s="1"/>
      <c r="K14" s="1"/>
      <c r="L14" t="s">
        <v>79</v>
      </c>
      <c r="Q14" s="1" t="s">
        <v>31</v>
      </c>
      <c r="R14" s="1"/>
      <c r="S14" s="1"/>
      <c r="T14" s="1"/>
      <c r="V14" s="1" t="s">
        <v>26</v>
      </c>
      <c r="W14" s="1"/>
      <c r="X14" s="1"/>
      <c r="Z14" s="1"/>
      <c r="AA14" s="1" t="s">
        <v>23</v>
      </c>
      <c r="AB14" s="1"/>
      <c r="AD14" s="1"/>
      <c r="AE14" s="1"/>
      <c r="AF14" s="1" t="s">
        <v>34</v>
      </c>
      <c r="AK14" s="1" t="s">
        <v>28</v>
      </c>
      <c r="AL14" s="1"/>
      <c r="AM14" s="1"/>
      <c r="AN14" s="1"/>
      <c r="AO14" s="1"/>
      <c r="AP14" s="1" t="s">
        <v>37</v>
      </c>
      <c r="AQ14" s="1"/>
      <c r="AR14" s="1"/>
      <c r="AS14" s="1"/>
      <c r="AU14" s="1" t="s">
        <v>18</v>
      </c>
      <c r="AV14" s="1"/>
      <c r="AW14" s="1"/>
      <c r="AY14" s="1"/>
      <c r="AZ14" s="1" t="s">
        <v>25</v>
      </c>
      <c r="BA14" s="1"/>
      <c r="BC14" s="1"/>
      <c r="BD14" s="1"/>
      <c r="BE14" s="1" t="s">
        <v>32</v>
      </c>
      <c r="BJ14" s="1" t="s">
        <v>29</v>
      </c>
      <c r="BK14" s="1"/>
      <c r="BL14" s="1"/>
      <c r="BM14" s="1"/>
      <c r="BN14" s="1"/>
      <c r="BO14" s="1" t="s">
        <v>36</v>
      </c>
      <c r="BP14" s="1"/>
      <c r="BQ14" s="1"/>
      <c r="BR14" s="1"/>
      <c r="BT14" s="1" t="s">
        <v>30</v>
      </c>
      <c r="BU14" s="1"/>
      <c r="BV14" s="1"/>
      <c r="BX14" s="1"/>
      <c r="BY14" s="1" t="s">
        <v>15</v>
      </c>
      <c r="BZ14" s="1"/>
      <c r="CB14" s="1"/>
      <c r="CC14" s="1"/>
      <c r="CD14" s="1" t="s">
        <v>33</v>
      </c>
      <c r="CI14" s="1" t="s">
        <v>22</v>
      </c>
      <c r="CJ14" s="1"/>
      <c r="CK14" s="1"/>
      <c r="CL14" s="1"/>
      <c r="CM14" s="1"/>
      <c r="CN14" s="1" t="s">
        <v>24</v>
      </c>
      <c r="CS14" s="1" t="s">
        <v>112</v>
      </c>
      <c r="CX14" t="s">
        <v>113</v>
      </c>
    </row>
    <row r="15" spans="1:111" x14ac:dyDescent="0.3">
      <c r="B15" s="6">
        <v>2023</v>
      </c>
      <c r="C15" s="6">
        <v>2022</v>
      </c>
      <c r="D15" s="6">
        <v>2021</v>
      </c>
      <c r="E15" s="6">
        <v>2020</v>
      </c>
      <c r="F15" s="6">
        <v>2019</v>
      </c>
      <c r="G15" s="6">
        <v>2023</v>
      </c>
      <c r="H15" s="6">
        <v>2022</v>
      </c>
      <c r="I15" s="6">
        <v>2021</v>
      </c>
      <c r="J15" s="6">
        <v>2020</v>
      </c>
      <c r="K15" s="6">
        <v>2019</v>
      </c>
      <c r="L15" s="6">
        <v>2023</v>
      </c>
      <c r="M15" s="6">
        <v>2022</v>
      </c>
      <c r="N15" s="6">
        <v>2021</v>
      </c>
      <c r="O15" s="6">
        <v>2020</v>
      </c>
      <c r="P15" s="6">
        <v>2019</v>
      </c>
      <c r="Q15" s="6">
        <v>2023</v>
      </c>
      <c r="R15" s="6">
        <v>2022</v>
      </c>
      <c r="S15" s="6">
        <v>2021</v>
      </c>
      <c r="T15" s="6">
        <v>2020</v>
      </c>
      <c r="U15" s="6">
        <v>2019</v>
      </c>
      <c r="V15" s="6">
        <v>2023</v>
      </c>
      <c r="W15" s="6">
        <v>2022</v>
      </c>
      <c r="X15" s="6">
        <v>2021</v>
      </c>
      <c r="Y15" s="6">
        <v>2020</v>
      </c>
      <c r="Z15" s="6">
        <v>2019</v>
      </c>
      <c r="AA15" s="6">
        <v>2023</v>
      </c>
      <c r="AB15" s="6">
        <v>2022</v>
      </c>
      <c r="AC15" s="6">
        <v>2021</v>
      </c>
      <c r="AD15" s="6">
        <v>2020</v>
      </c>
      <c r="AE15" s="6">
        <v>2019</v>
      </c>
      <c r="AF15" s="6">
        <v>2023</v>
      </c>
      <c r="AG15" s="6">
        <v>2022</v>
      </c>
      <c r="AH15" s="6">
        <v>2021</v>
      </c>
      <c r="AI15" s="6">
        <v>2020</v>
      </c>
      <c r="AJ15" s="6">
        <v>2019</v>
      </c>
      <c r="AK15" s="6">
        <v>2023</v>
      </c>
      <c r="AL15" s="6">
        <v>2022</v>
      </c>
      <c r="AM15" s="6">
        <v>2021</v>
      </c>
      <c r="AN15" s="6">
        <v>2020</v>
      </c>
      <c r="AO15" s="6">
        <v>2019</v>
      </c>
      <c r="AP15" s="6">
        <v>2023</v>
      </c>
      <c r="AQ15" s="6">
        <v>2022</v>
      </c>
      <c r="AR15" s="6">
        <v>2021</v>
      </c>
      <c r="AS15" s="6">
        <v>2020</v>
      </c>
      <c r="AT15" s="6">
        <v>2019</v>
      </c>
      <c r="AU15" s="6">
        <v>2023</v>
      </c>
      <c r="AV15" s="6">
        <v>2022</v>
      </c>
      <c r="AW15" s="6">
        <v>2021</v>
      </c>
      <c r="AX15" s="6">
        <v>2020</v>
      </c>
      <c r="AY15" s="6">
        <v>2019</v>
      </c>
      <c r="AZ15" s="6">
        <v>2023</v>
      </c>
      <c r="BA15" s="6">
        <v>2022</v>
      </c>
      <c r="BB15" s="6">
        <v>2021</v>
      </c>
      <c r="BC15" s="6">
        <v>2020</v>
      </c>
      <c r="BD15" s="6">
        <v>2019</v>
      </c>
      <c r="BE15" s="6">
        <v>2023</v>
      </c>
      <c r="BF15" s="6">
        <v>2022</v>
      </c>
      <c r="BG15" s="6">
        <v>2021</v>
      </c>
      <c r="BH15" s="6">
        <v>2020</v>
      </c>
      <c r="BI15" s="6">
        <v>2019</v>
      </c>
      <c r="BJ15" s="6">
        <v>2023</v>
      </c>
      <c r="BK15" s="6">
        <v>2022</v>
      </c>
      <c r="BL15" s="6">
        <v>2021</v>
      </c>
      <c r="BM15" s="6">
        <v>2020</v>
      </c>
      <c r="BN15" s="6">
        <v>2019</v>
      </c>
      <c r="BO15" s="6">
        <v>2023</v>
      </c>
      <c r="BP15" s="6">
        <v>2022</v>
      </c>
      <c r="BQ15" s="6">
        <v>2021</v>
      </c>
      <c r="BR15" s="6">
        <v>2020</v>
      </c>
      <c r="BS15" s="6">
        <v>2019</v>
      </c>
      <c r="BT15" s="6">
        <v>2023</v>
      </c>
      <c r="BU15" s="6">
        <v>2022</v>
      </c>
      <c r="BV15" s="6">
        <v>2021</v>
      </c>
      <c r="BW15" s="6">
        <v>2020</v>
      </c>
      <c r="BX15" s="6">
        <v>2019</v>
      </c>
      <c r="BY15" s="6">
        <v>2023</v>
      </c>
      <c r="BZ15" s="6">
        <v>2022</v>
      </c>
      <c r="CA15" s="6">
        <v>2021</v>
      </c>
      <c r="CB15" s="6">
        <v>2020</v>
      </c>
      <c r="CC15" s="6">
        <v>2019</v>
      </c>
      <c r="CD15" s="6">
        <v>2023</v>
      </c>
      <c r="CE15" s="6">
        <v>2022</v>
      </c>
      <c r="CF15" s="6">
        <v>2021</v>
      </c>
      <c r="CG15" s="6">
        <v>2020</v>
      </c>
      <c r="CH15" s="6">
        <v>2019</v>
      </c>
      <c r="CI15" s="6">
        <v>2023</v>
      </c>
      <c r="CJ15" s="6">
        <v>2022</v>
      </c>
      <c r="CK15" s="6">
        <v>2021</v>
      </c>
      <c r="CL15" s="6">
        <v>2020</v>
      </c>
      <c r="CM15" s="6">
        <v>2019</v>
      </c>
      <c r="CN15" s="6">
        <v>2023</v>
      </c>
      <c r="CO15" s="6">
        <v>2022</v>
      </c>
      <c r="CP15" s="6">
        <v>2021</v>
      </c>
      <c r="CQ15" s="6">
        <v>2020</v>
      </c>
      <c r="CR15" s="6">
        <v>2019</v>
      </c>
      <c r="CS15">
        <v>2023</v>
      </c>
      <c r="CT15">
        <v>2022</v>
      </c>
      <c r="CU15">
        <v>2021</v>
      </c>
      <c r="CV15">
        <v>2020</v>
      </c>
      <c r="CW15">
        <v>2019</v>
      </c>
      <c r="CX15">
        <v>2023</v>
      </c>
    </row>
    <row r="16" spans="1:111" x14ac:dyDescent="0.3">
      <c r="A16" s="26" t="s">
        <v>120</v>
      </c>
      <c r="AU16" s="26">
        <f>AU18-AU19+AU20+AU21+AU22</f>
        <v>1185</v>
      </c>
      <c r="AV16" s="26">
        <f>AV18-AV19+AV20+AV21+AV22</f>
        <v>980</v>
      </c>
      <c r="AW16" s="26">
        <f>AW18-AW19+AW20+AW21+AW22</f>
        <v>801</v>
      </c>
      <c r="AX16" s="26">
        <f>AX18-AX19+AX20+AX21+AX22</f>
        <v>605</v>
      </c>
      <c r="AY16" s="26">
        <f>AY18-AY19+AY20+AY21+AY22</f>
        <v>792</v>
      </c>
      <c r="BY16">
        <f>BY18-BY19+BY20+BY21+BY22</f>
        <v>601</v>
      </c>
      <c r="BZ16">
        <f>BZ18-BZ19+BZ20+BZ21+BZ22</f>
        <v>552</v>
      </c>
      <c r="CA16">
        <f>CA18-CA19+CA20+CA21+CA22</f>
        <v>793</v>
      </c>
      <c r="CB16">
        <f>CB18-CB19+CB20+CB21+CB22</f>
        <v>437</v>
      </c>
      <c r="CC16">
        <f>CC18-CC19+CC20+CC21+CC22</f>
        <v>553</v>
      </c>
    </row>
    <row r="17" spans="1:111" x14ac:dyDescent="0.3">
      <c r="A17" t="s">
        <v>121</v>
      </c>
      <c r="AU17">
        <f>+AU25</f>
        <v>0</v>
      </c>
      <c r="AV17">
        <f t="shared" ref="AV17:AY17" si="99">+AV25</f>
        <v>0</v>
      </c>
      <c r="AW17">
        <f t="shared" si="99"/>
        <v>0</v>
      </c>
      <c r="AX17">
        <f t="shared" si="99"/>
        <v>0</v>
      </c>
      <c r="AY17">
        <f t="shared" si="99"/>
        <v>0</v>
      </c>
      <c r="BY17">
        <f>+BY25</f>
        <v>0</v>
      </c>
      <c r="BZ17">
        <f>+BZ25</f>
        <v>0</v>
      </c>
      <c r="CA17">
        <f t="shared" ref="CA17:CB17" si="100">+CA25</f>
        <v>0</v>
      </c>
      <c r="CB17">
        <f t="shared" si="100"/>
        <v>0</v>
      </c>
      <c r="CC17">
        <f t="shared" ref="CC17" si="101">+CC25</f>
        <v>0</v>
      </c>
    </row>
    <row r="18" spans="1:111" x14ac:dyDescent="0.3">
      <c r="A18" t="s">
        <v>72</v>
      </c>
      <c r="B18">
        <f>Painel!B11</f>
        <v>0</v>
      </c>
      <c r="C18">
        <f>Painel!C11</f>
        <v>144</v>
      </c>
      <c r="D18">
        <f>Painel!D11</f>
        <v>99</v>
      </c>
      <c r="E18">
        <f>Painel!E11</f>
        <v>46</v>
      </c>
      <c r="F18">
        <f>Painel!F11</f>
        <v>31</v>
      </c>
      <c r="G18">
        <f>Painel!G11</f>
        <v>0</v>
      </c>
      <c r="H18">
        <f>Painel!H11</f>
        <v>385</v>
      </c>
      <c r="I18">
        <f>Painel!I11</f>
        <v>497</v>
      </c>
      <c r="J18">
        <f>Painel!J11</f>
        <v>131</v>
      </c>
      <c r="K18">
        <f>Painel!K11</f>
        <v>283</v>
      </c>
      <c r="L18">
        <f>Painel!L11</f>
        <v>0</v>
      </c>
      <c r="M18">
        <f>Painel!M11</f>
        <v>349</v>
      </c>
      <c r="N18">
        <f>Painel!N11</f>
        <v>256</v>
      </c>
      <c r="O18">
        <f>Painel!O11</f>
        <v>329</v>
      </c>
      <c r="P18">
        <f>Painel!P11</f>
        <v>379</v>
      </c>
      <c r="Q18">
        <f>Painel!Q11</f>
        <v>0</v>
      </c>
      <c r="R18">
        <f>Painel!R11</f>
        <v>100</v>
      </c>
      <c r="S18">
        <f>Painel!S11</f>
        <v>194</v>
      </c>
      <c r="T18">
        <f>Painel!T11</f>
        <v>120</v>
      </c>
      <c r="U18">
        <f>Painel!U11</f>
        <v>174</v>
      </c>
      <c r="V18">
        <f>Painel!V11</f>
        <v>0</v>
      </c>
      <c r="W18">
        <f>Painel!W11</f>
        <v>0</v>
      </c>
      <c r="X18">
        <f>Painel!X11</f>
        <v>0</v>
      </c>
      <c r="Y18">
        <f>Painel!Y11</f>
        <v>0</v>
      </c>
      <c r="Z18">
        <f>Painel!Z11</f>
        <v>0</v>
      </c>
      <c r="AA18">
        <f>Painel!AA11</f>
        <v>0</v>
      </c>
      <c r="AB18">
        <f>Painel!AB11</f>
        <v>652</v>
      </c>
      <c r="AC18">
        <f>Painel!AC11</f>
        <v>448</v>
      </c>
      <c r="AD18">
        <f>Painel!AD11</f>
        <v>425</v>
      </c>
      <c r="AE18">
        <f>Painel!AE11</f>
        <v>370</v>
      </c>
      <c r="AF18">
        <f>Painel!AF11</f>
        <v>0</v>
      </c>
      <c r="AG18">
        <f>Painel!AG11</f>
        <v>156</v>
      </c>
      <c r="AH18">
        <f>Painel!AH11</f>
        <v>80</v>
      </c>
      <c r="AI18">
        <f>Painel!AI11</f>
        <v>100</v>
      </c>
      <c r="AJ18">
        <f>Painel!AJ11</f>
        <v>38</v>
      </c>
      <c r="AK18">
        <f>Painel!AK11</f>
        <v>0</v>
      </c>
      <c r="AL18">
        <f>Painel!AL11</f>
        <v>146</v>
      </c>
      <c r="AM18">
        <f>Painel!AM11</f>
        <v>120</v>
      </c>
      <c r="AN18">
        <f>Painel!AN11</f>
        <v>118</v>
      </c>
      <c r="AO18">
        <f>Painel!AO11</f>
        <v>281</v>
      </c>
      <c r="AP18">
        <f>Painel!AP11</f>
        <v>0</v>
      </c>
      <c r="AQ18">
        <f>Painel!AQ11</f>
        <v>0</v>
      </c>
      <c r="AR18">
        <f>Painel!AR11</f>
        <v>0</v>
      </c>
      <c r="AS18">
        <f>Painel!AS11</f>
        <v>0</v>
      </c>
      <c r="AT18">
        <f>Painel!AT11</f>
        <v>0</v>
      </c>
      <c r="AU18">
        <v>1316</v>
      </c>
      <c r="AV18">
        <v>1112</v>
      </c>
      <c r="AW18">
        <f>Painel!AW11</f>
        <v>1025</v>
      </c>
      <c r="AX18">
        <f>Painel!AX11</f>
        <v>644</v>
      </c>
      <c r="AY18">
        <f>Painel!AY11</f>
        <v>914</v>
      </c>
      <c r="AZ18">
        <f>Painel!AZ11</f>
        <v>0</v>
      </c>
      <c r="BA18">
        <f>Painel!BA11</f>
        <v>329</v>
      </c>
      <c r="BB18">
        <f>Painel!BB11</f>
        <v>314</v>
      </c>
      <c r="BC18">
        <f>Painel!BC11</f>
        <v>183</v>
      </c>
      <c r="BD18">
        <f>Painel!BD11</f>
        <v>250</v>
      </c>
      <c r="BE18">
        <f>Painel!BE11</f>
        <v>0</v>
      </c>
      <c r="BF18">
        <f>Painel!BF11</f>
        <v>243</v>
      </c>
      <c r="BG18">
        <f>Painel!BG11</f>
        <v>157</v>
      </c>
      <c r="BH18">
        <f>Painel!BH11</f>
        <v>77</v>
      </c>
      <c r="BI18">
        <f>Painel!BI11</f>
        <v>109</v>
      </c>
      <c r="BJ18">
        <f>Painel!BJ11</f>
        <v>0</v>
      </c>
      <c r="BK18">
        <f>Painel!BK11</f>
        <v>288</v>
      </c>
      <c r="BL18">
        <f>Painel!BL11</f>
        <v>467</v>
      </c>
      <c r="BM18">
        <f>Painel!BM11</f>
        <v>385</v>
      </c>
      <c r="BN18">
        <f>Painel!BN11</f>
        <v>408</v>
      </c>
      <c r="BO18">
        <f>Painel!BO11</f>
        <v>0</v>
      </c>
      <c r="BP18">
        <f>Painel!BP11</f>
        <v>97</v>
      </c>
      <c r="BQ18">
        <f>Painel!BQ11</f>
        <v>47</v>
      </c>
      <c r="BR18">
        <f>Painel!BR11</f>
        <v>86</v>
      </c>
      <c r="BS18">
        <f>Painel!BS11</f>
        <v>91</v>
      </c>
      <c r="BT18">
        <f>Painel!BT11</f>
        <v>0</v>
      </c>
      <c r="BU18">
        <f>Painel!BU11</f>
        <v>362</v>
      </c>
      <c r="BV18">
        <f>Painel!BV11</f>
        <v>344</v>
      </c>
      <c r="BW18">
        <f>Painel!BW11</f>
        <v>260</v>
      </c>
      <c r="BX18">
        <f>Painel!BX11</f>
        <v>390</v>
      </c>
      <c r="BY18">
        <f>Painel!BY11</f>
        <v>732</v>
      </c>
      <c r="BZ18">
        <f>Painel!BZ11</f>
        <v>704</v>
      </c>
      <c r="CA18">
        <f>Painel!CA11</f>
        <v>863</v>
      </c>
      <c r="CB18">
        <f>Painel!CB11</f>
        <v>489</v>
      </c>
      <c r="CC18">
        <f>Painel!CC11</f>
        <v>598</v>
      </c>
      <c r="CD18">
        <f>Painel!CD11</f>
        <v>0</v>
      </c>
      <c r="CE18">
        <f>Painel!CE11</f>
        <v>278</v>
      </c>
      <c r="CF18">
        <f>Painel!CF11</f>
        <v>369</v>
      </c>
      <c r="CG18">
        <f>Painel!CG11</f>
        <v>214</v>
      </c>
      <c r="CH18">
        <f>Painel!CH11</f>
        <v>373</v>
      </c>
      <c r="CI18">
        <f>Painel!CI11</f>
        <v>0</v>
      </c>
      <c r="CJ18">
        <f>Painel!CJ11</f>
        <v>588</v>
      </c>
      <c r="CK18">
        <f>Painel!CK11</f>
        <v>433</v>
      </c>
      <c r="CL18">
        <f>Painel!CL11</f>
        <v>323</v>
      </c>
      <c r="CM18">
        <f>Painel!CM11</f>
        <v>326</v>
      </c>
      <c r="CN18">
        <f>Painel!CN11</f>
        <v>0</v>
      </c>
      <c r="CO18">
        <f>Painel!CO11</f>
        <v>116</v>
      </c>
      <c r="CP18">
        <f>Painel!CP11</f>
        <v>166</v>
      </c>
      <c r="CQ18">
        <f>Painel!CQ11</f>
        <v>163</v>
      </c>
      <c r="CR18">
        <f>Painel!CR11</f>
        <v>240</v>
      </c>
      <c r="CS18">
        <f>Painel!CS11</f>
        <v>0</v>
      </c>
      <c r="CT18">
        <f>Painel!CT11</f>
        <v>100</v>
      </c>
      <c r="CU18">
        <f>Painel!CU11</f>
        <v>113</v>
      </c>
      <c r="CV18">
        <f>Painel!CV11</f>
        <v>51</v>
      </c>
      <c r="CW18">
        <f>Painel!CW11</f>
        <v>20</v>
      </c>
      <c r="CX18">
        <f>Painel!CX11</f>
        <v>0</v>
      </c>
      <c r="CY18">
        <f>Painel!CY11</f>
        <v>27</v>
      </c>
      <c r="CZ18">
        <f>Painel!CZ11</f>
        <v>15</v>
      </c>
      <c r="DA18">
        <f>Painel!DA11</f>
        <v>14</v>
      </c>
      <c r="DB18">
        <f>Painel!DB11</f>
        <v>26</v>
      </c>
      <c r="DC18">
        <f>Painel!DC11</f>
        <v>0</v>
      </c>
      <c r="DD18">
        <f>Painel!DD11</f>
        <v>76</v>
      </c>
      <c r="DE18">
        <f>Painel!DE11</f>
        <v>68</v>
      </c>
      <c r="DF18">
        <f>Painel!DF11</f>
        <v>32</v>
      </c>
      <c r="DG18">
        <f>Painel!DG11</f>
        <v>18</v>
      </c>
    </row>
    <row r="19" spans="1:111" x14ac:dyDescent="0.3">
      <c r="A19" t="s">
        <v>122</v>
      </c>
      <c r="AU19">
        <f>936+75+32</f>
        <v>1043</v>
      </c>
      <c r="AV19">
        <f>828+79+31</f>
        <v>938</v>
      </c>
      <c r="AW19">
        <f>762+46</f>
        <v>808</v>
      </c>
      <c r="AX19">
        <f>615+74</f>
        <v>689</v>
      </c>
      <c r="AY19">
        <f>677+120</f>
        <v>797</v>
      </c>
      <c r="BY19">
        <f>777-80</f>
        <v>697</v>
      </c>
      <c r="BZ19">
        <f>731-74</f>
        <v>657</v>
      </c>
      <c r="CA19">
        <f>740-122</f>
        <v>618</v>
      </c>
      <c r="CB19">
        <f>622-101</f>
        <v>521</v>
      </c>
      <c r="CC19">
        <f>624-72</f>
        <v>552</v>
      </c>
    </row>
    <row r="20" spans="1:111" x14ac:dyDescent="0.3">
      <c r="A20" t="s">
        <v>123</v>
      </c>
      <c r="B20">
        <f>Painel!B12</f>
        <v>0</v>
      </c>
      <c r="C20">
        <f>Painel!C12</f>
        <v>60</v>
      </c>
      <c r="D20">
        <f>Painel!D12</f>
        <v>46</v>
      </c>
      <c r="E20">
        <f>Painel!E12</f>
        <v>24</v>
      </c>
      <c r="F20">
        <f>Painel!F12</f>
        <v>25</v>
      </c>
      <c r="G20">
        <f>Painel!G12</f>
        <v>0</v>
      </c>
      <c r="H20">
        <f>Painel!H12</f>
        <v>250</v>
      </c>
      <c r="I20">
        <f>Painel!I12</f>
        <v>263</v>
      </c>
      <c r="J20">
        <f>Painel!J12</f>
        <v>200</v>
      </c>
      <c r="K20">
        <f>Painel!K12</f>
        <v>156</v>
      </c>
      <c r="L20">
        <f>Painel!L12</f>
        <v>0</v>
      </c>
      <c r="M20">
        <f>Painel!M12</f>
        <v>178</v>
      </c>
      <c r="N20">
        <f>Painel!N12</f>
        <v>145</v>
      </c>
      <c r="O20">
        <f>Painel!O12</f>
        <v>91</v>
      </c>
      <c r="P20">
        <f>Painel!P12</f>
        <v>138</v>
      </c>
      <c r="Q20">
        <f>Painel!Q12</f>
        <v>0</v>
      </c>
      <c r="R20">
        <f>Painel!R12</f>
        <v>72</v>
      </c>
      <c r="S20">
        <f>Painel!S12</f>
        <v>106</v>
      </c>
      <c r="T20">
        <f>Painel!T12</f>
        <v>91</v>
      </c>
      <c r="U20">
        <f>Painel!U12</f>
        <v>93</v>
      </c>
      <c r="V20">
        <f>Painel!V12</f>
        <v>0</v>
      </c>
      <c r="W20">
        <f>Painel!W12</f>
        <v>0</v>
      </c>
      <c r="X20">
        <f>Painel!X12</f>
        <v>0</v>
      </c>
      <c r="Y20">
        <f>Painel!Y12</f>
        <v>0</v>
      </c>
      <c r="Z20">
        <f>Painel!Z12</f>
        <v>0</v>
      </c>
      <c r="AA20">
        <f>Painel!AA12</f>
        <v>0</v>
      </c>
      <c r="AB20">
        <f>Painel!AB12</f>
        <v>274</v>
      </c>
      <c r="AC20">
        <f>Painel!AC12</f>
        <v>208</v>
      </c>
      <c r="AD20">
        <f>Painel!AD12</f>
        <v>188</v>
      </c>
      <c r="AE20">
        <f>Painel!AE12</f>
        <v>224</v>
      </c>
      <c r="AF20">
        <f>Painel!AF12</f>
        <v>0</v>
      </c>
      <c r="AG20">
        <f>Painel!AG12</f>
        <v>73</v>
      </c>
      <c r="AH20">
        <f>Painel!AH12</f>
        <v>49</v>
      </c>
      <c r="AI20">
        <f>Painel!AI12</f>
        <v>49</v>
      </c>
      <c r="AJ20">
        <f>Painel!AJ12</f>
        <v>37</v>
      </c>
      <c r="AK20">
        <f>Painel!AK12</f>
        <v>0</v>
      </c>
      <c r="AL20">
        <f>Painel!AL12</f>
        <v>57</v>
      </c>
      <c r="AM20">
        <f>Painel!AM12</f>
        <v>60</v>
      </c>
      <c r="AN20">
        <f>Painel!AN12</f>
        <v>98</v>
      </c>
      <c r="AO20">
        <f>Painel!AO12</f>
        <v>211</v>
      </c>
      <c r="AP20">
        <f>Painel!AP12</f>
        <v>0</v>
      </c>
      <c r="AQ20">
        <f>Painel!AQ12</f>
        <v>0</v>
      </c>
      <c r="AR20">
        <f>Painel!AR12</f>
        <v>0</v>
      </c>
      <c r="AS20">
        <f>Painel!AS12</f>
        <v>0</v>
      </c>
      <c r="AT20">
        <f>Painel!AT12</f>
        <v>0</v>
      </c>
      <c r="AU20">
        <f>Painel!AU12</f>
        <v>463</v>
      </c>
      <c r="AV20">
        <f>Painel!AV12</f>
        <v>439</v>
      </c>
      <c r="AW20">
        <f>Painel!AW12</f>
        <v>354</v>
      </c>
      <c r="AX20">
        <f>Painel!AX12</f>
        <v>332</v>
      </c>
      <c r="AY20">
        <f>Painel!AY12</f>
        <v>326</v>
      </c>
      <c r="AZ20">
        <f>Painel!AZ12</f>
        <v>0</v>
      </c>
      <c r="BA20">
        <f>Painel!BA12</f>
        <v>130</v>
      </c>
      <c r="BB20">
        <f>Painel!BB12</f>
        <v>118</v>
      </c>
      <c r="BC20">
        <f>Painel!BC12</f>
        <v>74</v>
      </c>
      <c r="BD20">
        <f>Painel!BD12</f>
        <v>61</v>
      </c>
      <c r="BE20">
        <f>Painel!BE12</f>
        <v>0</v>
      </c>
      <c r="BF20">
        <f>Painel!BF12</f>
        <v>85</v>
      </c>
      <c r="BG20">
        <f>Painel!BG12</f>
        <v>76</v>
      </c>
      <c r="BH20">
        <f>Painel!BH12</f>
        <v>44</v>
      </c>
      <c r="BI20">
        <f>Painel!BI12</f>
        <v>69</v>
      </c>
      <c r="BJ20">
        <f>Painel!BJ12</f>
        <v>0</v>
      </c>
      <c r="BK20">
        <f>Painel!BK12</f>
        <v>116</v>
      </c>
      <c r="BL20">
        <f>Painel!BL12</f>
        <v>135</v>
      </c>
      <c r="BM20">
        <f>Painel!BM12</f>
        <v>110</v>
      </c>
      <c r="BN20">
        <f>Painel!BN12</f>
        <v>109</v>
      </c>
      <c r="BO20">
        <f>Painel!BO12</f>
        <v>0</v>
      </c>
      <c r="BP20">
        <f>Painel!BP12</f>
        <v>33</v>
      </c>
      <c r="BQ20">
        <f>Painel!BQ12</f>
        <v>24</v>
      </c>
      <c r="BR20">
        <f>Painel!BR12</f>
        <v>47</v>
      </c>
      <c r="BS20">
        <f>Painel!BS12</f>
        <v>41</v>
      </c>
      <c r="BT20">
        <f>Painel!BT12</f>
        <v>0</v>
      </c>
      <c r="BU20">
        <f>Painel!BU12</f>
        <v>198</v>
      </c>
      <c r="BV20">
        <f>Painel!BV12</f>
        <v>181</v>
      </c>
      <c r="BW20">
        <f>Painel!BW12</f>
        <v>184</v>
      </c>
      <c r="BX20">
        <f>Painel!BX12</f>
        <v>190</v>
      </c>
      <c r="BY20">
        <f>(343-24)</f>
        <v>319</v>
      </c>
      <c r="BZ20">
        <f>(323-22)</f>
        <v>301</v>
      </c>
      <c r="CA20">
        <f>340-40+55</f>
        <v>355</v>
      </c>
      <c r="CB20">
        <f>194-29+41</f>
        <v>206</v>
      </c>
      <c r="CC20">
        <f>255-39+51</f>
        <v>267</v>
      </c>
      <c r="CD20">
        <f>Painel!CD12</f>
        <v>0</v>
      </c>
      <c r="CE20">
        <f>Painel!CE12</f>
        <v>111</v>
      </c>
      <c r="CF20">
        <f>Painel!CF12</f>
        <v>118</v>
      </c>
      <c r="CG20">
        <f>Painel!CG12</f>
        <v>123</v>
      </c>
      <c r="CH20">
        <f>Painel!CH12</f>
        <v>151</v>
      </c>
      <c r="CI20">
        <f>Painel!CI12</f>
        <v>0</v>
      </c>
      <c r="CJ20">
        <f>Painel!CJ12</f>
        <v>198</v>
      </c>
      <c r="CK20">
        <f>Painel!CK12</f>
        <v>219</v>
      </c>
      <c r="CL20">
        <f>Painel!CL12</f>
        <v>167</v>
      </c>
      <c r="CM20">
        <f>Painel!CM12</f>
        <v>165</v>
      </c>
      <c r="CN20">
        <f>Painel!CN12</f>
        <v>0</v>
      </c>
      <c r="CO20">
        <f>Painel!CO12</f>
        <v>67</v>
      </c>
      <c r="CP20">
        <f>Painel!CP12</f>
        <v>65</v>
      </c>
      <c r="CQ20">
        <f>Painel!CQ12</f>
        <v>77</v>
      </c>
      <c r="CR20">
        <f>Painel!CR12</f>
        <v>89</v>
      </c>
      <c r="CS20">
        <f>Painel!CS12</f>
        <v>0</v>
      </c>
      <c r="CT20">
        <f>Painel!CT12</f>
        <v>39</v>
      </c>
      <c r="CU20">
        <f>Painel!CU12</f>
        <v>30</v>
      </c>
      <c r="CV20">
        <f>Painel!CV12</f>
        <v>17</v>
      </c>
      <c r="CW20">
        <f>Painel!CW12</f>
        <v>13</v>
      </c>
      <c r="CX20">
        <f>Painel!CX12</f>
        <v>0</v>
      </c>
      <c r="CY20">
        <f>Painel!CY12</f>
        <v>16</v>
      </c>
      <c r="CZ20">
        <f>Painel!CZ12</f>
        <v>12</v>
      </c>
      <c r="DA20">
        <f>Painel!DA12</f>
        <v>7.6</v>
      </c>
      <c r="DB20">
        <f>Painel!DB12</f>
        <v>16.899999999999999</v>
      </c>
      <c r="DC20">
        <f>Painel!DC12</f>
        <v>0</v>
      </c>
      <c r="DD20">
        <f>Painel!DD12</f>
        <v>40</v>
      </c>
      <c r="DE20">
        <f>Painel!DE12</f>
        <v>28</v>
      </c>
      <c r="DF20">
        <f>Painel!DF12</f>
        <v>23</v>
      </c>
      <c r="DG20">
        <f>Painel!DG12</f>
        <v>11</v>
      </c>
    </row>
    <row r="21" spans="1:111" x14ac:dyDescent="0.3">
      <c r="A21" t="s">
        <v>124</v>
      </c>
      <c r="AU21">
        <v>273</v>
      </c>
      <c r="AV21">
        <v>245</v>
      </c>
      <c r="AW21">
        <v>93</v>
      </c>
      <c r="AX21">
        <v>195</v>
      </c>
      <c r="AY21">
        <v>243</v>
      </c>
      <c r="BY21">
        <v>150</v>
      </c>
      <c r="BZ21">
        <v>105</v>
      </c>
      <c r="CA21">
        <v>81</v>
      </c>
      <c r="CB21">
        <v>122</v>
      </c>
      <c r="CC21">
        <v>109</v>
      </c>
    </row>
    <row r="22" spans="1:111" x14ac:dyDescent="0.3">
      <c r="A22" t="s">
        <v>128</v>
      </c>
      <c r="AU22">
        <v>176</v>
      </c>
      <c r="AV22">
        <v>122</v>
      </c>
      <c r="AW22">
        <v>137</v>
      </c>
      <c r="AX22">
        <v>123</v>
      </c>
      <c r="AY22">
        <v>106</v>
      </c>
      <c r="BY22">
        <f>97</f>
        <v>97</v>
      </c>
      <c r="BZ22">
        <f>99</f>
        <v>99</v>
      </c>
      <c r="CA22">
        <f>112</f>
        <v>112</v>
      </c>
      <c r="CB22">
        <f>141</f>
        <v>141</v>
      </c>
      <c r="CC22">
        <f>131</f>
        <v>131</v>
      </c>
    </row>
    <row r="23" spans="1:111" x14ac:dyDescent="0.3">
      <c r="A23" t="s">
        <v>127</v>
      </c>
      <c r="AU23">
        <f>AU19-AU20-AU22</f>
        <v>404</v>
      </c>
      <c r="AV23">
        <f>AV19-AV20-AV22</f>
        <v>377</v>
      </c>
      <c r="AW23">
        <f>AW19-AW20-AW22</f>
        <v>317</v>
      </c>
      <c r="AX23">
        <f>AX19-AX20-AX22</f>
        <v>234</v>
      </c>
      <c r="AY23">
        <f>AY19-AY20-AY22</f>
        <v>365</v>
      </c>
      <c r="BY23">
        <f>BY19-BY20-BY22</f>
        <v>281</v>
      </c>
      <c r="BZ23">
        <f>BZ19-BZ20-BZ22</f>
        <v>257</v>
      </c>
      <c r="CA23">
        <f>CA19-CA20-CA22</f>
        <v>151</v>
      </c>
      <c r="CB23">
        <f>CB19-CB20-CB22</f>
        <v>174</v>
      </c>
      <c r="CC23">
        <f>CC19-CC20-CC22</f>
        <v>154</v>
      </c>
    </row>
    <row r="25" spans="1:111" x14ac:dyDescent="0.3">
      <c r="A25" t="s">
        <v>125</v>
      </c>
      <c r="AU25">
        <v>0</v>
      </c>
      <c r="AV25">
        <v>0</v>
      </c>
      <c r="AW25">
        <v>0</v>
      </c>
      <c r="AX25">
        <v>0</v>
      </c>
      <c r="AY25">
        <v>0</v>
      </c>
      <c r="BY25">
        <v>0</v>
      </c>
      <c r="BZ25">
        <v>0</v>
      </c>
      <c r="CA25">
        <v>0</v>
      </c>
      <c r="CB25">
        <v>0</v>
      </c>
      <c r="CC25">
        <v>0</v>
      </c>
    </row>
    <row r="27" spans="1:111" x14ac:dyDescent="0.3">
      <c r="A27" s="26" t="s">
        <v>132</v>
      </c>
      <c r="AU27" s="27">
        <f>(AU20+AU21)/AU16</f>
        <v>0.62109704641350216</v>
      </c>
      <c r="AV27" s="27">
        <f>(AV20+AV21)/AV16</f>
        <v>0.69795918367346943</v>
      </c>
      <c r="AW27" s="27">
        <f>(AW20+AW21)/AW16</f>
        <v>0.55805243445692887</v>
      </c>
      <c r="AX27" s="27">
        <f>(AX20+AX21)/AX16</f>
        <v>0.87107438016528926</v>
      </c>
      <c r="AY27" s="27">
        <f>(AY20+AY21)/AY16</f>
        <v>0.71843434343434343</v>
      </c>
      <c r="BY27" s="25">
        <f>(BY20+BY21)/BY16</f>
        <v>0.78036605657237934</v>
      </c>
      <c r="BZ27" s="25">
        <f>(BZ20+BZ21)/BZ16</f>
        <v>0.73550724637681164</v>
      </c>
      <c r="CA27" s="25">
        <f>(CA20+CA21)/CA16</f>
        <v>0.54981084489281207</v>
      </c>
      <c r="CB27" s="25">
        <f>(CB20+CB21)/CB16</f>
        <v>0.75057208237986273</v>
      </c>
      <c r="CC27" s="25">
        <f>(CC20+CC21)/CC16</f>
        <v>0.67992766726943943</v>
      </c>
    </row>
    <row r="28" spans="1:111" x14ac:dyDescent="0.3">
      <c r="A28" s="26" t="s">
        <v>131</v>
      </c>
      <c r="AU28" s="27">
        <f>(AU20+AU21)/AU18</f>
        <v>0.55927051671732519</v>
      </c>
      <c r="AV28" s="27">
        <f>(AV20+AV21)/AV18</f>
        <v>0.6151079136690647</v>
      </c>
      <c r="AW28" s="27">
        <f>(AW20+AW21)/AW18</f>
        <v>0.43609756097560975</v>
      </c>
      <c r="AX28" s="27">
        <f>(AX20+AX21)/AX18</f>
        <v>0.81832298136645965</v>
      </c>
      <c r="AY28" s="27">
        <f>(AY20+AY21)/AY18</f>
        <v>0.62253829321663023</v>
      </c>
      <c r="BY28" s="25">
        <f>(BY20+BY21)/BY18</f>
        <v>0.64071038251366119</v>
      </c>
      <c r="BZ28" s="25">
        <f>(BZ20+BZ21)/BZ18</f>
        <v>0.57670454545454541</v>
      </c>
      <c r="CA28" s="25">
        <f>(CA20+CA21)/CA18</f>
        <v>0.50521436848203938</v>
      </c>
      <c r="CB28" s="25">
        <f>(CB20+CB21)/CB18</f>
        <v>0.67075664621676889</v>
      </c>
      <c r="CC28" s="25">
        <f>(CC20+CC21)/CC18</f>
        <v>0.62876254180602009</v>
      </c>
    </row>
    <row r="29" spans="1:111" x14ac:dyDescent="0.3">
      <c r="A29" s="26" t="s">
        <v>133</v>
      </c>
      <c r="AU29" s="27">
        <f>AU16/AU18</f>
        <v>0.90045592705167177</v>
      </c>
      <c r="AV29" s="27">
        <f>AV16/AV18</f>
        <v>0.88129496402877694</v>
      </c>
      <c r="AW29" s="27">
        <f>AW16/AW18</f>
        <v>0.78146341463414637</v>
      </c>
      <c r="AX29" s="27">
        <f>AX16/AX18</f>
        <v>0.93944099378881984</v>
      </c>
      <c r="AY29" s="27">
        <f>AY16/AY18</f>
        <v>0.8665207877461707</v>
      </c>
      <c r="BY29" s="25">
        <f>BY16/BY18</f>
        <v>0.82103825136612019</v>
      </c>
      <c r="BZ29" s="25">
        <f>BZ16/BZ18</f>
        <v>0.78409090909090906</v>
      </c>
      <c r="CA29" s="25">
        <f>CA16/CA18</f>
        <v>0.9188876013904983</v>
      </c>
      <c r="CB29" s="25">
        <f>CB16/CB18</f>
        <v>0.8936605316973415</v>
      </c>
      <c r="CC29" s="25">
        <f>CC16/CC18</f>
        <v>0.92474916387959871</v>
      </c>
    </row>
    <row r="30" spans="1:111" x14ac:dyDescent="0.3">
      <c r="A30" t="s">
        <v>126</v>
      </c>
      <c r="BY30">
        <v>32</v>
      </c>
      <c r="BZ30">
        <v>37</v>
      </c>
      <c r="CA30">
        <v>30</v>
      </c>
      <c r="CB30">
        <v>19</v>
      </c>
      <c r="CC30">
        <v>26</v>
      </c>
    </row>
    <row r="31" spans="1:111" x14ac:dyDescent="0.3">
      <c r="A31" s="26" t="s">
        <v>130</v>
      </c>
      <c r="AU31" s="27">
        <f>(AU20+AU22)/AU19</f>
        <v>0.6126558005752637</v>
      </c>
      <c r="AV31" s="27">
        <f>(AV20+AV22)/AV19</f>
        <v>0.59808102345415781</v>
      </c>
      <c r="AW31" s="27">
        <f>(AW20+AW22)/AW19</f>
        <v>0.60767326732673266</v>
      </c>
      <c r="AX31" s="27">
        <f>(AX20+AX22)/AX19</f>
        <v>0.660377358490566</v>
      </c>
      <c r="AY31" s="27">
        <f>(AY20+AY22)/AY19</f>
        <v>0.5420326223337516</v>
      </c>
      <c r="BY31" s="27">
        <f>(BY20+BY22)/BY19</f>
        <v>0.59684361549497844</v>
      </c>
      <c r="BZ31" s="27">
        <f>(BZ20+BZ22)/BZ19</f>
        <v>0.60882800608828003</v>
      </c>
      <c r="CA31" s="27">
        <f>(CA20+CA22)/CA19</f>
        <v>0.75566343042071193</v>
      </c>
      <c r="CB31" s="27">
        <f>(CB20+CB22)/CB19</f>
        <v>0.66602687140115158</v>
      </c>
      <c r="CC31" s="27">
        <f>(CC20+CC22)/CC19</f>
        <v>0.72101449275362317</v>
      </c>
    </row>
    <row r="33" spans="1:77" x14ac:dyDescent="0.3">
      <c r="BY33">
        <f>1128-1261</f>
        <v>-133</v>
      </c>
    </row>
    <row r="43" spans="1:77" x14ac:dyDescent="0.3">
      <c r="A43" s="1"/>
      <c r="B43">
        <v>2022</v>
      </c>
      <c r="C43">
        <v>2021</v>
      </c>
      <c r="D43">
        <v>2020</v>
      </c>
      <c r="E43">
        <v>2019</v>
      </c>
      <c r="G43">
        <v>2022</v>
      </c>
      <c r="H43">
        <v>2021</v>
      </c>
      <c r="I43">
        <v>2020</v>
      </c>
      <c r="J43">
        <v>2019</v>
      </c>
    </row>
    <row r="44" spans="1:77" x14ac:dyDescent="0.3">
      <c r="A44" s="1" t="s">
        <v>35</v>
      </c>
      <c r="B44">
        <v>10</v>
      </c>
      <c r="C44">
        <v>8</v>
      </c>
      <c r="G44" s="19">
        <f>(LN(21)-LN(B44))/LN(21)</f>
        <v>0.24369580448359887</v>
      </c>
      <c r="H44" s="19">
        <f t="shared" ref="H44:H45" si="102">(LN(21)-LN(C44))/LN(21)</f>
        <v>0.31698925390914107</v>
      </c>
      <c r="I44" s="19"/>
      <c r="J44" s="19"/>
    </row>
    <row r="45" spans="1:77" x14ac:dyDescent="0.3">
      <c r="A45" s="1" t="s">
        <v>27</v>
      </c>
      <c r="B45">
        <v>7</v>
      </c>
      <c r="C45">
        <v>1</v>
      </c>
      <c r="D45">
        <v>3</v>
      </c>
      <c r="E45">
        <v>13</v>
      </c>
      <c r="G45" s="19">
        <f t="shared" ref="G45" si="103">(LN(21)-LN(B45))/LN(21)</f>
        <v>0.36084880671453018</v>
      </c>
      <c r="H45" s="19">
        <f t="shared" si="102"/>
        <v>1</v>
      </c>
      <c r="I45" s="19">
        <f t="shared" ref="I45" si="104">(LN(21)-LN(D45))/LN(21)</f>
        <v>0.63915119328546977</v>
      </c>
      <c r="J45" s="19">
        <f t="shared" ref="J45" si="105">(LN(21)-LN(E45))/LN(21)</f>
        <v>0.15751996908273488</v>
      </c>
    </row>
    <row r="46" spans="1:77" x14ac:dyDescent="0.3">
      <c r="A46" t="s">
        <v>79</v>
      </c>
      <c r="B46">
        <v>6</v>
      </c>
      <c r="C46">
        <v>14</v>
      </c>
      <c r="D46">
        <v>9</v>
      </c>
      <c r="E46">
        <v>5</v>
      </c>
      <c r="G46" s="19">
        <v>0.41148094458851686</v>
      </c>
      <c r="H46" s="19">
        <v>0.13317855801757725</v>
      </c>
      <c r="I46" s="19">
        <v>0.27830238657093959</v>
      </c>
      <c r="J46" s="19">
        <v>0.47136605318055197</v>
      </c>
    </row>
    <row r="47" spans="1:77" x14ac:dyDescent="0.3">
      <c r="A47" s="1" t="s">
        <v>31</v>
      </c>
      <c r="C47">
        <v>18</v>
      </c>
      <c r="D47">
        <v>14</v>
      </c>
      <c r="E47">
        <v>11</v>
      </c>
      <c r="G47" s="19"/>
      <c r="H47" s="19">
        <v>5.0632137873986717E-2</v>
      </c>
      <c r="I47" s="19">
        <v>0.13317855801757725</v>
      </c>
      <c r="J47" s="19">
        <v>0.21239034303474383</v>
      </c>
    </row>
    <row r="48" spans="1:77" x14ac:dyDescent="0.3">
      <c r="A48" s="1" t="s">
        <v>26</v>
      </c>
      <c r="B48">
        <v>11</v>
      </c>
      <c r="D48">
        <v>20</v>
      </c>
      <c r="E48">
        <v>15</v>
      </c>
      <c r="G48" s="19">
        <v>0.21239034303474383</v>
      </c>
      <c r="H48" s="19"/>
      <c r="I48" s="19">
        <v>1.6025555786645992E-2</v>
      </c>
      <c r="J48" s="19">
        <v>0.11051724646602176</v>
      </c>
    </row>
    <row r="49" spans="1:10" x14ac:dyDescent="0.3">
      <c r="A49" s="1" t="s">
        <v>23</v>
      </c>
      <c r="B49">
        <v>4</v>
      </c>
      <c r="C49">
        <v>5</v>
      </c>
      <c r="D49">
        <v>12</v>
      </c>
      <c r="E49">
        <v>8</v>
      </c>
      <c r="G49" s="19">
        <v>0.54465950260609397</v>
      </c>
      <c r="H49" s="19">
        <v>0.47136605318055197</v>
      </c>
      <c r="I49" s="19">
        <v>0.18381069589156382</v>
      </c>
      <c r="J49" s="19">
        <v>0.31698925390914107</v>
      </c>
    </row>
    <row r="50" spans="1:10" x14ac:dyDescent="0.3">
      <c r="A50" s="1" t="s">
        <v>34</v>
      </c>
      <c r="B50">
        <v>15</v>
      </c>
      <c r="D50">
        <v>19</v>
      </c>
      <c r="G50" s="19">
        <v>0.11051724646602176</v>
      </c>
      <c r="H50" s="19"/>
      <c r="I50" s="19">
        <v>3.2873286567669809E-2</v>
      </c>
      <c r="J50" s="19"/>
    </row>
    <row r="51" spans="1:10" x14ac:dyDescent="0.3">
      <c r="A51" s="1" t="s">
        <v>28</v>
      </c>
      <c r="E51">
        <v>17</v>
      </c>
      <c r="G51" s="19"/>
      <c r="H51" s="19"/>
      <c r="I51" s="19"/>
      <c r="J51" s="19">
        <v>6.9406318392981087E-2</v>
      </c>
    </row>
    <row r="52" spans="1:10" x14ac:dyDescent="0.3">
      <c r="A52" s="1" t="s">
        <v>37</v>
      </c>
      <c r="B52">
        <v>16</v>
      </c>
      <c r="C52">
        <v>15</v>
      </c>
      <c r="G52" s="19">
        <v>8.9319005212188038E-2</v>
      </c>
      <c r="H52" s="19">
        <v>0.11051724646602176</v>
      </c>
      <c r="I52" s="19"/>
      <c r="J52" s="19"/>
    </row>
    <row r="53" spans="1:10" x14ac:dyDescent="0.3">
      <c r="A53" s="1" t="s">
        <v>18</v>
      </c>
      <c r="B53">
        <v>5</v>
      </c>
      <c r="C53">
        <v>2</v>
      </c>
      <c r="D53">
        <v>1</v>
      </c>
      <c r="E53">
        <v>1</v>
      </c>
      <c r="G53" s="19">
        <v>0.47136605318055197</v>
      </c>
      <c r="H53" s="19">
        <v>0.77232975130304693</v>
      </c>
      <c r="I53" s="19">
        <v>1</v>
      </c>
      <c r="J53" s="19">
        <v>1</v>
      </c>
    </row>
    <row r="54" spans="1:10" x14ac:dyDescent="0.3">
      <c r="A54" s="1" t="s">
        <v>25</v>
      </c>
      <c r="B54">
        <v>3</v>
      </c>
      <c r="C54">
        <v>7</v>
      </c>
      <c r="D54">
        <v>5</v>
      </c>
      <c r="E54">
        <v>14</v>
      </c>
      <c r="G54" s="19">
        <v>0.63915119328546977</v>
      </c>
      <c r="H54" s="19">
        <v>0.36084880671453018</v>
      </c>
      <c r="I54" s="19">
        <v>0.47136605318055197</v>
      </c>
      <c r="J54" s="19">
        <v>0.13317855801757725</v>
      </c>
    </row>
    <row r="55" spans="1:10" x14ac:dyDescent="0.3">
      <c r="A55" s="1" t="s">
        <v>32</v>
      </c>
      <c r="B55">
        <v>8</v>
      </c>
      <c r="C55">
        <v>4</v>
      </c>
      <c r="D55">
        <v>16</v>
      </c>
      <c r="E55">
        <v>9</v>
      </c>
      <c r="G55" s="19">
        <v>0.31698925390914107</v>
      </c>
      <c r="H55" s="19">
        <v>0.54465950260609397</v>
      </c>
      <c r="I55" s="19">
        <v>8.9319005212188038E-2</v>
      </c>
      <c r="J55" s="19">
        <v>0.27830238657093959</v>
      </c>
    </row>
    <row r="56" spans="1:10" x14ac:dyDescent="0.3">
      <c r="A56" s="1" t="s">
        <v>29</v>
      </c>
      <c r="C56">
        <v>17</v>
      </c>
      <c r="D56">
        <v>6</v>
      </c>
      <c r="E56">
        <v>4</v>
      </c>
      <c r="G56" s="19"/>
      <c r="H56" s="19">
        <v>6.9406318392981087E-2</v>
      </c>
      <c r="I56" s="19">
        <v>0.41148094458851686</v>
      </c>
      <c r="J56" s="19">
        <v>0.54465950260609397</v>
      </c>
    </row>
    <row r="57" spans="1:10" x14ac:dyDescent="0.3">
      <c r="A57" s="1" t="s">
        <v>36</v>
      </c>
      <c r="B57">
        <v>13</v>
      </c>
      <c r="D57">
        <v>18</v>
      </c>
      <c r="E57">
        <v>10</v>
      </c>
      <c r="G57" s="19">
        <v>0.15751996908273488</v>
      </c>
      <c r="H57" s="19"/>
      <c r="I57" s="19">
        <v>5.0632137873986717E-2</v>
      </c>
      <c r="J57" s="19">
        <v>0.24369580448359887</v>
      </c>
    </row>
    <row r="58" spans="1:10" x14ac:dyDescent="0.3">
      <c r="A58" s="1" t="s">
        <v>30</v>
      </c>
      <c r="B58">
        <v>2</v>
      </c>
      <c r="C58">
        <v>12</v>
      </c>
      <c r="D58">
        <v>2</v>
      </c>
      <c r="E58">
        <v>7</v>
      </c>
      <c r="G58" s="19">
        <v>0.77232975130304693</v>
      </c>
      <c r="H58" s="19">
        <v>0.18381069589156382</v>
      </c>
      <c r="I58" s="19">
        <v>0.77232975130304693</v>
      </c>
      <c r="J58" s="19">
        <v>0.36084880671453018</v>
      </c>
    </row>
    <row r="59" spans="1:10" x14ac:dyDescent="0.3">
      <c r="A59" s="1" t="s">
        <v>15</v>
      </c>
      <c r="B59">
        <v>1</v>
      </c>
      <c r="C59">
        <v>3</v>
      </c>
      <c r="D59">
        <v>7</v>
      </c>
      <c r="E59">
        <v>3</v>
      </c>
      <c r="G59" s="19">
        <v>1</v>
      </c>
      <c r="H59" s="19">
        <v>0.63915119328546977</v>
      </c>
      <c r="I59" s="19">
        <v>0.36084880671453018</v>
      </c>
      <c r="J59" s="19">
        <v>0.63915119328546977</v>
      </c>
    </row>
    <row r="60" spans="1:10" x14ac:dyDescent="0.3">
      <c r="A60" s="1" t="s">
        <v>33</v>
      </c>
      <c r="B60">
        <v>12</v>
      </c>
      <c r="C60">
        <v>10</v>
      </c>
      <c r="D60">
        <v>8</v>
      </c>
      <c r="E60">
        <v>2</v>
      </c>
      <c r="G60" s="19">
        <v>0.18381069589156382</v>
      </c>
      <c r="H60" s="19">
        <v>0.24369580448359887</v>
      </c>
      <c r="I60" s="19">
        <v>0.31698925390914107</v>
      </c>
      <c r="J60" s="19">
        <v>0.77232975130304693</v>
      </c>
    </row>
    <row r="61" spans="1:10" x14ac:dyDescent="0.3">
      <c r="A61" s="1" t="s">
        <v>22</v>
      </c>
      <c r="B61">
        <v>9</v>
      </c>
      <c r="C61">
        <v>13</v>
      </c>
      <c r="D61">
        <v>4</v>
      </c>
      <c r="E61">
        <v>6</v>
      </c>
      <c r="G61">
        <f>(LN(21)-LN(B61))/LN(21)</f>
        <v>0.27830238657093959</v>
      </c>
      <c r="H61" s="19">
        <v>0.15751996908273488</v>
      </c>
      <c r="I61" s="19">
        <v>0.54465950260609397</v>
      </c>
      <c r="J61" s="19">
        <v>0.41148094458851686</v>
      </c>
    </row>
    <row r="62" spans="1:10" x14ac:dyDescent="0.3">
      <c r="A62" s="1" t="s">
        <v>24</v>
      </c>
      <c r="D62">
        <v>17</v>
      </c>
      <c r="E62">
        <v>12</v>
      </c>
      <c r="G62" s="19"/>
      <c r="H62" s="19"/>
      <c r="I62" s="19">
        <v>6.9406318392981087E-2</v>
      </c>
      <c r="J62" s="19">
        <v>0.18381069589156382</v>
      </c>
    </row>
    <row r="63" spans="1:10" x14ac:dyDescent="0.3">
      <c r="A63" s="1" t="s">
        <v>112</v>
      </c>
      <c r="B63">
        <v>18</v>
      </c>
      <c r="C63">
        <v>9</v>
      </c>
      <c r="D63">
        <v>13</v>
      </c>
      <c r="G63">
        <f>(LN(21)-LN(B63))/LN(21)</f>
        <v>5.0632137873986717E-2</v>
      </c>
      <c r="H63">
        <f t="shared" ref="H63:I63" si="106">(LN(21)-LN(C63))/LN(21)</f>
        <v>0.27830238657093959</v>
      </c>
      <c r="I63">
        <f t="shared" si="106"/>
        <v>0.15751996908273488</v>
      </c>
    </row>
    <row r="64" spans="1:10" x14ac:dyDescent="0.3">
      <c r="A64" t="s">
        <v>113</v>
      </c>
    </row>
    <row r="65" spans="1:8" x14ac:dyDescent="0.3">
      <c r="A65" t="s">
        <v>114</v>
      </c>
      <c r="B65">
        <v>20</v>
      </c>
      <c r="C65">
        <v>16</v>
      </c>
      <c r="G65">
        <f>(LN(21)-LN(B65))/LN(21)</f>
        <v>1.6025555786645992E-2</v>
      </c>
      <c r="H65">
        <f>(LN(21)-LN(C65))/LN(21)</f>
        <v>8.9319005212188038E-2</v>
      </c>
    </row>
  </sheetData>
  <pageMargins left="0.511811024" right="0.511811024" top="0.78740157499999996" bottom="0.78740157499999996" header="0.31496062000000002" footer="0.31496062000000002"/>
  <ignoredErrors>
    <ignoredError sqref="B8:DG8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E98C-7A1B-4B90-950C-597C9091ECBE}">
  <dimension ref="A1:W12"/>
  <sheetViews>
    <sheetView showGridLines="0"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RowHeight="14.4" x14ac:dyDescent="0.3"/>
  <cols>
    <col min="1" max="1" width="30.44140625" bestFit="1" customWidth="1"/>
    <col min="2" max="2" width="7.77734375" bestFit="1" customWidth="1"/>
    <col min="3" max="3" width="7.44140625" bestFit="1" customWidth="1"/>
    <col min="4" max="4" width="8.5546875" bestFit="1" customWidth="1"/>
    <col min="5" max="5" width="5.6640625" bestFit="1" customWidth="1"/>
    <col min="6" max="6" width="8.6640625" bestFit="1" customWidth="1"/>
    <col min="7" max="7" width="10.6640625" bestFit="1" customWidth="1"/>
    <col min="8" max="8" width="7.6640625" bestFit="1" customWidth="1"/>
    <col min="9" max="9" width="8" bestFit="1" customWidth="1"/>
    <col min="10" max="10" width="6.77734375" bestFit="1" customWidth="1"/>
    <col min="11" max="11" width="9.109375" bestFit="1" customWidth="1"/>
    <col min="12" max="12" width="10.6640625" bestFit="1" customWidth="1"/>
    <col min="13" max="13" width="8.6640625" bestFit="1" customWidth="1"/>
    <col min="14" max="14" width="7.21875" bestFit="1" customWidth="1"/>
    <col min="15" max="15" width="5.6640625" bestFit="1" customWidth="1"/>
    <col min="16" max="16" width="12.109375" bestFit="1" customWidth="1"/>
    <col min="17" max="17" width="9.109375" bestFit="1" customWidth="1"/>
    <col min="18" max="18" width="6.5546875" bestFit="1" customWidth="1"/>
    <col min="19" max="19" width="9.21875" bestFit="1" customWidth="1"/>
    <col min="20" max="20" width="5.88671875" bestFit="1" customWidth="1"/>
  </cols>
  <sheetData>
    <row r="1" spans="1:23" x14ac:dyDescent="0.3">
      <c r="A1" s="1" t="s">
        <v>45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46</v>
      </c>
    </row>
    <row r="2" spans="1:23" x14ac:dyDescent="0.3">
      <c r="A2" t="s">
        <v>116</v>
      </c>
      <c r="B2">
        <v>6</v>
      </c>
      <c r="C2">
        <v>7</v>
      </c>
      <c r="D2">
        <v>7</v>
      </c>
      <c r="E2">
        <v>7</v>
      </c>
      <c r="F2">
        <v>1</v>
      </c>
      <c r="G2">
        <v>5</v>
      </c>
      <c r="H2">
        <v>8</v>
      </c>
      <c r="I2">
        <v>0</v>
      </c>
      <c r="J2">
        <v>0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8</v>
      </c>
      <c r="R2">
        <v>8</v>
      </c>
      <c r="S2">
        <v>7</v>
      </c>
      <c r="T2">
        <v>7</v>
      </c>
    </row>
    <row r="3" spans="1:23" x14ac:dyDescent="0.3">
      <c r="A3" t="s">
        <v>117</v>
      </c>
      <c r="B3">
        <v>0</v>
      </c>
      <c r="C3">
        <v>4</v>
      </c>
      <c r="D3">
        <v>3.5</v>
      </c>
      <c r="E3">
        <v>3</v>
      </c>
      <c r="F3">
        <v>0</v>
      </c>
      <c r="G3">
        <v>3.5</v>
      </c>
      <c r="H3">
        <v>2</v>
      </c>
      <c r="I3">
        <v>0</v>
      </c>
      <c r="J3">
        <v>0</v>
      </c>
      <c r="K3">
        <v>6.5</v>
      </c>
      <c r="L3">
        <v>5.5</v>
      </c>
      <c r="M3">
        <v>2.5</v>
      </c>
      <c r="N3">
        <v>6.5</v>
      </c>
      <c r="O3">
        <v>4</v>
      </c>
      <c r="P3">
        <v>3</v>
      </c>
      <c r="Q3">
        <v>7</v>
      </c>
      <c r="R3">
        <v>6</v>
      </c>
      <c r="S3">
        <v>6.5</v>
      </c>
      <c r="T3">
        <v>5.5</v>
      </c>
    </row>
    <row r="4" spans="1:23" x14ac:dyDescent="0.3">
      <c r="A4" t="s">
        <v>118</v>
      </c>
      <c r="B4">
        <v>2</v>
      </c>
      <c r="C4">
        <v>4</v>
      </c>
      <c r="D4">
        <v>2</v>
      </c>
      <c r="E4">
        <v>2</v>
      </c>
      <c r="F4">
        <v>2</v>
      </c>
      <c r="G4">
        <v>3</v>
      </c>
      <c r="H4">
        <v>2</v>
      </c>
      <c r="I4">
        <v>0</v>
      </c>
      <c r="J4" s="23">
        <v>0</v>
      </c>
      <c r="K4">
        <v>5</v>
      </c>
      <c r="L4">
        <v>2</v>
      </c>
      <c r="M4">
        <v>2</v>
      </c>
      <c r="N4">
        <v>3</v>
      </c>
      <c r="O4">
        <v>2</v>
      </c>
      <c r="P4">
        <v>4</v>
      </c>
      <c r="Q4">
        <v>3</v>
      </c>
      <c r="R4">
        <v>3</v>
      </c>
      <c r="S4">
        <v>6</v>
      </c>
      <c r="T4">
        <v>4</v>
      </c>
    </row>
    <row r="5" spans="1:23" x14ac:dyDescent="0.3">
      <c r="A5" t="s">
        <v>115</v>
      </c>
      <c r="B5">
        <v>8</v>
      </c>
      <c r="C5">
        <v>15</v>
      </c>
      <c r="D5">
        <v>12.5</v>
      </c>
      <c r="E5">
        <v>12</v>
      </c>
      <c r="F5">
        <v>3</v>
      </c>
      <c r="G5">
        <v>11.5</v>
      </c>
      <c r="H5">
        <v>12</v>
      </c>
      <c r="I5">
        <v>0</v>
      </c>
      <c r="J5">
        <v>0</v>
      </c>
      <c r="K5">
        <v>18.5</v>
      </c>
      <c r="L5">
        <v>14.5</v>
      </c>
      <c r="M5">
        <v>11.5</v>
      </c>
      <c r="N5">
        <v>16.5</v>
      </c>
      <c r="O5">
        <v>13</v>
      </c>
      <c r="P5">
        <v>14</v>
      </c>
      <c r="Q5">
        <v>18</v>
      </c>
      <c r="R5">
        <v>17</v>
      </c>
      <c r="S5">
        <v>19.5</v>
      </c>
      <c r="T5">
        <v>16.5</v>
      </c>
    </row>
    <row r="12" spans="1:23" x14ac:dyDescent="0.3"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  <c r="V12" s="23"/>
      <c r="W12" s="2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C552-4B2D-45CE-9325-16478D79A6F0}">
  <dimension ref="B1:X12"/>
  <sheetViews>
    <sheetView showGridLines="0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4.4" x14ac:dyDescent="0.3"/>
  <cols>
    <col min="2" max="2" width="30.44140625" bestFit="1" customWidth="1"/>
    <col min="3" max="3" width="7.77734375" bestFit="1" customWidth="1"/>
    <col min="4" max="4" width="7.44140625" bestFit="1" customWidth="1"/>
    <col min="5" max="5" width="8.5546875" bestFit="1" customWidth="1"/>
    <col min="6" max="6" width="5.6640625" bestFit="1" customWidth="1"/>
    <col min="7" max="7" width="8.6640625" bestFit="1" customWidth="1"/>
    <col min="8" max="8" width="10.6640625" bestFit="1" customWidth="1"/>
    <col min="9" max="9" width="7.6640625" bestFit="1" customWidth="1"/>
    <col min="10" max="10" width="8" bestFit="1" customWidth="1"/>
    <col min="11" max="11" width="6.77734375" bestFit="1" customWidth="1"/>
    <col min="12" max="12" width="9.109375" bestFit="1" customWidth="1"/>
    <col min="13" max="13" width="10.6640625" bestFit="1" customWidth="1"/>
    <col min="14" max="14" width="8.6640625" bestFit="1" customWidth="1"/>
    <col min="15" max="15" width="7.21875" bestFit="1" customWidth="1"/>
    <col min="16" max="16" width="5.6640625" bestFit="1" customWidth="1"/>
    <col min="17" max="17" width="12.109375" bestFit="1" customWidth="1"/>
    <col min="18" max="18" width="9.109375" bestFit="1" customWidth="1"/>
    <col min="19" max="19" width="6.5546875" bestFit="1" customWidth="1"/>
    <col min="20" max="20" width="9.21875" bestFit="1" customWidth="1"/>
    <col min="21" max="21" width="5.88671875" bestFit="1" customWidth="1"/>
  </cols>
  <sheetData>
    <row r="1" spans="2:24" x14ac:dyDescent="0.3">
      <c r="B1" s="1" t="s">
        <v>45</v>
      </c>
      <c r="C1" s="1" t="s">
        <v>35</v>
      </c>
      <c r="D1" s="1" t="s">
        <v>27</v>
      </c>
      <c r="E1" t="s">
        <v>79</v>
      </c>
      <c r="F1" s="1" t="s">
        <v>31</v>
      </c>
      <c r="G1" s="1" t="s">
        <v>26</v>
      </c>
      <c r="H1" s="1" t="s">
        <v>23</v>
      </c>
      <c r="I1" s="1" t="s">
        <v>34</v>
      </c>
      <c r="J1" s="1" t="s">
        <v>28</v>
      </c>
      <c r="K1" s="1" t="s">
        <v>37</v>
      </c>
      <c r="L1" s="1" t="s">
        <v>18</v>
      </c>
      <c r="M1" s="1" t="s">
        <v>25</v>
      </c>
      <c r="N1" s="1" t="s">
        <v>32</v>
      </c>
      <c r="O1" s="1" t="s">
        <v>29</v>
      </c>
      <c r="P1" s="1" t="s">
        <v>36</v>
      </c>
      <c r="Q1" s="1" t="s">
        <v>30</v>
      </c>
      <c r="R1" s="1" t="s">
        <v>15</v>
      </c>
      <c r="S1" s="1" t="s">
        <v>33</v>
      </c>
      <c r="T1" s="1" t="s">
        <v>22</v>
      </c>
      <c r="U1" s="1" t="s">
        <v>46</v>
      </c>
    </row>
    <row r="2" spans="2:24" x14ac:dyDescent="0.3">
      <c r="B2" t="s">
        <v>116</v>
      </c>
      <c r="C2">
        <v>6</v>
      </c>
      <c r="D2">
        <v>7</v>
      </c>
      <c r="E2">
        <v>7</v>
      </c>
      <c r="F2">
        <v>7</v>
      </c>
      <c r="G2">
        <v>1</v>
      </c>
      <c r="H2">
        <v>5</v>
      </c>
      <c r="I2">
        <v>8</v>
      </c>
      <c r="J2">
        <v>0</v>
      </c>
      <c r="K2">
        <v>0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>
        <v>8</v>
      </c>
      <c r="S2">
        <v>8</v>
      </c>
      <c r="T2">
        <v>7</v>
      </c>
      <c r="U2">
        <v>7</v>
      </c>
    </row>
    <row r="3" spans="2:24" x14ac:dyDescent="0.3">
      <c r="B3" t="s">
        <v>117</v>
      </c>
      <c r="C3">
        <v>0</v>
      </c>
      <c r="D3">
        <v>4</v>
      </c>
      <c r="E3">
        <v>3.5</v>
      </c>
      <c r="F3">
        <v>3</v>
      </c>
      <c r="G3">
        <v>0</v>
      </c>
      <c r="H3">
        <v>3.5</v>
      </c>
      <c r="I3">
        <v>2</v>
      </c>
      <c r="J3">
        <v>0</v>
      </c>
      <c r="K3">
        <v>0</v>
      </c>
      <c r="L3">
        <v>6.5</v>
      </c>
      <c r="M3">
        <v>5.5</v>
      </c>
      <c r="N3">
        <v>2.5</v>
      </c>
      <c r="O3">
        <v>6.5</v>
      </c>
      <c r="P3">
        <v>4</v>
      </c>
      <c r="Q3">
        <v>3</v>
      </c>
      <c r="R3">
        <v>7</v>
      </c>
      <c r="S3">
        <v>6</v>
      </c>
      <c r="T3">
        <v>6.5</v>
      </c>
      <c r="U3">
        <v>5.5</v>
      </c>
    </row>
    <row r="4" spans="2:24" x14ac:dyDescent="0.3">
      <c r="B4" t="s">
        <v>118</v>
      </c>
      <c r="C4">
        <v>2</v>
      </c>
      <c r="D4">
        <v>4</v>
      </c>
      <c r="E4">
        <v>2</v>
      </c>
      <c r="F4">
        <v>2</v>
      </c>
      <c r="G4">
        <v>2</v>
      </c>
      <c r="H4">
        <v>3</v>
      </c>
      <c r="I4">
        <v>2</v>
      </c>
      <c r="J4">
        <v>0</v>
      </c>
      <c r="K4" s="23">
        <v>0</v>
      </c>
      <c r="L4">
        <v>5</v>
      </c>
      <c r="M4">
        <v>2</v>
      </c>
      <c r="N4">
        <v>2</v>
      </c>
      <c r="O4">
        <v>3</v>
      </c>
      <c r="P4">
        <v>2</v>
      </c>
      <c r="Q4">
        <v>4</v>
      </c>
      <c r="R4">
        <v>3</v>
      </c>
      <c r="S4">
        <v>3</v>
      </c>
      <c r="T4">
        <v>6</v>
      </c>
      <c r="U4">
        <v>4</v>
      </c>
    </row>
    <row r="5" spans="2:24" x14ac:dyDescent="0.3">
      <c r="B5" t="s">
        <v>115</v>
      </c>
      <c r="C5">
        <v>8</v>
      </c>
      <c r="D5">
        <v>15</v>
      </c>
      <c r="E5">
        <v>12.5</v>
      </c>
      <c r="F5">
        <v>12</v>
      </c>
      <c r="G5">
        <v>3</v>
      </c>
      <c r="H5">
        <v>11.5</v>
      </c>
      <c r="I5">
        <v>12</v>
      </c>
      <c r="J5">
        <v>0</v>
      </c>
      <c r="K5">
        <v>0</v>
      </c>
      <c r="L5">
        <v>18.5</v>
      </c>
      <c r="M5">
        <v>14.5</v>
      </c>
      <c r="N5">
        <v>11.5</v>
      </c>
      <c r="O5">
        <v>16.5</v>
      </c>
      <c r="P5">
        <v>13</v>
      </c>
      <c r="Q5">
        <v>14</v>
      </c>
      <c r="R5">
        <v>18</v>
      </c>
      <c r="S5">
        <v>17</v>
      </c>
      <c r="T5">
        <v>19.5</v>
      </c>
      <c r="U5">
        <v>16.5</v>
      </c>
    </row>
    <row r="12" spans="2:24" x14ac:dyDescent="0.3"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4"/>
      <c r="W12" s="23"/>
      <c r="X12" s="2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F6E6-482D-4022-AD75-A97466B0DEE8}">
  <sheetPr codeName="Planilha7"/>
  <dimension ref="A1:J6"/>
  <sheetViews>
    <sheetView workbookViewId="0">
      <selection activeCell="G3" sqref="G3"/>
    </sheetView>
  </sheetViews>
  <sheetFormatPr defaultRowHeight="14.4" x14ac:dyDescent="0.3"/>
  <cols>
    <col min="2" max="2" width="8.88671875" style="13"/>
    <col min="3" max="3" width="16.21875" bestFit="1" customWidth="1"/>
    <col min="5" max="5" width="16.21875" bestFit="1" customWidth="1"/>
    <col min="6" max="6" width="5" bestFit="1" customWidth="1"/>
  </cols>
  <sheetData>
    <row r="1" spans="1:10" x14ac:dyDescent="0.3">
      <c r="A1" t="s">
        <v>92</v>
      </c>
      <c r="B1" s="13" t="s">
        <v>94</v>
      </c>
      <c r="C1" t="s">
        <v>93</v>
      </c>
      <c r="E1" t="s">
        <v>92</v>
      </c>
      <c r="F1">
        <v>2023</v>
      </c>
      <c r="G1">
        <v>2022</v>
      </c>
      <c r="H1">
        <v>2021</v>
      </c>
      <c r="I1">
        <v>2020</v>
      </c>
      <c r="J1">
        <v>2019</v>
      </c>
    </row>
    <row r="2" spans="1:10" x14ac:dyDescent="0.3">
      <c r="A2">
        <v>2023</v>
      </c>
      <c r="B2" s="13">
        <v>3.15</v>
      </c>
      <c r="C2" s="12">
        <v>1</v>
      </c>
      <c r="E2" t="s">
        <v>94</v>
      </c>
      <c r="F2">
        <v>3.15</v>
      </c>
      <c r="G2">
        <v>5.35</v>
      </c>
      <c r="H2">
        <v>9.74</v>
      </c>
      <c r="I2">
        <v>5.64</v>
      </c>
    </row>
    <row r="3" spans="1:10" x14ac:dyDescent="0.3">
      <c r="A3">
        <v>2022</v>
      </c>
      <c r="B3" s="13">
        <v>5.35</v>
      </c>
      <c r="C3" s="12">
        <f>(1+B2/100)</f>
        <v>1.0315000000000001</v>
      </c>
      <c r="E3" t="s">
        <v>93</v>
      </c>
      <c r="F3">
        <v>1</v>
      </c>
      <c r="G3">
        <v>1.0315000000000001</v>
      </c>
      <c r="H3">
        <v>1.0866852500000002</v>
      </c>
      <c r="I3">
        <v>1.1925283933500002</v>
      </c>
      <c r="J3">
        <v>1.2597869947349403</v>
      </c>
    </row>
    <row r="4" spans="1:10" x14ac:dyDescent="0.3">
      <c r="A4">
        <v>2021</v>
      </c>
      <c r="B4" s="13">
        <v>9.74</v>
      </c>
      <c r="C4" s="12">
        <f>(1+B2/100)*(1+B3/100)</f>
        <v>1.0866852500000002</v>
      </c>
    </row>
    <row r="5" spans="1:10" x14ac:dyDescent="0.3">
      <c r="A5">
        <v>2020</v>
      </c>
      <c r="B5" s="13">
        <v>5.64</v>
      </c>
      <c r="C5" s="12">
        <f>(1+B2/100)*(1+B3/100)*(1+B4/100)</f>
        <v>1.1925283933500002</v>
      </c>
    </row>
    <row r="6" spans="1:10" x14ac:dyDescent="0.3">
      <c r="A6">
        <v>2019</v>
      </c>
      <c r="C6" s="12">
        <f>(1+B2/100)*(1+B3/100)*(1+B4/100)*(1+B5/100)</f>
        <v>1.2597869947349403</v>
      </c>
    </row>
  </sheetData>
  <sortState xmlns:xlrd2="http://schemas.microsoft.com/office/spreadsheetml/2017/richdata2" ref="A2:C6">
    <sortCondition descending="1" ref="A2:A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Resultado</vt:lpstr>
      <vt:lpstr>Caixa</vt:lpstr>
      <vt:lpstr>Índices</vt:lpstr>
      <vt:lpstr>Painel</vt:lpstr>
      <vt:lpstr>Painel_Cte</vt:lpstr>
      <vt:lpstr>Planilha1</vt:lpstr>
      <vt:lpstr>Transparência</vt:lpstr>
      <vt:lpstr>Transparência (2)</vt:lpstr>
      <vt:lpstr>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Americo Pereira Antunes</dc:creator>
  <cp:lastModifiedBy>Jose Americo Pereira Antunes</cp:lastModifiedBy>
  <dcterms:created xsi:type="dcterms:W3CDTF">2024-04-06T10:41:42Z</dcterms:created>
  <dcterms:modified xsi:type="dcterms:W3CDTF">2024-04-19T16:48:23Z</dcterms:modified>
</cp:coreProperties>
</file>