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D26845A8-2115-46EC-94FB-AA7AC1DF2E57}" xr6:coauthVersionLast="47" xr6:coauthVersionMax="47" xr10:uidLastSave="{00000000-0000-0000-0000-000000000000}"/>
  <bookViews>
    <workbookView xWindow="-108" yWindow="-108" windowWidth="23256" windowHeight="12576" activeTab="5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ainel_Cte (2)" sheetId="11" r:id="rId6"/>
    <sheet name="Transparência" sheetId="8" r:id="rId7"/>
    <sheet name="Planilha1" sheetId="3" r:id="rId8"/>
    <sheet name="Transparência (2)" sheetId="9" r:id="rId9"/>
    <sheet name="Índices (2)" sheetId="10" r:id="rId10"/>
    <sheet name="IPC" sheetId="6" r:id="rId11"/>
  </sheets>
  <definedNames>
    <definedName name="_xlnm._FilterDatabase" localSheetId="2" hidden="1">Índices!$A$1:$T$39</definedName>
    <definedName name="_xlnm._FilterDatabase" localSheetId="9" hidden="1">'Índices (2)'!$A$1:$T$39</definedName>
    <definedName name="_xlnm._FilterDatabase" localSheetId="7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11" l="1"/>
  <c r="T28" i="11"/>
  <c r="AF29" i="7"/>
  <c r="AF28" i="7"/>
  <c r="H2" i="1" l="1"/>
  <c r="H8" i="1"/>
  <c r="U27" i="1"/>
  <c r="U25" i="1" l="1"/>
  <c r="U26" i="1"/>
  <c r="T35" i="11" l="1"/>
  <c r="T34" i="11"/>
  <c r="T33" i="11"/>
  <c r="T32" i="11"/>
  <c r="U31" i="11"/>
  <c r="V31" i="11"/>
  <c r="T31" i="11"/>
  <c r="T27" i="11"/>
  <c r="T26" i="11"/>
  <c r="T25" i="11"/>
  <c r="T10" i="11"/>
  <c r="T11" i="11"/>
  <c r="T12" i="11"/>
  <c r="T13" i="11"/>
  <c r="T14" i="11"/>
  <c r="T15" i="11"/>
  <c r="T16" i="11"/>
  <c r="T4" i="11"/>
  <c r="T5" i="11"/>
  <c r="T6" i="11"/>
  <c r="AF33" i="7"/>
  <c r="AF32" i="7"/>
  <c r="AJ31" i="7"/>
  <c r="AI31" i="7"/>
  <c r="AH31" i="7"/>
  <c r="AG31" i="7"/>
  <c r="AF31" i="7"/>
  <c r="AF27" i="7"/>
  <c r="AF26" i="7"/>
  <c r="AF25" i="7"/>
  <c r="AF15" i="7"/>
  <c r="AF16" i="7"/>
  <c r="AF10" i="7"/>
  <c r="AF11" i="7"/>
  <c r="AF12" i="7"/>
  <c r="AF13" i="7"/>
  <c r="AF14" i="7"/>
  <c r="AF4" i="7"/>
  <c r="AF5" i="7"/>
  <c r="AF6" i="7"/>
  <c r="AF35" i="5"/>
  <c r="AF34" i="5"/>
  <c r="AF33" i="5"/>
  <c r="AF32" i="5"/>
  <c r="AF31" i="5"/>
  <c r="AF29" i="5"/>
  <c r="AF28" i="5"/>
  <c r="AF26" i="5"/>
  <c r="AF25" i="5"/>
  <c r="AF24" i="5"/>
  <c r="AF16" i="5"/>
  <c r="AF15" i="5"/>
  <c r="AF14" i="5"/>
  <c r="AF13" i="5"/>
  <c r="AF12" i="5"/>
  <c r="AF11" i="5"/>
  <c r="AF10" i="5"/>
  <c r="AF4" i="5"/>
  <c r="AF5" i="5"/>
  <c r="AF6" i="5"/>
  <c r="H54" i="2"/>
  <c r="H53" i="2"/>
  <c r="H52" i="2"/>
  <c r="H51" i="2"/>
  <c r="H47" i="2"/>
  <c r="H42" i="2" s="1"/>
  <c r="H46" i="2"/>
  <c r="H45" i="2"/>
  <c r="AF10" i="3"/>
  <c r="AF11" i="3"/>
  <c r="H28" i="2"/>
  <c r="H20" i="2"/>
  <c r="N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H4" i="2"/>
  <c r="H3" i="2"/>
  <c r="H2" i="2"/>
  <c r="AF3" i="5" s="1"/>
  <c r="AF3" i="7" s="1"/>
  <c r="H16" i="4"/>
  <c r="H15" i="4"/>
  <c r="H21" i="1"/>
  <c r="H17" i="1"/>
  <c r="H18" i="1"/>
  <c r="H15" i="1"/>
  <c r="H14" i="1"/>
  <c r="H13" i="1"/>
  <c r="H12" i="1"/>
  <c r="H11" i="1"/>
  <c r="H3" i="1"/>
  <c r="H4" i="1"/>
  <c r="H9" i="1"/>
  <c r="H5" i="1"/>
  <c r="R17" i="1"/>
  <c r="R17" i="2" s="1"/>
  <c r="CH12" i="5"/>
  <c r="CH34" i="5" s="1"/>
  <c r="CG12" i="5"/>
  <c r="CG35" i="5" s="1"/>
  <c r="CF12" i="5"/>
  <c r="CD12" i="5"/>
  <c r="CD12" i="7" s="1"/>
  <c r="CH8" i="7"/>
  <c r="CG8" i="7"/>
  <c r="CF8" i="7"/>
  <c r="CE8" i="7"/>
  <c r="CD8" i="7"/>
  <c r="CG32" i="5"/>
  <c r="CH33" i="5"/>
  <c r="CH32" i="5"/>
  <c r="CG33" i="5"/>
  <c r="CF35" i="5"/>
  <c r="CF34" i="5"/>
  <c r="CF33" i="5"/>
  <c r="CF32" i="5"/>
  <c r="CE35" i="5"/>
  <c r="CE34" i="5"/>
  <c r="CE33" i="5"/>
  <c r="CE32" i="5"/>
  <c r="CD35" i="5"/>
  <c r="CD35" i="7" s="1"/>
  <c r="CD33" i="5"/>
  <c r="CD33" i="7" s="1"/>
  <c r="CD32" i="5"/>
  <c r="CD32" i="7" s="1"/>
  <c r="CD29" i="5"/>
  <c r="CD28" i="5"/>
  <c r="CD27" i="5"/>
  <c r="CD26" i="5"/>
  <c r="CD25" i="5"/>
  <c r="CD24" i="5"/>
  <c r="CD31" i="7"/>
  <c r="CD13" i="7"/>
  <c r="CD14" i="7"/>
  <c r="CD15" i="7"/>
  <c r="CD16" i="7"/>
  <c r="CD10" i="7"/>
  <c r="CD11" i="7"/>
  <c r="CD9" i="7"/>
  <c r="CD5" i="7"/>
  <c r="CD4" i="7"/>
  <c r="CD3" i="7"/>
  <c r="CG6" i="3"/>
  <c r="CF6" i="3"/>
  <c r="CH13" i="3"/>
  <c r="CG13" i="3"/>
  <c r="CE13" i="3"/>
  <c r="CF13" i="3"/>
  <c r="R54" i="2"/>
  <c r="R53" i="2"/>
  <c r="R52" i="2"/>
  <c r="R51" i="2"/>
  <c r="R48" i="2"/>
  <c r="R46" i="2"/>
  <c r="R45" i="2"/>
  <c r="R44" i="2"/>
  <c r="R43" i="2"/>
  <c r="R42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0" i="4"/>
  <c r="R22" i="1"/>
  <c r="R19" i="1"/>
  <c r="R10" i="1"/>
  <c r="R9" i="4"/>
  <c r="R18" i="1"/>
  <c r="R16" i="1"/>
  <c r="R8" i="1"/>
  <c r="CD10" i="3"/>
  <c r="CD13" i="3"/>
  <c r="CD12" i="3"/>
  <c r="CE6" i="3"/>
  <c r="CE10" i="5"/>
  <c r="CD9" i="5"/>
  <c r="AF9" i="5" l="1"/>
  <c r="T3" i="11"/>
  <c r="CH35" i="5"/>
  <c r="CG34" i="5"/>
  <c r="CD34" i="5"/>
  <c r="CD34" i="7" s="1"/>
  <c r="W15" i="7"/>
  <c r="X15" i="7"/>
  <c r="Y15" i="7"/>
  <c r="Z15" i="7"/>
  <c r="W16" i="7"/>
  <c r="X16" i="7"/>
  <c r="Y16" i="7"/>
  <c r="Z16" i="7"/>
  <c r="W13" i="7"/>
  <c r="X13" i="7"/>
  <c r="Y13" i="7"/>
  <c r="Z13" i="7"/>
  <c r="W14" i="7"/>
  <c r="X14" i="7"/>
  <c r="Y14" i="7"/>
  <c r="Z14" i="7"/>
  <c r="W12" i="7"/>
  <c r="X12" i="7"/>
  <c r="Y12" i="7"/>
  <c r="Z12" i="7"/>
  <c r="W11" i="7"/>
  <c r="X11" i="7"/>
  <c r="Y11" i="7"/>
  <c r="Z11" i="7"/>
  <c r="Z10" i="7"/>
  <c r="Y10" i="7"/>
  <c r="X10" i="7"/>
  <c r="W10" i="7"/>
  <c r="X9" i="7"/>
  <c r="Y9" i="7"/>
  <c r="Z9" i="7"/>
  <c r="W9" i="7"/>
  <c r="W6" i="7"/>
  <c r="X6" i="7"/>
  <c r="Y6" i="7"/>
  <c r="Z6" i="7"/>
  <c r="W7" i="7"/>
  <c r="X7" i="7"/>
  <c r="Y7" i="7"/>
  <c r="Z7" i="7"/>
  <c r="W8" i="7"/>
  <c r="X8" i="7"/>
  <c r="Y8" i="7"/>
  <c r="Z8" i="7"/>
  <c r="W4" i="7"/>
  <c r="X4" i="7"/>
  <c r="Y4" i="7"/>
  <c r="Z4" i="7"/>
  <c r="W5" i="7"/>
  <c r="X5" i="7"/>
  <c r="Y5" i="7"/>
  <c r="Z5" i="7"/>
  <c r="X3" i="7"/>
  <c r="Y3" i="7"/>
  <c r="Z3" i="7"/>
  <c r="W3" i="7"/>
  <c r="Y30" i="5"/>
  <c r="Z30" i="5"/>
  <c r="X30" i="5"/>
  <c r="Z12" i="3"/>
  <c r="Z10" i="3" s="1"/>
  <c r="Y10" i="3"/>
  <c r="Y12" i="3"/>
  <c r="X10" i="3"/>
  <c r="X12" i="3"/>
  <c r="Z8" i="3"/>
  <c r="Z4" i="3"/>
  <c r="Z12" i="5"/>
  <c r="Y9" i="5"/>
  <c r="Z9" i="5"/>
  <c r="X3" i="5"/>
  <c r="X9" i="5" s="1"/>
  <c r="Y3" i="5"/>
  <c r="Z3" i="5"/>
  <c r="Y8" i="3"/>
  <c r="X8" i="3"/>
  <c r="Y4" i="3"/>
  <c r="X4" i="3"/>
  <c r="Y12" i="5"/>
  <c r="Y28" i="5" s="1"/>
  <c r="X12" i="5"/>
  <c r="X7" i="5"/>
  <c r="P21" i="11"/>
  <c r="P22" i="11" s="1"/>
  <c r="O21" i="11"/>
  <c r="O22" i="11" s="1"/>
  <c r="W22" i="7"/>
  <c r="X22" i="7"/>
  <c r="Z22" i="7"/>
  <c r="X21" i="7"/>
  <c r="Y21" i="7"/>
  <c r="Z21" i="7"/>
  <c r="W21" i="7"/>
  <c r="AA24" i="11"/>
  <c r="AA22" i="11"/>
  <c r="AW37" i="11"/>
  <c r="AV37" i="11"/>
  <c r="AU37" i="11"/>
  <c r="AW36" i="11"/>
  <c r="AV36" i="11"/>
  <c r="AU36" i="11"/>
  <c r="BF31" i="11"/>
  <c r="BE31" i="11"/>
  <c r="BC31" i="11"/>
  <c r="BB31" i="11"/>
  <c r="AZ31" i="11"/>
  <c r="AY31" i="11"/>
  <c r="AW31" i="11"/>
  <c r="AV31" i="11"/>
  <c r="AT31" i="11"/>
  <c r="AS31" i="11"/>
  <c r="AQ31" i="11"/>
  <c r="AP31" i="11"/>
  <c r="AN31" i="11"/>
  <c r="AM31" i="11"/>
  <c r="AL31" i="11"/>
  <c r="AK31" i="11"/>
  <c r="AJ31" i="11"/>
  <c r="AH31" i="11"/>
  <c r="AG31" i="11"/>
  <c r="AE31" i="11"/>
  <c r="AE32" i="11" s="1"/>
  <c r="AD31" i="11"/>
  <c r="AC31" i="11"/>
  <c r="AC32" i="11" s="1"/>
  <c r="G31" i="11"/>
  <c r="F31" i="11"/>
  <c r="D31" i="11"/>
  <c r="C31" i="11"/>
  <c r="BC30" i="11"/>
  <c r="BB30" i="11"/>
  <c r="AZ30" i="11"/>
  <c r="AY30" i="11"/>
  <c r="AW30" i="11"/>
  <c r="AV30" i="11"/>
  <c r="AL30" i="11"/>
  <c r="BA29" i="11"/>
  <c r="AX29" i="11"/>
  <c r="P29" i="11"/>
  <c r="O29" i="11"/>
  <c r="BA28" i="11"/>
  <c r="AX28" i="11"/>
  <c r="P28" i="11"/>
  <c r="O28" i="11"/>
  <c r="BA26" i="11"/>
  <c r="AX26" i="11"/>
  <c r="P26" i="11"/>
  <c r="O26" i="11"/>
  <c r="BD24" i="11"/>
  <c r="BA24" i="11"/>
  <c r="AX24" i="11"/>
  <c r="AR24" i="11"/>
  <c r="AO24" i="11"/>
  <c r="AI24" i="11"/>
  <c r="AF24" i="11"/>
  <c r="Z24" i="11"/>
  <c r="W24" i="11"/>
  <c r="T24" i="11"/>
  <c r="Q24" i="11"/>
  <c r="P24" i="11"/>
  <c r="O24" i="11"/>
  <c r="N24" i="11"/>
  <c r="K24" i="11"/>
  <c r="H24" i="11"/>
  <c r="E24" i="11"/>
  <c r="B24" i="11"/>
  <c r="BF23" i="11"/>
  <c r="BE23" i="11"/>
  <c r="BC23" i="11"/>
  <c r="BB23" i="11"/>
  <c r="AZ23" i="11"/>
  <c r="AY23" i="11"/>
  <c r="AW23" i="11"/>
  <c r="AV23" i="11"/>
  <c r="AT23" i="11"/>
  <c r="AS23" i="11"/>
  <c r="AQ23" i="11"/>
  <c r="AP23" i="11"/>
  <c r="AN23" i="11"/>
  <c r="AM23" i="11"/>
  <c r="AK23" i="11"/>
  <c r="AJ23" i="11"/>
  <c r="AH23" i="11"/>
  <c r="AG23" i="11"/>
  <c r="AE23" i="11"/>
  <c r="AD23" i="11"/>
  <c r="AB23" i="11"/>
  <c r="AA23" i="11"/>
  <c r="Y23" i="11"/>
  <c r="X23" i="11"/>
  <c r="V23" i="11"/>
  <c r="U23" i="11"/>
  <c r="S23" i="11"/>
  <c r="R23" i="11"/>
  <c r="P23" i="11"/>
  <c r="O23" i="11"/>
  <c r="M23" i="11"/>
  <c r="L23" i="11"/>
  <c r="J23" i="11"/>
  <c r="I23" i="11"/>
  <c r="G23" i="11"/>
  <c r="F23" i="11"/>
  <c r="D23" i="11"/>
  <c r="C23" i="11"/>
  <c r="BF22" i="11"/>
  <c r="BE22" i="11"/>
  <c r="BC22" i="11"/>
  <c r="BB22" i="11"/>
  <c r="AZ22" i="11"/>
  <c r="AY22" i="11"/>
  <c r="AW22" i="11"/>
  <c r="AV22" i="11"/>
  <c r="AT22" i="11"/>
  <c r="AS22" i="11"/>
  <c r="AQ22" i="11"/>
  <c r="AP22" i="11"/>
  <c r="AN22" i="11"/>
  <c r="AM22" i="11"/>
  <c r="AK22" i="11"/>
  <c r="AJ22" i="11"/>
  <c r="AH22" i="11"/>
  <c r="AG22" i="11"/>
  <c r="AE22" i="11"/>
  <c r="AD22" i="11"/>
  <c r="Y22" i="11"/>
  <c r="X22" i="11"/>
  <c r="V22" i="11"/>
  <c r="U22" i="11"/>
  <c r="S22" i="11"/>
  <c r="R22" i="11"/>
  <c r="M22" i="11"/>
  <c r="L22" i="11"/>
  <c r="J22" i="11"/>
  <c r="I22" i="11"/>
  <c r="G22" i="11"/>
  <c r="F22" i="11"/>
  <c r="D22" i="11"/>
  <c r="C22" i="11"/>
  <c r="BF21" i="11"/>
  <c r="BE21" i="11"/>
  <c r="BC21" i="11"/>
  <c r="BB21" i="11"/>
  <c r="AZ21" i="11"/>
  <c r="AY21" i="11"/>
  <c r="AW21" i="11"/>
  <c r="AV21" i="11"/>
  <c r="AT21" i="11"/>
  <c r="AS21" i="11"/>
  <c r="AQ21" i="11"/>
  <c r="AP21" i="11"/>
  <c r="AN21" i="11"/>
  <c r="AM21" i="11"/>
  <c r="AK21" i="11"/>
  <c r="AJ21" i="11"/>
  <c r="AH21" i="11"/>
  <c r="AG21" i="11"/>
  <c r="AE21" i="11"/>
  <c r="AD21" i="11"/>
  <c r="Y21" i="11"/>
  <c r="X21" i="11"/>
  <c r="V21" i="11"/>
  <c r="U21" i="11"/>
  <c r="S21" i="11"/>
  <c r="R21" i="11"/>
  <c r="M21" i="11"/>
  <c r="L21" i="11"/>
  <c r="J21" i="11"/>
  <c r="I21" i="11"/>
  <c r="G21" i="11"/>
  <c r="F21" i="11"/>
  <c r="D21" i="11"/>
  <c r="C21" i="11"/>
  <c r="BF16" i="11"/>
  <c r="BE16" i="11"/>
  <c r="BC16" i="11"/>
  <c r="BB16" i="11"/>
  <c r="AZ16" i="11"/>
  <c r="AY16" i="11"/>
  <c r="AW16" i="11"/>
  <c r="AV16" i="11"/>
  <c r="AT16" i="11"/>
  <c r="AS16" i="11"/>
  <c r="AQ16" i="11"/>
  <c r="AP16" i="11"/>
  <c r="AN16" i="11"/>
  <c r="AM16" i="11"/>
  <c r="AK16" i="11"/>
  <c r="AJ16" i="11"/>
  <c r="AH16" i="11"/>
  <c r="AG16" i="11"/>
  <c r="AE16" i="11"/>
  <c r="AD16" i="11"/>
  <c r="Y16" i="11"/>
  <c r="X16" i="11"/>
  <c r="V16" i="11"/>
  <c r="U16" i="11"/>
  <c r="S16" i="11"/>
  <c r="R16" i="11"/>
  <c r="M16" i="11"/>
  <c r="L16" i="11"/>
  <c r="J16" i="11"/>
  <c r="I16" i="11"/>
  <c r="G16" i="11"/>
  <c r="F16" i="11"/>
  <c r="D16" i="11"/>
  <c r="C16" i="11"/>
  <c r="BF15" i="11"/>
  <c r="BE15" i="11"/>
  <c r="BC15" i="11"/>
  <c r="BB15" i="11"/>
  <c r="AZ15" i="11"/>
  <c r="AY15" i="11"/>
  <c r="AW15" i="11"/>
  <c r="AV15" i="11"/>
  <c r="AT15" i="11"/>
  <c r="AS15" i="11"/>
  <c r="AQ15" i="11"/>
  <c r="AP15" i="11"/>
  <c r="AN15" i="11"/>
  <c r="AM15" i="11"/>
  <c r="AK15" i="11"/>
  <c r="AJ15" i="11"/>
  <c r="AH15" i="11"/>
  <c r="AG15" i="11"/>
  <c r="AE15" i="11"/>
  <c r="AD15" i="11"/>
  <c r="Y15" i="11"/>
  <c r="X15" i="11"/>
  <c r="V15" i="11"/>
  <c r="U15" i="11"/>
  <c r="S15" i="11"/>
  <c r="R15" i="11"/>
  <c r="M15" i="11"/>
  <c r="L15" i="11"/>
  <c r="J15" i="11"/>
  <c r="I15" i="11"/>
  <c r="G15" i="11"/>
  <c r="F15" i="11"/>
  <c r="D15" i="11"/>
  <c r="C15" i="11"/>
  <c r="BF14" i="11"/>
  <c r="BE14" i="11"/>
  <c r="BC14" i="11"/>
  <c r="BB14" i="11"/>
  <c r="BB32" i="11" s="1"/>
  <c r="AZ14" i="11"/>
  <c r="AZ32" i="11" s="1"/>
  <c r="AY14" i="11"/>
  <c r="AW14" i="11"/>
  <c r="AV14" i="11"/>
  <c r="AT14" i="11"/>
  <c r="AS14" i="11"/>
  <c r="AQ14" i="11"/>
  <c r="AP14" i="11"/>
  <c r="AP32" i="11" s="1"/>
  <c r="AN14" i="11"/>
  <c r="AM14" i="11"/>
  <c r="AK14" i="11"/>
  <c r="AJ14" i="11"/>
  <c r="AH14" i="11"/>
  <c r="AG14" i="11"/>
  <c r="Y14" i="11"/>
  <c r="Y32" i="11" s="1"/>
  <c r="X14" i="11"/>
  <c r="X32" i="11" s="1"/>
  <c r="V14" i="11"/>
  <c r="V32" i="11" s="1"/>
  <c r="U14" i="11"/>
  <c r="U32" i="11" s="1"/>
  <c r="S14" i="11"/>
  <c r="S32" i="11" s="1"/>
  <c r="R14" i="11"/>
  <c r="R32" i="11" s="1"/>
  <c r="M14" i="11"/>
  <c r="M32" i="11" s="1"/>
  <c r="L14" i="11"/>
  <c r="L32" i="11" s="1"/>
  <c r="J14" i="11"/>
  <c r="J32" i="11" s="1"/>
  <c r="I14" i="11"/>
  <c r="I32" i="11" s="1"/>
  <c r="G14" i="11"/>
  <c r="F14" i="11"/>
  <c r="D14" i="11"/>
  <c r="C14" i="11"/>
  <c r="BF13" i="11"/>
  <c r="BE13" i="11"/>
  <c r="BC13" i="11"/>
  <c r="BB13" i="11"/>
  <c r="AZ13" i="11"/>
  <c r="AY13" i="11"/>
  <c r="AW13" i="11"/>
  <c r="AV13" i="11"/>
  <c r="AU13" i="11"/>
  <c r="AT13" i="11"/>
  <c r="AS13" i="11"/>
  <c r="AQ13" i="11"/>
  <c r="AP13" i="11"/>
  <c r="AN13" i="11"/>
  <c r="AM13" i="11"/>
  <c r="AK13" i="11"/>
  <c r="AJ13" i="11"/>
  <c r="AH13" i="11"/>
  <c r="AG13" i="11"/>
  <c r="AE13" i="11"/>
  <c r="AD13" i="11"/>
  <c r="AC13" i="11"/>
  <c r="Y13" i="11"/>
  <c r="X13" i="11"/>
  <c r="V13" i="11"/>
  <c r="U13" i="11"/>
  <c r="S13" i="11"/>
  <c r="R13" i="11"/>
  <c r="M13" i="11"/>
  <c r="L13" i="11"/>
  <c r="J13" i="11"/>
  <c r="I13" i="11"/>
  <c r="G13" i="11"/>
  <c r="F13" i="11"/>
  <c r="D13" i="11"/>
  <c r="C13" i="11"/>
  <c r="BF12" i="11"/>
  <c r="BE12" i="11"/>
  <c r="BC12" i="11"/>
  <c r="BC28" i="11" s="1"/>
  <c r="BB12" i="11"/>
  <c r="AZ12" i="11"/>
  <c r="AY12" i="11"/>
  <c r="AW12" i="11"/>
  <c r="AW28" i="11" s="1"/>
  <c r="AV12" i="11"/>
  <c r="AV28" i="11" s="1"/>
  <c r="AT12" i="11"/>
  <c r="AT28" i="11" s="1"/>
  <c r="AS12" i="11"/>
  <c r="AQ12" i="11"/>
  <c r="AP12" i="11"/>
  <c r="AN12" i="11"/>
  <c r="AM12" i="11"/>
  <c r="AK12" i="11"/>
  <c r="AJ12" i="11"/>
  <c r="AH12" i="11"/>
  <c r="AG12" i="11"/>
  <c r="AE12" i="11"/>
  <c r="AD12" i="11"/>
  <c r="AC12" i="11"/>
  <c r="Y12" i="11"/>
  <c r="Y28" i="11" s="1"/>
  <c r="X12" i="11"/>
  <c r="X27" i="11" s="1"/>
  <c r="V12" i="11"/>
  <c r="V27" i="11" s="1"/>
  <c r="U12" i="11"/>
  <c r="U27" i="11" s="1"/>
  <c r="S12" i="11"/>
  <c r="S27" i="11" s="1"/>
  <c r="R12" i="11"/>
  <c r="M12" i="11"/>
  <c r="M27" i="11" s="1"/>
  <c r="L12" i="11"/>
  <c r="J12" i="11"/>
  <c r="I12" i="11"/>
  <c r="I27" i="11" s="1"/>
  <c r="G12" i="11"/>
  <c r="G27" i="11" s="1"/>
  <c r="F12" i="11"/>
  <c r="F27" i="11" s="1"/>
  <c r="D12" i="11"/>
  <c r="D27" i="11" s="1"/>
  <c r="C12" i="11"/>
  <c r="BF11" i="11"/>
  <c r="BE11" i="11"/>
  <c r="BE24" i="11" s="1"/>
  <c r="BC11" i="11"/>
  <c r="BC24" i="11" s="1"/>
  <c r="BB11" i="11"/>
  <c r="BB24" i="11" s="1"/>
  <c r="AZ11" i="11"/>
  <c r="AZ29" i="11" s="1"/>
  <c r="AY11" i="11"/>
  <c r="AY24" i="11" s="1"/>
  <c r="AW11" i="11"/>
  <c r="AW24" i="11" s="1"/>
  <c r="AV11" i="11"/>
  <c r="AV29" i="11" s="1"/>
  <c r="AU11" i="11"/>
  <c r="AU29" i="11" s="1"/>
  <c r="AT11" i="11"/>
  <c r="AT24" i="11" s="1"/>
  <c r="AS11" i="11"/>
  <c r="AS24" i="11" s="1"/>
  <c r="AQ11" i="11"/>
  <c r="AQ24" i="11" s="1"/>
  <c r="AP11" i="11"/>
  <c r="AP29" i="11" s="1"/>
  <c r="AN11" i="11"/>
  <c r="AN29" i="11" s="1"/>
  <c r="AM11" i="11"/>
  <c r="AM24" i="11" s="1"/>
  <c r="AK11" i="11"/>
  <c r="AK29" i="11" s="1"/>
  <c r="AJ11" i="11"/>
  <c r="AJ29" i="11" s="1"/>
  <c r="AH11" i="11"/>
  <c r="AG11" i="11"/>
  <c r="AG24" i="11" s="1"/>
  <c r="AE11" i="11"/>
  <c r="AE29" i="11" s="1"/>
  <c r="AD11" i="11"/>
  <c r="AC11" i="11"/>
  <c r="AC29" i="11" s="1"/>
  <c r="Y11" i="11"/>
  <c r="Y33" i="11" s="1"/>
  <c r="X11" i="11"/>
  <c r="X33" i="11" s="1"/>
  <c r="V11" i="11"/>
  <c r="V24" i="11" s="1"/>
  <c r="U11" i="11"/>
  <c r="U33" i="11" s="1"/>
  <c r="S11" i="11"/>
  <c r="S33" i="11" s="1"/>
  <c r="R11" i="11"/>
  <c r="R33" i="11" s="1"/>
  <c r="M11" i="11"/>
  <c r="M24" i="11" s="1"/>
  <c r="L11" i="11"/>
  <c r="L33" i="11" s="1"/>
  <c r="J11" i="11"/>
  <c r="I11" i="11"/>
  <c r="I24" i="11" s="1"/>
  <c r="G11" i="11"/>
  <c r="G24" i="11" s="1"/>
  <c r="F11" i="11"/>
  <c r="F29" i="11" s="1"/>
  <c r="D11" i="11"/>
  <c r="D24" i="11" s="1"/>
  <c r="C11" i="11"/>
  <c r="C29" i="11" s="1"/>
  <c r="BF10" i="11"/>
  <c r="BE10" i="11"/>
  <c r="BC10" i="11"/>
  <c r="BC26" i="11" s="1"/>
  <c r="BB10" i="11"/>
  <c r="AZ10" i="11"/>
  <c r="AY10" i="11"/>
  <c r="AY25" i="11" s="1"/>
  <c r="AW10" i="11"/>
  <c r="AV10" i="11"/>
  <c r="AV26" i="11" s="1"/>
  <c r="AU10" i="11"/>
  <c r="AT10" i="11"/>
  <c r="AS10" i="11"/>
  <c r="AQ10" i="11"/>
  <c r="AQ25" i="11" s="1"/>
  <c r="AP10" i="11"/>
  <c r="AN10" i="11"/>
  <c r="AM10" i="11"/>
  <c r="AK10" i="11"/>
  <c r="AK26" i="11" s="1"/>
  <c r="AJ10" i="11"/>
  <c r="AH10" i="11"/>
  <c r="AH26" i="11" s="1"/>
  <c r="AG10" i="11"/>
  <c r="AG26" i="11" s="1"/>
  <c r="AE10" i="11"/>
  <c r="AE25" i="11" s="1"/>
  <c r="AD10" i="11"/>
  <c r="AC10" i="11"/>
  <c r="AC26" i="11" s="1"/>
  <c r="Y10" i="11"/>
  <c r="Y26" i="11" s="1"/>
  <c r="X10" i="11"/>
  <c r="V10" i="11"/>
  <c r="U10" i="11"/>
  <c r="U25" i="11" s="1"/>
  <c r="S10" i="11"/>
  <c r="S26" i="11" s="1"/>
  <c r="R10" i="11"/>
  <c r="R26" i="11" s="1"/>
  <c r="M10" i="11"/>
  <c r="L10" i="11"/>
  <c r="L25" i="11" s="1"/>
  <c r="J10" i="11"/>
  <c r="J25" i="11" s="1"/>
  <c r="I10" i="11"/>
  <c r="G10" i="11"/>
  <c r="G26" i="11" s="1"/>
  <c r="F10" i="11"/>
  <c r="F26" i="11" s="1"/>
  <c r="D10" i="11"/>
  <c r="C10" i="11"/>
  <c r="BF8" i="11"/>
  <c r="BE8" i="11"/>
  <c r="BC8" i="11"/>
  <c r="BB8" i="11"/>
  <c r="AW8" i="11"/>
  <c r="AV8" i="11"/>
  <c r="AU8" i="11"/>
  <c r="AT8" i="11"/>
  <c r="AS8" i="11"/>
  <c r="AN8" i="11"/>
  <c r="AM8" i="11"/>
  <c r="AE8" i="11"/>
  <c r="AD8" i="11"/>
  <c r="AC8" i="11"/>
  <c r="X8" i="11"/>
  <c r="J8" i="11"/>
  <c r="I8" i="11"/>
  <c r="BF7" i="11"/>
  <c r="BF27" i="11" s="1"/>
  <c r="BE7" i="11"/>
  <c r="BC7" i="11"/>
  <c r="BB7" i="11"/>
  <c r="BB27" i="11" s="1"/>
  <c r="AW7" i="11"/>
  <c r="AV7" i="11"/>
  <c r="AU7" i="11"/>
  <c r="AT7" i="11"/>
  <c r="AS7" i="11"/>
  <c r="AQ7" i="11"/>
  <c r="AP7" i="11"/>
  <c r="AN7" i="11"/>
  <c r="AN27" i="11" s="1"/>
  <c r="AM7" i="11"/>
  <c r="AK7" i="11"/>
  <c r="AJ7" i="11"/>
  <c r="AE7" i="11"/>
  <c r="AD7" i="11"/>
  <c r="AC7" i="11"/>
  <c r="BF6" i="11"/>
  <c r="BE6" i="11"/>
  <c r="BC6" i="11"/>
  <c r="BB6" i="11"/>
  <c r="AW6" i="11"/>
  <c r="AV6" i="11"/>
  <c r="AU6" i="11"/>
  <c r="AQ6" i="11"/>
  <c r="AP6" i="11"/>
  <c r="AN6" i="11"/>
  <c r="AM6" i="11"/>
  <c r="AK6" i="11"/>
  <c r="AJ6" i="11"/>
  <c r="AH6" i="11"/>
  <c r="AG6" i="11"/>
  <c r="AE6" i="11"/>
  <c r="AD6" i="11"/>
  <c r="AC6" i="11"/>
  <c r="Y6" i="11"/>
  <c r="X6" i="11"/>
  <c r="V6" i="11"/>
  <c r="U6" i="11"/>
  <c r="S6" i="11"/>
  <c r="R6" i="11"/>
  <c r="J6" i="11"/>
  <c r="I6" i="11"/>
  <c r="G6" i="11"/>
  <c r="F6" i="11"/>
  <c r="BF5" i="11"/>
  <c r="BE5" i="11"/>
  <c r="BC5" i="11"/>
  <c r="BB5" i="11"/>
  <c r="AZ5" i="11"/>
  <c r="AY5" i="11"/>
  <c r="AW5" i="11"/>
  <c r="AV5" i="11"/>
  <c r="AU5" i="11"/>
  <c r="AT5" i="11"/>
  <c r="AS5" i="11"/>
  <c r="AQ5" i="11"/>
  <c r="AP5" i="11"/>
  <c r="AN5" i="11"/>
  <c r="AM5" i="11"/>
  <c r="AK5" i="11"/>
  <c r="AJ5" i="11"/>
  <c r="AH5" i="11"/>
  <c r="AG5" i="11"/>
  <c r="AE5" i="11"/>
  <c r="AD5" i="11"/>
  <c r="AC5" i="11"/>
  <c r="Y5" i="11"/>
  <c r="X5" i="11"/>
  <c r="V5" i="11"/>
  <c r="U5" i="11"/>
  <c r="S5" i="11"/>
  <c r="R5" i="11"/>
  <c r="M5" i="11"/>
  <c r="L5" i="11"/>
  <c r="J5" i="11"/>
  <c r="I5" i="11"/>
  <c r="G5" i="11"/>
  <c r="F5" i="11"/>
  <c r="D5" i="11"/>
  <c r="C5" i="11"/>
  <c r="BF4" i="11"/>
  <c r="BE4" i="11"/>
  <c r="BC4" i="11"/>
  <c r="BB4" i="11"/>
  <c r="AZ4" i="11"/>
  <c r="AY4" i="11"/>
  <c r="AW4" i="11"/>
  <c r="AV4" i="11"/>
  <c r="AU4" i="11"/>
  <c r="AT4" i="11"/>
  <c r="AS4" i="11"/>
  <c r="AQ4" i="11"/>
  <c r="AP4" i="11"/>
  <c r="AN4" i="11"/>
  <c r="AM4" i="11"/>
  <c r="AK4" i="11"/>
  <c r="AJ4" i="11"/>
  <c r="AH4" i="11"/>
  <c r="AG4" i="11"/>
  <c r="AE4" i="11"/>
  <c r="AD4" i="11"/>
  <c r="AC4" i="11"/>
  <c r="Y4" i="11"/>
  <c r="X4" i="11"/>
  <c r="V4" i="11"/>
  <c r="U4" i="11"/>
  <c r="S4" i="11"/>
  <c r="R4" i="11"/>
  <c r="M4" i="11"/>
  <c r="L4" i="11"/>
  <c r="J4" i="11"/>
  <c r="I4" i="11"/>
  <c r="G4" i="11"/>
  <c r="F4" i="11"/>
  <c r="D4" i="11"/>
  <c r="C4" i="11"/>
  <c r="BF3" i="11"/>
  <c r="BE3" i="11"/>
  <c r="BC3" i="11"/>
  <c r="BB3" i="11"/>
  <c r="AZ3" i="11"/>
  <c r="AY3" i="11"/>
  <c r="AW3" i="11"/>
  <c r="AV3" i="11"/>
  <c r="AU3" i="11"/>
  <c r="AT3" i="11"/>
  <c r="AS3" i="11"/>
  <c r="AQ3" i="11"/>
  <c r="AP3" i="11"/>
  <c r="AN3" i="11"/>
  <c r="AM3" i="11"/>
  <c r="AK3" i="11"/>
  <c r="AJ3" i="11"/>
  <c r="AH3" i="11"/>
  <c r="AG3" i="11"/>
  <c r="Y3" i="11"/>
  <c r="X3" i="11"/>
  <c r="V3" i="11"/>
  <c r="U3" i="11"/>
  <c r="S3" i="11"/>
  <c r="R3" i="11"/>
  <c r="M3" i="11"/>
  <c r="L3" i="11"/>
  <c r="J3" i="11"/>
  <c r="I3" i="11"/>
  <c r="G3" i="11"/>
  <c r="F3" i="11"/>
  <c r="D3" i="11"/>
  <c r="C3" i="11"/>
  <c r="CR23" i="7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7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CX10" i="3"/>
  <c r="CX11" i="5"/>
  <c r="CX9" i="5"/>
  <c r="AF9" i="7" l="1"/>
  <c r="T9" i="11"/>
  <c r="BC27" i="11"/>
  <c r="V25" i="11"/>
  <c r="G9" i="11"/>
  <c r="V9" i="11"/>
  <c r="AE27" i="11"/>
  <c r="AK35" i="11"/>
  <c r="AJ27" i="11"/>
  <c r="AQ27" i="11"/>
  <c r="BB25" i="11"/>
  <c r="AT33" i="11"/>
  <c r="M25" i="11"/>
  <c r="AC27" i="11"/>
  <c r="J9" i="11"/>
  <c r="Y9" i="11"/>
  <c r="AS27" i="11"/>
  <c r="BF34" i="11"/>
  <c r="AJ32" i="11"/>
  <c r="AY9" i="11"/>
  <c r="AT27" i="11"/>
  <c r="AY26" i="11"/>
  <c r="AD33" i="11"/>
  <c r="AN33" i="11"/>
  <c r="R35" i="11"/>
  <c r="AE34" i="11"/>
  <c r="AT32" i="11"/>
  <c r="I9" i="11"/>
  <c r="BF32" i="11"/>
  <c r="M9" i="11"/>
  <c r="S9" i="11"/>
  <c r="AW27" i="11"/>
  <c r="C25" i="11"/>
  <c r="AW38" i="11"/>
  <c r="AN32" i="11"/>
  <c r="AH32" i="11"/>
  <c r="D32" i="11"/>
  <c r="AJ33" i="11"/>
  <c r="F32" i="11"/>
  <c r="AQ29" i="11"/>
  <c r="BB34" i="11"/>
  <c r="AV25" i="11"/>
  <c r="S28" i="11"/>
  <c r="AT29" i="11"/>
  <c r="AM9" i="11"/>
  <c r="Y25" i="11"/>
  <c r="L24" i="11"/>
  <c r="U24" i="11"/>
  <c r="AK24" i="11"/>
  <c r="U26" i="11"/>
  <c r="U28" i="11"/>
  <c r="G29" i="11"/>
  <c r="AD32" i="11"/>
  <c r="F9" i="11"/>
  <c r="AN9" i="11"/>
  <c r="AT9" i="11"/>
  <c r="AG34" i="11"/>
  <c r="AQ34" i="11"/>
  <c r="G25" i="11"/>
  <c r="AE26" i="11"/>
  <c r="AY29" i="11"/>
  <c r="AV32" i="11"/>
  <c r="D9" i="11"/>
  <c r="AZ9" i="11"/>
  <c r="C9" i="11"/>
  <c r="R9" i="11"/>
  <c r="X9" i="11"/>
  <c r="AE9" i="11"/>
  <c r="AK9" i="11"/>
  <c r="AP27" i="11"/>
  <c r="BC9" i="11"/>
  <c r="X24" i="11"/>
  <c r="BC25" i="11"/>
  <c r="F28" i="11"/>
  <c r="U9" i="11"/>
  <c r="AC9" i="11"/>
  <c r="AH9" i="11"/>
  <c r="AG9" i="11"/>
  <c r="AQ9" i="11"/>
  <c r="BE9" i="11"/>
  <c r="D25" i="11"/>
  <c r="C24" i="11"/>
  <c r="C26" i="11"/>
  <c r="Y27" i="11"/>
  <c r="I28" i="11"/>
  <c r="AM25" i="11"/>
  <c r="AS25" i="11"/>
  <c r="AG29" i="11"/>
  <c r="L9" i="11"/>
  <c r="AD9" i="11"/>
  <c r="BE25" i="11"/>
  <c r="F24" i="11"/>
  <c r="AG25" i="11"/>
  <c r="AD26" i="11"/>
  <c r="AD25" i="11"/>
  <c r="BB35" i="11"/>
  <c r="AZ26" i="11"/>
  <c r="AZ25" i="11"/>
  <c r="C27" i="11"/>
  <c r="C28" i="11"/>
  <c r="AQ26" i="11"/>
  <c r="AM27" i="11"/>
  <c r="BE27" i="11"/>
  <c r="BB28" i="11"/>
  <c r="AS29" i="11"/>
  <c r="D33" i="11"/>
  <c r="AP33" i="11"/>
  <c r="AZ33" i="11"/>
  <c r="G34" i="11"/>
  <c r="V34" i="11"/>
  <c r="AV34" i="11"/>
  <c r="C35" i="11"/>
  <c r="AE35" i="11"/>
  <c r="AN26" i="11"/>
  <c r="AN25" i="11"/>
  <c r="M35" i="11"/>
  <c r="AP26" i="11"/>
  <c r="AP25" i="11"/>
  <c r="AU26" i="11"/>
  <c r="AU25" i="11"/>
  <c r="BF26" i="11"/>
  <c r="BF25" i="11"/>
  <c r="J33" i="11"/>
  <c r="J29" i="11"/>
  <c r="R27" i="11"/>
  <c r="R28" i="11"/>
  <c r="AS9" i="11"/>
  <c r="AW9" i="11"/>
  <c r="AH29" i="11"/>
  <c r="AH24" i="11"/>
  <c r="S24" i="11"/>
  <c r="J26" i="11"/>
  <c r="AS26" i="11"/>
  <c r="AD27" i="11"/>
  <c r="AK28" i="11"/>
  <c r="I29" i="11"/>
  <c r="S29" i="11"/>
  <c r="F33" i="11"/>
  <c r="AK32" i="11"/>
  <c r="M33" i="11"/>
  <c r="BB33" i="11"/>
  <c r="I34" i="11"/>
  <c r="X34" i="11"/>
  <c r="AK34" i="11"/>
  <c r="AG35" i="11"/>
  <c r="AQ35" i="11"/>
  <c r="I26" i="11"/>
  <c r="I25" i="11"/>
  <c r="AD29" i="11"/>
  <c r="AD24" i="11"/>
  <c r="AM34" i="11"/>
  <c r="AS34" i="11"/>
  <c r="AW34" i="11"/>
  <c r="BC34" i="11"/>
  <c r="Y24" i="11"/>
  <c r="AN24" i="11"/>
  <c r="AH25" i="11"/>
  <c r="AW25" i="11"/>
  <c r="BB26" i="11"/>
  <c r="AG27" i="11"/>
  <c r="M28" i="11"/>
  <c r="U29" i="11"/>
  <c r="BB29" i="11"/>
  <c r="AG32" i="11"/>
  <c r="AG33" i="11"/>
  <c r="AQ32" i="11"/>
  <c r="AQ33" i="11"/>
  <c r="AW33" i="11"/>
  <c r="AW32" i="11"/>
  <c r="BC32" i="11"/>
  <c r="BC33" i="11"/>
  <c r="C33" i="11"/>
  <c r="AE33" i="11"/>
  <c r="AS35" i="11"/>
  <c r="BC35" i="11"/>
  <c r="AJ26" i="11"/>
  <c r="AJ25" i="11"/>
  <c r="BF29" i="11"/>
  <c r="BF24" i="11"/>
  <c r="D34" i="11"/>
  <c r="D35" i="11"/>
  <c r="J28" i="11"/>
  <c r="J34" i="11"/>
  <c r="J35" i="11"/>
  <c r="S34" i="11"/>
  <c r="S35" i="11"/>
  <c r="Y34" i="11"/>
  <c r="Y35" i="11"/>
  <c r="AY34" i="11"/>
  <c r="AY35" i="11"/>
  <c r="BE34" i="11"/>
  <c r="BE35" i="11"/>
  <c r="AZ24" i="11"/>
  <c r="AY27" i="11"/>
  <c r="AM33" i="11"/>
  <c r="AM32" i="11"/>
  <c r="AS33" i="11"/>
  <c r="AS32" i="11"/>
  <c r="AY33" i="11"/>
  <c r="BE33" i="11"/>
  <c r="BE32" i="11"/>
  <c r="AY32" i="11"/>
  <c r="AP34" i="11"/>
  <c r="AZ34" i="11"/>
  <c r="G35" i="11"/>
  <c r="V35" i="11"/>
  <c r="AV35" i="11"/>
  <c r="AK27" i="11"/>
  <c r="AJ9" i="11"/>
  <c r="F34" i="11"/>
  <c r="F35" i="11"/>
  <c r="L34" i="11"/>
  <c r="L35" i="11"/>
  <c r="U34" i="11"/>
  <c r="U35" i="11"/>
  <c r="AC34" i="11"/>
  <c r="AC35" i="11"/>
  <c r="AC28" i="11"/>
  <c r="AH34" i="11"/>
  <c r="AH35" i="11"/>
  <c r="AH28" i="11"/>
  <c r="AC24" i="11"/>
  <c r="AJ24" i="11"/>
  <c r="AP24" i="11"/>
  <c r="AU24" i="11"/>
  <c r="AC25" i="11"/>
  <c r="AK25" i="11"/>
  <c r="M26" i="11"/>
  <c r="AE28" i="11"/>
  <c r="M29" i="11"/>
  <c r="Y29" i="11"/>
  <c r="G32" i="11"/>
  <c r="AU33" i="11"/>
  <c r="BF33" i="11"/>
  <c r="M34" i="11"/>
  <c r="I35" i="11"/>
  <c r="X35" i="11"/>
  <c r="AT26" i="11"/>
  <c r="AT25" i="11"/>
  <c r="AV27" i="11"/>
  <c r="AP9" i="11"/>
  <c r="AU9" i="11"/>
  <c r="BF9" i="11"/>
  <c r="R29" i="11"/>
  <c r="R24" i="11"/>
  <c r="AD35" i="11"/>
  <c r="AD28" i="11"/>
  <c r="AD34" i="11"/>
  <c r="AJ35" i="11"/>
  <c r="AJ28" i="11"/>
  <c r="AJ34" i="11"/>
  <c r="AN35" i="11"/>
  <c r="AN28" i="11"/>
  <c r="AN34" i="11"/>
  <c r="AT35" i="11"/>
  <c r="AT34" i="11"/>
  <c r="AV24" i="11"/>
  <c r="F25" i="11"/>
  <c r="J27" i="11"/>
  <c r="AH27" i="11"/>
  <c r="AG28" i="11"/>
  <c r="AQ28" i="11"/>
  <c r="AY28" i="11"/>
  <c r="AW29" i="11"/>
  <c r="BC29" i="11"/>
  <c r="C32" i="11"/>
  <c r="AC33" i="11"/>
  <c r="AH33" i="11"/>
  <c r="G33" i="11"/>
  <c r="V33" i="11"/>
  <c r="AV33" i="11"/>
  <c r="C34" i="11"/>
  <c r="R34" i="11"/>
  <c r="AU38" i="11"/>
  <c r="AV9" i="11"/>
  <c r="BB9" i="11"/>
  <c r="AP28" i="11"/>
  <c r="AP35" i="11"/>
  <c r="AZ28" i="11"/>
  <c r="AZ27" i="11"/>
  <c r="AZ35" i="11"/>
  <c r="BF28" i="11"/>
  <c r="BF35" i="11"/>
  <c r="J24" i="11"/>
  <c r="AE24" i="11"/>
  <c r="AW26" i="11"/>
  <c r="L27" i="11"/>
  <c r="G28" i="11"/>
  <c r="AS28" i="11"/>
  <c r="I33" i="11"/>
  <c r="AK33" i="11"/>
  <c r="AM35" i="11"/>
  <c r="AW35" i="11"/>
  <c r="AV38" i="11"/>
  <c r="U3" i="1"/>
  <c r="U4" i="1"/>
  <c r="U5" i="1"/>
  <c r="U6" i="1"/>
  <c r="U7" i="1"/>
  <c r="U9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K53" i="2"/>
  <c r="B40" i="2"/>
  <c r="D40" i="2"/>
  <c r="C40" i="2"/>
  <c r="E40" i="2"/>
  <c r="F40" i="2"/>
  <c r="G40" i="2"/>
  <c r="H40" i="2"/>
  <c r="I40" i="2"/>
  <c r="J40" i="2"/>
  <c r="O40" i="2"/>
  <c r="P40" i="2"/>
  <c r="R40" i="2"/>
  <c r="S40" i="2"/>
  <c r="T40" i="2"/>
  <c r="L40" i="2"/>
  <c r="M40" i="2"/>
  <c r="K40" i="2"/>
  <c r="R41" i="2"/>
  <c r="S41" i="2"/>
  <c r="T41" i="2"/>
  <c r="O41" i="2"/>
  <c r="P41" i="2"/>
  <c r="B41" i="2"/>
  <c r="D41" i="2"/>
  <c r="C41" i="2"/>
  <c r="E41" i="2"/>
  <c r="F41" i="2"/>
  <c r="G41" i="2"/>
  <c r="H41" i="2"/>
  <c r="I41" i="2"/>
  <c r="J41" i="2"/>
  <c r="M41" i="2"/>
  <c r="L41" i="2"/>
  <c r="K41" i="2"/>
  <c r="K54" i="10" l="1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7" i="7"/>
  <c r="O27" i="7"/>
  <c r="N27" i="7"/>
  <c r="M27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D29" i="7"/>
  <c r="CD28" i="7"/>
  <c r="CH26" i="7"/>
  <c r="CG26" i="7"/>
  <c r="CF26" i="7"/>
  <c r="CD26" i="7"/>
  <c r="CH25" i="7"/>
  <c r="CG25" i="7"/>
  <c r="CF25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AU12" i="11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5" i="5"/>
  <c r="BJ14" i="5"/>
  <c r="BJ7" i="5"/>
  <c r="N7" i="1"/>
  <c r="N7" i="2" s="1"/>
  <c r="BJ8" i="5" s="1"/>
  <c r="N51" i="2"/>
  <c r="BJ10" i="3"/>
  <c r="BJ13" i="3"/>
  <c r="N19" i="2"/>
  <c r="BJ13" i="5" s="1"/>
  <c r="N18" i="2"/>
  <c r="N17" i="2"/>
  <c r="N16" i="2"/>
  <c r="N15" i="2"/>
  <c r="N14" i="2"/>
  <c r="N13" i="2"/>
  <c r="N12" i="2"/>
  <c r="N11" i="2"/>
  <c r="N9" i="2"/>
  <c r="N43" i="2" s="1"/>
  <c r="N5" i="2"/>
  <c r="BJ6" i="5" s="1"/>
  <c r="N4" i="2"/>
  <c r="BJ5" i="5" s="1"/>
  <c r="N3" i="2"/>
  <c r="BJ4" i="5" s="1"/>
  <c r="N2" i="2"/>
  <c r="BJ3" i="5" s="1"/>
  <c r="AL3" i="11" s="1"/>
  <c r="N9" i="4"/>
  <c r="Q9" i="4"/>
  <c r="N8" i="1"/>
  <c r="N8" i="2" s="1"/>
  <c r="N23" i="1"/>
  <c r="N22" i="1"/>
  <c r="N17" i="1"/>
  <c r="N18" i="1"/>
  <c r="Q10" i="4"/>
  <c r="H14" i="4"/>
  <c r="H12" i="4"/>
  <c r="H13" i="4"/>
  <c r="H11" i="4"/>
  <c r="H3" i="4"/>
  <c r="H4" i="4"/>
  <c r="H5" i="4"/>
  <c r="H6" i="4"/>
  <c r="H7" i="4"/>
  <c r="H8" i="4"/>
  <c r="H2" i="4"/>
  <c r="H22" i="1"/>
  <c r="U22" i="1" s="1"/>
  <c r="Q8" i="1"/>
  <c r="K8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AA35" i="5"/>
  <c r="AB35" i="5"/>
  <c r="AC35" i="5"/>
  <c r="AD35" i="5"/>
  <c r="AE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C8" i="3"/>
  <c r="D8" i="3"/>
  <c r="E8" i="3"/>
  <c r="F8" i="3"/>
  <c r="B8" i="3"/>
  <c r="Q44" i="2" l="1"/>
  <c r="U8" i="1"/>
  <c r="H10" i="1"/>
  <c r="AU28" i="11"/>
  <c r="AU35" i="11"/>
  <c r="AU27" i="11"/>
  <c r="AU34" i="11"/>
  <c r="BJ5" i="7"/>
  <c r="AL5" i="11"/>
  <c r="BJ6" i="7"/>
  <c r="AL6" i="11"/>
  <c r="BJ8" i="7"/>
  <c r="AL8" i="11"/>
  <c r="BJ13" i="7"/>
  <c r="AL13" i="11"/>
  <c r="BJ14" i="7"/>
  <c r="AL14" i="11"/>
  <c r="AL32" i="11" s="1"/>
  <c r="BJ15" i="7"/>
  <c r="AL15" i="11"/>
  <c r="BJ7" i="7"/>
  <c r="AL7" i="11"/>
  <c r="BJ16" i="7"/>
  <c r="AL16" i="11"/>
  <c r="BY32" i="5"/>
  <c r="AU14" i="11"/>
  <c r="AU32" i="11" s="1"/>
  <c r="BJ4" i="7"/>
  <c r="AL4" i="11"/>
  <c r="BJ10" i="5"/>
  <c r="BJ26" i="5" s="1"/>
  <c r="N41" i="2"/>
  <c r="N40" i="2"/>
  <c r="Q52" i="2"/>
  <c r="Q41" i="2"/>
  <c r="Q40" i="2"/>
  <c r="Q43" i="2"/>
  <c r="Q42" i="2"/>
  <c r="BY12" i="5"/>
  <c r="BY35" i="5" s="1"/>
  <c r="Q45" i="2"/>
  <c r="Q57" i="2"/>
  <c r="CA28" i="5"/>
  <c r="CA35" i="5"/>
  <c r="CB27" i="5"/>
  <c r="BZ35" i="5"/>
  <c r="CA27" i="5"/>
  <c r="CB34" i="5"/>
  <c r="BY26" i="5"/>
  <c r="BZ34" i="5"/>
  <c r="K49" i="2"/>
  <c r="AU3" i="5"/>
  <c r="BJ32" i="5"/>
  <c r="N28" i="2"/>
  <c r="N53" i="2" s="1"/>
  <c r="BJ3" i="7"/>
  <c r="BJ9" i="5"/>
  <c r="BZ28" i="5"/>
  <c r="N52" i="2"/>
  <c r="BJ31" i="7"/>
  <c r="BJ11" i="5"/>
  <c r="AL11" i="11" s="1"/>
  <c r="K48" i="2"/>
  <c r="Q49" i="2"/>
  <c r="N46" i="2"/>
  <c r="Q46" i="2"/>
  <c r="N54" i="10"/>
  <c r="N53" i="10"/>
  <c r="N45" i="10"/>
  <c r="N52" i="10"/>
  <c r="Q52" i="10"/>
  <c r="Q41" i="10"/>
  <c r="N42" i="10"/>
  <c r="H10" i="4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I47" i="2"/>
  <c r="J47" i="2"/>
  <c r="E47" i="2"/>
  <c r="C47" i="2"/>
  <c r="D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K30" i="5"/>
  <c r="J30" i="5"/>
  <c r="I30" i="5"/>
  <c r="H30" i="5"/>
  <c r="P30" i="5"/>
  <c r="O30" i="5"/>
  <c r="N30" i="5"/>
  <c r="M30" i="5"/>
  <c r="BI30" i="5"/>
  <c r="BS30" i="5"/>
  <c r="BR30" i="5"/>
  <c r="BX30" i="5"/>
  <c r="BV30" i="5"/>
  <c r="BU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U10" i="1" l="1"/>
  <c r="H10" i="2"/>
  <c r="BY27" i="5"/>
  <c r="BY28" i="5"/>
  <c r="BJ9" i="7"/>
  <c r="AL9" i="11"/>
  <c r="BJ25" i="5"/>
  <c r="AL10" i="11"/>
  <c r="AL29" i="11"/>
  <c r="AL33" i="11"/>
  <c r="AL24" i="11"/>
  <c r="BJ10" i="7"/>
  <c r="BJ26" i="7" s="1"/>
  <c r="BY34" i="5"/>
  <c r="CY9" i="7"/>
  <c r="N45" i="2"/>
  <c r="BJ12" i="5"/>
  <c r="N54" i="2"/>
  <c r="BJ18" i="3"/>
  <c r="BJ29" i="5"/>
  <c r="BJ11" i="7"/>
  <c r="BJ33" i="7" s="1"/>
  <c r="BJ24" i="5"/>
  <c r="BJ32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H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AL26" i="11" l="1"/>
  <c r="AL25" i="11"/>
  <c r="BJ20" i="3"/>
  <c r="AL12" i="11"/>
  <c r="BJ25" i="7"/>
  <c r="BJ34" i="5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E32" i="7" s="1"/>
  <c r="CF14" i="7"/>
  <c r="CF32" i="7" s="1"/>
  <c r="CG14" i="7"/>
  <c r="CH14" i="7"/>
  <c r="CH32" i="7" s="1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9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M12" i="5"/>
  <c r="CM20" i="3" s="1"/>
  <c r="CL12" i="5"/>
  <c r="CL20" i="3" s="1"/>
  <c r="CK12" i="5"/>
  <c r="CJ12" i="5"/>
  <c r="CH33" i="7" l="1"/>
  <c r="CH29" i="7"/>
  <c r="CH24" i="7"/>
  <c r="CG29" i="7"/>
  <c r="CG33" i="7"/>
  <c r="CG24" i="7"/>
  <c r="CF33" i="7"/>
  <c r="CF24" i="7"/>
  <c r="CF29" i="7"/>
  <c r="CE33" i="7"/>
  <c r="CE29" i="7"/>
  <c r="CE24" i="7"/>
  <c r="CE26" i="7"/>
  <c r="CE25" i="7"/>
  <c r="AL35" i="11"/>
  <c r="AL34" i="11"/>
  <c r="AL28" i="11"/>
  <c r="AL27" i="11"/>
  <c r="AU30" i="7"/>
  <c r="AC30" i="11"/>
  <c r="BJ27" i="7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34" i="7" s="1"/>
  <c r="CF20" i="3"/>
  <c r="CO11" i="7"/>
  <c r="CO18" i="3"/>
  <c r="BD9" i="7"/>
  <c r="CG12" i="7"/>
  <c r="CG35" i="7" s="1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X9" i="5"/>
  <c r="AY9" i="5"/>
  <c r="AW12" i="5"/>
  <c r="AW9" i="5"/>
  <c r="AV12" i="5"/>
  <c r="AV9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K42" i="2" s="1"/>
  <c r="L47" i="2"/>
  <c r="M47" i="2"/>
  <c r="N47" i="2"/>
  <c r="N42" i="2" s="1"/>
  <c r="O47" i="2"/>
  <c r="P47" i="2"/>
  <c r="R47" i="2"/>
  <c r="S47" i="2"/>
  <c r="T47" i="2"/>
  <c r="D28" i="2"/>
  <c r="C28" i="2"/>
  <c r="E28" i="2"/>
  <c r="F28" i="2"/>
  <c r="G28" i="2"/>
  <c r="I28" i="2"/>
  <c r="J28" i="2"/>
  <c r="S28" i="2"/>
  <c r="T28" i="2"/>
  <c r="B28" i="2"/>
  <c r="D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CH27" i="7" l="1"/>
  <c r="CH28" i="7"/>
  <c r="CH35" i="7"/>
  <c r="CH34" i="7"/>
  <c r="CG34" i="7"/>
  <c r="CG28" i="7"/>
  <c r="CG27" i="7"/>
  <c r="CF27" i="7"/>
  <c r="CF28" i="7"/>
  <c r="CF35" i="7"/>
  <c r="CE27" i="7"/>
  <c r="CE28" i="7"/>
  <c r="CE34" i="7"/>
  <c r="CE35" i="7"/>
  <c r="CC35" i="7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tc={7A93F710-17C9-4443-B90F-E4F1B2CA3D95}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R2" authorId="1" shapeId="0" xr:uid="{7A93F710-17C9-4443-B90F-E4F1B2CA3D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Premiaçao</t>
      </text>
    </comment>
    <comment ref="K14" authorId="2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3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4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5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6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  <author>tc={4DED4C1A-18DC-4E39-972D-8DB5E1366E32}</author>
    <author>tc={A6F387F9-E889-49BF-A167-6D684CBFA79D}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8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9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0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1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2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3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4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5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6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tc={089C8636-CE6C-4FF5-99D7-498C66FF2755}</author>
    <author>tc={7F254369-2AA9-445C-A011-13B07DA93976}</author>
    <author>tc={58A32E58-0A35-4246-A6D8-0ADEE18F8C37}</author>
    <author>tc={08A3597C-4A85-4A2F-9AAF-96EC8E3A3C2E}</author>
    <author>tc={6EFF820E-1B02-48BA-BEEE-7EDFF510B5AD}</author>
    <author>tc={15BB4290-53A1-4245-9659-5FC8055F59C8}</author>
    <author>tc={53CAAFAF-6DD4-4602-9294-1C233E31298B}</author>
    <author>tc={29A572BA-4AA6-4D51-9FD3-B355EF3A880E}</author>
    <author>tc={21464C2C-7EE2-43B8-9491-6463A2B13213}</author>
  </authors>
  <commentList>
    <comment ref="C3" authorId="0" shapeId="0" xr:uid="{089C8636-CE6C-4FF5-99D7-498C66FF27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F3" authorId="1" shapeId="0" xr:uid="{7F254369-2AA9-445C-A011-13B07DA939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2" shapeId="0" xr:uid="{58A32E58-0A35-4246-A6D8-0ADEE18F8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L3" authorId="3" shapeId="0" xr:uid="{08A3597C-4A85-4A2F-9AAF-96EC8E3A3C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G3" authorId="4" shapeId="0" xr:uid="{6EFF820E-1B02-48BA-BEEE-7EDFF510B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J3" authorId="5" shapeId="0" xr:uid="{15BB4290-53A1-4245-9659-5FC8055F59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P3" authorId="6" shapeId="0" xr:uid="{53CAAFAF-6DD4-4602-9294-1C233E31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R6" authorId="7" shapeId="0" xr:uid="{29A572BA-4AA6-4D51-9FD3-B355EF3A88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S6" authorId="8" shapeId="0" xr:uid="{21464C2C-7EE2-43B8-9491-6463A2B132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<sst xmlns="http://schemas.openxmlformats.org/spreadsheetml/2006/main" count="654" uniqueCount="152">
  <si>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</si>
  <si>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</si>
  <si>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</si>
  <si>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</si>
  <si>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</si>
  <si>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</si>
  <si>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</si>
  <si>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</si>
  <si>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</si>
  <si>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</si>
  <si>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</si>
  <si>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</si>
  <si>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</si>
  <si>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</si>
  <si>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</si>
  <si>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</si>
  <si>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</si>
  <si>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</si>
  <si>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</si>
  <si>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</si>
  <si>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</si>
  <si>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</si>
  <si>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</si>
  <si>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</si>
  <si>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</si>
  <si>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</si>
  <si>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</si>
  <si>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</si>
  <si>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</si>
  <si>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</si>
  <si>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</si>
  <si>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</si>
  <si>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</si>
  <si>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</si>
  <si>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</si>
  <si>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</si>
  <si>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</si>
  <si>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</si>
  <si>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</si>
  <si>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</si>
  <si>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</si>
  <si>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</si>
  <si>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</si>
  <si>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</si>
  <si>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</si>
  <si>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</si>
  <si>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</si>
  <si>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</si>
  <si>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</si>
  <si>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</si>
  <si>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</si>
  <si>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</si>
  <si>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</si>
  <si>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</si>
  <si>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</si>
  <si>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</si>
  <si>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</si>
  <si>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</si>
  <si>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</si>
  <si>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</si>
  <si>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</si>
  <si>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</si>
  <si>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</si>
  <si>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</si>
  <si>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</si>
  <si>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</si>
  <si>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</si>
  <si>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</si>
  <si>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</si>
  <si>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</si>
  <si>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</si>
  <si>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</si>
  <si>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</si>
  <si>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</si>
  <si>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</si>
  <si>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</si>
  <si>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</si>
  <si>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</si>
  <si>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</si>
  <si>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</si>
  <si>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</si>
  <si>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</si>
  <si>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</si>
  <si>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</si>
  <si>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</si>
  <si>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</si>
  <si>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</si>
  <si>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</si>
  <si>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</si>
  <si>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</si>
  <si>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</si>
  <si>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</si>
  <si>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</si>
  <si>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</si>
  <si>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</si>
  <si>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</si>
  <si>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</si>
  <si>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</si>
  <si>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</si>
  <si>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</si>
  <si>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</si>
  <si>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</si>
  <si>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</si>
  <si>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</si>
  <si>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</si>
  <si>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</si>
  <si>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</si>
  <si>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</si>
  <si>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</si>
  <si>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</si>
  <si>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</si>
  <si>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</si>
  <si>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</si>
  <si>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</si>
  <si>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</si>
  <si>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</si>
  <si>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</si>
  <si>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</si>
  <si>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</si>
  <si>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</si>
  <si>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</si>
  <si>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</si>
  <si>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</si>
  <si>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</si>
  <si>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</si>
  <si>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</si>
  <si>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</si>
  <si>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</si>
  <si>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</si>
  <si>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</si>
  <si>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</si>
  <si>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</si>
  <si>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</si>
  <si>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</si>
  <si>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</si>
  <si>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</si>
  <si>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</si>
  <si>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</si>
  <si>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</si>
  <si>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</si>
  <si>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</si>
  <si>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</si>
  <si>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</si>
  <si>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</si>
  <si>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</si>
  <si>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</si>
  <si>
    <t>Bilheteria Série A (R$ milhões)</t>
  </si>
  <si>
    <t>Bilheteria média Série A (R$ mil/jogo)</t>
  </si>
  <si>
    <t>Receita c/ Pay-per-View</t>
  </si>
  <si>
    <t>Venda de Direitos - Liga Forte</t>
  </si>
  <si>
    <t>Outras Despesas Operacionais</t>
  </si>
  <si>
    <t>Ajuste - LFF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</si>
</sst>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  <xf numFmtId="3" fontId="0" fillId="3" borderId="0" xfId="0" applyNumberFormat="1" applyFill="1"/>
    <xf numFmtId="3" fontId="1" fillId="3" borderId="0" xfId="0" applyNumberFormat="1" applyFont="1" applyFill="1"/>
    <xf numFmtId="165" fontId="2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R2" dT="2024-04-25T20:25:39.73" personId="{D9C177C2-4820-4A14-BCC5-17B8B37A3BE0}" id="{7A93F710-17C9-4443-B90F-E4F1B2CA3D95}">
    <text>Transmissão + Premiaçao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089C8636-CE6C-4FF5-99D7-498C66FF2755}">
    <text>Inclui premiações</text>
  </threadedComment>
  <threadedComment ref="F3" dT="2024-04-12T23:50:06.34" personId="{D9C177C2-4820-4A14-BCC5-17B8B37A3BE0}" id="{7F254369-2AA9-445C-A011-13B07DA93976}">
    <text>Inclui premiações</text>
  </threadedComment>
  <threadedComment ref="I3" dT="2024-04-12T23:50:06.34" personId="{D9C177C2-4820-4A14-BCC5-17B8B37A3BE0}" id="{58A32E58-0A35-4246-A6D8-0ADEE18F8C37}">
    <text>Inclui premiações</text>
  </threadedComment>
  <threadedComment ref="L3" dT="2024-04-12T23:50:06.34" personId="{D9C177C2-4820-4A14-BCC5-17B8B37A3BE0}" id="{08A3597C-4A85-4A2F-9AAF-96EC8E3A3C2E}">
    <text>Inclui premiações</text>
  </threadedComment>
  <threadedComment ref="AG3" dT="2024-04-13T11:54:30.68" personId="{D9C177C2-4820-4A14-BCC5-17B8B37A3BE0}" id="{6EFF820E-1B02-48BA-BEEE-7EDFF510B5AD}">
    <text>Inclui premiações</text>
  </threadedComment>
  <threadedComment ref="AJ3" dT="2024-04-13T12:53:45.02" personId="{D9C177C2-4820-4A14-BCC5-17B8B37A3BE0}" id="{15BB4290-53A1-4245-9659-5FC8055F59C8}">
    <text>Inclui premiações</text>
  </threadedComment>
  <threadedComment ref="AP3" dT="2024-04-13T16:30:55.08" personId="{D9C177C2-4820-4A14-BCC5-17B8B37A3BE0}" id="{53CAAFAF-6DD4-4602-9294-1C233E31298B}">
    <text>Inclui Premiação</text>
  </threadedComment>
  <threadedComment ref="R6" dT="2024-04-12T19:01:25.10" personId="{D9C177C2-4820-4A14-BCC5-17B8B37A3BE0}" id="{29A572BA-4AA6-4D51-9FD3-B355EF3A880E}">
    <text>Contempla as 2 próximas Linhas tb.</text>
  </threadedComment>
  <threadedComment ref="S6" dT="2024-04-12T19:01:32.65" personId="{D9C177C2-4820-4A14-BCC5-17B8B37A3BE0}" id="{21464C2C-7EE2-43B8-9491-6463A2B13213}">
    <text>Contempla as 2 próximas Linhas tb.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7"/>
  <sheetViews>
    <sheetView showGridLines="0" zoomScale="110" zoomScaleNormal="11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2" x14ac:dyDescent="0.3">
      <c r="A2" s="1" t="s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17.5+33.5</f>
        <v>51</v>
      </c>
      <c r="I2" s="1">
        <v>0</v>
      </c>
      <c r="J2" s="1">
        <v>0</v>
      </c>
      <c r="K2" s="1">
        <v>326</v>
      </c>
      <c r="L2" s="1">
        <v>0</v>
      </c>
      <c r="M2" s="1">
        <v>0</v>
      </c>
      <c r="N2" s="1">
        <v>193</v>
      </c>
      <c r="O2" s="1">
        <v>0</v>
      </c>
      <c r="P2" s="1">
        <v>0</v>
      </c>
      <c r="Q2" s="1">
        <v>183</v>
      </c>
      <c r="R2" s="1">
        <v>97</v>
      </c>
      <c r="S2" s="1">
        <v>0</v>
      </c>
      <c r="T2" s="1">
        <v>0</v>
      </c>
      <c r="U2" s="1">
        <f>SUM(B2:T2)/COUNTIF(B2:T2,"&gt;0")</f>
        <v>170</v>
      </c>
    </row>
    <row r="3" spans="1:22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>6.9+7.3</f>
        <v>14.2</v>
      </c>
      <c r="I3" s="1">
        <v>0</v>
      </c>
      <c r="J3" s="1">
        <v>0</v>
      </c>
      <c r="K3" s="1">
        <v>183</v>
      </c>
      <c r="L3" s="1">
        <v>0</v>
      </c>
      <c r="M3" s="1">
        <v>0</v>
      </c>
      <c r="N3" s="1">
        <v>74</v>
      </c>
      <c r="O3" s="1">
        <v>0</v>
      </c>
      <c r="P3" s="1">
        <v>0</v>
      </c>
      <c r="Q3" s="1">
        <v>121</v>
      </c>
      <c r="R3" s="1">
        <v>78</v>
      </c>
      <c r="S3" s="1">
        <v>0</v>
      </c>
      <c r="T3" s="1">
        <v>0</v>
      </c>
      <c r="U3" s="1">
        <f t="shared" ref="U3:U26" si="0">SUM(B3:T3)/COUNTIF(B3:T3,"&gt;0")</f>
        <v>94.039999999999992</v>
      </c>
      <c r="V3"/>
    </row>
    <row r="4" spans="1:22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>7.9+3.8</f>
        <v>11.7</v>
      </c>
      <c r="I4" s="1">
        <v>0</v>
      </c>
      <c r="J4" s="1">
        <v>0</v>
      </c>
      <c r="K4" s="1">
        <v>169</v>
      </c>
      <c r="L4" s="1">
        <v>0</v>
      </c>
      <c r="M4" s="1">
        <v>0</v>
      </c>
      <c r="N4" s="1">
        <v>2.4</v>
      </c>
      <c r="O4" s="1">
        <v>0</v>
      </c>
      <c r="P4" s="1">
        <v>0</v>
      </c>
      <c r="Q4" s="1">
        <v>63</v>
      </c>
      <c r="R4" s="1">
        <v>26</v>
      </c>
      <c r="S4" s="1">
        <v>0</v>
      </c>
      <c r="T4" s="1">
        <v>0</v>
      </c>
      <c r="U4" s="1">
        <f t="shared" si="0"/>
        <v>54.42</v>
      </c>
      <c r="V4"/>
    </row>
    <row r="5" spans="1:22" x14ac:dyDescent="0.3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>14+12.9</f>
        <v>26.9</v>
      </c>
      <c r="I5" s="1">
        <v>0</v>
      </c>
      <c r="J5" s="1">
        <v>0</v>
      </c>
      <c r="K5" s="1">
        <v>90</v>
      </c>
      <c r="L5" s="1">
        <v>0</v>
      </c>
      <c r="M5" s="1">
        <v>0</v>
      </c>
      <c r="N5" s="1">
        <v>86</v>
      </c>
      <c r="O5" s="1">
        <v>0</v>
      </c>
      <c r="P5" s="1">
        <v>0</v>
      </c>
      <c r="Q5" s="1">
        <v>59</v>
      </c>
      <c r="R5" s="1">
        <v>0</v>
      </c>
      <c r="S5" s="1">
        <v>0</v>
      </c>
      <c r="T5" s="1">
        <v>0</v>
      </c>
      <c r="U5" s="1">
        <f t="shared" si="0"/>
        <v>65.474999999999994</v>
      </c>
      <c r="V5"/>
    </row>
    <row r="6" spans="1:22" x14ac:dyDescent="0.3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108.5</v>
      </c>
      <c r="V6"/>
    </row>
    <row r="7" spans="1:22" x14ac:dyDescent="0.3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v>0</v>
      </c>
      <c r="P7" s="1">
        <v>0</v>
      </c>
      <c r="Q7" s="1">
        <v>36</v>
      </c>
      <c r="R7" s="1">
        <v>1.4</v>
      </c>
      <c r="S7" s="1">
        <v>0</v>
      </c>
      <c r="T7" s="1">
        <v>0</v>
      </c>
      <c r="U7" s="1">
        <f t="shared" si="0"/>
        <v>31.85</v>
      </c>
      <c r="V7"/>
    </row>
    <row r="8" spans="1:22" x14ac:dyDescent="0.3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>SUM(H23,H3:H7)</f>
        <v>103.80000000000001</v>
      </c>
      <c r="I8" s="1">
        <v>0</v>
      </c>
      <c r="J8" s="1">
        <v>0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v>0</v>
      </c>
      <c r="P8" s="1">
        <v>0</v>
      </c>
      <c r="Q8" s="1">
        <f>SUM(Q2:Q7)</f>
        <v>542</v>
      </c>
      <c r="R8" s="1">
        <f>SUM(R2:R7)</f>
        <v>202.4</v>
      </c>
      <c r="S8" s="1">
        <v>0</v>
      </c>
      <c r="T8" s="1">
        <v>0</v>
      </c>
      <c r="U8" s="1">
        <f t="shared" si="0"/>
        <v>439.71999999999997</v>
      </c>
    </row>
    <row r="9" spans="1:22" x14ac:dyDescent="0.3">
      <c r="A9" s="1" t="s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>12+3.2</f>
        <v>15.2</v>
      </c>
      <c r="I9" s="1">
        <v>0</v>
      </c>
      <c r="J9" s="1">
        <v>0</v>
      </c>
      <c r="K9" s="1">
        <v>303</v>
      </c>
      <c r="L9" s="1">
        <v>0</v>
      </c>
      <c r="M9" s="1">
        <v>0</v>
      </c>
      <c r="N9" s="1">
        <v>50</v>
      </c>
      <c r="O9" s="1">
        <v>0</v>
      </c>
      <c r="P9" s="1">
        <v>0</v>
      </c>
      <c r="Q9" s="1">
        <v>187</v>
      </c>
      <c r="R9" s="1">
        <v>174</v>
      </c>
      <c r="S9" s="1">
        <v>0</v>
      </c>
      <c r="T9" s="1">
        <v>0</v>
      </c>
      <c r="U9" s="1">
        <f t="shared" si="0"/>
        <v>145.84</v>
      </c>
      <c r="V9"/>
    </row>
    <row r="10" spans="1:22" x14ac:dyDescent="0.3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>160-H9-H8</f>
        <v>41</v>
      </c>
      <c r="I10" s="1">
        <v>0</v>
      </c>
      <c r="J10" s="1">
        <v>0</v>
      </c>
      <c r="K10" s="1">
        <v>18</v>
      </c>
      <c r="L10" s="1">
        <v>0</v>
      </c>
      <c r="M10" s="1">
        <v>0</v>
      </c>
      <c r="N10" s="3">
        <f>-(N11-N8-N9)</f>
        <v>12.399999999999977</v>
      </c>
      <c r="O10" s="1">
        <v>0</v>
      </c>
      <c r="P10" s="1">
        <v>0</v>
      </c>
      <c r="Q10" s="1">
        <f>839-SUM(Q8,Q9)</f>
        <v>110</v>
      </c>
      <c r="R10" s="1">
        <f>R11-R8-R9</f>
        <v>47.599999999999994</v>
      </c>
      <c r="S10" s="1">
        <v>0</v>
      </c>
      <c r="T10" s="1">
        <v>0</v>
      </c>
      <c r="U10" s="1">
        <f t="shared" si="0"/>
        <v>45.8</v>
      </c>
    </row>
    <row r="11" spans="1:22" x14ac:dyDescent="0.3">
      <c r="A11" s="1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>95.5+64.6</f>
        <v>160.1</v>
      </c>
      <c r="I11" s="1">
        <v>0</v>
      </c>
      <c r="J11" s="1">
        <v>0</v>
      </c>
      <c r="K11" s="1">
        <v>1316</v>
      </c>
      <c r="L11" s="1">
        <v>0</v>
      </c>
      <c r="M11" s="1">
        <v>0</v>
      </c>
      <c r="N11" s="1">
        <v>424</v>
      </c>
      <c r="O11" s="1">
        <v>0</v>
      </c>
      <c r="P11" s="1">
        <v>0</v>
      </c>
      <c r="Q11" s="1">
        <v>839</v>
      </c>
      <c r="R11" s="1">
        <v>424</v>
      </c>
      <c r="S11" s="1">
        <v>0</v>
      </c>
      <c r="T11" s="1">
        <v>0</v>
      </c>
      <c r="U11" s="1">
        <f t="shared" si="0"/>
        <v>632.62</v>
      </c>
    </row>
    <row r="12" spans="1:22" x14ac:dyDescent="0.3">
      <c r="A12" s="1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>40.6+44.5</f>
        <v>85.1</v>
      </c>
      <c r="I12" s="1">
        <v>0</v>
      </c>
      <c r="J12" s="1">
        <v>0</v>
      </c>
      <c r="K12" s="1">
        <v>339</v>
      </c>
      <c r="L12" s="1">
        <v>0</v>
      </c>
      <c r="M12" s="1">
        <v>0</v>
      </c>
      <c r="N12" s="1">
        <v>128</v>
      </c>
      <c r="O12" s="1">
        <v>0</v>
      </c>
      <c r="P12" s="1">
        <v>0</v>
      </c>
      <c r="Q12" s="1">
        <f>343-24</f>
        <v>319</v>
      </c>
      <c r="R12" s="1">
        <v>147</v>
      </c>
      <c r="S12" s="1">
        <v>0</v>
      </c>
      <c r="T12" s="1">
        <v>0</v>
      </c>
      <c r="U12" s="1">
        <f t="shared" si="0"/>
        <v>203.62</v>
      </c>
    </row>
    <row r="13" spans="1:22" x14ac:dyDescent="0.3">
      <c r="A13" s="1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>15+19</f>
        <v>34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0</v>
      </c>
      <c r="P13" s="1">
        <v>0</v>
      </c>
      <c r="Q13" s="1">
        <v>86</v>
      </c>
      <c r="R13" s="1">
        <v>33</v>
      </c>
      <c r="S13" s="1">
        <v>0</v>
      </c>
      <c r="T13" s="1">
        <v>0</v>
      </c>
      <c r="U13" s="1">
        <f t="shared" si="0"/>
        <v>76</v>
      </c>
    </row>
    <row r="14" spans="1:22" x14ac:dyDescent="0.3">
      <c r="A14" s="1" t="s">
        <v>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>3.2+2.8</f>
        <v>6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0</v>
      </c>
      <c r="P14" s="1">
        <v>0</v>
      </c>
      <c r="Q14" s="1">
        <v>26</v>
      </c>
      <c r="R14" s="1">
        <v>25</v>
      </c>
      <c r="S14" s="1">
        <v>0</v>
      </c>
      <c r="T14" s="1">
        <v>0</v>
      </c>
      <c r="U14" s="1">
        <f t="shared" si="0"/>
        <v>41</v>
      </c>
    </row>
    <row r="15" spans="1:22" x14ac:dyDescent="0.3">
      <c r="A15" s="1" t="s">
        <v>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>35+23</f>
        <v>58</v>
      </c>
      <c r="I15" s="1">
        <v>0</v>
      </c>
      <c r="J15" s="1">
        <v>0</v>
      </c>
      <c r="K15" s="1">
        <v>131</v>
      </c>
      <c r="L15" s="1">
        <v>0</v>
      </c>
      <c r="M15" s="1">
        <v>0</v>
      </c>
      <c r="N15" s="1">
        <v>89</v>
      </c>
      <c r="O15" s="1">
        <v>0</v>
      </c>
      <c r="P15" s="1">
        <v>0</v>
      </c>
      <c r="Q15" s="1">
        <v>86</v>
      </c>
      <c r="R15" s="1">
        <v>59</v>
      </c>
      <c r="S15" s="1">
        <v>0</v>
      </c>
      <c r="T15" s="1">
        <v>0</v>
      </c>
      <c r="U15" s="1">
        <f t="shared" si="0"/>
        <v>84.6</v>
      </c>
    </row>
    <row r="16" spans="1:22" x14ac:dyDescent="0.3">
      <c r="A16" s="1" t="s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0</v>
      </c>
      <c r="P16" s="1">
        <v>0</v>
      </c>
      <c r="Q16" s="1">
        <v>106</v>
      </c>
      <c r="R16" s="1">
        <f>47+2+0.5</f>
        <v>49.5</v>
      </c>
      <c r="S16" s="1">
        <v>0</v>
      </c>
      <c r="T16" s="1">
        <v>0</v>
      </c>
      <c r="U16" s="1">
        <f t="shared" si="0"/>
        <v>72.240000000000009</v>
      </c>
    </row>
    <row r="17" spans="1:21" x14ac:dyDescent="0.3">
      <c r="A17" s="1" t="s">
        <v>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>208-SUM(H12:H16)</f>
        <v>24.5</v>
      </c>
      <c r="I17" s="1">
        <v>0</v>
      </c>
      <c r="J17" s="1">
        <v>0</v>
      </c>
      <c r="K17" s="1">
        <v>34</v>
      </c>
      <c r="L17" s="1">
        <v>0</v>
      </c>
      <c r="M17" s="1">
        <v>0</v>
      </c>
      <c r="N17" s="1">
        <f>458-SUM(N12:N16)</f>
        <v>109.69999999999999</v>
      </c>
      <c r="O17" s="1">
        <v>0</v>
      </c>
      <c r="P17" s="1">
        <v>0</v>
      </c>
      <c r="Q17" s="1">
        <f>Q18-SUM(Q12:Q16)</f>
        <v>154</v>
      </c>
      <c r="R17" s="1">
        <f>R18-SUM(R12:R16)</f>
        <v>105.5</v>
      </c>
      <c r="S17" s="1">
        <v>0</v>
      </c>
      <c r="T17" s="1">
        <v>0</v>
      </c>
      <c r="U17" s="1">
        <f t="shared" si="0"/>
        <v>85.539999999999992</v>
      </c>
    </row>
    <row r="18" spans="1:21" x14ac:dyDescent="0.3">
      <c r="A18" s="1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f>105+103</f>
        <v>208</v>
      </c>
      <c r="I18" s="1">
        <v>0</v>
      </c>
      <c r="J18" s="1">
        <v>0</v>
      </c>
      <c r="K18" s="1">
        <v>953</v>
      </c>
      <c r="L18" s="1">
        <v>0</v>
      </c>
      <c r="M18" s="1">
        <v>0</v>
      </c>
      <c r="N18" s="1">
        <f>364+94</f>
        <v>458</v>
      </c>
      <c r="O18" s="1">
        <v>0</v>
      </c>
      <c r="P18" s="1">
        <v>0</v>
      </c>
      <c r="Q18" s="1">
        <v>777</v>
      </c>
      <c r="R18" s="1">
        <f>296+123</f>
        <v>419</v>
      </c>
      <c r="S18" s="1">
        <v>0</v>
      </c>
      <c r="T18" s="1">
        <v>0</v>
      </c>
      <c r="U18" s="1">
        <f t="shared" si="0"/>
        <v>563</v>
      </c>
    </row>
    <row r="19" spans="1:21" x14ac:dyDescent="0.3">
      <c r="A19" s="1" t="s">
        <v>40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118</v>
      </c>
      <c r="I19" s="1">
        <v>0</v>
      </c>
      <c r="J19" s="1">
        <v>0</v>
      </c>
      <c r="K19" s="1">
        <v>292</v>
      </c>
      <c r="L19" s="1">
        <v>0</v>
      </c>
      <c r="M19" s="1">
        <v>0</v>
      </c>
      <c r="N19" s="1">
        <v>9.5</v>
      </c>
      <c r="O19" s="1">
        <v>0</v>
      </c>
      <c r="P19" s="1">
        <v>0</v>
      </c>
      <c r="Q19" s="1">
        <v>62</v>
      </c>
      <c r="R19" s="1">
        <f>R11-R18</f>
        <v>5</v>
      </c>
      <c r="S19" s="1">
        <v>0</v>
      </c>
      <c r="T19" s="1">
        <v>0</v>
      </c>
      <c r="U19" s="1">
        <f t="shared" si="0"/>
        <v>97.3</v>
      </c>
    </row>
    <row r="20" spans="1:21" x14ac:dyDescent="0.3">
      <c r="A20" s="1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3">
        <v>30</v>
      </c>
      <c r="I20" s="1">
        <v>0</v>
      </c>
      <c r="J20" s="1">
        <v>0</v>
      </c>
      <c r="K20" s="1">
        <v>28</v>
      </c>
      <c r="L20" s="1">
        <v>0</v>
      </c>
      <c r="M20" s="1">
        <v>0</v>
      </c>
      <c r="N20" s="3">
        <v>55</v>
      </c>
      <c r="O20" s="1">
        <v>0</v>
      </c>
      <c r="P20" s="1">
        <v>0</v>
      </c>
      <c r="Q20" s="3">
        <v>53</v>
      </c>
      <c r="R20" s="3">
        <v>4</v>
      </c>
      <c r="S20" s="1">
        <v>0</v>
      </c>
      <c r="T20" s="1">
        <v>0</v>
      </c>
      <c r="U20" s="1">
        <f t="shared" si="0"/>
        <v>34</v>
      </c>
    </row>
    <row r="21" spans="1:21" x14ac:dyDescent="0.3">
      <c r="A21" s="1" t="s">
        <v>42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f>15+35</f>
        <v>50</v>
      </c>
      <c r="I21" s="1">
        <v>0</v>
      </c>
      <c r="J21" s="1">
        <v>0</v>
      </c>
      <c r="K21" s="1">
        <v>320</v>
      </c>
      <c r="L21" s="1">
        <v>0</v>
      </c>
      <c r="M21" s="1">
        <v>0</v>
      </c>
      <c r="N21" s="3">
        <v>45</v>
      </c>
      <c r="O21" s="1">
        <v>0</v>
      </c>
      <c r="P21" s="1">
        <v>0</v>
      </c>
      <c r="Q21" s="1">
        <v>8.5</v>
      </c>
      <c r="R21" s="1">
        <v>1</v>
      </c>
      <c r="S21" s="1">
        <v>0</v>
      </c>
      <c r="T21" s="1">
        <v>0</v>
      </c>
      <c r="U21" s="1">
        <f t="shared" si="0"/>
        <v>84.9</v>
      </c>
    </row>
    <row r="22" spans="1:21" x14ac:dyDescent="0.3">
      <c r="A22" s="1" t="s">
        <v>91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>H12+H13</f>
        <v>119.1</v>
      </c>
      <c r="I22" s="1">
        <v>0</v>
      </c>
      <c r="J22" s="1">
        <v>0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v>0</v>
      </c>
      <c r="P22" s="1">
        <v>0</v>
      </c>
      <c r="Q22" s="1">
        <f>SUM(Q12+Q13)</f>
        <v>405</v>
      </c>
      <c r="R22" s="1">
        <f>SUM(R12+R13)</f>
        <v>180</v>
      </c>
      <c r="S22" s="1">
        <v>0</v>
      </c>
      <c r="T22" s="1">
        <v>0</v>
      </c>
      <c r="U22" s="1">
        <f t="shared" si="0"/>
        <v>279.62</v>
      </c>
    </row>
    <row r="23" spans="1:21" x14ac:dyDescent="0.3">
      <c r="A23" s="1" t="s">
        <v>145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51</v>
      </c>
      <c r="I23" s="1">
        <v>0</v>
      </c>
      <c r="J23" s="1">
        <v>0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v>0</v>
      </c>
      <c r="P23" s="1">
        <v>0</v>
      </c>
      <c r="Q23" s="1">
        <f>Q2+Q6</f>
        <v>263</v>
      </c>
      <c r="R23" s="1">
        <v>97</v>
      </c>
      <c r="S23" s="1">
        <v>0</v>
      </c>
      <c r="T23" s="1">
        <v>0</v>
      </c>
      <c r="U23" s="1">
        <f t="shared" si="0"/>
        <v>213.4</v>
      </c>
    </row>
    <row r="24" spans="1:21" x14ac:dyDescent="0.3">
      <c r="A24" s="1" t="s">
        <v>122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>H12+H13</f>
        <v>119.1</v>
      </c>
      <c r="I24" s="1">
        <v>0</v>
      </c>
      <c r="J24" s="1">
        <v>0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v>0</v>
      </c>
      <c r="P24" s="1">
        <v>0</v>
      </c>
      <c r="Q24" s="1">
        <f>Q12+Q13</f>
        <v>405</v>
      </c>
      <c r="R24" s="1">
        <v>172</v>
      </c>
      <c r="S24" s="1">
        <v>0</v>
      </c>
      <c r="T24" s="1">
        <v>0</v>
      </c>
      <c r="U24" s="1">
        <f t="shared" si="0"/>
        <v>278.02</v>
      </c>
    </row>
    <row r="25" spans="1:21" x14ac:dyDescent="0.3">
      <c r="A25" s="1" t="s">
        <v>149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152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152</v>
      </c>
    </row>
    <row r="26" spans="1:21" x14ac:dyDescent="0.3">
      <c r="A26" s="1" t="s">
        <v>150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69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69</v>
      </c>
    </row>
    <row r="27" spans="1:21" x14ac:dyDescent="0.3">
      <c r="A27" s="1" t="s">
        <v>151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48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f t="shared" ref="U27" si="1">SUM(B27:T27)/COUNTIF(B27:T27,"&gt;0")</f>
        <v>48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N17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109.69999999999999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458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4"/>
  <sheetViews>
    <sheetView showGridLines="0" zoomScale="110" zoomScaleNormal="11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7" sqref="H7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29" bestFit="1" customWidth="1"/>
    <col min="22" max="22" width="8.33203125" style="29" bestFit="1" customWidth="1"/>
    <col min="23" max="23" width="9.5546875" style="29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V1" s="11"/>
      <c r="W1" s="11"/>
    </row>
    <row r="2" spans="1:23" x14ac:dyDescent="0.3">
      <c r="A2" s="1" t="s">
        <v>6</v>
      </c>
      <c r="H2" s="1">
        <f>VLOOKUP(A2,Resultado!$A$2:$H$23,8,FALSE)</f>
        <v>51</v>
      </c>
      <c r="K2" s="1">
        <v>326</v>
      </c>
      <c r="N2" s="1">
        <v>193</v>
      </c>
      <c r="Q2" s="1">
        <v>183</v>
      </c>
      <c r="R2" s="1">
        <v>97</v>
      </c>
    </row>
    <row r="3" spans="1:23" x14ac:dyDescent="0.3">
      <c r="A3" s="1" t="s">
        <v>0</v>
      </c>
      <c r="H3" s="1">
        <f>VLOOKUP(A3,Resultado!$A$2:$H$23,8,FALSE)</f>
        <v>14.2</v>
      </c>
      <c r="K3" s="1">
        <v>183</v>
      </c>
      <c r="N3" s="1">
        <v>74</v>
      </c>
      <c r="Q3" s="1">
        <v>121</v>
      </c>
      <c r="R3" s="1">
        <v>78</v>
      </c>
      <c r="V3" s="11"/>
    </row>
    <row r="4" spans="1:23" x14ac:dyDescent="0.3">
      <c r="A4" s="1" t="s">
        <v>1</v>
      </c>
      <c r="H4" s="1">
        <f>VLOOKUP(A4,Resultado!$A$2:$H$23,8,FALSE)</f>
        <v>11.7</v>
      </c>
      <c r="K4" s="1">
        <v>169</v>
      </c>
      <c r="N4" s="1">
        <v>2.4</v>
      </c>
      <c r="Q4" s="1">
        <v>63</v>
      </c>
      <c r="R4" s="1">
        <v>26</v>
      </c>
      <c r="V4" s="11"/>
    </row>
    <row r="5" spans="1:23" x14ac:dyDescent="0.3">
      <c r="A5" s="1" t="s">
        <v>3</v>
      </c>
      <c r="H5" s="1">
        <f>VLOOKUP(A5,Resultado!$A$2:$H$23,8,FALSE)</f>
        <v>26.9</v>
      </c>
      <c r="K5" s="1">
        <v>90</v>
      </c>
      <c r="N5" s="1">
        <v>86</v>
      </c>
      <c r="Q5" s="1">
        <v>59</v>
      </c>
      <c r="R5" s="1">
        <v>0</v>
      </c>
      <c r="V5" s="11"/>
    </row>
    <row r="6" spans="1:23" x14ac:dyDescent="0.3">
      <c r="A6" s="1" t="s">
        <v>4</v>
      </c>
      <c r="H6" s="1">
        <f>VLOOKUP(A6,Resultado!$A$2:$H$23,8,FALSE)</f>
        <v>0</v>
      </c>
      <c r="K6" s="1">
        <v>96</v>
      </c>
      <c r="N6" s="1">
        <v>0</v>
      </c>
      <c r="Q6" s="1">
        <v>80</v>
      </c>
      <c r="R6" s="1">
        <v>0</v>
      </c>
      <c r="V6" s="11"/>
    </row>
    <row r="7" spans="1:23" x14ac:dyDescent="0.3">
      <c r="A7" s="1" t="s">
        <v>5</v>
      </c>
      <c r="H7" s="1">
        <f>VLOOKUP(A7,Resultado!$A$2:$H$23,8,FALSE)</f>
        <v>0</v>
      </c>
      <c r="K7" s="1">
        <v>59</v>
      </c>
      <c r="N7" s="1">
        <v>31</v>
      </c>
      <c r="Q7" s="1">
        <v>36</v>
      </c>
      <c r="R7" s="1">
        <v>1.4</v>
      </c>
      <c r="V7" s="11"/>
    </row>
    <row r="8" spans="1:23" x14ac:dyDescent="0.3">
      <c r="A8" s="1" t="s">
        <v>2</v>
      </c>
      <c r="H8" s="1">
        <f>VLOOKUP(A8,Resultado!$A$2:$H$23,8,FALSE)</f>
        <v>15.2</v>
      </c>
      <c r="K8" s="1">
        <v>303</v>
      </c>
      <c r="N8" s="1">
        <v>50</v>
      </c>
      <c r="Q8" s="1">
        <v>187</v>
      </c>
      <c r="R8" s="1">
        <v>174</v>
      </c>
      <c r="V8" s="11"/>
    </row>
    <row r="9" spans="1:23" s="2" customFormat="1" x14ac:dyDescent="0.3">
      <c r="A9" s="2" t="s">
        <v>53</v>
      </c>
      <c r="H9" s="2">
        <f>SUM(H2:H8)</f>
        <v>119.00000000000001</v>
      </c>
      <c r="K9" s="2">
        <f>SUM(K2:K8)</f>
        <v>1226</v>
      </c>
      <c r="N9" s="2">
        <f>SUM(N2:N8)</f>
        <v>436.4</v>
      </c>
      <c r="Q9" s="2">
        <f>SUM(Q2:Q8)</f>
        <v>729</v>
      </c>
      <c r="R9" s="2">
        <f>SUM(R2:R8)</f>
        <v>376.4</v>
      </c>
      <c r="U9" s="30"/>
      <c r="V9" s="30"/>
      <c r="W9" s="30"/>
    </row>
    <row r="10" spans="1:23" s="2" customFormat="1" x14ac:dyDescent="0.3">
      <c r="A10" s="2" t="s">
        <v>47</v>
      </c>
      <c r="H10" s="2">
        <f>SUM(H11:H16)</f>
        <v>234.8</v>
      </c>
      <c r="K10" s="2">
        <f>SUM(K11:K16)</f>
        <v>808</v>
      </c>
      <c r="N10" s="2">
        <f>SUM(N11:N16)</f>
        <v>373</v>
      </c>
      <c r="Q10" s="2">
        <f>SUM(Q11:Q16)</f>
        <v>552</v>
      </c>
      <c r="R10" s="2">
        <f>SUM(R11:R15)-R16</f>
        <v>255.5</v>
      </c>
      <c r="U10" s="30"/>
      <c r="V10" s="30"/>
      <c r="W10" s="30"/>
    </row>
    <row r="11" spans="1:23" x14ac:dyDescent="0.3">
      <c r="A11" s="1" t="s">
        <v>8</v>
      </c>
      <c r="H11" s="1">
        <f>VLOOKUP(A11,Resultado!$A$2:$H$23,8,FALSE)</f>
        <v>85.1</v>
      </c>
      <c r="K11" s="3">
        <v>339</v>
      </c>
      <c r="L11" s="3"/>
      <c r="N11" s="1">
        <v>28</v>
      </c>
      <c r="Q11" s="1">
        <f>343-24</f>
        <v>319</v>
      </c>
      <c r="R11" s="1">
        <v>147</v>
      </c>
    </row>
    <row r="12" spans="1:23" x14ac:dyDescent="0.3">
      <c r="A12" s="1" t="s">
        <v>9</v>
      </c>
      <c r="H12" s="1">
        <f>VLOOKUP(A12,Resultado!$A$2:$H$23,8,FALSE)</f>
        <v>34</v>
      </c>
      <c r="K12" s="3">
        <v>124</v>
      </c>
      <c r="L12" s="3"/>
      <c r="N12" s="1">
        <v>103</v>
      </c>
      <c r="Q12" s="1">
        <v>86</v>
      </c>
      <c r="R12" s="1">
        <v>33</v>
      </c>
    </row>
    <row r="13" spans="1:23" x14ac:dyDescent="0.3">
      <c r="A13" s="1" t="s">
        <v>10</v>
      </c>
      <c r="H13" s="1">
        <f>VLOOKUP(A13,Resultado!$A$2:$H$23,8,FALSE)</f>
        <v>6</v>
      </c>
      <c r="K13" s="3">
        <v>125</v>
      </c>
      <c r="L13" s="3"/>
      <c r="N13" s="1">
        <v>23</v>
      </c>
      <c r="Q13" s="1">
        <v>26</v>
      </c>
      <c r="R13" s="1">
        <v>25</v>
      </c>
    </row>
    <row r="14" spans="1:23" x14ac:dyDescent="0.3">
      <c r="A14" s="1" t="s">
        <v>11</v>
      </c>
      <c r="H14" s="1">
        <f>VLOOKUP(A14,Resultado!$A$2:$H$23,8,FALSE)-4-0.8</f>
        <v>53.2</v>
      </c>
      <c r="K14" s="1">
        <v>75</v>
      </c>
      <c r="N14" s="1">
        <v>89</v>
      </c>
      <c r="Q14" s="1">
        <v>86</v>
      </c>
      <c r="R14" s="1">
        <v>59</v>
      </c>
    </row>
    <row r="15" spans="1:23" x14ac:dyDescent="0.3">
      <c r="A15" s="1" t="s">
        <v>13</v>
      </c>
      <c r="H15" s="1">
        <f>VLOOKUP(A15,Resultado!$A$2:$H$23,8,FALSE)</f>
        <v>24.5</v>
      </c>
      <c r="K15" s="1">
        <v>141</v>
      </c>
      <c r="N15" s="1">
        <v>110</v>
      </c>
      <c r="Q15" s="1">
        <v>5</v>
      </c>
      <c r="R15" s="1">
        <v>105.5</v>
      </c>
    </row>
    <row r="16" spans="1:23" x14ac:dyDescent="0.3">
      <c r="A16" s="1" t="s">
        <v>56</v>
      </c>
      <c r="H16" s="3">
        <f>ABS(-32)</f>
        <v>32</v>
      </c>
      <c r="K16" s="1">
        <v>4</v>
      </c>
      <c r="N16" s="1">
        <v>20</v>
      </c>
      <c r="Q16" s="3">
        <v>30</v>
      </c>
      <c r="R16" s="3">
        <v>114</v>
      </c>
    </row>
    <row r="17" spans="1:23" s="2" customFormat="1" x14ac:dyDescent="0.3">
      <c r="A17" s="2" t="s">
        <v>55</v>
      </c>
      <c r="H17" s="2">
        <v>44</v>
      </c>
      <c r="K17" s="2">
        <v>418</v>
      </c>
      <c r="N17" s="2">
        <v>63</v>
      </c>
      <c r="Q17" s="2">
        <v>237</v>
      </c>
      <c r="R17" s="2">
        <v>120</v>
      </c>
      <c r="U17" s="30"/>
      <c r="V17" s="30"/>
      <c r="W17" s="30"/>
    </row>
    <row r="18" spans="1:23" s="2" customFormat="1" x14ac:dyDescent="0.3">
      <c r="A18" s="2" t="s">
        <v>51</v>
      </c>
      <c r="H18" s="4">
        <v>73</v>
      </c>
      <c r="K18" s="2">
        <v>380</v>
      </c>
      <c r="N18" s="4">
        <v>68</v>
      </c>
      <c r="Q18" s="4">
        <v>220</v>
      </c>
      <c r="R18" s="4">
        <v>113</v>
      </c>
      <c r="U18" s="30"/>
      <c r="V18" s="30"/>
      <c r="W18" s="30"/>
    </row>
    <row r="19" spans="1:23" x14ac:dyDescent="0.3">
      <c r="A19" s="1" t="s">
        <v>48</v>
      </c>
      <c r="H19" s="1">
        <v>23</v>
      </c>
      <c r="K19" s="1">
        <f>273+87-20</f>
        <v>340</v>
      </c>
      <c r="N19" s="1">
        <v>40</v>
      </c>
      <c r="Q19" s="1">
        <v>176</v>
      </c>
      <c r="R19" s="1">
        <v>111</v>
      </c>
    </row>
    <row r="20" spans="1:23" x14ac:dyDescent="0.3">
      <c r="A20" s="1" t="s">
        <v>49</v>
      </c>
      <c r="H20" s="1">
        <v>50</v>
      </c>
      <c r="K20" s="1">
        <v>39</v>
      </c>
      <c r="N20" s="1">
        <v>27</v>
      </c>
      <c r="Q20" s="1">
        <v>12</v>
      </c>
      <c r="R20" s="1">
        <v>2</v>
      </c>
    </row>
    <row r="21" spans="1:23" x14ac:dyDescent="0.3">
      <c r="A21" s="1" t="s">
        <v>50</v>
      </c>
      <c r="H21" s="1">
        <v>0</v>
      </c>
      <c r="K21" s="1">
        <f>K18-SUM(K19:K20)</f>
        <v>1</v>
      </c>
      <c r="N21" s="1">
        <v>1</v>
      </c>
      <c r="Q21" s="1">
        <f>Q18-Q19-Q20</f>
        <v>32</v>
      </c>
      <c r="R21" s="1">
        <v>0</v>
      </c>
    </row>
    <row r="22" spans="1:23" s="2" customFormat="1" x14ac:dyDescent="0.3">
      <c r="A22" s="2" t="s">
        <v>52</v>
      </c>
      <c r="H22" s="2">
        <v>41</v>
      </c>
      <c r="K22" s="2">
        <v>41</v>
      </c>
      <c r="N22" s="4">
        <v>7</v>
      </c>
      <c r="Q22" s="4">
        <v>14</v>
      </c>
      <c r="R22" s="4">
        <v>27</v>
      </c>
      <c r="U22" s="30"/>
      <c r="V22" s="30"/>
      <c r="W22" s="30"/>
    </row>
    <row r="23" spans="1:23" s="2" customFormat="1" x14ac:dyDescent="0.3">
      <c r="A23" s="2" t="s">
        <v>54</v>
      </c>
      <c r="H23" s="2">
        <v>12</v>
      </c>
      <c r="K23" s="4">
        <v>2</v>
      </c>
      <c r="N23" s="4">
        <v>12</v>
      </c>
      <c r="Q23" s="2">
        <v>3</v>
      </c>
      <c r="R23" s="4">
        <v>20</v>
      </c>
      <c r="U23" s="30"/>
      <c r="V23" s="30"/>
      <c r="W23" s="30"/>
    </row>
    <row r="24" spans="1:23" x14ac:dyDescent="0.3">
      <c r="A24" s="1" t="s">
        <v>149</v>
      </c>
      <c r="H24" s="1">
        <v>95.5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  <ignoredError sqref="H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G59"/>
  <sheetViews>
    <sheetView showGridLines="0" zoomScale="90" zoomScaleNormal="90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I48" sqref="I48"/>
    </sheetView>
  </sheetViews>
  <sheetFormatPr defaultRowHeight="14.4" x14ac:dyDescent="0.3"/>
  <cols>
    <col min="1" max="1" width="63.44140625" bestFit="1" customWidth="1"/>
    <col min="2" max="2" width="12" bestFit="1" customWidth="1"/>
    <col min="3" max="3" width="10.6640625" bestFit="1" customWidth="1"/>
    <col min="4" max="4" width="9.554687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7.44140625" bestFit="1" customWidth="1"/>
    <col min="22" max="22" width="8.5546875" bestFit="1" customWidth="1"/>
    <col min="23" max="23" width="7.21875" bestFit="1" customWidth="1"/>
    <col min="24" max="24" width="12.109375" bestFit="1" customWidth="1"/>
    <col min="25" max="25" width="5.6640625" bestFit="1" customWidth="1"/>
    <col min="26" max="26" width="8.6640625" bestFit="1" customWidth="1"/>
    <col min="27" max="27" width="6.5546875" bestFit="1" customWidth="1"/>
    <col min="28" max="28" width="5.6640625" bestFit="1" customWidth="1"/>
    <col min="29" max="29" width="7.6640625" bestFit="1" customWidth="1"/>
    <col min="30" max="30" width="7.77734375" bestFit="1" customWidth="1"/>
  </cols>
  <sheetData>
    <row r="1" spans="1:33" x14ac:dyDescent="0.3">
      <c r="A1" t="s">
        <v>45</v>
      </c>
      <c r="B1" t="s">
        <v>35</v>
      </c>
      <c r="C1" t="s">
        <v>79</v>
      </c>
      <c r="D1" t="s">
        <v>27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</row>
    <row r="2" spans="1:33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>
        <f>Resultado!H2</f>
        <v>51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f>Resultado!R2+Resultado!R6</f>
        <v>97</v>
      </c>
      <c r="S2" s="1">
        <v>0</v>
      </c>
      <c r="T2" s="1">
        <v>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f>Resultado!H3</f>
        <v>14.2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f>Resultado!R3</f>
        <v>78</v>
      </c>
      <c r="S3" s="1">
        <v>0</v>
      </c>
      <c r="T3" s="1">
        <v>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f>Resultado!H4</f>
        <v>11.7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f>Resultado!R4</f>
        <v>26</v>
      </c>
      <c r="S4" s="1">
        <v>0</v>
      </c>
      <c r="T4" s="1">
        <v>0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>
        <f>Resultado!H5</f>
        <v>26.9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f>Resultado!R5</f>
        <v>0</v>
      </c>
      <c r="S5" s="1">
        <v>0</v>
      </c>
      <c r="T5" s="1">
        <v>0</v>
      </c>
    </row>
    <row r="6" spans="1:33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f>Resultado!R6</f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f>Resultado!H7</f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f>Resultado!R7</f>
        <v>1.4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>Resultado!H8</f>
        <v>103.80000000000001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f>Resultado!R8</f>
        <v>202.4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f>Resultado!H9</f>
        <v>15.2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f>Resultado!R9</f>
        <v>174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f>Resultado!H10</f>
        <v>41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f>Resultado!R10</f>
        <v>47.599999999999994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f>Resultado!H11</f>
        <v>160.1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f>Resultado!R11</f>
        <v>424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f>Resultado!H12</f>
        <v>85.1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f>Resultado!R12</f>
        <v>147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f>Resultado!H13</f>
        <v>34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f>Resultado!R13</f>
        <v>33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>Resultado!H14</f>
        <v>6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f>Resultado!R14</f>
        <v>25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f>Resultado!H15</f>
        <v>58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f>Resultado!R15</f>
        <v>59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f>Resultado!H16</f>
        <v>0.4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f>Resultado!R16</f>
        <v>49.5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f>Resultado!H17</f>
        <v>24.5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109.69999999999999</v>
      </c>
      <c r="O17" s="1">
        <v>0</v>
      </c>
      <c r="P17" s="1">
        <v>0</v>
      </c>
      <c r="Q17" s="1">
        <f>Resultado!Q17</f>
        <v>154</v>
      </c>
      <c r="R17" s="1">
        <f>Resultado!R17</f>
        <v>105.5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f>Resultado!H18</f>
        <v>208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458</v>
      </c>
      <c r="O18" s="1">
        <v>0</v>
      </c>
      <c r="P18" s="1">
        <v>0</v>
      </c>
      <c r="Q18" s="1">
        <f>Resultado!Q18</f>
        <v>777</v>
      </c>
      <c r="R18" s="1">
        <f>Resultado!R18</f>
        <v>419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f>Resultado!H21</f>
        <v>50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f>Resultado!R21</f>
        <v>1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f>Caixa!H17</f>
        <v>44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Caixa!N17</f>
        <v>63</v>
      </c>
      <c r="O20" s="1">
        <v>0</v>
      </c>
      <c r="P20" s="1">
        <v>0</v>
      </c>
      <c r="Q20" s="1">
        <v>237</v>
      </c>
      <c r="R20" s="1">
        <v>120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192</v>
      </c>
      <c r="S21" s="1">
        <v>0</v>
      </c>
      <c r="T21" s="1">
        <v>0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6.1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98</v>
      </c>
      <c r="S24" s="1">
        <v>0</v>
      </c>
      <c r="T24" s="1">
        <v>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4.8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>
        <v>12</v>
      </c>
      <c r="S25" s="1">
        <v>0</v>
      </c>
      <c r="T25" s="1">
        <v>0</v>
      </c>
    </row>
    <row r="26" spans="1:3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</row>
    <row r="27" spans="1:33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49</v>
      </c>
      <c r="S27" s="1">
        <v>0</v>
      </c>
      <c r="T27" s="1">
        <v>0</v>
      </c>
    </row>
    <row r="28" spans="1:33" x14ac:dyDescent="0.3">
      <c r="A28" t="s">
        <v>65</v>
      </c>
      <c r="B28">
        <f t="shared" ref="B28:J28" si="0">B12+B13</f>
        <v>0</v>
      </c>
      <c r="C28">
        <f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 s="1">
        <f>H12+H13</f>
        <v>119.1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v>172</v>
      </c>
      <c r="S28">
        <f>S12+S13</f>
        <v>0</v>
      </c>
      <c r="T28">
        <f>T12+T13</f>
        <v>0</v>
      </c>
    </row>
    <row r="29" spans="1:33" x14ac:dyDescent="0.3">
      <c r="A29" t="s">
        <v>59</v>
      </c>
      <c r="B29">
        <v>0.5</v>
      </c>
      <c r="C29">
        <v>1.5</v>
      </c>
      <c r="D29">
        <v>4.3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</row>
    <row r="30" spans="1:33" x14ac:dyDescent="0.3">
      <c r="A30" t="s">
        <v>76</v>
      </c>
      <c r="B30">
        <v>1</v>
      </c>
      <c r="C30">
        <v>3.3</v>
      </c>
      <c r="D30">
        <v>9.5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</row>
    <row r="31" spans="1:33" x14ac:dyDescent="0.3">
      <c r="A31" t="s">
        <v>88</v>
      </c>
      <c r="B31">
        <v>24</v>
      </c>
      <c r="C31">
        <v>56</v>
      </c>
      <c r="D31">
        <v>66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</row>
    <row r="32" spans="1:33" x14ac:dyDescent="0.3">
      <c r="A32" t="s">
        <v>89</v>
      </c>
      <c r="B32" s="6">
        <v>0</v>
      </c>
      <c r="C32" s="6">
        <v>0.84248003091726509</v>
      </c>
      <c r="D32" s="6">
        <v>0.94936786212601332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</row>
    <row r="33" spans="1:20" x14ac:dyDescent="0.3">
      <c r="A33" t="s">
        <v>146</v>
      </c>
      <c r="B33">
        <v>7.3</v>
      </c>
      <c r="C33">
        <v>18.600000000000001</v>
      </c>
      <c r="D33">
        <v>31.2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</row>
    <row r="34" spans="1:20" x14ac:dyDescent="0.3">
      <c r="A34" t="s">
        <v>147</v>
      </c>
      <c r="B34" s="1">
        <v>386</v>
      </c>
      <c r="C34" s="1">
        <v>977</v>
      </c>
      <c r="D34" s="1">
        <v>1645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</row>
    <row r="35" spans="1:20" x14ac:dyDescent="0.3">
      <c r="A35" t="s">
        <v>63</v>
      </c>
      <c r="B35" s="1">
        <v>4910</v>
      </c>
      <c r="C35" s="1">
        <v>22283</v>
      </c>
      <c r="D35" s="1">
        <v>27989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</row>
    <row r="36" spans="1:20" x14ac:dyDescent="0.3">
      <c r="A36" t="s">
        <v>58</v>
      </c>
      <c r="B36" s="1">
        <v>1000</v>
      </c>
      <c r="C36" s="1">
        <v>40000</v>
      </c>
      <c r="D36" s="1">
        <v>77763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</row>
    <row r="37" spans="1:20" x14ac:dyDescent="0.3">
      <c r="A37" t="s">
        <v>61</v>
      </c>
      <c r="B37" s="5">
        <f>B35/B36</f>
        <v>4.91</v>
      </c>
      <c r="C37" s="5">
        <f>C35/C36</f>
        <v>0.55707499999999999</v>
      </c>
      <c r="D37" s="5">
        <f t="shared" ref="D37:T37" si="1">D35/D36</f>
        <v>0.35992695755050602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</row>
    <row r="38" spans="1:20" x14ac:dyDescent="0.3">
      <c r="A38" t="s">
        <v>141</v>
      </c>
      <c r="B38">
        <v>858</v>
      </c>
      <c r="C38">
        <v>550</v>
      </c>
      <c r="D38">
        <v>858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</row>
    <row r="39" spans="1:20" x14ac:dyDescent="0.3">
      <c r="A39" t="s">
        <v>78</v>
      </c>
      <c r="B39" s="1">
        <v>15</v>
      </c>
      <c r="C39" s="1">
        <v>69</v>
      </c>
      <c r="D39" s="1">
        <v>89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</row>
    <row r="40" spans="1:20" x14ac:dyDescent="0.3">
      <c r="A40" t="s">
        <v>80</v>
      </c>
      <c r="B40" s="6">
        <f t="shared" ref="B40:J40" si="2">B11/B30</f>
        <v>0</v>
      </c>
      <c r="C40" s="6">
        <f>C11/C30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0</v>
      </c>
      <c r="H40" s="6">
        <f t="shared" si="2"/>
        <v>48.515151515151516</v>
      </c>
      <c r="I40" s="6">
        <f t="shared" si="2"/>
        <v>0</v>
      </c>
      <c r="J40" s="6">
        <f t="shared" si="2"/>
        <v>0</v>
      </c>
      <c r="K40" s="6">
        <f>K11/K30</f>
        <v>27.359667359667359</v>
      </c>
      <c r="L40" s="6">
        <f t="shared" ref="L40:T40" si="3">L11/L30</f>
        <v>0</v>
      </c>
      <c r="M40" s="6">
        <f t="shared" si="3"/>
        <v>0</v>
      </c>
      <c r="N40" s="6">
        <f t="shared" si="3"/>
        <v>41.980198019801982</v>
      </c>
      <c r="O40" s="6">
        <f t="shared" si="3"/>
        <v>0</v>
      </c>
      <c r="P40" s="6">
        <f t="shared" si="3"/>
        <v>0</v>
      </c>
      <c r="Q40" s="6">
        <f t="shared" si="3"/>
        <v>49.64497041420119</v>
      </c>
      <c r="R40" s="6">
        <f t="shared" si="3"/>
        <v>62.352941176470587</v>
      </c>
      <c r="S40" s="6">
        <f t="shared" si="3"/>
        <v>0</v>
      </c>
      <c r="T40" s="6">
        <f t="shared" si="3"/>
        <v>0</v>
      </c>
    </row>
    <row r="41" spans="1:20" x14ac:dyDescent="0.3">
      <c r="A41" t="s">
        <v>83</v>
      </c>
      <c r="B41" s="14">
        <f t="shared" ref="B41:J41" si="4">(B11/B36)*1000</f>
        <v>0</v>
      </c>
      <c r="C41" s="14">
        <f>(C11/C36)*1000</f>
        <v>0</v>
      </c>
      <c r="D41" s="14">
        <f t="shared" si="4"/>
        <v>0</v>
      </c>
      <c r="E41" s="14">
        <f t="shared" si="4"/>
        <v>0</v>
      </c>
      <c r="F41" s="14">
        <f t="shared" si="4"/>
        <v>0</v>
      </c>
      <c r="G41" s="14">
        <f t="shared" si="4"/>
        <v>0</v>
      </c>
      <c r="H41" s="14">
        <f t="shared" si="4"/>
        <v>4.5742857142857138</v>
      </c>
      <c r="I41" s="14">
        <f t="shared" si="4"/>
        <v>0</v>
      </c>
      <c r="J41" s="14">
        <f t="shared" si="4"/>
        <v>0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5">(O11/O36)*1000</f>
        <v>0</v>
      </c>
      <c r="P41" s="14">
        <f t="shared" si="5"/>
        <v>0</v>
      </c>
      <c r="Q41" s="14">
        <f>(Q11/Q36)*1000</f>
        <v>4.6633650708953773</v>
      </c>
      <c r="R41" s="14">
        <f t="shared" ref="R41:T41" si="6">(R11/R36)*1000</f>
        <v>8.8780937225176935</v>
      </c>
      <c r="S41" s="14">
        <f t="shared" si="6"/>
        <v>0</v>
      </c>
      <c r="T41" s="14">
        <f t="shared" si="6"/>
        <v>0</v>
      </c>
    </row>
    <row r="42" spans="1:20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>H9/H47</f>
        <v>3.1666666666666665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>
        <v>0</v>
      </c>
      <c r="P42">
        <v>0</v>
      </c>
      <c r="Q42" s="14">
        <f>Q9/Q47</f>
        <v>6.4482758620689653</v>
      </c>
      <c r="R42" s="14">
        <f>R9/R47</f>
        <v>14.5</v>
      </c>
      <c r="S42">
        <v>0</v>
      </c>
      <c r="T42">
        <v>0</v>
      </c>
    </row>
    <row r="43" spans="1:20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4.5999999999999996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 s="18">
        <f>Q9/Q31</f>
        <v>2.6714285714285713</v>
      </c>
      <c r="R43" s="18">
        <f>R9/R31</f>
        <v>4.0465116279069768</v>
      </c>
      <c r="S43">
        <v>0</v>
      </c>
      <c r="T43">
        <v>0</v>
      </c>
    </row>
    <row r="44" spans="1:20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 s="18">
        <f>Q6/Q28</f>
        <v>0.19753086419753085</v>
      </c>
      <c r="R44" s="18">
        <f>R6/R28</f>
        <v>0</v>
      </c>
      <c r="S44">
        <v>0</v>
      </c>
      <c r="T44">
        <v>0</v>
      </c>
    </row>
    <row r="45" spans="1:20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8">
        <f>H28/H31</f>
        <v>3.9699999999999998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 s="18">
        <f>Q28/Q31</f>
        <v>5.7857142857142856</v>
      </c>
      <c r="R45" s="18">
        <f>R28/R31</f>
        <v>4</v>
      </c>
      <c r="S45">
        <v>0</v>
      </c>
      <c r="T45">
        <v>0</v>
      </c>
    </row>
    <row r="46" spans="1:20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8">
        <f>H11/H31</f>
        <v>5.3366666666666669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 s="18">
        <f>Q11/Q31</f>
        <v>11.985714285714286</v>
      </c>
      <c r="R46" s="18">
        <f>R11/R31</f>
        <v>9.8604651162790695</v>
      </c>
      <c r="S46">
        <v>0</v>
      </c>
      <c r="T46">
        <v>0</v>
      </c>
    </row>
    <row r="47" spans="1:20" x14ac:dyDescent="0.3">
      <c r="A47" t="s">
        <v>85</v>
      </c>
      <c r="B47">
        <f t="shared" ref="B47:T47" si="7">SUM(B26+B25)</f>
        <v>0</v>
      </c>
      <c r="C47">
        <f>SUM(C26+C25)</f>
        <v>0</v>
      </c>
      <c r="D47">
        <f t="shared" si="7"/>
        <v>0</v>
      </c>
      <c r="E47">
        <f t="shared" si="7"/>
        <v>0</v>
      </c>
      <c r="F47">
        <f t="shared" si="7"/>
        <v>0</v>
      </c>
      <c r="G47">
        <f t="shared" si="7"/>
        <v>0</v>
      </c>
      <c r="H47">
        <f t="shared" ref="H47" si="8">SUM(H26+H25)</f>
        <v>4.8</v>
      </c>
      <c r="I47">
        <f t="shared" si="7"/>
        <v>0</v>
      </c>
      <c r="J47">
        <f t="shared" si="7"/>
        <v>0</v>
      </c>
      <c r="K47">
        <f t="shared" si="7"/>
        <v>16</v>
      </c>
      <c r="L47">
        <f t="shared" si="7"/>
        <v>0</v>
      </c>
      <c r="M47">
        <f t="shared" si="7"/>
        <v>0</v>
      </c>
      <c r="N47">
        <f t="shared" si="7"/>
        <v>26</v>
      </c>
      <c r="O47">
        <f t="shared" si="7"/>
        <v>0</v>
      </c>
      <c r="P47">
        <f t="shared" si="7"/>
        <v>0</v>
      </c>
      <c r="Q47" s="11">
        <v>29</v>
      </c>
      <c r="R47">
        <f t="shared" si="7"/>
        <v>12</v>
      </c>
      <c r="S47">
        <f t="shared" si="7"/>
        <v>0</v>
      </c>
      <c r="T47">
        <f t="shared" si="7"/>
        <v>0</v>
      </c>
    </row>
    <row r="48" spans="1:20" s="26" customFormat="1" x14ac:dyDescent="0.3">
      <c r="A48" s="3" t="s">
        <v>95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51</v>
      </c>
      <c r="I48" s="26">
        <v>0</v>
      </c>
      <c r="J48" s="26">
        <v>0</v>
      </c>
      <c r="K48" s="3">
        <f>K2</f>
        <v>463</v>
      </c>
      <c r="L48" s="26">
        <v>0</v>
      </c>
      <c r="M48" s="26">
        <v>0</v>
      </c>
      <c r="N48" s="3">
        <v>193</v>
      </c>
      <c r="O48" s="26">
        <v>0</v>
      </c>
      <c r="P48" s="26">
        <v>0</v>
      </c>
      <c r="Q48" s="3">
        <f>Q2</f>
        <v>263</v>
      </c>
      <c r="R48" s="3">
        <f>R2</f>
        <v>97</v>
      </c>
      <c r="S48" s="26">
        <v>0</v>
      </c>
      <c r="T48" s="26">
        <v>0</v>
      </c>
    </row>
    <row r="49" spans="1:20" x14ac:dyDescent="0.3">
      <c r="A49" t="s">
        <v>140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 s="6">
        <v>0</v>
      </c>
      <c r="S49">
        <v>0</v>
      </c>
      <c r="T49">
        <v>0</v>
      </c>
    </row>
    <row r="50" spans="1:20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18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418</v>
      </c>
      <c r="S50">
        <v>0</v>
      </c>
      <c r="T50">
        <v>0</v>
      </c>
    </row>
    <row r="51" spans="1:20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8">
        <f>H50/H21</f>
        <v>0.3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 s="18">
        <f>R50/R21</f>
        <v>2.1770833333333335</v>
      </c>
      <c r="S51">
        <v>0</v>
      </c>
      <c r="T51">
        <v>0</v>
      </c>
    </row>
    <row r="52" spans="1:20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8">
        <f>H50/H11</f>
        <v>0.11242973141786385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 s="18">
        <f>R50/R11</f>
        <v>0.98584905660377353</v>
      </c>
      <c r="S52">
        <v>0</v>
      </c>
      <c r="T52">
        <v>0</v>
      </c>
    </row>
    <row r="53" spans="1:20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5">
        <f>H28/H11</f>
        <v>0.74391005621486572</v>
      </c>
      <c r="I53">
        <v>0</v>
      </c>
      <c r="J53">
        <v>0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>Q28/Q11</f>
        <v>0.48271752085816449</v>
      </c>
      <c r="R53" s="25">
        <f>R28/R11</f>
        <v>0.40566037735849059</v>
      </c>
      <c r="S53">
        <v>0</v>
      </c>
      <c r="T53">
        <v>0</v>
      </c>
    </row>
    <row r="54" spans="1:20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5">
        <f>(H28+H24)/H11</f>
        <v>0.78201124297314173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 s="25">
        <f>(R28+R24)/R11</f>
        <v>0.6367924528301887</v>
      </c>
      <c r="S54">
        <v>0</v>
      </c>
      <c r="T54">
        <v>0</v>
      </c>
    </row>
    <row r="55" spans="1:20" x14ac:dyDescent="0.3">
      <c r="A55" t="s">
        <v>144</v>
      </c>
      <c r="Q55">
        <v>22</v>
      </c>
    </row>
    <row r="56" spans="1:20" x14ac:dyDescent="0.3">
      <c r="A56" t="s">
        <v>142</v>
      </c>
      <c r="Q56">
        <f>Q55+Q47</f>
        <v>51</v>
      </c>
    </row>
    <row r="57" spans="1:20" x14ac:dyDescent="0.3">
      <c r="A57" t="s">
        <v>143</v>
      </c>
      <c r="Q57" s="14">
        <f>Q9/Q56</f>
        <v>3.6666666666666665</v>
      </c>
    </row>
    <row r="58" spans="1:20" x14ac:dyDescent="0.3">
      <c r="A58" t="s">
        <v>148</v>
      </c>
      <c r="B58" s="33">
        <v>0.48299999999999998</v>
      </c>
      <c r="C58" s="33">
        <v>0</v>
      </c>
      <c r="D58" s="34">
        <v>16.399999999999999</v>
      </c>
      <c r="E58" s="34">
        <v>6.05</v>
      </c>
      <c r="F58" s="34">
        <v>9.52</v>
      </c>
      <c r="G58" s="34">
        <v>118.2</v>
      </c>
      <c r="H58" s="34">
        <v>1.6</v>
      </c>
      <c r="I58" s="34">
        <v>18</v>
      </c>
      <c r="J58" s="33">
        <v>0.12</v>
      </c>
      <c r="K58" s="34">
        <v>177.3</v>
      </c>
      <c r="L58" s="34">
        <v>10.5</v>
      </c>
      <c r="M58" s="34">
        <v>1.96</v>
      </c>
      <c r="N58" s="34">
        <v>56.9</v>
      </c>
      <c r="O58" s="34">
        <v>1.05</v>
      </c>
      <c r="P58" s="34">
        <v>15</v>
      </c>
      <c r="Q58" s="34">
        <v>50</v>
      </c>
      <c r="R58" s="34">
        <v>9.9499999999999993</v>
      </c>
      <c r="S58" s="34">
        <v>27.9</v>
      </c>
      <c r="T58" s="34">
        <v>20.5</v>
      </c>
    </row>
    <row r="59" spans="1:20" x14ac:dyDescent="0.3">
      <c r="B59" s="31"/>
      <c r="C59" s="31"/>
      <c r="D59" s="31"/>
      <c r="E59" s="31"/>
      <c r="F59" s="31"/>
      <c r="G59" s="32"/>
      <c r="H59" s="31"/>
      <c r="I59" s="31"/>
      <c r="J59" s="31"/>
      <c r="K59" s="32"/>
      <c r="L59" s="31"/>
      <c r="M59" s="31"/>
      <c r="N59" s="32"/>
      <c r="O59" s="31"/>
      <c r="P59" s="31"/>
      <c r="Q59" s="32"/>
      <c r="R59" s="31"/>
      <c r="S59" s="31"/>
      <c r="T59" s="3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AF3" activePane="bottomRight" state="frozen"/>
      <selection pane="topRight" activeCell="B1" sqref="B1"/>
      <selection pane="bottomLeft" activeCell="A3" sqref="A3"/>
      <selection pane="bottomRight" activeCell="AF32" sqref="AF32:AF35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8" width="7.33203125" bestFit="1" customWidth="1"/>
    <col min="19" max="21" width="6" bestFit="1" customWidth="1"/>
    <col min="22" max="22" width="8.6640625" bestFit="1" customWidth="1"/>
    <col min="23" max="23" width="6.88671875" customWidth="1"/>
    <col min="24" max="25" width="5" bestFit="1" customWidth="1"/>
    <col min="26" max="26" width="7.6640625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H3">
        <v>155</v>
      </c>
      <c r="I3">
        <v>279</v>
      </c>
      <c r="J3">
        <v>64</v>
      </c>
      <c r="K3">
        <v>121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X3">
        <f>47+3</f>
        <v>50</v>
      </c>
      <c r="Y3">
        <f>66+8.6</f>
        <v>74.599999999999994</v>
      </c>
      <c r="Z3">
        <f>111-10</f>
        <v>101</v>
      </c>
      <c r="AB3">
        <v>318</v>
      </c>
      <c r="AC3">
        <v>266</v>
      </c>
      <c r="AD3">
        <v>160</v>
      </c>
      <c r="AE3">
        <v>189</v>
      </c>
      <c r="AF3" s="1">
        <f>Índices!H2</f>
        <v>51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D3">
        <v>97</v>
      </c>
      <c r="CE3">
        <v>105</v>
      </c>
      <c r="CF3">
        <v>139</v>
      </c>
      <c r="CG3">
        <v>73</v>
      </c>
      <c r="CH3">
        <v>110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H4">
        <v>69</v>
      </c>
      <c r="I4">
        <v>50</v>
      </c>
      <c r="J4">
        <v>21</v>
      </c>
      <c r="K4">
        <v>22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X4">
        <v>8.4</v>
      </c>
      <c r="Y4">
        <v>6</v>
      </c>
      <c r="Z4">
        <v>9</v>
      </c>
      <c r="AB4">
        <v>94</v>
      </c>
      <c r="AC4">
        <v>126</v>
      </c>
      <c r="AD4">
        <v>71</v>
      </c>
      <c r="AE4">
        <v>73</v>
      </c>
      <c r="AF4" s="1">
        <f>Índices!H3</f>
        <v>14.2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D4">
        <v>78</v>
      </c>
      <c r="CE4" s="11">
        <v>67</v>
      </c>
      <c r="CF4">
        <v>50</v>
      </c>
      <c r="CG4">
        <v>24</v>
      </c>
      <c r="CH4">
        <v>23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H5">
        <v>39</v>
      </c>
      <c r="I5">
        <v>43</v>
      </c>
      <c r="J5">
        <v>0.7</v>
      </c>
      <c r="K5">
        <v>17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X5">
        <v>2.5</v>
      </c>
      <c r="Y5">
        <v>2</v>
      </c>
      <c r="Z5">
        <v>11</v>
      </c>
      <c r="AB5">
        <v>98</v>
      </c>
      <c r="AC5">
        <v>15</v>
      </c>
      <c r="AD5">
        <v>7</v>
      </c>
      <c r="AE5">
        <v>62</v>
      </c>
      <c r="AF5" s="1">
        <f>Índices!H4</f>
        <v>11.7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D5">
        <v>26</v>
      </c>
      <c r="CE5">
        <v>44</v>
      </c>
      <c r="CF5">
        <v>81</v>
      </c>
      <c r="CG5">
        <v>30</v>
      </c>
      <c r="CH5">
        <v>24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H6">
        <v>29</v>
      </c>
      <c r="I6">
        <v>13</v>
      </c>
      <c r="J6">
        <v>10</v>
      </c>
      <c r="K6">
        <v>10</v>
      </c>
      <c r="M6">
        <v>38</v>
      </c>
      <c r="N6">
        <v>22</v>
      </c>
      <c r="O6">
        <v>23.5</v>
      </c>
      <c r="P6">
        <v>27</v>
      </c>
      <c r="X6">
        <v>3.9</v>
      </c>
      <c r="Y6">
        <v>5.6</v>
      </c>
      <c r="Z6">
        <v>6</v>
      </c>
      <c r="AB6">
        <v>32</v>
      </c>
      <c r="AC6">
        <v>13</v>
      </c>
      <c r="AD6">
        <v>13</v>
      </c>
      <c r="AE6">
        <v>21</v>
      </c>
      <c r="AF6" s="1">
        <f>Índices!H5</f>
        <v>26.9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M7">
        <v>81</v>
      </c>
      <c r="N7">
        <v>75</v>
      </c>
      <c r="O7">
        <v>29</v>
      </c>
      <c r="P7">
        <v>85</v>
      </c>
      <c r="X7">
        <f>2.6+0.4</f>
        <v>3</v>
      </c>
      <c r="Y7">
        <v>8.6</v>
      </c>
      <c r="Z7">
        <v>12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M8">
        <v>78</v>
      </c>
      <c r="N8">
        <v>27</v>
      </c>
      <c r="O8">
        <f>14</f>
        <v>14</v>
      </c>
      <c r="P8">
        <f>44-17</f>
        <v>27</v>
      </c>
      <c r="X8">
        <v>1.5</v>
      </c>
      <c r="Y8">
        <v>1.7</v>
      </c>
      <c r="Z8">
        <v>2</v>
      </c>
      <c r="AL8">
        <v>14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D8">
        <v>1.4</v>
      </c>
      <c r="CE8">
        <v>1.8</v>
      </c>
      <c r="CF8" s="11">
        <v>1.6</v>
      </c>
      <c r="CG8" s="11">
        <v>1.8</v>
      </c>
      <c r="CH8" s="11">
        <v>2.5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X9">
        <f>SUM(X3:X6,X8)</f>
        <v>66.3</v>
      </c>
      <c r="Y9">
        <f>SUM(Y3:Y6,Y8)</f>
        <v>89.899999999999991</v>
      </c>
      <c r="Z9">
        <f>SUM(Z3:Z6,Z8)</f>
        <v>129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F9">
        <f>SUM(AF3:AF6,AF8)</f>
        <v>103.80000000000001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U9" s="1">
        <f>Resultado!K8</f>
        <v>964</v>
      </c>
      <c r="AV9">
        <f>SUM(AV3:AV8)</f>
        <v>1205</v>
      </c>
      <c r="AW9">
        <f>SUM(AW3:AW8)</f>
        <v>820</v>
      </c>
      <c r="AX9">
        <f>SUM(AX3:AX8)</f>
        <v>615</v>
      </c>
      <c r="AY9">
        <f>SUM(AY3:AY8)</f>
        <v>864</v>
      </c>
      <c r="BA9">
        <f>SUM(BA3:BA6,BA8)</f>
        <v>230</v>
      </c>
      <c r="BB9">
        <f t="shared" ref="BB9" si="16">SUM(BB3:BB6,BB8)</f>
        <v>208</v>
      </c>
      <c r="BC9">
        <f t="shared" ref="BC9" si="17">SUM(BC3:BC6,BC8)</f>
        <v>111.8</v>
      </c>
      <c r="BD9">
        <f t="shared" ref="BD9" si="18">SUM(BD3:BD6,BD8)</f>
        <v>138</v>
      </c>
      <c r="BF9">
        <f>SUM(BF3:BF6,BF8)</f>
        <v>194</v>
      </c>
      <c r="BG9">
        <f t="shared" ref="BG9" si="19">SUM(BG3:BG6,BG8)</f>
        <v>138</v>
      </c>
      <c r="BH9">
        <f t="shared" ref="BH9" si="20">SUM(BH3:BH6,BH8)</f>
        <v>50</v>
      </c>
      <c r="BI9">
        <f t="shared" ref="BI9" si="21">SUM(BI3:BI6,BI8)</f>
        <v>84.5</v>
      </c>
      <c r="BJ9" s="6">
        <f>SUM(BJ3:BJ6,BJ8)</f>
        <v>386.4</v>
      </c>
      <c r="BK9">
        <f>SUM(BK3:BK6,BK8)</f>
        <v>178</v>
      </c>
      <c r="BL9">
        <f t="shared" ref="BL9" si="22">SUM(BL3:BL6,BL8)</f>
        <v>306.2</v>
      </c>
      <c r="BM9">
        <f t="shared" ref="BM9" si="23">SUM(BM3:BM6,BM8)</f>
        <v>272.10000000000002</v>
      </c>
      <c r="BN9">
        <f t="shared" ref="BN9" si="24">SUM(BN3:BN6,BN8)</f>
        <v>304.2</v>
      </c>
      <c r="BP9">
        <f>SUM(BP3:BP6,BP8)</f>
        <v>94.1</v>
      </c>
      <c r="BQ9">
        <f t="shared" ref="BQ9" si="25">SUM(BQ3:BQ6,BQ8)</f>
        <v>36.299999999999997</v>
      </c>
      <c r="BR9">
        <f t="shared" ref="BR9" si="26">SUM(BR3:BR6,BR8)</f>
        <v>39.6</v>
      </c>
      <c r="BS9">
        <f t="shared" ref="BS9" si="27">SUM(BS3:BS6,BS8)</f>
        <v>84.5</v>
      </c>
      <c r="BU9">
        <f>SUM(BU3:BU6,BU8)</f>
        <v>230</v>
      </c>
      <c r="BV9">
        <f t="shared" ref="BV9" si="28">SUM(BV3:BV6,BV8)</f>
        <v>230.8</v>
      </c>
      <c r="BW9">
        <f t="shared" ref="BW9" si="29">SUM(BW3:BW6,BW8)</f>
        <v>143.6</v>
      </c>
      <c r="BX9">
        <f t="shared" ref="BX9" si="30">SUM(BX3:BX6,BX8)</f>
        <v>225</v>
      </c>
      <c r="BY9" s="1">
        <f>Resultado!Q8</f>
        <v>542</v>
      </c>
      <c r="BZ9" s="1">
        <f t="shared" ref="BZ9:CC9" si="31">SUM(BZ3:BZ8)-BZ7</f>
        <v>527</v>
      </c>
      <c r="CA9" s="1">
        <f t="shared" si="31"/>
        <v>722</v>
      </c>
      <c r="CB9" s="1">
        <f t="shared" si="31"/>
        <v>338</v>
      </c>
      <c r="CC9" s="1">
        <f t="shared" si="31"/>
        <v>437</v>
      </c>
      <c r="CD9">
        <f>SUM(CD3:CD6,CD8)</f>
        <v>202.4</v>
      </c>
      <c r="CE9">
        <f>SUM(CE3:CE6,CE8)</f>
        <v>217.8</v>
      </c>
      <c r="CF9">
        <f t="shared" ref="CF9" si="32">SUM(CF3:CF6,CF8)</f>
        <v>271.60000000000002</v>
      </c>
      <c r="CG9">
        <f t="shared" ref="CG9" si="33">SUM(CG3:CG6,CG8)</f>
        <v>128.80000000000001</v>
      </c>
      <c r="CH9">
        <f t="shared" ref="CH9" si="34">SUM(CH3:CH6,CH8)</f>
        <v>159.5</v>
      </c>
      <c r="CJ9">
        <f>SUM(CJ3:CJ6,CJ8)</f>
        <v>357</v>
      </c>
      <c r="CK9">
        <f t="shared" ref="CK9" si="35">SUM(CK3:CK6,CK8)</f>
        <v>310</v>
      </c>
      <c r="CL9">
        <f t="shared" ref="CL9" si="36">SUM(CL3:CL6,CL8)</f>
        <v>170.5</v>
      </c>
      <c r="CM9">
        <f t="shared" ref="CM9" si="37">SUM(CM3:CM6,CM8)</f>
        <v>220</v>
      </c>
      <c r="CO9">
        <f>SUM(CO3:CO6,CO8)</f>
        <v>97.7</v>
      </c>
      <c r="CP9">
        <f t="shared" ref="CP9" si="38">SUM(CP3:CP6,CP8)</f>
        <v>115.6</v>
      </c>
      <c r="CQ9">
        <f t="shared" ref="CQ9" si="39">SUM(CQ3:CQ6,CQ8)</f>
        <v>149.69999999999999</v>
      </c>
      <c r="CR9">
        <f t="shared" ref="CR9" si="40">SUM(CR3:CR6,CR8)</f>
        <v>190</v>
      </c>
      <c r="CT9">
        <f>SUM(CT3:CT6,CT8)</f>
        <v>83.7</v>
      </c>
      <c r="CU9">
        <f t="shared" ref="CU9" si="41">SUM(CU3:CU6,CU8)</f>
        <v>104.10000000000001</v>
      </c>
      <c r="CV9">
        <f t="shared" ref="CV9" si="42">SUM(CV3:CV6,CV8)</f>
        <v>43.100000000000009</v>
      </c>
      <c r="CW9">
        <f t="shared" ref="CW9" si="43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4">SUM(CZ3:CZ6,CZ8)</f>
        <v>11.899999999999999</v>
      </c>
      <c r="DA9">
        <f t="shared" ref="DA9" si="45">SUM(DA3:DA6,DA8)</f>
        <v>4.8</v>
      </c>
      <c r="DB9">
        <f t="shared" ref="DB9" si="46">SUM(DB3:DB6,DB8)</f>
        <v>15.8</v>
      </c>
      <c r="DD9">
        <f>SUM(DD3:DD6,DD8)</f>
        <v>69.600000000000009</v>
      </c>
      <c r="DE9">
        <f t="shared" ref="DE9" si="47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H10">
        <v>88</v>
      </c>
      <c r="I10">
        <v>99</v>
      </c>
      <c r="J10">
        <v>28</v>
      </c>
      <c r="K10">
        <v>106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X10">
        <v>36</v>
      </c>
      <c r="Y10">
        <v>42</v>
      </c>
      <c r="Z10">
        <v>39</v>
      </c>
      <c r="AB10">
        <v>146</v>
      </c>
      <c r="AC10">
        <v>28</v>
      </c>
      <c r="AD10">
        <v>189</v>
      </c>
      <c r="AE10">
        <v>34</v>
      </c>
      <c r="AF10" s="1">
        <f>Índices!H9</f>
        <v>15.2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D10">
        <v>174</v>
      </c>
      <c r="CE10">
        <f>114+33</f>
        <v>147</v>
      </c>
      <c r="CF10">
        <v>107</v>
      </c>
      <c r="CG10">
        <v>84</v>
      </c>
      <c r="CH10">
        <v>216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H11">
        <v>385</v>
      </c>
      <c r="I11">
        <v>497</v>
      </c>
      <c r="J11">
        <v>131</v>
      </c>
      <c r="K11">
        <v>283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W11">
        <v>142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 s="1">
        <f>Índices!H11</f>
        <v>160.1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H12">
        <v>250</v>
      </c>
      <c r="I12">
        <v>263</v>
      </c>
      <c r="J12">
        <v>200</v>
      </c>
      <c r="K12">
        <v>156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X12">
        <f>58.8+5.6</f>
        <v>64.399999999999991</v>
      </c>
      <c r="Y12">
        <f>65+6.6</f>
        <v>71.599999999999994</v>
      </c>
      <c r="Z12">
        <f>68+6</f>
        <v>74</v>
      </c>
      <c r="AB12">
        <v>274</v>
      </c>
      <c r="AC12">
        <v>208</v>
      </c>
      <c r="AD12">
        <v>188</v>
      </c>
      <c r="AE12">
        <v>224</v>
      </c>
      <c r="AF12" s="1">
        <f>Índices!H28</f>
        <v>119.1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D12" s="6">
        <f>147-13+39-1.5</f>
        <v>171.5</v>
      </c>
      <c r="CE12">
        <v>136</v>
      </c>
      <c r="CF12">
        <f>118-10+26-1</f>
        <v>133</v>
      </c>
      <c r="CG12">
        <f>116-7+28</f>
        <v>137</v>
      </c>
      <c r="CH12">
        <f>141-7+32</f>
        <v>166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H13">
        <v>71</v>
      </c>
      <c r="I13">
        <v>101</v>
      </c>
      <c r="J13">
        <v>19</v>
      </c>
      <c r="K13">
        <v>-47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W13">
        <v>-248</v>
      </c>
      <c r="X13">
        <v>78</v>
      </c>
      <c r="Y13">
        <v>-139</v>
      </c>
      <c r="Z13">
        <v>-22</v>
      </c>
      <c r="AB13">
        <v>15</v>
      </c>
      <c r="AC13">
        <v>6</v>
      </c>
      <c r="AD13">
        <v>-123</v>
      </c>
      <c r="AE13">
        <v>-196</v>
      </c>
      <c r="AF13" s="1">
        <f>Resultado!H21</f>
        <v>50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D13">
        <v>1</v>
      </c>
      <c r="CE13">
        <v>17</v>
      </c>
      <c r="CF13" s="11">
        <v>44</v>
      </c>
      <c r="CG13" s="11">
        <v>-149</v>
      </c>
      <c r="CH13" s="11">
        <v>24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H14">
        <v>39</v>
      </c>
      <c r="I14">
        <v>109</v>
      </c>
      <c r="J14">
        <v>-155</v>
      </c>
      <c r="K14">
        <v>125</v>
      </c>
      <c r="M14">
        <v>71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X14">
        <v>-20</v>
      </c>
      <c r="Y14">
        <v>13</v>
      </c>
      <c r="Z14">
        <v>51</v>
      </c>
      <c r="AB14">
        <v>164</v>
      </c>
      <c r="AC14">
        <v>178</v>
      </c>
      <c r="AD14">
        <v>40</v>
      </c>
      <c r="AE14">
        <v>-18</v>
      </c>
      <c r="AF14">
        <f>Índices!H21</f>
        <v>60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D14">
        <v>192</v>
      </c>
      <c r="CE14">
        <v>194</v>
      </c>
      <c r="CF14">
        <v>214</v>
      </c>
      <c r="CG14">
        <v>9</v>
      </c>
      <c r="CH14">
        <v>204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H15">
        <v>148</v>
      </c>
      <c r="I15">
        <v>112</v>
      </c>
      <c r="J15">
        <v>252</v>
      </c>
      <c r="K15">
        <v>52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X15">
        <v>5</v>
      </c>
      <c r="Y15">
        <v>4.7</v>
      </c>
      <c r="Z15">
        <v>5.6</v>
      </c>
      <c r="AB15">
        <v>42</v>
      </c>
      <c r="AC15">
        <v>1</v>
      </c>
      <c r="AD15">
        <v>63</v>
      </c>
      <c r="AE15" s="7">
        <v>11</v>
      </c>
      <c r="AF15">
        <f>Índices!H24</f>
        <v>6.1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D15">
        <v>98</v>
      </c>
      <c r="CE15">
        <v>62</v>
      </c>
      <c r="CF15">
        <v>18</v>
      </c>
      <c r="CG15">
        <v>41</v>
      </c>
      <c r="CH15">
        <v>53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H16">
        <v>18</v>
      </c>
      <c r="I16">
        <v>18</v>
      </c>
      <c r="J16">
        <v>12</v>
      </c>
      <c r="K16"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X16">
        <v>0</v>
      </c>
      <c r="Y16">
        <v>0</v>
      </c>
      <c r="Z16">
        <v>1.8</v>
      </c>
      <c r="AB16">
        <v>0</v>
      </c>
      <c r="AC16">
        <v>0</v>
      </c>
      <c r="AD16">
        <v>0</v>
      </c>
      <c r="AE16">
        <v>0</v>
      </c>
      <c r="AF16">
        <f>Índices!H25</f>
        <v>4.8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D16">
        <v>12</v>
      </c>
      <c r="CE16">
        <v>10</v>
      </c>
      <c r="CF16">
        <v>9.4</v>
      </c>
      <c r="CG16">
        <v>7.8</v>
      </c>
      <c r="CH16">
        <v>9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8">(220*CU17)/100</f>
        <v>0.88</v>
      </c>
      <c r="CV18">
        <f t="shared" si="48"/>
        <v>0.88</v>
      </c>
      <c r="CW18">
        <f t="shared" si="48"/>
        <v>0.88</v>
      </c>
      <c r="CX18">
        <f>(220*CX17)/100</f>
        <v>0.22</v>
      </c>
      <c r="CY18">
        <f>(220*CY17)/100</f>
        <v>0.22</v>
      </c>
      <c r="CZ18">
        <f t="shared" ref="CZ18:DB18" si="49">(220*CZ17)/100</f>
        <v>0.22</v>
      </c>
      <c r="DA18">
        <f t="shared" si="49"/>
        <v>0.22</v>
      </c>
      <c r="DB18">
        <f t="shared" si="49"/>
        <v>0.22</v>
      </c>
      <c r="DC18">
        <f>(220*DC17)/100</f>
        <v>0.22</v>
      </c>
      <c r="DD18">
        <f>(220*DD17)/100</f>
        <v>0.22</v>
      </c>
      <c r="DE18">
        <f t="shared" ref="DE18" si="50">(220*DE17)/100</f>
        <v>0.22</v>
      </c>
      <c r="DF18">
        <f t="shared" ref="DF18" si="51">(220*DF17)/100</f>
        <v>0.22</v>
      </c>
      <c r="DG18">
        <f t="shared" ref="DG18" si="52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146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10.7</v>
      </c>
      <c r="X21">
        <v>0</v>
      </c>
      <c r="Y21">
        <v>0</v>
      </c>
      <c r="Z21">
        <v>10.6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v>0</v>
      </c>
      <c r="Z22" s="6">
        <f>(Z21/19)*1000</f>
        <v>557.8947368421052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>
        <v>0</v>
      </c>
      <c r="C24" s="14">
        <f t="shared" ref="C24:F24" si="53">C11/C18</f>
        <v>144</v>
      </c>
      <c r="D24" s="14">
        <f t="shared" si="53"/>
        <v>99</v>
      </c>
      <c r="E24" s="14">
        <f t="shared" si="53"/>
        <v>46</v>
      </c>
      <c r="F24" s="14">
        <f t="shared" si="53"/>
        <v>31</v>
      </c>
      <c r="G24">
        <v>0</v>
      </c>
      <c r="H24" s="14">
        <f t="shared" ref="H24:K24" si="54">H11/H18</f>
        <v>40.526315789473685</v>
      </c>
      <c r="I24" s="14">
        <f t="shared" si="54"/>
        <v>52.315789473684212</v>
      </c>
      <c r="J24" s="14">
        <f t="shared" si="54"/>
        <v>13.789473684210526</v>
      </c>
      <c r="K24" s="14">
        <f t="shared" si="54"/>
        <v>29.789473684210527</v>
      </c>
      <c r="L24">
        <v>0</v>
      </c>
      <c r="M24" s="14">
        <f t="shared" ref="M24:P24" si="55">M11/M18</f>
        <v>105.75757575757576</v>
      </c>
      <c r="N24" s="14">
        <f t="shared" si="55"/>
        <v>77.575757575757578</v>
      </c>
      <c r="O24" s="14">
        <f t="shared" si="55"/>
        <v>99.696969696969703</v>
      </c>
      <c r="P24" s="14">
        <f t="shared" si="55"/>
        <v>114.84848484848486</v>
      </c>
      <c r="Q24">
        <v>0</v>
      </c>
      <c r="R24" s="14">
        <f t="shared" ref="R24:U24" si="56">R11/R18</f>
        <v>12.658227848101266</v>
      </c>
      <c r="S24" s="14">
        <f t="shared" si="56"/>
        <v>24.556962025316455</v>
      </c>
      <c r="T24" s="14">
        <f t="shared" si="56"/>
        <v>15.189873417721518</v>
      </c>
      <c r="U24" s="14">
        <f t="shared" si="56"/>
        <v>22.025316455696203</v>
      </c>
      <c r="V24">
        <v>0</v>
      </c>
      <c r="W24" s="14">
        <f t="shared" ref="W24:Z24" si="57">W11/W18</f>
        <v>32.272727272727273</v>
      </c>
      <c r="X24" s="14">
        <f t="shared" si="57"/>
        <v>26.818181818181817</v>
      </c>
      <c r="Y24" s="14">
        <f t="shared" si="57"/>
        <v>34.318181818181813</v>
      </c>
      <c r="Z24" s="14">
        <f t="shared" si="57"/>
        <v>43.409090909090907</v>
      </c>
      <c r="AB24" s="14">
        <f t="shared" ref="AB24:AE24" si="58">AB11/AB18</f>
        <v>20.897435897435898</v>
      </c>
      <c r="AC24" s="14">
        <f t="shared" si="58"/>
        <v>14.358974358974359</v>
      </c>
      <c r="AD24" s="14">
        <f t="shared" si="58"/>
        <v>13.621794871794872</v>
      </c>
      <c r="AE24" s="14">
        <f t="shared" si="58"/>
        <v>11.858974358974359</v>
      </c>
      <c r="AF24" s="14">
        <f>AF11/AF18</f>
        <v>48.515151515151516</v>
      </c>
      <c r="AG24" s="14">
        <f t="shared" ref="AG24:AJ24" si="59">AG11/AG18</f>
        <v>47.272727272727273</v>
      </c>
      <c r="AH24" s="14">
        <f t="shared" si="59"/>
        <v>24.242424242424242</v>
      </c>
      <c r="AI24" s="14">
        <f t="shared" si="59"/>
        <v>30.303030303030305</v>
      </c>
      <c r="AJ24" s="14">
        <f t="shared" si="59"/>
        <v>11.515151515151516</v>
      </c>
      <c r="AK24">
        <v>0</v>
      </c>
      <c r="AL24" s="14">
        <f t="shared" ref="AL24:AO24" si="60">AL11/AL18</f>
        <v>10.895522388059701</v>
      </c>
      <c r="AM24" s="14">
        <f t="shared" si="60"/>
        <v>8.9552238805970141</v>
      </c>
      <c r="AN24" s="14">
        <f t="shared" si="60"/>
        <v>8.8059701492537314</v>
      </c>
      <c r="AO24" s="14">
        <f t="shared" si="60"/>
        <v>20.970149253731343</v>
      </c>
      <c r="AP24">
        <v>0</v>
      </c>
      <c r="AQ24" s="14">
        <f t="shared" ref="AQ24:AT24" si="61">AQ11/AQ18</f>
        <v>0</v>
      </c>
      <c r="AR24" s="14">
        <f t="shared" si="61"/>
        <v>0</v>
      </c>
      <c r="AS24" s="14">
        <f t="shared" si="61"/>
        <v>0</v>
      </c>
      <c r="AT24" s="14">
        <f t="shared" si="61"/>
        <v>0</v>
      </c>
      <c r="AU24">
        <v>25.8</v>
      </c>
      <c r="AV24" s="14">
        <f t="shared" ref="AV24:AY24" si="62">AV11/AV18</f>
        <v>23.118503118503117</v>
      </c>
      <c r="AW24" s="14">
        <f t="shared" si="62"/>
        <v>21.30977130977131</v>
      </c>
      <c r="AX24" s="14">
        <f t="shared" si="62"/>
        <v>13.388773388773389</v>
      </c>
      <c r="AY24" s="14">
        <f t="shared" si="62"/>
        <v>19.002079002079</v>
      </c>
      <c r="AZ24">
        <v>0</v>
      </c>
      <c r="BA24" s="14">
        <f t="shared" ref="BA24:BD24" si="63">BA11/BA18</f>
        <v>43.866666666666667</v>
      </c>
      <c r="BB24" s="14">
        <f t="shared" si="63"/>
        <v>41.866666666666667</v>
      </c>
      <c r="BC24" s="14">
        <f t="shared" si="63"/>
        <v>24.4</v>
      </c>
      <c r="BD24" s="14">
        <f t="shared" si="63"/>
        <v>33.333333333333336</v>
      </c>
      <c r="BE24">
        <v>0</v>
      </c>
      <c r="BF24" s="14">
        <f t="shared" ref="BF24:BI24" si="64">BF11/BF18</f>
        <v>93.461538461538453</v>
      </c>
      <c r="BG24" s="14">
        <f t="shared" si="64"/>
        <v>60.38461538461538</v>
      </c>
      <c r="BH24" s="14">
        <f t="shared" si="64"/>
        <v>29.615384615384613</v>
      </c>
      <c r="BI24" s="14">
        <f t="shared" si="64"/>
        <v>41.92307692307692</v>
      </c>
      <c r="BJ24" s="14">
        <f>BJ11/BJ18</f>
        <v>41.980198019801982</v>
      </c>
      <c r="BK24" s="14">
        <f t="shared" ref="BK24:BN24" si="65">BK11/BK18</f>
        <v>28.514851485148515</v>
      </c>
      <c r="BL24" s="14">
        <f t="shared" si="65"/>
        <v>46.237623762376238</v>
      </c>
      <c r="BM24" s="14">
        <f t="shared" si="65"/>
        <v>38.118811881188122</v>
      </c>
      <c r="BN24" s="14">
        <f t="shared" si="65"/>
        <v>40.396039603960396</v>
      </c>
      <c r="BO24">
        <v>0</v>
      </c>
      <c r="BP24" s="14">
        <f>BP11/BP18</f>
        <v>242.5</v>
      </c>
      <c r="BQ24" s="14">
        <f t="shared" ref="BQ24:BS24" si="66">BQ11/BQ18</f>
        <v>117.5</v>
      </c>
      <c r="BR24" s="14">
        <f t="shared" si="66"/>
        <v>215</v>
      </c>
      <c r="BS24" s="14">
        <f t="shared" si="66"/>
        <v>227.5</v>
      </c>
      <c r="BT24">
        <v>0</v>
      </c>
      <c r="BU24" s="14">
        <f t="shared" ref="BU24:BX24" si="67">BU11/BU18</f>
        <v>47.012987012987011</v>
      </c>
      <c r="BV24" s="14">
        <f t="shared" si="67"/>
        <v>44.675324675324674</v>
      </c>
      <c r="BW24" s="14">
        <f t="shared" si="67"/>
        <v>33.766233766233768</v>
      </c>
      <c r="BX24" s="14">
        <f t="shared" si="67"/>
        <v>50.649350649350652</v>
      </c>
      <c r="BY24" s="14">
        <f>BY11/BY18</f>
        <v>49.64497041420119</v>
      </c>
      <c r="BZ24" s="14">
        <f t="shared" ref="BZ24:CD24" si="68">BZ11/BZ18</f>
        <v>46.804733727810657</v>
      </c>
      <c r="CA24" s="14">
        <f t="shared" si="68"/>
        <v>54.970414201183438</v>
      </c>
      <c r="CB24" s="14">
        <f t="shared" si="68"/>
        <v>31.479289940828405</v>
      </c>
      <c r="CC24" s="14">
        <f t="shared" si="68"/>
        <v>35.384615384615387</v>
      </c>
      <c r="CD24" s="14">
        <f t="shared" si="68"/>
        <v>62.352941176470587</v>
      </c>
      <c r="CE24" s="14">
        <f t="shared" ref="CE24:CH24" si="69">CE11/CE18</f>
        <v>50.294117647058826</v>
      </c>
      <c r="CF24" s="14">
        <f t="shared" si="69"/>
        <v>59.852941176470587</v>
      </c>
      <c r="CG24" s="14">
        <f t="shared" si="69"/>
        <v>35.294117647058826</v>
      </c>
      <c r="CH24" s="14">
        <f t="shared" si="69"/>
        <v>58.82352941176471</v>
      </c>
      <c r="CI24" s="14">
        <f>CI11/CI18</f>
        <v>0</v>
      </c>
      <c r="CJ24" s="14">
        <f t="shared" ref="CJ24:CM24" si="70">CJ11/CJ18</f>
        <v>26.972477064220183</v>
      </c>
      <c r="CK24" s="14">
        <f t="shared" si="70"/>
        <v>19.862385321100916</v>
      </c>
      <c r="CL24" s="14">
        <f t="shared" si="70"/>
        <v>14.81651376146789</v>
      </c>
      <c r="CM24" s="14">
        <f t="shared" si="70"/>
        <v>14.954128440366972</v>
      </c>
      <c r="CN24">
        <v>0</v>
      </c>
      <c r="CO24" s="14">
        <f t="shared" ref="CO24:CR24" si="71">CO11/CO18</f>
        <v>8.5294117647058822</v>
      </c>
      <c r="CP24" s="14">
        <f t="shared" si="71"/>
        <v>12.205882352941178</v>
      </c>
      <c r="CQ24" s="14">
        <f t="shared" si="71"/>
        <v>11.98529411764706</v>
      </c>
      <c r="CR24" s="14">
        <f t="shared" si="71"/>
        <v>17.647058823529413</v>
      </c>
    </row>
    <row r="25" spans="1:111" x14ac:dyDescent="0.3">
      <c r="A25" t="s">
        <v>86</v>
      </c>
      <c r="B25">
        <v>0</v>
      </c>
      <c r="C25" s="14">
        <f t="shared" ref="C25:F25" si="72">C10/C16</f>
        <v>2</v>
      </c>
      <c r="D25" s="14">
        <v>0</v>
      </c>
      <c r="E25" s="14">
        <f t="shared" si="72"/>
        <v>1.2702702702702702</v>
      </c>
      <c r="F25" s="14">
        <f t="shared" si="72"/>
        <v>3.8181818181818179</v>
      </c>
      <c r="G25">
        <v>0</v>
      </c>
      <c r="H25" s="14">
        <f t="shared" ref="H25:K25" si="73">H10/H16</f>
        <v>4.8888888888888893</v>
      </c>
      <c r="I25" s="14">
        <f t="shared" si="73"/>
        <v>5.5</v>
      </c>
      <c r="J25" s="14">
        <f t="shared" si="73"/>
        <v>2.3333333333333335</v>
      </c>
      <c r="K25" s="14">
        <f t="shared" si="73"/>
        <v>7.5714285714285712</v>
      </c>
      <c r="L25">
        <v>0</v>
      </c>
      <c r="M25" s="14">
        <f t="shared" ref="M25:P25" si="74">M10/M16</f>
        <v>7.2142857142857144</v>
      </c>
      <c r="N25" s="14">
        <f t="shared" si="74"/>
        <v>3.3684210526315788</v>
      </c>
      <c r="O25" s="14">
        <f t="shared" si="74"/>
        <v>26.447368421052634</v>
      </c>
      <c r="P25" s="14">
        <f t="shared" si="74"/>
        <v>6.0454545454545459</v>
      </c>
      <c r="Q25">
        <v>0</v>
      </c>
      <c r="R25" s="14">
        <f t="shared" ref="R25:U25" si="75">R10/R16</f>
        <v>1.6153846153846154</v>
      </c>
      <c r="S25" s="14">
        <f t="shared" si="75"/>
        <v>2.6923076923076925</v>
      </c>
      <c r="T25" s="14">
        <f t="shared" si="75"/>
        <v>2.75</v>
      </c>
      <c r="U25" s="14">
        <f t="shared" si="75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B25" s="14">
        <v>0</v>
      </c>
      <c r="AC25" s="14">
        <v>0</v>
      </c>
      <c r="AD25" s="14">
        <v>0</v>
      </c>
      <c r="AE25" s="14">
        <v>0</v>
      </c>
      <c r="AF25" s="18">
        <f>AF10/AF16</f>
        <v>3.1666666666666665</v>
      </c>
      <c r="AG25" s="14">
        <f t="shared" ref="AG25:AJ25" si="76">AG10/AG16</f>
        <v>3.3009708737864076</v>
      </c>
      <c r="AH25" s="14">
        <f t="shared" si="76"/>
        <v>0.449438202247191</v>
      </c>
      <c r="AI25" s="14">
        <f t="shared" si="76"/>
        <v>3.9449541284403669</v>
      </c>
      <c r="AJ25" s="14">
        <f t="shared" si="76"/>
        <v>0.18354430379746833</v>
      </c>
      <c r="AK25">
        <v>0</v>
      </c>
      <c r="AL25" s="14">
        <v>0</v>
      </c>
      <c r="AM25" s="14">
        <f t="shared" ref="AM25:AO25" si="77">AM10/AM16</f>
        <v>4.7619047619047619</v>
      </c>
      <c r="AN25" s="14">
        <f t="shared" si="77"/>
        <v>2.875</v>
      </c>
      <c r="AO25" s="14">
        <f t="shared" si="77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78">AV10/AV16</f>
        <v>4.75</v>
      </c>
      <c r="AW25" s="14">
        <f t="shared" si="78"/>
        <v>5.6734693877551017</v>
      </c>
      <c r="AX25" s="14">
        <f t="shared" si="78"/>
        <v>8.5384615384615383</v>
      </c>
      <c r="AY25" s="14">
        <f t="shared" si="78"/>
        <v>9.375</v>
      </c>
      <c r="AZ25">
        <v>0</v>
      </c>
      <c r="BA25" s="14">
        <f t="shared" ref="BA25:BD25" si="79">BA10/BA16</f>
        <v>4.7</v>
      </c>
      <c r="BB25" s="14">
        <f t="shared" si="79"/>
        <v>5.7894736842105265</v>
      </c>
      <c r="BC25" s="14">
        <f t="shared" si="79"/>
        <v>4.5454545454545459</v>
      </c>
      <c r="BD25" s="14">
        <f t="shared" si="79"/>
        <v>6.5625</v>
      </c>
      <c r="BE25">
        <v>0</v>
      </c>
      <c r="BF25" s="14">
        <f t="shared" ref="BF25:BI25" si="80">BF10/BF16</f>
        <v>5</v>
      </c>
      <c r="BG25" s="14">
        <f t="shared" si="80"/>
        <v>1.263157894736842</v>
      </c>
      <c r="BH25" s="14">
        <f t="shared" si="80"/>
        <v>5.5</v>
      </c>
      <c r="BI25" s="14">
        <f t="shared" si="80"/>
        <v>4.0625</v>
      </c>
      <c r="BJ25" s="18">
        <f>BJ10/BJ16</f>
        <v>1.9230769230769231</v>
      </c>
      <c r="BK25" s="18">
        <f t="shared" ref="BK25:BN25" si="81">BK10/BK16</f>
        <v>4.08</v>
      </c>
      <c r="BL25" s="18">
        <f t="shared" si="81"/>
        <v>5.4827586206896548</v>
      </c>
      <c r="BM25" s="18">
        <f t="shared" si="81"/>
        <v>6</v>
      </c>
      <c r="BN25" s="18">
        <f t="shared" si="81"/>
        <v>4.6956521739130439</v>
      </c>
      <c r="BO25">
        <v>0</v>
      </c>
      <c r="BP25" s="14">
        <f t="shared" ref="BP25:BS25" si="82">BP10/BP16</f>
        <v>0.65217391304347827</v>
      </c>
      <c r="BQ25" s="14">
        <f t="shared" si="82"/>
        <v>2.5</v>
      </c>
      <c r="BR25" s="14">
        <f t="shared" si="82"/>
        <v>9.375</v>
      </c>
      <c r="BS25" s="14">
        <f t="shared" si="82"/>
        <v>0.17460317460317462</v>
      </c>
      <c r="BT25">
        <v>0</v>
      </c>
      <c r="BU25" s="14">
        <f t="shared" ref="BU25:BX25" si="83">BU10/BU16</f>
        <v>7.8636363636363633</v>
      </c>
      <c r="BV25" s="14">
        <f t="shared" si="83"/>
        <v>4</v>
      </c>
      <c r="BW25" s="14">
        <f t="shared" si="83"/>
        <v>4.5333333333333332</v>
      </c>
      <c r="BX25" s="14">
        <f t="shared" si="83"/>
        <v>6.2962962962962958</v>
      </c>
      <c r="BY25" s="14">
        <f>BY10/BY16</f>
        <v>6.4482758620689653</v>
      </c>
      <c r="BZ25" s="14">
        <f t="shared" ref="BZ25:CD25" si="84">BZ10/BZ16</f>
        <v>5.8</v>
      </c>
      <c r="CA25" s="14">
        <f t="shared" si="84"/>
        <v>4.7931034482758621</v>
      </c>
      <c r="CB25" s="14">
        <f t="shared" si="84"/>
        <v>7.8421052631578947</v>
      </c>
      <c r="CC25" s="14">
        <f t="shared" si="84"/>
        <v>4.1538461538461542</v>
      </c>
      <c r="CD25" s="14">
        <f t="shared" si="84"/>
        <v>14.5</v>
      </c>
      <c r="CE25" s="14">
        <f t="shared" ref="CE25:CH25" si="85">CE10/CE16</f>
        <v>14.7</v>
      </c>
      <c r="CF25" s="14">
        <f t="shared" si="85"/>
        <v>11.382978723404255</v>
      </c>
      <c r="CG25" s="14">
        <f t="shared" si="85"/>
        <v>10.76923076923077</v>
      </c>
      <c r="CH25" s="14">
        <f t="shared" si="85"/>
        <v>24</v>
      </c>
      <c r="CI25" s="14">
        <v>0</v>
      </c>
      <c r="CJ25" s="14">
        <f t="shared" ref="CJ25:CM25" si="86">CJ10/CJ16</f>
        <v>14.3125</v>
      </c>
      <c r="CK25" s="14">
        <f t="shared" si="86"/>
        <v>4.3214285714285712</v>
      </c>
      <c r="CL25" s="14">
        <f t="shared" si="86"/>
        <v>4.1944444444444446</v>
      </c>
      <c r="CM25" s="14">
        <f t="shared" si="86"/>
        <v>2.625</v>
      </c>
      <c r="CN25">
        <v>0</v>
      </c>
      <c r="CO25" s="14">
        <f t="shared" ref="CO25:CR25" si="87">CO10/CO16</f>
        <v>3.0459770114942533</v>
      </c>
      <c r="CP25" s="14">
        <f t="shared" si="87"/>
        <v>16.944444444444443</v>
      </c>
      <c r="CQ25" s="14">
        <f t="shared" si="87"/>
        <v>3.6666666666666665</v>
      </c>
      <c r="CR25" s="14">
        <f t="shared" si="87"/>
        <v>1.0769230769230769</v>
      </c>
    </row>
    <row r="26" spans="1:111" x14ac:dyDescent="0.3">
      <c r="A26" t="s">
        <v>81</v>
      </c>
      <c r="B26">
        <v>0</v>
      </c>
      <c r="C26" s="14">
        <f t="shared" ref="C26:D26" si="88">C10/C19</f>
        <v>0.18867924528301888</v>
      </c>
      <c r="D26" s="14">
        <f t="shared" si="88"/>
        <v>4.5283018867924525E-2</v>
      </c>
      <c r="E26" s="14">
        <v>0</v>
      </c>
      <c r="F26" s="14">
        <v>0</v>
      </c>
      <c r="G26">
        <v>0</v>
      </c>
      <c r="H26" s="14">
        <f t="shared" ref="H26:K26" si="89">H10/H19</f>
        <v>1.5172413793103448</v>
      </c>
      <c r="I26" s="14">
        <f t="shared" si="89"/>
        <v>1.1785714285714286</v>
      </c>
      <c r="J26" s="14">
        <f t="shared" si="89"/>
        <v>0.41176470588235292</v>
      </c>
      <c r="K26" s="14">
        <f t="shared" si="89"/>
        <v>2.2083333333333335</v>
      </c>
      <c r="L26">
        <v>0</v>
      </c>
      <c r="M26" s="14">
        <f t="shared" ref="M26:P26" si="90">M10/M19</f>
        <v>1.7413793103448276</v>
      </c>
      <c r="N26" s="14">
        <f t="shared" si="90"/>
        <v>0.68085106382978722</v>
      </c>
      <c r="O26" s="14">
        <f t="shared" si="90"/>
        <v>3.7924528301886791</v>
      </c>
      <c r="P26" s="14">
        <f t="shared" si="90"/>
        <v>2.078125</v>
      </c>
      <c r="Q26">
        <v>0</v>
      </c>
      <c r="R26" s="14">
        <v>0</v>
      </c>
      <c r="S26" s="14">
        <f t="shared" ref="S26:U26" si="91">S10/S19</f>
        <v>0.81395348837209303</v>
      </c>
      <c r="T26" s="14">
        <f t="shared" si="91"/>
        <v>0.5</v>
      </c>
      <c r="U26" s="14">
        <f t="shared" si="91"/>
        <v>0.91836734693877553</v>
      </c>
      <c r="V26">
        <v>0</v>
      </c>
      <c r="W26" s="14">
        <f t="shared" ref="W26:Z26" si="92">W10/W19</f>
        <v>0</v>
      </c>
      <c r="X26" s="14">
        <v>0</v>
      </c>
      <c r="Y26" s="14">
        <f t="shared" si="92"/>
        <v>1.5555555555555556</v>
      </c>
      <c r="Z26" s="14">
        <f t="shared" si="92"/>
        <v>0.90697674418604646</v>
      </c>
      <c r="AB26" s="14">
        <f t="shared" ref="AB26:AE26" si="93">AB10/AB19</f>
        <v>2.2461538461538462</v>
      </c>
      <c r="AC26" s="14">
        <f t="shared" si="93"/>
        <v>0.49122807017543857</v>
      </c>
      <c r="AD26" s="14">
        <f t="shared" si="93"/>
        <v>3.7058823529411766</v>
      </c>
      <c r="AE26" s="14">
        <f t="shared" si="93"/>
        <v>0.6071428571428571</v>
      </c>
      <c r="AF26" s="18">
        <f>AF10/AF19</f>
        <v>0.5066666666666666</v>
      </c>
      <c r="AG26" s="14">
        <f t="shared" ref="AG26:AI26" si="94">AG10/AG19</f>
        <v>0.80952380952380953</v>
      </c>
      <c r="AH26" s="14">
        <v>0</v>
      </c>
      <c r="AI26" s="14">
        <f t="shared" si="94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95">AO10/AO19</f>
        <v>3</v>
      </c>
      <c r="AP26">
        <v>0</v>
      </c>
      <c r="AQ26" s="14">
        <f t="shared" ref="AQ26:AR26" si="96">AQ10/AQ19</f>
        <v>0</v>
      </c>
      <c r="AR26" s="14">
        <f t="shared" si="96"/>
        <v>0</v>
      </c>
      <c r="AS26" s="14">
        <v>0</v>
      </c>
      <c r="AT26" s="14">
        <v>0</v>
      </c>
      <c r="AU26">
        <v>4.5999999999999996</v>
      </c>
      <c r="AV26" s="14">
        <f t="shared" ref="AV26:AY26" si="97">AV10/AV19</f>
        <v>2.1451612903225805</v>
      </c>
      <c r="AW26" s="14">
        <f t="shared" si="97"/>
        <v>3.915492957746479</v>
      </c>
      <c r="AX26" s="14">
        <f t="shared" si="97"/>
        <v>3.1267605633802815</v>
      </c>
      <c r="AY26" s="14">
        <f t="shared" si="97"/>
        <v>3.3333333333333335</v>
      </c>
      <c r="AZ26">
        <v>0</v>
      </c>
      <c r="BA26" s="14">
        <f t="shared" ref="BA26:BD26" si="98">BA10/BA19</f>
        <v>1.3428571428571427</v>
      </c>
      <c r="BB26" s="14">
        <f t="shared" si="98"/>
        <v>2.0370370370370372</v>
      </c>
      <c r="BC26" s="14">
        <f t="shared" si="98"/>
        <v>0.78125</v>
      </c>
      <c r="BD26" s="14">
        <f t="shared" si="98"/>
        <v>2.2826086956521738</v>
      </c>
      <c r="BE26">
        <v>0</v>
      </c>
      <c r="BF26" s="14">
        <f t="shared" ref="BF26:BI26" si="99">BF10/BF19</f>
        <v>0.36363636363636365</v>
      </c>
      <c r="BG26" s="14">
        <f t="shared" si="99"/>
        <v>4.1379310344827586E-2</v>
      </c>
      <c r="BH26" s="14">
        <f t="shared" si="99"/>
        <v>0.26829268292682928</v>
      </c>
      <c r="BI26" s="14">
        <f t="shared" si="99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N26" si="100">BM10/BM19</f>
        <v>2.0338983050847457</v>
      </c>
      <c r="BN26" s="18">
        <f t="shared" si="100"/>
        <v>1.6615384615384616</v>
      </c>
      <c r="BO26">
        <v>0</v>
      </c>
      <c r="BP26" s="14">
        <f t="shared" ref="BP26:BS26" si="101">BP10/BP19</f>
        <v>6.5217391304347824E-2</v>
      </c>
      <c r="BQ26" s="14">
        <v>0</v>
      </c>
      <c r="BR26" s="14">
        <f t="shared" si="101"/>
        <v>1.2162162162162162</v>
      </c>
      <c r="BS26" s="14">
        <f t="shared" si="101"/>
        <v>2.1153846153846155E-2</v>
      </c>
      <c r="BT26">
        <v>0</v>
      </c>
      <c r="BU26" s="14">
        <f t="shared" ref="BU26:BX26" si="102">BU10/BU19</f>
        <v>2.3698630136986303</v>
      </c>
      <c r="BV26" s="14">
        <f t="shared" si="102"/>
        <v>1.8333333333333333</v>
      </c>
      <c r="BW26" s="14">
        <f t="shared" si="102"/>
        <v>0.97142857142857142</v>
      </c>
      <c r="BX26" s="14">
        <f t="shared" si="102"/>
        <v>2.3859649122807016</v>
      </c>
      <c r="BY26" s="14">
        <f>BY10/BY19</f>
        <v>2.6714285714285713</v>
      </c>
      <c r="BZ26" s="14">
        <f t="shared" ref="BZ26:CD26" si="103">BZ10/BZ19</f>
        <v>2.1481481481481484</v>
      </c>
      <c r="CA26" s="14">
        <f t="shared" si="103"/>
        <v>2.106060606060606</v>
      </c>
      <c r="CB26" s="14">
        <f t="shared" si="103"/>
        <v>2.5689655172413794</v>
      </c>
      <c r="CC26" s="14">
        <f t="shared" si="103"/>
        <v>1.4594594594594594</v>
      </c>
      <c r="CD26" s="14">
        <f t="shared" si="103"/>
        <v>4.0465116279069768</v>
      </c>
      <c r="CE26" s="14">
        <f t="shared" ref="CE26:CH26" si="104">CE10/CE19</f>
        <v>3.1276595744680851</v>
      </c>
      <c r="CF26" s="14">
        <f t="shared" si="104"/>
        <v>2.14</v>
      </c>
      <c r="CG26" s="14">
        <f t="shared" si="104"/>
        <v>1.5555555555555556</v>
      </c>
      <c r="CH26" s="14">
        <f t="shared" si="104"/>
        <v>2.9189189189189189</v>
      </c>
      <c r="CI26" s="14">
        <f>CI10/CI19</f>
        <v>0</v>
      </c>
      <c r="CJ26" s="14">
        <f t="shared" ref="CJ26:CM26" si="105">CJ10/CJ19</f>
        <v>4.2407407407407405</v>
      </c>
      <c r="CK26" s="14">
        <f t="shared" si="105"/>
        <v>2.5208333333333335</v>
      </c>
      <c r="CL26" s="14">
        <f t="shared" si="105"/>
        <v>2.2878787878787881</v>
      </c>
      <c r="CM26" s="14">
        <f t="shared" si="105"/>
        <v>1.6666666666666667</v>
      </c>
      <c r="CN26">
        <v>0</v>
      </c>
      <c r="CO26" s="14">
        <v>0</v>
      </c>
      <c r="CP26" s="14">
        <v>0</v>
      </c>
      <c r="CQ26" s="14">
        <f t="shared" ref="CQ26:CR26" si="106">CQ10/CQ19</f>
        <v>0.80487804878048785</v>
      </c>
      <c r="CR26" s="14">
        <f t="shared" si="106"/>
        <v>0.2857142857142857</v>
      </c>
    </row>
    <row r="27" spans="1:111" x14ac:dyDescent="0.3">
      <c r="A27" t="s">
        <v>82</v>
      </c>
      <c r="B27">
        <v>0</v>
      </c>
      <c r="C27" s="14">
        <f t="shared" ref="C27:F27" si="107">C7/C12</f>
        <v>0</v>
      </c>
      <c r="D27" s="14">
        <f t="shared" si="107"/>
        <v>0</v>
      </c>
      <c r="E27" s="14">
        <f t="shared" si="107"/>
        <v>0</v>
      </c>
      <c r="F27" s="14">
        <f t="shared" si="107"/>
        <v>0</v>
      </c>
      <c r="G27">
        <v>0</v>
      </c>
      <c r="H27" s="14">
        <f t="shared" ref="H27:K27" si="108">H7/H12</f>
        <v>0</v>
      </c>
      <c r="I27" s="14">
        <f t="shared" si="108"/>
        <v>0</v>
      </c>
      <c r="J27" s="14">
        <f t="shared" si="108"/>
        <v>0</v>
      </c>
      <c r="K27" s="14">
        <f t="shared" si="108"/>
        <v>0</v>
      </c>
      <c r="L27">
        <v>0</v>
      </c>
      <c r="M27" s="14">
        <f t="shared" ref="M27:P27" si="109">M7/M12</f>
        <v>0.4550561797752809</v>
      </c>
      <c r="N27" s="14">
        <f t="shared" si="109"/>
        <v>0.51724137931034486</v>
      </c>
      <c r="O27" s="14">
        <f t="shared" si="109"/>
        <v>0.31868131868131866</v>
      </c>
      <c r="P27" s="14">
        <f t="shared" si="109"/>
        <v>0.61594202898550721</v>
      </c>
      <c r="Q27">
        <v>0</v>
      </c>
      <c r="R27" s="14">
        <f t="shared" ref="R27:U27" si="110">R7/R12</f>
        <v>0</v>
      </c>
      <c r="S27" s="14">
        <f t="shared" si="110"/>
        <v>0</v>
      </c>
      <c r="T27" s="14">
        <f t="shared" si="110"/>
        <v>0</v>
      </c>
      <c r="U27" s="14">
        <f t="shared" si="110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B27" s="14">
        <f t="shared" ref="AB27:AE27" si="111">AB7/AB12</f>
        <v>0</v>
      </c>
      <c r="AC27" s="14">
        <f t="shared" si="111"/>
        <v>0</v>
      </c>
      <c r="AD27" s="14">
        <f t="shared" si="111"/>
        <v>0</v>
      </c>
      <c r="AE27" s="14">
        <f t="shared" si="111"/>
        <v>0</v>
      </c>
      <c r="AF27">
        <v>0</v>
      </c>
      <c r="AG27" s="14">
        <f t="shared" ref="AG27:AJ27" si="112">AG7/AG12</f>
        <v>0</v>
      </c>
      <c r="AH27" s="14">
        <f t="shared" si="112"/>
        <v>0</v>
      </c>
      <c r="AI27" s="14">
        <f t="shared" si="112"/>
        <v>0</v>
      </c>
      <c r="AJ27" s="14">
        <f t="shared" si="112"/>
        <v>0</v>
      </c>
      <c r="AK27">
        <v>0</v>
      </c>
      <c r="AL27" s="14">
        <f t="shared" ref="AL27:AO27" si="113">AL7/AL12</f>
        <v>0</v>
      </c>
      <c r="AM27" s="14">
        <f t="shared" si="113"/>
        <v>0</v>
      </c>
      <c r="AN27" s="14">
        <f t="shared" si="113"/>
        <v>0</v>
      </c>
      <c r="AO27" s="14">
        <f t="shared" si="113"/>
        <v>0</v>
      </c>
      <c r="AP27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14">AV7/AV12</f>
        <v>0.56947608200455579</v>
      </c>
      <c r="AW27" s="14">
        <f t="shared" si="114"/>
        <v>0.4096045197740113</v>
      </c>
      <c r="AX27" s="14">
        <f t="shared" si="114"/>
        <v>0.2740963855421687</v>
      </c>
      <c r="AY27" s="14">
        <f t="shared" si="114"/>
        <v>0.53680981595092025</v>
      </c>
      <c r="AZ27">
        <v>0</v>
      </c>
      <c r="BA27" s="14">
        <f t="shared" ref="BA27:BD27" si="115">BA7/BA12</f>
        <v>0</v>
      </c>
      <c r="BB27" s="14">
        <f t="shared" si="115"/>
        <v>0</v>
      </c>
      <c r="BC27" s="14">
        <f t="shared" si="115"/>
        <v>0</v>
      </c>
      <c r="BD27" s="14">
        <f t="shared" si="115"/>
        <v>0</v>
      </c>
      <c r="BE27">
        <v>0</v>
      </c>
      <c r="BF27" s="14">
        <f t="shared" ref="BF27:BI27" si="116">BF7/BF12</f>
        <v>0.42352941176470588</v>
      </c>
      <c r="BG27" s="14">
        <f t="shared" si="116"/>
        <v>0.46052631578947367</v>
      </c>
      <c r="BH27" s="14">
        <f t="shared" si="116"/>
        <v>0</v>
      </c>
      <c r="BI27" s="14">
        <f t="shared" si="116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 s="14">
        <f t="shared" ref="BP27:BS27" si="117">BP7/BP12</f>
        <v>0.2181818181818182</v>
      </c>
      <c r="BQ27" s="14">
        <f t="shared" si="117"/>
        <v>3.3333333333333333E-2</v>
      </c>
      <c r="BR27" s="14">
        <f t="shared" si="117"/>
        <v>8.5106382978723402E-2</v>
      </c>
      <c r="BS27" s="14">
        <f t="shared" si="117"/>
        <v>4.878048780487805E-2</v>
      </c>
      <c r="BT27">
        <v>0</v>
      </c>
      <c r="BU27" s="14">
        <f t="shared" ref="BU27:BX27" si="118">BU7/BU12</f>
        <v>7.0707070707070704E-2</v>
      </c>
      <c r="BV27" s="14">
        <f t="shared" si="118"/>
        <v>0.32596685082872928</v>
      </c>
      <c r="BW27" s="14">
        <f t="shared" si="118"/>
        <v>0.17934782608695651</v>
      </c>
      <c r="BX27" s="14">
        <f t="shared" si="118"/>
        <v>0.37894736842105264</v>
      </c>
      <c r="BY27" s="14">
        <f>BY7/BY12</f>
        <v>0.19753086419753085</v>
      </c>
      <c r="BZ27" s="14">
        <f t="shared" ref="BZ27:CD27" si="119">BZ7/BZ12</f>
        <v>0.26027397260273971</v>
      </c>
      <c r="CA27" s="14">
        <f t="shared" si="119"/>
        <v>0.72676056338028172</v>
      </c>
      <c r="CB27" s="14">
        <f t="shared" si="119"/>
        <v>0.14077669902912621</v>
      </c>
      <c r="CC27" s="14">
        <f t="shared" si="119"/>
        <v>8.0321285140562249E-2</v>
      </c>
      <c r="CD27" s="14">
        <f t="shared" si="119"/>
        <v>0</v>
      </c>
      <c r="CE27" s="14">
        <f t="shared" ref="CE27:CH27" si="120">CE7/CE12</f>
        <v>0</v>
      </c>
      <c r="CF27" s="14">
        <f t="shared" si="120"/>
        <v>0</v>
      </c>
      <c r="CG27" s="14">
        <f t="shared" si="120"/>
        <v>0</v>
      </c>
      <c r="CH27" s="14">
        <f t="shared" si="120"/>
        <v>0</v>
      </c>
      <c r="CI27" s="14">
        <v>0</v>
      </c>
      <c r="CJ27" s="14">
        <f t="shared" ref="CJ27:CM27" si="121">CJ7/CJ12</f>
        <v>0.14646464646464646</v>
      </c>
      <c r="CK27" s="14">
        <f t="shared" si="121"/>
        <v>0.21917808219178081</v>
      </c>
      <c r="CL27" s="14">
        <f t="shared" si="121"/>
        <v>2.9940119760479044E-3</v>
      </c>
      <c r="CM27" s="14">
        <f t="shared" si="121"/>
        <v>0.16363636363636364</v>
      </c>
      <c r="CN27">
        <v>0</v>
      </c>
      <c r="CO27" s="14">
        <f t="shared" ref="CO27:CR27" si="122">CO7/CO12</f>
        <v>2.9850746268656716E-2</v>
      </c>
      <c r="CP27" s="14">
        <f t="shared" si="122"/>
        <v>0.1076923076923077</v>
      </c>
      <c r="CQ27" s="14">
        <f t="shared" si="122"/>
        <v>0.15584415584415584</v>
      </c>
      <c r="CR27" s="14">
        <f t="shared" si="122"/>
        <v>0.24719101123595505</v>
      </c>
    </row>
    <row r="28" spans="1:111" x14ac:dyDescent="0.3">
      <c r="A28" t="s">
        <v>135</v>
      </c>
      <c r="B28">
        <v>0</v>
      </c>
      <c r="C28" s="14">
        <f t="shared" ref="C28:D28" si="123">C12/C19</f>
        <v>1.1320754716981132</v>
      </c>
      <c r="D28" s="14">
        <f t="shared" si="123"/>
        <v>0.86792452830188682</v>
      </c>
      <c r="E28" s="14">
        <v>0</v>
      </c>
      <c r="F28" s="14">
        <v>0</v>
      </c>
      <c r="G28">
        <v>0</v>
      </c>
      <c r="H28" s="14">
        <f t="shared" ref="H28:K28" si="124">H12/H19</f>
        <v>4.3103448275862073</v>
      </c>
      <c r="I28" s="14">
        <f t="shared" si="124"/>
        <v>3.1309523809523809</v>
      </c>
      <c r="J28" s="14">
        <f t="shared" si="124"/>
        <v>2.9411764705882355</v>
      </c>
      <c r="K28" s="14">
        <f t="shared" si="124"/>
        <v>3.25</v>
      </c>
      <c r="L28">
        <v>0</v>
      </c>
      <c r="M28" s="14">
        <f t="shared" ref="M28:P28" si="125">M12/M19</f>
        <v>3.0689655172413794</v>
      </c>
      <c r="N28" s="14">
        <f t="shared" si="125"/>
        <v>3.0851063829787235</v>
      </c>
      <c r="O28" s="14">
        <f t="shared" si="125"/>
        <v>1.7169811320754718</v>
      </c>
      <c r="P28" s="14">
        <f t="shared" si="125"/>
        <v>2.15625</v>
      </c>
      <c r="Q28">
        <v>0</v>
      </c>
      <c r="R28" s="14">
        <v>0</v>
      </c>
      <c r="S28" s="14">
        <f t="shared" ref="S28:U28" si="126">S12/S19</f>
        <v>2.4651162790697674</v>
      </c>
      <c r="T28" s="14">
        <f t="shared" si="126"/>
        <v>2.0681818181818183</v>
      </c>
      <c r="U28" s="14">
        <f t="shared" si="126"/>
        <v>1.8979591836734695</v>
      </c>
      <c r="V28">
        <v>0</v>
      </c>
      <c r="W28" s="14">
        <f t="shared" ref="W28:Z28" si="127">W12/W19</f>
        <v>0</v>
      </c>
      <c r="X28" s="14">
        <v>0</v>
      </c>
      <c r="Y28" s="14">
        <f t="shared" si="127"/>
        <v>2.6518518518518515</v>
      </c>
      <c r="Z28" s="14">
        <f t="shared" si="127"/>
        <v>1.7209302325581395</v>
      </c>
      <c r="AB28" s="14">
        <f t="shared" ref="AB28:AE28" si="128">AB12/AB19</f>
        <v>4.2153846153846155</v>
      </c>
      <c r="AC28" s="14">
        <f t="shared" si="128"/>
        <v>3.6491228070175437</v>
      </c>
      <c r="AD28" s="14">
        <f t="shared" si="128"/>
        <v>3.6862745098039214</v>
      </c>
      <c r="AE28" s="14">
        <f t="shared" si="128"/>
        <v>4</v>
      </c>
      <c r="AF28" s="18">
        <f>AF12/AF19</f>
        <v>3.9699999999999998</v>
      </c>
      <c r="AG28" s="14">
        <f t="shared" ref="AG28:AI28" si="129">AG12/AG19</f>
        <v>1.7380952380952381</v>
      </c>
      <c r="AH28" s="14">
        <v>0</v>
      </c>
      <c r="AI28" s="14">
        <f t="shared" si="129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30">AO12/AO19</f>
        <v>5.8611111111111107</v>
      </c>
      <c r="AP28">
        <v>0</v>
      </c>
      <c r="AQ28" s="14">
        <f t="shared" ref="AQ28:AR28" si="131">AQ12/AQ19</f>
        <v>0</v>
      </c>
      <c r="AR28" s="14">
        <f t="shared" si="131"/>
        <v>0</v>
      </c>
      <c r="AS28" s="14">
        <v>0</v>
      </c>
      <c r="AT28" s="14">
        <v>0</v>
      </c>
      <c r="AU28">
        <v>7.02</v>
      </c>
      <c r="AV28" s="14">
        <f t="shared" ref="AV28:AY28" si="132">AV12/AV19</f>
        <v>7.080645161290323</v>
      </c>
      <c r="AW28" s="14">
        <f t="shared" si="132"/>
        <v>4.9859154929577461</v>
      </c>
      <c r="AX28" s="14">
        <f t="shared" si="132"/>
        <v>4.676056338028169</v>
      </c>
      <c r="AY28" s="14">
        <f t="shared" si="132"/>
        <v>3.6222222222222222</v>
      </c>
      <c r="AZ28">
        <v>0</v>
      </c>
      <c r="BA28" s="14">
        <f t="shared" ref="BA28:BD28" si="133">BA12/BA19</f>
        <v>1.8571428571428572</v>
      </c>
      <c r="BB28" s="14">
        <f t="shared" si="133"/>
        <v>2.1851851851851851</v>
      </c>
      <c r="BC28" s="14">
        <f t="shared" si="133"/>
        <v>1.15625</v>
      </c>
      <c r="BD28" s="14">
        <f t="shared" si="133"/>
        <v>1.326086956521739</v>
      </c>
      <c r="BE28">
        <v>0</v>
      </c>
      <c r="BF28" s="14">
        <f t="shared" ref="BF28:BI28" si="134">BF12/BF19</f>
        <v>1.5454545454545454</v>
      </c>
      <c r="BG28" s="14">
        <f t="shared" si="134"/>
        <v>1.3103448275862069</v>
      </c>
      <c r="BH28" s="14">
        <f t="shared" si="134"/>
        <v>1.0731707317073171</v>
      </c>
      <c r="BI28" s="14">
        <f t="shared" si="134"/>
        <v>1.3018867924528301</v>
      </c>
      <c r="BJ28" s="18">
        <f>BJ12/BJ19</f>
        <v>3.3970588235294117</v>
      </c>
      <c r="BK28" s="18">
        <v>0</v>
      </c>
      <c r="BL28" s="18">
        <f t="shared" ref="BL28:BN28" si="135">BL12/BL19</f>
        <v>3.13953488372093</v>
      </c>
      <c r="BM28" s="18">
        <f t="shared" si="135"/>
        <v>1.8644067796610169</v>
      </c>
      <c r="BN28" s="18">
        <f t="shared" si="135"/>
        <v>1.676923076923077</v>
      </c>
      <c r="BO28">
        <v>0</v>
      </c>
      <c r="BP28" s="14">
        <f t="shared" ref="BP28:BS28" si="136">BP12/BP19</f>
        <v>0.71739130434782605</v>
      </c>
      <c r="BQ28" s="14">
        <v>0</v>
      </c>
      <c r="BR28" s="14">
        <f t="shared" si="136"/>
        <v>1.2702702702702702</v>
      </c>
      <c r="BS28" s="14">
        <f t="shared" si="136"/>
        <v>0.78846153846153844</v>
      </c>
      <c r="BT28">
        <v>0</v>
      </c>
      <c r="BU28" s="14">
        <f t="shared" ref="BU28:BX28" si="137">BU12/BU19</f>
        <v>2.7123287671232879</v>
      </c>
      <c r="BV28" s="14">
        <f t="shared" si="137"/>
        <v>3.7708333333333335</v>
      </c>
      <c r="BW28" s="14">
        <f t="shared" si="137"/>
        <v>2.6285714285714286</v>
      </c>
      <c r="BX28" s="14">
        <f t="shared" si="137"/>
        <v>3.3333333333333335</v>
      </c>
      <c r="BY28" s="14">
        <f>BY12/BY19</f>
        <v>5.7857142857142856</v>
      </c>
      <c r="BZ28" s="14">
        <f t="shared" ref="BZ28:CD28" si="138">BZ12/BZ19</f>
        <v>4.5061728395061724</v>
      </c>
      <c r="CA28" s="14">
        <f t="shared" si="138"/>
        <v>5.3787878787878789</v>
      </c>
      <c r="CB28" s="14">
        <f t="shared" si="138"/>
        <v>3.5517241379310347</v>
      </c>
      <c r="CC28" s="14">
        <f t="shared" si="138"/>
        <v>3.3648648648648649</v>
      </c>
      <c r="CD28" s="14">
        <f t="shared" si="138"/>
        <v>3.9883720930232558</v>
      </c>
      <c r="CE28" s="14">
        <f t="shared" ref="CE28:CH28" si="139">CE12/CE19</f>
        <v>2.8936170212765959</v>
      </c>
      <c r="CF28" s="14">
        <f t="shared" si="139"/>
        <v>2.66</v>
      </c>
      <c r="CG28" s="14">
        <f t="shared" si="139"/>
        <v>2.5370370370370372</v>
      </c>
      <c r="CH28" s="14">
        <f t="shared" si="139"/>
        <v>2.2432432432432434</v>
      </c>
      <c r="CI28" s="14">
        <f>CI12/CI19</f>
        <v>0</v>
      </c>
      <c r="CJ28" s="14">
        <f t="shared" ref="CJ28:CM28" si="140">CJ12/CJ19</f>
        <v>3.6666666666666665</v>
      </c>
      <c r="CK28" s="14">
        <f t="shared" si="140"/>
        <v>4.5625</v>
      </c>
      <c r="CL28" s="14">
        <f t="shared" si="140"/>
        <v>2.5303030303030303</v>
      </c>
      <c r="CM28" s="14">
        <f t="shared" si="140"/>
        <v>2.6190476190476191</v>
      </c>
      <c r="CN28">
        <v>0</v>
      </c>
      <c r="CO28" s="14">
        <v>0</v>
      </c>
      <c r="CP28" s="14">
        <v>0</v>
      </c>
      <c r="CQ28" s="14">
        <f t="shared" ref="CQ28:CR28" si="141">CQ12/CQ19</f>
        <v>1.8780487804878048</v>
      </c>
      <c r="CR28" s="14">
        <f t="shared" si="141"/>
        <v>1.8163265306122449</v>
      </c>
    </row>
    <row r="29" spans="1:111" x14ac:dyDescent="0.3">
      <c r="A29" t="s">
        <v>137</v>
      </c>
      <c r="B29">
        <v>0</v>
      </c>
      <c r="C29" s="14">
        <f t="shared" ref="C29:D29" si="142">C11/C19</f>
        <v>2.7169811320754715</v>
      </c>
      <c r="D29" s="14">
        <f t="shared" si="142"/>
        <v>1.8679245283018868</v>
      </c>
      <c r="E29" s="14">
        <v>0</v>
      </c>
      <c r="F29" s="14">
        <v>0</v>
      </c>
      <c r="G29">
        <v>0</v>
      </c>
      <c r="H29" s="14">
        <f t="shared" ref="H29:K29" si="143">H11/H19</f>
        <v>6.6379310344827589</v>
      </c>
      <c r="I29" s="14">
        <f t="shared" si="143"/>
        <v>5.916666666666667</v>
      </c>
      <c r="J29" s="14">
        <f t="shared" si="143"/>
        <v>1.9264705882352942</v>
      </c>
      <c r="K29" s="14">
        <f t="shared" si="143"/>
        <v>5.895833333333333</v>
      </c>
      <c r="L29">
        <v>0</v>
      </c>
      <c r="M29" s="14">
        <f t="shared" ref="M29:P29" si="144">M11/M19</f>
        <v>6.0172413793103452</v>
      </c>
      <c r="N29" s="14">
        <f t="shared" si="144"/>
        <v>5.4468085106382977</v>
      </c>
      <c r="O29" s="14">
        <f t="shared" si="144"/>
        <v>6.2075471698113205</v>
      </c>
      <c r="P29" s="14">
        <f t="shared" si="144"/>
        <v>5.921875</v>
      </c>
      <c r="Q29">
        <v>0</v>
      </c>
      <c r="R29" s="14">
        <v>0</v>
      </c>
      <c r="S29" s="14">
        <f t="shared" ref="S29:U29" si="145">S11/S19</f>
        <v>4.5116279069767442</v>
      </c>
      <c r="T29" s="14">
        <f t="shared" si="145"/>
        <v>2.7272727272727271</v>
      </c>
      <c r="U29" s="14">
        <f t="shared" si="145"/>
        <v>3.5510204081632653</v>
      </c>
      <c r="V29">
        <v>0</v>
      </c>
      <c r="W29" s="14">
        <f t="shared" ref="W29:Z29" si="146">W11/W19</f>
        <v>2.6792452830188678</v>
      </c>
      <c r="X29" s="14">
        <v>0</v>
      </c>
      <c r="Y29" s="14">
        <f t="shared" si="146"/>
        <v>5.5925925925925926</v>
      </c>
      <c r="Z29" s="14">
        <f t="shared" si="146"/>
        <v>4.441860465116279</v>
      </c>
      <c r="AB29" s="14">
        <f t="shared" ref="AB29:AE29" si="147">AB11/AB19</f>
        <v>10.030769230769231</v>
      </c>
      <c r="AC29" s="14">
        <f t="shared" si="147"/>
        <v>7.8596491228070171</v>
      </c>
      <c r="AD29" s="14">
        <f t="shared" si="147"/>
        <v>8.3333333333333339</v>
      </c>
      <c r="AE29" s="14">
        <f t="shared" si="147"/>
        <v>6.6071428571428568</v>
      </c>
      <c r="AF29" s="18">
        <f>AF11/AF19</f>
        <v>5.3366666666666669</v>
      </c>
      <c r="AG29" s="14">
        <f t="shared" ref="AG29:AI29" si="148">AG11/AG19</f>
        <v>3.7142857142857144</v>
      </c>
      <c r="AH29" s="14">
        <v>0</v>
      </c>
      <c r="AI29" s="14">
        <f t="shared" si="148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49">AO11/AO19</f>
        <v>7.8055555555555554</v>
      </c>
      <c r="AP29">
        <v>0</v>
      </c>
      <c r="AQ29" s="14">
        <f t="shared" ref="AQ29:AR29" si="150">AQ11/AQ19</f>
        <v>0</v>
      </c>
      <c r="AR29" s="14">
        <f t="shared" si="150"/>
        <v>0</v>
      </c>
      <c r="AS29" s="14">
        <v>0</v>
      </c>
      <c r="AT29" s="14">
        <v>0</v>
      </c>
      <c r="AU29">
        <v>18.86</v>
      </c>
      <c r="AV29" s="14">
        <f t="shared" ref="AV29:AY29" si="151">AV11/AV19</f>
        <v>17.93548387096774</v>
      </c>
      <c r="AW29" s="14">
        <f t="shared" si="151"/>
        <v>14.43661971830986</v>
      </c>
      <c r="AX29" s="14">
        <f t="shared" si="151"/>
        <v>9.070422535211268</v>
      </c>
      <c r="AY29" s="14">
        <f t="shared" si="151"/>
        <v>10.155555555555555</v>
      </c>
      <c r="AZ29">
        <v>0</v>
      </c>
      <c r="BA29" s="14">
        <f t="shared" ref="BA29:BD29" si="152">BA11/BA19</f>
        <v>4.7</v>
      </c>
      <c r="BB29" s="14">
        <f t="shared" si="152"/>
        <v>5.8148148148148149</v>
      </c>
      <c r="BC29" s="14">
        <f t="shared" si="152"/>
        <v>2.859375</v>
      </c>
      <c r="BD29" s="14">
        <f t="shared" si="152"/>
        <v>5.4347826086956523</v>
      </c>
      <c r="BE29">
        <v>0</v>
      </c>
      <c r="BF29" s="14">
        <f t="shared" ref="BF29:BI29" si="153">BF11/BF19</f>
        <v>4.418181818181818</v>
      </c>
      <c r="BG29" s="14">
        <f t="shared" si="153"/>
        <v>2.7068965517241379</v>
      </c>
      <c r="BH29" s="14">
        <f t="shared" si="153"/>
        <v>1.8780487804878048</v>
      </c>
      <c r="BI29" s="14">
        <f t="shared" si="153"/>
        <v>2.0566037735849059</v>
      </c>
      <c r="BJ29" s="18">
        <f>BJ11/BJ19</f>
        <v>6.2352941176470589</v>
      </c>
      <c r="BK29" s="18">
        <v>0</v>
      </c>
      <c r="BL29" s="18">
        <f t="shared" ref="BL29:BN29" si="154">BL11/BL19</f>
        <v>10.86046511627907</v>
      </c>
      <c r="BM29" s="18">
        <f t="shared" si="154"/>
        <v>6.5254237288135597</v>
      </c>
      <c r="BN29" s="18">
        <f t="shared" si="154"/>
        <v>6.2769230769230768</v>
      </c>
      <c r="BO29">
        <v>0</v>
      </c>
      <c r="BP29" s="14">
        <f t="shared" ref="BP29:BS29" si="155">BP11/BP19</f>
        <v>2.1086956521739131</v>
      </c>
      <c r="BQ29" s="14">
        <v>0</v>
      </c>
      <c r="BR29" s="14">
        <f t="shared" si="155"/>
        <v>2.3243243243243241</v>
      </c>
      <c r="BS29" s="14">
        <f t="shared" si="155"/>
        <v>1.75</v>
      </c>
      <c r="BT29">
        <v>0</v>
      </c>
      <c r="BU29" s="14">
        <f t="shared" ref="BU29:BX29" si="156">BU11/BU19</f>
        <v>4.9589041095890414</v>
      </c>
      <c r="BV29" s="14">
        <f t="shared" si="156"/>
        <v>7.166666666666667</v>
      </c>
      <c r="BW29" s="14">
        <f t="shared" si="156"/>
        <v>3.7142857142857144</v>
      </c>
      <c r="BX29" s="14">
        <f t="shared" si="156"/>
        <v>6.8421052631578947</v>
      </c>
      <c r="BY29" s="14">
        <f>BY11/BY19</f>
        <v>11.985714285714286</v>
      </c>
      <c r="BZ29" s="14">
        <f t="shared" ref="BZ29:CD29" si="157">BZ11/BZ19</f>
        <v>9.7654320987654319</v>
      </c>
      <c r="CA29" s="14">
        <f t="shared" si="157"/>
        <v>14.075757575757576</v>
      </c>
      <c r="CB29" s="14">
        <f t="shared" si="157"/>
        <v>9.1724137931034484</v>
      </c>
      <c r="CC29" s="14">
        <f t="shared" si="157"/>
        <v>8.0810810810810807</v>
      </c>
      <c r="CD29" s="14">
        <f t="shared" si="157"/>
        <v>9.8604651162790695</v>
      </c>
      <c r="CE29" s="14">
        <f t="shared" ref="CE29:CH29" si="158">CE11/CE19</f>
        <v>7.2765957446808507</v>
      </c>
      <c r="CF29" s="14">
        <f t="shared" si="158"/>
        <v>8.14</v>
      </c>
      <c r="CG29" s="14">
        <f t="shared" si="158"/>
        <v>4.4444444444444446</v>
      </c>
      <c r="CH29" s="14">
        <f t="shared" si="158"/>
        <v>5.4054054054054053</v>
      </c>
      <c r="CI29" s="14">
        <f>CI11/CI19</f>
        <v>0</v>
      </c>
      <c r="CJ29" s="14">
        <f t="shared" ref="CJ29:CM29" si="159">CJ11/CJ19</f>
        <v>10.888888888888889</v>
      </c>
      <c r="CK29" s="14">
        <f t="shared" si="159"/>
        <v>9.0208333333333339</v>
      </c>
      <c r="CL29" s="14">
        <f t="shared" si="159"/>
        <v>4.8939393939393936</v>
      </c>
      <c r="CM29" s="14">
        <f t="shared" si="159"/>
        <v>5.1746031746031749</v>
      </c>
      <c r="CN29">
        <v>0</v>
      </c>
      <c r="CO29" s="14">
        <v>0</v>
      </c>
      <c r="CP29" s="14">
        <v>0</v>
      </c>
      <c r="CQ29" s="14">
        <f t="shared" ref="CQ29:CR29" si="160">CQ11/CQ19</f>
        <v>3.975609756097561</v>
      </c>
      <c r="CR29" s="14">
        <f t="shared" si="160"/>
        <v>4.8979591836734695</v>
      </c>
    </row>
    <row r="30" spans="1:111" x14ac:dyDescent="0.3">
      <c r="A30" t="s">
        <v>138</v>
      </c>
      <c r="C30">
        <f>C3-C7</f>
        <v>102</v>
      </c>
      <c r="D30">
        <f t="shared" ref="D30:F30" si="161">D3-D7</f>
        <v>72</v>
      </c>
      <c r="E30">
        <f t="shared" si="161"/>
        <v>26</v>
      </c>
      <c r="F30">
        <f t="shared" si="161"/>
        <v>10.4</v>
      </c>
      <c r="H30">
        <f>H3-H7</f>
        <v>155</v>
      </c>
      <c r="I30">
        <f t="shared" ref="I30:K30" si="162">I3-I7</f>
        <v>279</v>
      </c>
      <c r="J30">
        <f t="shared" si="162"/>
        <v>64</v>
      </c>
      <c r="K30">
        <f t="shared" si="162"/>
        <v>121</v>
      </c>
      <c r="M30">
        <f>M3-M7</f>
        <v>48</v>
      </c>
      <c r="N30">
        <f t="shared" ref="N30:P30" si="163">N3-N7</f>
        <v>114</v>
      </c>
      <c r="O30">
        <f t="shared" si="163"/>
        <v>46</v>
      </c>
      <c r="P30">
        <f t="shared" si="163"/>
        <v>75</v>
      </c>
      <c r="R30" s="14">
        <v>0</v>
      </c>
      <c r="S30">
        <v>0</v>
      </c>
      <c r="T30">
        <v>0</v>
      </c>
      <c r="U30">
        <v>0</v>
      </c>
      <c r="W30">
        <v>0</v>
      </c>
      <c r="X30">
        <f t="shared" ref="X30:Z30" si="164">X3-X7</f>
        <v>47</v>
      </c>
      <c r="Y30">
        <f t="shared" si="164"/>
        <v>66</v>
      </c>
      <c r="Z30">
        <f t="shared" si="164"/>
        <v>89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4">
        <v>0</v>
      </c>
      <c r="AI30">
        <v>0</v>
      </c>
      <c r="AJ30" s="14">
        <v>0</v>
      </c>
      <c r="AL30">
        <v>0</v>
      </c>
      <c r="AM30">
        <v>0</v>
      </c>
      <c r="AN30">
        <v>0</v>
      </c>
      <c r="AO30">
        <v>0</v>
      </c>
      <c r="AU30" s="1">
        <f>AU3-AU7</f>
        <v>326</v>
      </c>
      <c r="AV30" s="1">
        <f t="shared" ref="AV30:AY30" si="165">AV3-AV7</f>
        <v>268</v>
      </c>
      <c r="AW30" s="1">
        <f t="shared" si="165"/>
        <v>258</v>
      </c>
      <c r="AX30" s="1">
        <f t="shared" si="165"/>
        <v>234</v>
      </c>
      <c r="AY30" s="1">
        <f t="shared" si="165"/>
        <v>245</v>
      </c>
      <c r="BA30">
        <v>0</v>
      </c>
      <c r="BB30">
        <v>0</v>
      </c>
      <c r="BC30">
        <v>0</v>
      </c>
      <c r="BD30">
        <v>0</v>
      </c>
      <c r="BF30">
        <f>BF3-BF7</f>
        <v>82</v>
      </c>
      <c r="BG30">
        <f t="shared" ref="BG30:BI30" si="166">BG3-BG7</f>
        <v>74</v>
      </c>
      <c r="BH30">
        <f t="shared" si="166"/>
        <v>31</v>
      </c>
      <c r="BI30">
        <f t="shared" si="166"/>
        <v>34</v>
      </c>
      <c r="BJ30">
        <v>0</v>
      </c>
      <c r="BK30">
        <v>0</v>
      </c>
      <c r="BL30">
        <v>0</v>
      </c>
      <c r="BM30">
        <v>0</v>
      </c>
      <c r="BN30">
        <v>0</v>
      </c>
      <c r="BP30">
        <f>BP3-BP7</f>
        <v>67</v>
      </c>
      <c r="BQ30">
        <f t="shared" ref="BQ30:BS30" si="167">BQ3-BQ7</f>
        <v>29</v>
      </c>
      <c r="BR30">
        <f t="shared" si="167"/>
        <v>30</v>
      </c>
      <c r="BS30">
        <f t="shared" si="167"/>
        <v>67</v>
      </c>
      <c r="BU30">
        <f>BU3-BU7</f>
        <v>141</v>
      </c>
      <c r="BV30">
        <f t="shared" ref="BV30:BX30" si="168">BV3-BV7</f>
        <v>114</v>
      </c>
      <c r="BW30">
        <f t="shared" si="168"/>
        <v>68</v>
      </c>
      <c r="BX30">
        <f t="shared" si="168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D30" s="1">
        <v>0</v>
      </c>
      <c r="CE30">
        <v>0</v>
      </c>
      <c r="CF30">
        <v>0</v>
      </c>
      <c r="CG30">
        <v>0</v>
      </c>
      <c r="CH30">
        <v>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169">CP3-CP7</f>
        <v>62</v>
      </c>
      <c r="CQ30">
        <f t="shared" si="169"/>
        <v>86</v>
      </c>
      <c r="CR30">
        <f t="shared" si="169"/>
        <v>97</v>
      </c>
      <c r="CT30">
        <f>CT3-CT7</f>
        <v>70</v>
      </c>
      <c r="CU30">
        <f t="shared" ref="CU30:CW30" si="170">CU3-CU7</f>
        <v>100</v>
      </c>
      <c r="CV30">
        <f t="shared" si="170"/>
        <v>39</v>
      </c>
      <c r="CW30">
        <f t="shared" si="170"/>
        <v>10</v>
      </c>
      <c r="CY30">
        <f>CY3-CY7</f>
        <v>11</v>
      </c>
      <c r="CZ30">
        <f t="shared" ref="CZ30:DB30" si="171">CZ3-CZ7</f>
        <v>7.7</v>
      </c>
      <c r="DA30">
        <f t="shared" si="171"/>
        <v>2.4</v>
      </c>
      <c r="DB30">
        <f t="shared" si="171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v>0</v>
      </c>
      <c r="H31">
        <v>1162</v>
      </c>
      <c r="I31">
        <v>887</v>
      </c>
      <c r="J31">
        <v>784</v>
      </c>
      <c r="K31">
        <v>570</v>
      </c>
      <c r="L31">
        <v>0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W31">
        <v>0</v>
      </c>
      <c r="X31">
        <v>731</v>
      </c>
      <c r="Y31">
        <v>774</v>
      </c>
      <c r="Z31">
        <v>719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f>Índices!H50</f>
        <v>18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418</v>
      </c>
      <c r="CE31">
        <v>440</v>
      </c>
      <c r="CF31">
        <v>353</v>
      </c>
      <c r="CG31">
        <v>357</v>
      </c>
      <c r="CH31">
        <v>338</v>
      </c>
      <c r="CI31">
        <v>0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 s="14">
        <v>32.333333333333336</v>
      </c>
      <c r="D32" s="14">
        <v>3.9954545454545456</v>
      </c>
      <c r="E32" s="14">
        <v>22.166666666666668</v>
      </c>
      <c r="F32" s="14">
        <v>-7.0777777777777784</v>
      </c>
      <c r="G32">
        <v>0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v>0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f>AF31/AF14</f>
        <v>0.3</v>
      </c>
      <c r="AG32" s="14">
        <v>3.078125</v>
      </c>
      <c r="AH32" s="14">
        <v>10.772727272727273</v>
      </c>
      <c r="AI32" s="14">
        <v>10.958333333333334</v>
      </c>
      <c r="AJ32" s="14"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v>0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v>0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72">BZ31/BZ14</f>
        <v>0.87431693989071035</v>
      </c>
      <c r="CA32" s="14">
        <f t="shared" si="172"/>
        <v>0.55521472392638038</v>
      </c>
      <c r="CB32" s="14">
        <f t="shared" si="172"/>
        <v>1.8013245033112584</v>
      </c>
      <c r="CC32" s="14">
        <f t="shared" si="172"/>
        <v>1.2804232804232805</v>
      </c>
      <c r="CD32" s="14">
        <f>CD31/CD14</f>
        <v>2.1770833333333335</v>
      </c>
      <c r="CE32" s="14">
        <f>CE31/CE14</f>
        <v>2.268041237113402</v>
      </c>
      <c r="CF32" s="14">
        <f>CF31/CF14</f>
        <v>1.6495327102803738</v>
      </c>
      <c r="CG32" s="14">
        <f>CG31/CG14</f>
        <v>39.666666666666664</v>
      </c>
      <c r="CH32" s="14">
        <f>CH31/CH14</f>
        <v>1.6568627450980393</v>
      </c>
      <c r="CI32" s="14">
        <v>0</v>
      </c>
      <c r="CJ32" s="14">
        <f>CJ31/CJ14</f>
        <v>2.2675438596491229</v>
      </c>
      <c r="CK32" s="14">
        <f t="shared" ref="CK32:CM32" si="173">CK31/CK14</f>
        <v>19.16</v>
      </c>
      <c r="CL32" s="14">
        <f t="shared" si="173"/>
        <v>0.83371824480369516</v>
      </c>
      <c r="CM32" s="14">
        <f t="shared" si="173"/>
        <v>1.0990712074303406</v>
      </c>
      <c r="CN32" s="14">
        <v>0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>
        <v>0</v>
      </c>
      <c r="C33" s="14">
        <v>0.67361111111111116</v>
      </c>
      <c r="D33" s="14">
        <v>0.88787878787878793</v>
      </c>
      <c r="E33" s="14">
        <v>1.4456521739130435</v>
      </c>
      <c r="F33" s="14">
        <v>2.0548387096774197</v>
      </c>
      <c r="G33">
        <v>0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v>0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f>AF31/AF11</f>
        <v>0.11242973141786385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v>0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v>0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74">BZ31/BZ11</f>
        <v>0.20227560050568899</v>
      </c>
      <c r="CA33" s="14">
        <f t="shared" si="174"/>
        <v>0.19483315392895587</v>
      </c>
      <c r="CB33" s="14">
        <f t="shared" si="174"/>
        <v>0.51127819548872178</v>
      </c>
      <c r="CC33" s="14">
        <f t="shared" si="174"/>
        <v>0.40468227424749165</v>
      </c>
      <c r="CD33" s="14">
        <f>CD31/CD11</f>
        <v>0.98584905660377353</v>
      </c>
      <c r="CE33" s="14">
        <f>CE31/CE11</f>
        <v>1.2865497076023391</v>
      </c>
      <c r="CF33" s="14">
        <f>CF31/CF11</f>
        <v>0.86732186732186733</v>
      </c>
      <c r="CG33" s="14">
        <f>CG31/CG11</f>
        <v>1.4875</v>
      </c>
      <c r="CH33" s="14">
        <f>CH31/CH11</f>
        <v>0.84499999999999997</v>
      </c>
      <c r="CI33" s="14">
        <v>0</v>
      </c>
      <c r="CJ33" s="14">
        <f>CJ31/CJ11</f>
        <v>0.87925170068027214</v>
      </c>
      <c r="CK33" s="14">
        <f t="shared" ref="CK33:CM33" si="175">CK31/CK11</f>
        <v>1.1062355658198615</v>
      </c>
      <c r="CL33" s="14">
        <f t="shared" si="175"/>
        <v>1.1176470588235294</v>
      </c>
      <c r="CM33" s="14">
        <f t="shared" si="175"/>
        <v>1.0889570552147239</v>
      </c>
      <c r="CN33" s="14">
        <v>0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>
        <v>0</v>
      </c>
      <c r="C34" s="14">
        <v>0.41666666666666669</v>
      </c>
      <c r="D34" s="14">
        <v>0.46464646464646464</v>
      </c>
      <c r="E34" s="14">
        <v>0.52173913043478259</v>
      </c>
      <c r="F34" s="14">
        <v>0.80645161290322576</v>
      </c>
      <c r="G34">
        <v>0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v>0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f>AF12/AF11</f>
        <v>0.74391005621486572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v>0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v>0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76">BZ12/BZ11</f>
        <v>0.46144121365360302</v>
      </c>
      <c r="CA34" s="14">
        <f t="shared" si="176"/>
        <v>0.38213132400430572</v>
      </c>
      <c r="CB34" s="14">
        <f t="shared" si="176"/>
        <v>0.38721804511278196</v>
      </c>
      <c r="CC34" s="14">
        <f t="shared" si="176"/>
        <v>0.41638795986622074</v>
      </c>
      <c r="CD34" s="14">
        <f>CD12/CD11</f>
        <v>0.40448113207547171</v>
      </c>
      <c r="CE34" s="14">
        <f>CE12/CE11</f>
        <v>0.39766081871345027</v>
      </c>
      <c r="CF34" s="14">
        <f>CF12/CF11</f>
        <v>0.32678132678132676</v>
      </c>
      <c r="CG34" s="14">
        <f>CG12/CG11</f>
        <v>0.5708333333333333</v>
      </c>
      <c r="CH34" s="14">
        <f>CH12/CH11</f>
        <v>0.41499999999999998</v>
      </c>
      <c r="CI34" s="14">
        <v>0</v>
      </c>
      <c r="CJ34" s="14">
        <f>CJ12/CJ11</f>
        <v>0.33673469387755101</v>
      </c>
      <c r="CK34" s="14">
        <f t="shared" ref="CK34:CM34" si="177">CK12/CK11</f>
        <v>0.50577367205542723</v>
      </c>
      <c r="CL34" s="14">
        <f t="shared" si="177"/>
        <v>0.51702786377708976</v>
      </c>
      <c r="CM34" s="14">
        <f t="shared" si="177"/>
        <v>0.50613496932515334</v>
      </c>
      <c r="CN34" s="14">
        <v>0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 t="e">
        <f t="shared" ref="B35:AO35" si="178">(B12+B15)/B11</f>
        <v>#DIV/0!</v>
      </c>
      <c r="C35" s="18">
        <f t="shared" si="178"/>
        <v>0.52777777777777779</v>
      </c>
      <c r="D35" s="18">
        <f t="shared" si="178"/>
        <v>0.46464646464646464</v>
      </c>
      <c r="E35" s="18">
        <f t="shared" si="178"/>
        <v>0.52826086956521745</v>
      </c>
      <c r="F35" s="18">
        <f t="shared" si="178"/>
        <v>0.83225806451612905</v>
      </c>
      <c r="G35" s="18" t="e">
        <f t="shared" si="178"/>
        <v>#DIV/0!</v>
      </c>
      <c r="H35" s="18">
        <f t="shared" si="178"/>
        <v>1.0337662337662337</v>
      </c>
      <c r="I35" s="18">
        <f t="shared" si="178"/>
        <v>0.75452716297786715</v>
      </c>
      <c r="J35" s="18">
        <f t="shared" si="178"/>
        <v>3.4503816793893129</v>
      </c>
      <c r="K35" s="18">
        <f t="shared" si="178"/>
        <v>0.73498233215547704</v>
      </c>
      <c r="L35" s="18" t="e">
        <f t="shared" si="178"/>
        <v>#DIV/0!</v>
      </c>
      <c r="M35" s="18">
        <f t="shared" si="178"/>
        <v>0.7822349570200573</v>
      </c>
      <c r="N35" s="18">
        <f t="shared" si="178"/>
        <v>0.77734375</v>
      </c>
      <c r="O35" s="18">
        <f t="shared" si="178"/>
        <v>0.39209726443769</v>
      </c>
      <c r="P35" s="18">
        <f t="shared" si="178"/>
        <v>0.44327176781002636</v>
      </c>
      <c r="Q35" s="18" t="e">
        <f t="shared" si="178"/>
        <v>#DIV/0!</v>
      </c>
      <c r="R35" s="18">
        <f t="shared" si="178"/>
        <v>0.72</v>
      </c>
      <c r="S35" s="18">
        <f t="shared" si="178"/>
        <v>0.54639175257731953</v>
      </c>
      <c r="T35" s="18">
        <f t="shared" si="178"/>
        <v>0.84166666666666667</v>
      </c>
      <c r="U35" s="18">
        <f t="shared" si="178"/>
        <v>0.72413793103448276</v>
      </c>
      <c r="V35" s="18" t="e">
        <f t="shared" si="178"/>
        <v>#DIV/0!</v>
      </c>
      <c r="W35" s="18">
        <v>0</v>
      </c>
      <c r="X35" s="18">
        <v>0</v>
      </c>
      <c r="Y35" s="18">
        <v>0</v>
      </c>
      <c r="Z35" s="18">
        <v>0</v>
      </c>
      <c r="AA35" s="18" t="e">
        <f t="shared" si="178"/>
        <v>#DIV/0!</v>
      </c>
      <c r="AB35" s="18">
        <f t="shared" si="178"/>
        <v>0.48466257668711654</v>
      </c>
      <c r="AC35" s="18">
        <f t="shared" si="178"/>
        <v>0.46651785714285715</v>
      </c>
      <c r="AD35" s="18">
        <f t="shared" si="178"/>
        <v>0.59058823529411764</v>
      </c>
      <c r="AE35" s="18">
        <f t="shared" si="178"/>
        <v>0.63513513513513509</v>
      </c>
      <c r="AF35" s="18">
        <f t="shared" si="178"/>
        <v>0.78201124297314173</v>
      </c>
      <c r="AG35" s="18">
        <f t="shared" si="178"/>
        <v>0.51282051282051277</v>
      </c>
      <c r="AH35" s="18">
        <f t="shared" si="178"/>
        <v>0.64</v>
      </c>
      <c r="AI35" s="18">
        <f t="shared" si="178"/>
        <v>0.505</v>
      </c>
      <c r="AJ35" s="18">
        <f t="shared" si="178"/>
        <v>0.99736842105263157</v>
      </c>
      <c r="AK35" s="18">
        <v>0</v>
      </c>
      <c r="AL35" s="18">
        <f t="shared" si="178"/>
        <v>0.3904109589041096</v>
      </c>
      <c r="AM35" s="18">
        <f t="shared" si="178"/>
        <v>0.5083333333333333</v>
      </c>
      <c r="AN35" s="18">
        <f t="shared" si="178"/>
        <v>0.98305084745762716</v>
      </c>
      <c r="AO35" s="18">
        <f t="shared" si="178"/>
        <v>0.95017793594306055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f>(AU12+AU15)/AU11</f>
        <v>0.55927051671732519</v>
      </c>
      <c r="AV35" s="18">
        <f t="shared" ref="AV35:CR35" si="179">(AV12+AV15)/AV11</f>
        <v>0.60251798561151082</v>
      </c>
      <c r="AW35" s="18">
        <f t="shared" si="179"/>
        <v>0.46243902439024392</v>
      </c>
      <c r="AX35" s="18">
        <f t="shared" si="179"/>
        <v>0.79192546583850931</v>
      </c>
      <c r="AY35" s="18">
        <f t="shared" si="179"/>
        <v>0.63019693654266962</v>
      </c>
      <c r="AZ35" s="18">
        <v>0</v>
      </c>
      <c r="BA35" s="18">
        <f t="shared" si="179"/>
        <v>0.47720364741641336</v>
      </c>
      <c r="BB35" s="18">
        <f t="shared" si="179"/>
        <v>0.41719745222929938</v>
      </c>
      <c r="BC35" s="18">
        <f t="shared" si="179"/>
        <v>0.45027322404371589</v>
      </c>
      <c r="BD35" s="18">
        <f t="shared" si="179"/>
        <v>0.28799999999999998</v>
      </c>
      <c r="BE35" s="18">
        <v>0</v>
      </c>
      <c r="BF35" s="18">
        <f t="shared" si="179"/>
        <v>0.53909465020576131</v>
      </c>
      <c r="BG35" s="18">
        <f t="shared" si="179"/>
        <v>0.59872611464968151</v>
      </c>
      <c r="BH35" s="18">
        <f t="shared" si="179"/>
        <v>0.66233766233766234</v>
      </c>
      <c r="BI35" s="18">
        <f t="shared" si="179"/>
        <v>0.68440366972477062</v>
      </c>
      <c r="BJ35" s="18">
        <f t="shared" si="179"/>
        <v>0.60141509433962259</v>
      </c>
      <c r="BK35" s="18">
        <f t="shared" si="179"/>
        <v>0.63194444444444442</v>
      </c>
      <c r="BL35" s="18">
        <f t="shared" si="179"/>
        <v>0.42398286937901497</v>
      </c>
      <c r="BM35" s="18">
        <f t="shared" si="179"/>
        <v>0.41038961038961042</v>
      </c>
      <c r="BN35" s="18">
        <f t="shared" si="179"/>
        <v>0.38725490196078433</v>
      </c>
      <c r="BO35" s="18">
        <v>0</v>
      </c>
      <c r="BP35" s="18">
        <f t="shared" si="179"/>
        <v>0.35876288659793809</v>
      </c>
      <c r="BQ35" s="18">
        <f t="shared" si="179"/>
        <v>0.51063829787234039</v>
      </c>
      <c r="BR35" s="18">
        <f t="shared" si="179"/>
        <v>0.62093023255813951</v>
      </c>
      <c r="BS35" s="18">
        <f t="shared" si="179"/>
        <v>0.51098901098901095</v>
      </c>
      <c r="BT35" s="18" t="e">
        <f t="shared" si="179"/>
        <v>#DIV/0!</v>
      </c>
      <c r="BU35" s="18">
        <f t="shared" si="179"/>
        <v>0.79005524861878451</v>
      </c>
      <c r="BV35" s="18">
        <f t="shared" si="179"/>
        <v>0.6191860465116279</v>
      </c>
      <c r="BW35" s="18">
        <f t="shared" si="179"/>
        <v>0.92307692307692313</v>
      </c>
      <c r="BX35" s="18">
        <f t="shared" si="179"/>
        <v>0.62051282051282053</v>
      </c>
      <c r="BY35" s="18">
        <f>(BY12+BY15)/BY11</f>
        <v>0.66150178784266989</v>
      </c>
      <c r="BZ35" s="18">
        <f t="shared" ref="BZ35:CC35" si="180">(BZ12+BZ15)/BZ11</f>
        <v>0.59418457648546141</v>
      </c>
      <c r="CA35" s="18">
        <f t="shared" si="180"/>
        <v>0.46932185145317545</v>
      </c>
      <c r="CB35" s="18">
        <f t="shared" si="180"/>
        <v>0.61654135338345861</v>
      </c>
      <c r="CC35" s="18">
        <f t="shared" si="180"/>
        <v>0.59866220735785958</v>
      </c>
      <c r="CD35" s="18">
        <f>(CD12+CD15)/CD11</f>
        <v>0.63561320754716977</v>
      </c>
      <c r="CE35" s="18">
        <f>(CE12+CE15)/CE11</f>
        <v>0.57894736842105265</v>
      </c>
      <c r="CF35" s="18">
        <f>(CF12+CF15)/CF11</f>
        <v>0.37100737100737102</v>
      </c>
      <c r="CG35" s="18">
        <f>(CG12+CG15)/CG11</f>
        <v>0.7416666666666667</v>
      </c>
      <c r="CH35" s="18">
        <f>(CH12+CH15)/CH11</f>
        <v>0.54749999999999999</v>
      </c>
      <c r="CI35" s="18">
        <v>0</v>
      </c>
      <c r="CJ35" s="18">
        <f>(CJ12+CJ15)/CJ11</f>
        <v>0.46598639455782315</v>
      </c>
      <c r="CK35" s="18">
        <f t="shared" ref="CK35:CM35" si="181">(CK12+CK15)/CK11</f>
        <v>0.69976905311778292</v>
      </c>
      <c r="CL35" s="18">
        <f t="shared" si="181"/>
        <v>0.84210526315789469</v>
      </c>
      <c r="CM35" s="18">
        <f t="shared" si="181"/>
        <v>0.94785276073619629</v>
      </c>
      <c r="CN35" s="18">
        <v>0</v>
      </c>
      <c r="CO35" s="18">
        <f t="shared" si="179"/>
        <v>0.80172413793103448</v>
      </c>
      <c r="CP35" s="18">
        <f t="shared" si="179"/>
        <v>0.40602409638554221</v>
      </c>
      <c r="CQ35" s="18">
        <f t="shared" si="179"/>
        <v>0.48159509202453987</v>
      </c>
      <c r="CR35" s="18">
        <f t="shared" si="179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G9 BT9 CN9 AP9:AZ9 AK9 V9:X9 Q9 L9 BE9 BO9 CI9 AA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workbookViewId="0">
      <pane xSplit="1" ySplit="2" topLeftCell="AF10" activePane="bottomRight" state="frozen"/>
      <selection pane="topRight" activeCell="B1" sqref="B1"/>
      <selection pane="bottomLeft" activeCell="A3" sqref="A3"/>
      <selection pane="bottomRight" activeCell="AF29" sqref="AF29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6" width="7.44140625" bestFit="1" customWidth="1"/>
    <col min="7" max="7" width="7.33203125" customWidth="1"/>
    <col min="8" max="8" width="6.6640625" bestFit="1" customWidth="1"/>
    <col min="9" max="9" width="5.6640625" bestFit="1" customWidth="1"/>
    <col min="10" max="10" width="6.33203125" bestFit="1" customWidth="1"/>
    <col min="11" max="11" width="6.5546875" bestFit="1" customWidth="1"/>
    <col min="12" max="12" width="8.5546875" bestFit="1" customWidth="1"/>
    <col min="13" max="13" width="6.33203125" customWidth="1"/>
    <col min="14" max="15" width="5.6640625" bestFit="1" customWidth="1"/>
    <col min="16" max="16" width="6.21875" customWidth="1"/>
    <col min="17" max="17" width="6.44140625" bestFit="1" customWidth="1"/>
    <col min="18" max="18" width="7.44140625" bestFit="1" customWidth="1"/>
    <col min="19" max="19" width="5.5546875" bestFit="1" customWidth="1"/>
    <col min="20" max="20" width="6.21875" bestFit="1" customWidth="1"/>
    <col min="21" max="21" width="6.33203125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6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3" width="6.21875" customWidth="1"/>
    <col min="44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3" width="7.109375" customWidth="1"/>
    <col min="54" max="54" width="5.5546875" bestFit="1" customWidth="1"/>
    <col min="55" max="55" width="6.21875" bestFit="1" customWidth="1"/>
    <col min="56" max="56" width="6.6640625" customWidth="1"/>
    <col min="57" max="57" width="8.6640625" bestFit="1" customWidth="1"/>
    <col min="58" max="58" width="6.6640625" customWidth="1"/>
    <col min="59" max="59" width="5.5546875" bestFit="1" customWidth="1"/>
    <col min="60" max="60" width="6.21875" bestFit="1" customWidth="1"/>
    <col min="61" max="61" width="6.6640625" customWidth="1"/>
    <col min="62" max="62" width="7.109375" bestFit="1" customWidth="1"/>
    <col min="63" max="63" width="7.33203125" bestFit="1" customWidth="1"/>
    <col min="64" max="65" width="5.5546875" bestFit="1" customWidth="1"/>
    <col min="66" max="66" width="6.5546875" customWidth="1"/>
    <col min="67" max="67" width="5.6640625" bestFit="1" customWidth="1"/>
    <col min="68" max="68" width="5.5546875" bestFit="1" customWidth="1"/>
    <col min="69" max="69" width="7.33203125" bestFit="1" customWidth="1"/>
    <col min="70" max="70" width="5.5546875" bestFit="1" customWidth="1"/>
    <col min="71" max="71" width="7" customWidth="1"/>
    <col min="72" max="72" width="11.88671875" bestFit="1" customWidth="1"/>
    <col min="73" max="73" width="6.5546875" customWidth="1"/>
    <col min="74" max="74" width="5.5546875" bestFit="1" customWidth="1"/>
    <col min="75" max="75" width="6.21875" bestFit="1" customWidth="1"/>
    <col min="76" max="76" width="7" customWidth="1"/>
    <col min="77" max="77" width="9" bestFit="1" customWidth="1"/>
    <col min="78" max="78" width="6.33203125" customWidth="1"/>
    <col min="79" max="79" width="6.5546875" bestFit="1" customWidth="1"/>
    <col min="80" max="80" width="6.21875" bestFit="1" customWidth="1"/>
    <col min="81" max="81" width="6.5546875" customWidth="1"/>
    <col min="82" max="82" width="7.33203125" bestFit="1" customWidth="1"/>
    <col min="83" max="83" width="6.33203125" customWidth="1"/>
    <col min="84" max="84" width="5.5546875" bestFit="1" customWidth="1"/>
    <col min="85" max="85" width="6.109375" bestFit="1" customWidth="1"/>
    <col min="86" max="86" width="6.77734375" customWidth="1"/>
    <col min="87" max="87" width="9.109375" bestFit="1" customWidth="1"/>
    <col min="88" max="88" width="6.77734375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/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14"/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>
        <f>Painel!W3*IPC!G$3</f>
        <v>0</v>
      </c>
      <c r="X3" s="14">
        <f>Painel!X3*IPC!H$3</f>
        <v>54.334262500000008</v>
      </c>
      <c r="Y3" s="14">
        <f>Painel!Y3*IPC!I$3</f>
        <v>88.962618143910007</v>
      </c>
      <c r="Z3" s="14">
        <f>Painel!Z3*IPC!J$3</f>
        <v>127.23848646822897</v>
      </c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>
        <f>Painel!AF3</f>
        <v>51</v>
      </c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/>
      <c r="AQ3" s="14"/>
      <c r="AR3" s="14"/>
      <c r="AS3" s="14"/>
      <c r="AT3" s="14"/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>
        <f>Painel!CD3+Painel!CD7</f>
        <v>97</v>
      </c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/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/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14"/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>
        <f>Painel!W4*IPC!G$3</f>
        <v>0</v>
      </c>
      <c r="X4" s="14">
        <f>Painel!X4*IPC!H$3</f>
        <v>9.1281561000000018</v>
      </c>
      <c r="Y4" s="14">
        <f>Painel!Y4*IPC!I$3</f>
        <v>7.1551703601000014</v>
      </c>
      <c r="Z4" s="14">
        <f>Painel!Z4*IPC!J$3</f>
        <v>11.338082952614462</v>
      </c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>
        <f>Painel!AF4</f>
        <v>14.2</v>
      </c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/>
      <c r="AQ4" s="14"/>
      <c r="AR4" s="14"/>
      <c r="AS4" s="14"/>
      <c r="AT4" s="14"/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>
        <f>Painel!CD4</f>
        <v>78</v>
      </c>
      <c r="CE4" s="14">
        <f>Painel!CE4*IPC!G$3</f>
        <v>69.110500000000002</v>
      </c>
      <c r="CF4" s="14">
        <f>Painel!CF4*IPC!H$3</f>
        <v>54.334262500000008</v>
      </c>
      <c r="CG4" s="14">
        <f>Painel!CG4*IPC!I$3</f>
        <v>28.620681440400006</v>
      </c>
      <c r="CH4" s="14">
        <f>Painel!CH4*IPC!J$3</f>
        <v>28.975100878903625</v>
      </c>
      <c r="CI4" s="14"/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/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14"/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>
        <f>Painel!W5*IPC!G$3</f>
        <v>0</v>
      </c>
      <c r="X5" s="14">
        <f>Painel!X5*IPC!H$3</f>
        <v>2.7167131250000005</v>
      </c>
      <c r="Y5" s="14">
        <f>Painel!Y5*IPC!I$3</f>
        <v>2.3850567867000003</v>
      </c>
      <c r="Z5" s="14">
        <f>Painel!Z5*IPC!J$3</f>
        <v>13.857656942084343</v>
      </c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>
        <f>Painel!AF5</f>
        <v>11.7</v>
      </c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/>
      <c r="AQ5" s="14"/>
      <c r="AR5" s="14"/>
      <c r="AS5" s="14"/>
      <c r="AT5" s="14"/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>
        <f>Painel!CD5</f>
        <v>26</v>
      </c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/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/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14"/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>
        <f>Painel!W6*IPC!G$3</f>
        <v>0</v>
      </c>
      <c r="X6" s="14">
        <f>Painel!X6*IPC!H$3</f>
        <v>4.2380724750000009</v>
      </c>
      <c r="Y6" s="14">
        <f>Painel!Y6*IPC!I$3</f>
        <v>6.6781590027600002</v>
      </c>
      <c r="Z6" s="14">
        <f>Painel!Z6*IPC!J$3</f>
        <v>7.5587219684096416</v>
      </c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>
        <f>Painel!AF6</f>
        <v>26.9</v>
      </c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/>
      <c r="AQ6" s="14"/>
      <c r="AR6" s="14"/>
      <c r="AS6" s="14"/>
      <c r="AT6" s="14"/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/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f>Painel!W7*IPC!G$3</f>
        <v>0</v>
      </c>
      <c r="X7" s="14">
        <f>Painel!X7*IPC!H$3</f>
        <v>3.2600557500000003</v>
      </c>
      <c r="Y7" s="14">
        <f>Painel!Y7*IPC!I$3</f>
        <v>10.255744182810002</v>
      </c>
      <c r="Z7" s="14">
        <f>Painel!Z7*IPC!J$3</f>
        <v>15.117443936819283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/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>
        <f>Painel!W8*IPC!G$3</f>
        <v>0</v>
      </c>
      <c r="X8" s="14">
        <f>Painel!X8*IPC!H$3</f>
        <v>1.6300278750000001</v>
      </c>
      <c r="Y8" s="14">
        <f>Painel!Y8*IPC!I$3</f>
        <v>2.0272982686950001</v>
      </c>
      <c r="Z8" s="14">
        <f>Painel!Z8*IPC!J$3</f>
        <v>2.5195739894698805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/>
      <c r="AQ8" s="14"/>
      <c r="AR8" s="14"/>
      <c r="AS8" s="14"/>
      <c r="AT8" s="14"/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>
        <f>Painel!CD8</f>
        <v>1.4</v>
      </c>
      <c r="CE8" s="14">
        <f>Painel!CE8*IPC!G$3</f>
        <v>1.8567000000000002</v>
      </c>
      <c r="CF8" s="14">
        <f>Painel!CF8*IPC!H$3</f>
        <v>1.7386964000000003</v>
      </c>
      <c r="CG8" s="14">
        <f>Painel!CG8*IPC!I$3</f>
        <v>2.1465511080300002</v>
      </c>
      <c r="CH8" s="14">
        <f>Painel!CH8*IPC!J$3</f>
        <v>3.1494674868373504</v>
      </c>
      <c r="CI8" s="14"/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/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14"/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:Z9" si="9">SUM(U3:U8)-U7</f>
        <v>143.61571739978319</v>
      </c>
      <c r="V9" s="14"/>
      <c r="W9" s="14">
        <f t="shared" si="9"/>
        <v>0</v>
      </c>
      <c r="X9" s="14">
        <f t="shared" si="9"/>
        <v>72.047232074999997</v>
      </c>
      <c r="Y9" s="14">
        <f t="shared" si="9"/>
        <v>107.20830256216502</v>
      </c>
      <c r="Z9" s="14">
        <f t="shared" si="9"/>
        <v>162.51252232080728</v>
      </c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>
        <f>Painel!AF9</f>
        <v>103.80000000000001</v>
      </c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/>
      <c r="AQ9" s="14"/>
      <c r="AR9" s="14"/>
      <c r="AS9" s="14"/>
      <c r="AT9" s="14"/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>
        <f>Painel!CD9</f>
        <v>202.4</v>
      </c>
      <c r="CE9" s="14">
        <f t="shared" si="38"/>
        <v>224.66069999999999</v>
      </c>
      <c r="CF9" s="14">
        <f t="shared" ref="CF9" si="39">SUM(CF3:CF8)-CF7</f>
        <v>295.14371390000002</v>
      </c>
      <c r="CG9" s="14">
        <f t="shared" ref="CG9" si="40">SUM(CG3:CG8)-CG7</f>
        <v>153.59765706348003</v>
      </c>
      <c r="CH9" s="14">
        <f t="shared" ref="CH9" si="41">SUM(CH3:CH8)-CH7</f>
        <v>200.93602566022298</v>
      </c>
      <c r="CI9" s="14"/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/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14"/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>
        <f>Painel!W10*IPC!G$3</f>
        <v>0</v>
      </c>
      <c r="X10" s="14">
        <f>Painel!X10*IPC!H$3</f>
        <v>39.120669000000007</v>
      </c>
      <c r="Y10" s="14">
        <f>Painel!Y10*IPC!I$3</f>
        <v>50.08619252070001</v>
      </c>
      <c r="Z10" s="14">
        <f>Painel!Z10*IPC!J$3</f>
        <v>49.131692794662669</v>
      </c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>
        <f>Painel!AF10</f>
        <v>15.2</v>
      </c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/>
      <c r="AQ10" s="14"/>
      <c r="AR10" s="14"/>
      <c r="AS10" s="14"/>
      <c r="AT10" s="14"/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>
        <f>Painel!CD10</f>
        <v>174</v>
      </c>
      <c r="CE10" s="14">
        <f>Painel!CE10*IPC!G$3</f>
        <v>151.63050000000001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/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/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14"/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>
        <f>Painel!W11*IPC!G$3</f>
        <v>146.47300000000001</v>
      </c>
      <c r="X11" s="14">
        <f>Painel!X11*IPC!H$3</f>
        <v>128.22885950000003</v>
      </c>
      <c r="Y11" s="14">
        <f>Painel!Y11*IPC!I$3</f>
        <v>180.07178739585004</v>
      </c>
      <c r="Z11" s="14">
        <f>Painel!Z11*IPC!J$3</f>
        <v>240.61931599437358</v>
      </c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>
        <f>Painel!AF11</f>
        <v>160.1</v>
      </c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/>
      <c r="AQ11" s="14"/>
      <c r="AR11" s="14"/>
      <c r="AS11" s="14"/>
      <c r="AT11" s="14"/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>
        <f>Painel!CD11</f>
        <v>424</v>
      </c>
      <c r="CE11" s="14">
        <f>Painel!CE11*IPC!G$3</f>
        <v>352.77300000000002</v>
      </c>
      <c r="CF11" s="14">
        <f>Painel!CF11*IPC!H$3</f>
        <v>442.28089675000007</v>
      </c>
      <c r="CG11" s="14">
        <f>Painel!CG11*IPC!I$3</f>
        <v>286.20681440400006</v>
      </c>
      <c r="CH11" s="14">
        <f>Painel!CH11*IPC!J$3</f>
        <v>503.91479789397613</v>
      </c>
      <c r="CI11" s="14"/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/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14"/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>
        <f>Painel!W12*IPC!G$3</f>
        <v>0</v>
      </c>
      <c r="X12" s="14">
        <f>Painel!X12*IPC!H$3</f>
        <v>69.982530100000005</v>
      </c>
      <c r="Y12" s="14">
        <f>Painel!Y12*IPC!I$3</f>
        <v>85.385032963859999</v>
      </c>
      <c r="Z12" s="14">
        <f>Painel!Z12*IPC!J$3</f>
        <v>93.224237610385586</v>
      </c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>
        <f>Painel!AF12</f>
        <v>119.1</v>
      </c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/>
      <c r="AQ12" s="14"/>
      <c r="AR12" s="14"/>
      <c r="AS12" s="14"/>
      <c r="AT12" s="14"/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>
        <f>Painel!CD12</f>
        <v>171.5</v>
      </c>
      <c r="CE12" s="14">
        <f>Painel!CE12*IPC!G$3</f>
        <v>140.28400000000002</v>
      </c>
      <c r="CF12" s="14">
        <f>Painel!CF12*IPC!H$3</f>
        <v>144.52913825000002</v>
      </c>
      <c r="CG12" s="14">
        <f>Painel!CG12*IPC!I$3</f>
        <v>163.37638988895003</v>
      </c>
      <c r="CH12" s="14">
        <f>Painel!CH12*IPC!J$3</f>
        <v>209.12464112600009</v>
      </c>
      <c r="CI12" s="14"/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/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14"/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>
        <f>Painel!W13*IPC!G$3</f>
        <v>-255.81200000000001</v>
      </c>
      <c r="X13" s="14">
        <f>Painel!X13*IPC!H$3</f>
        <v>84.761449500000012</v>
      </c>
      <c r="Y13" s="14">
        <f>Painel!Y13*IPC!I$3</f>
        <v>-165.76144667565003</v>
      </c>
      <c r="Z13" s="14">
        <f>Painel!Z13*IPC!J$3</f>
        <v>-27.715313884168687</v>
      </c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>
        <f>Painel!AF13</f>
        <v>50</v>
      </c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/>
      <c r="AQ13" s="14"/>
      <c r="AR13" s="14"/>
      <c r="AS13" s="14"/>
      <c r="AT13" s="14"/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>
        <f>Painel!CD13</f>
        <v>1</v>
      </c>
      <c r="CE13" s="14">
        <f>Painel!CE13*IPC!G$3</f>
        <v>17.535500000000003</v>
      </c>
      <c r="CF13" s="14">
        <f>Painel!CF13*IPC!H$3</f>
        <v>47.81415100000001</v>
      </c>
      <c r="CG13" s="14">
        <f>Painel!CG13*IPC!I$3</f>
        <v>-177.68673060915003</v>
      </c>
      <c r="CH13" s="14">
        <f>Painel!CH13*IPC!J$3</f>
        <v>30.234887873638566</v>
      </c>
      <c r="CI13" s="14"/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/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14"/>
      <c r="M14" s="14">
        <f>Painel!M14*IPC!G$3</f>
        <v>73.236500000000007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>
        <f>Painel!W14*IPC!G$3</f>
        <v>0</v>
      </c>
      <c r="X14" s="14">
        <f>Painel!X14*IPC!H$3</f>
        <v>-21.733705000000004</v>
      </c>
      <c r="Y14" s="14">
        <f>Painel!Y14*IPC!I$3</f>
        <v>15.502869113550002</v>
      </c>
      <c r="Z14" s="14">
        <f>Painel!Z14*IPC!J$3</f>
        <v>64.249136731481954</v>
      </c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>
        <f>Painel!AF14</f>
        <v>60</v>
      </c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/>
      <c r="AQ14" s="14"/>
      <c r="AR14" s="14"/>
      <c r="AS14" s="14"/>
      <c r="AT14" s="14"/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>
        <f>Painel!CD14</f>
        <v>192</v>
      </c>
      <c r="CE14" s="14">
        <f>Painel!CE14*IPC!G$3</f>
        <v>200.11100000000002</v>
      </c>
      <c r="CF14" s="14">
        <f>Painel!CF14*IPC!H$3</f>
        <v>232.55064350000004</v>
      </c>
      <c r="CG14" s="14">
        <f>Painel!CG14*IPC!I$3</f>
        <v>10.732755540150002</v>
      </c>
      <c r="CH14" s="14">
        <f>Painel!CH14*IPC!J$3</f>
        <v>256.99654692592782</v>
      </c>
      <c r="CI14" s="14"/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/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14"/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>
        <f>Painel!W15*IPC!G$3</f>
        <v>0</v>
      </c>
      <c r="X15" s="14">
        <f>Painel!X15*IPC!H$3</f>
        <v>5.433426250000001</v>
      </c>
      <c r="Y15" s="14">
        <f>Painel!Y15*IPC!I$3</f>
        <v>5.6048834487450012</v>
      </c>
      <c r="Z15" s="14">
        <f>Painel!Z15*IPC!J$3</f>
        <v>7.054807170515665</v>
      </c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>
        <f>Painel!AF15</f>
        <v>6.1</v>
      </c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/>
      <c r="AQ15" s="14"/>
      <c r="AR15" s="14"/>
      <c r="AS15" s="14"/>
      <c r="AT15" s="14"/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>
        <f>Painel!CD15</f>
        <v>98</v>
      </c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/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/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14"/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>
        <f>Painel!W16*IPC!G$3</f>
        <v>0</v>
      </c>
      <c r="X16" s="14">
        <f>Painel!X16*IPC!H$3</f>
        <v>0</v>
      </c>
      <c r="Y16" s="14">
        <f>Painel!Y16*IPC!I$3</f>
        <v>0</v>
      </c>
      <c r="Z16" s="14">
        <f>Painel!Z16*IPC!J$3</f>
        <v>2.2676165905228927</v>
      </c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>
        <f>Painel!AF16</f>
        <v>4.8</v>
      </c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/>
      <c r="AQ16" s="14"/>
      <c r="AR16" s="14"/>
      <c r="AS16" s="14"/>
      <c r="AT16" s="14"/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>
        <f>Painel!CD16</f>
        <v>12</v>
      </c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/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/>
      <c r="AR17" s="14"/>
      <c r="AS17" s="14"/>
      <c r="AT17" s="14"/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/>
      <c r="AR18" s="14"/>
      <c r="AS18" s="14"/>
      <c r="AT18" s="14"/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>
        <v>0</v>
      </c>
      <c r="AI20" s="6">
        <v>3.2873286567669809E-2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/>
      <c r="AT20" s="6"/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>
        <v>0</v>
      </c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>
        <v>0</v>
      </c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>
        <v>0</v>
      </c>
      <c r="CP20" s="6">
        <v>0</v>
      </c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>
        <f>Painel!W21*IPC!G$3</f>
        <v>11.037050000000001</v>
      </c>
      <c r="X21" s="14">
        <f>Painel!X21*IPC!H$3</f>
        <v>0</v>
      </c>
      <c r="Y21" s="14">
        <f>Painel!Y21*IPC!I$3</f>
        <v>0</v>
      </c>
      <c r="Z21" s="14">
        <f>Painel!Z21*IPC!J$3</f>
        <v>13.353742144190367</v>
      </c>
      <c r="AA21" s="6">
        <v>42.9</v>
      </c>
      <c r="AB21" s="6">
        <f>Painel!AB21*IPC!G$3</f>
        <v>47.861600000000003</v>
      </c>
      <c r="AC21" s="6">
        <f>Painel!AC21*IPC!H$3</f>
        <v>0</v>
      </c>
      <c r="AD21" s="6">
        <f>Painel!AD21*IPC!I$3</f>
        <v>0</v>
      </c>
      <c r="AE21" s="6">
        <f>Painel!AE21*IPC!J$3</f>
        <v>39.809269033624112</v>
      </c>
      <c r="AF21" s="6">
        <v>12</v>
      </c>
      <c r="AG21" s="6">
        <f>Painel!AG21*IPC!G$3</f>
        <v>8.2520000000000007</v>
      </c>
      <c r="AH21" s="6">
        <f>Painel!AH21*IPC!H$3</f>
        <v>0</v>
      </c>
      <c r="AI21" s="6">
        <f>Painel!AI21*IPC!I$3</f>
        <v>0</v>
      </c>
      <c r="AJ21" s="6">
        <f>Painel!AJ21*IPC!J$3</f>
        <v>0</v>
      </c>
      <c r="AK21" s="6">
        <v>25.6</v>
      </c>
      <c r="AL21" s="6">
        <f>Painel!AL21*IPC!G$3</f>
        <v>0</v>
      </c>
      <c r="AM21" s="6">
        <f>Painel!AM21*IPC!H$3</f>
        <v>0</v>
      </c>
      <c r="AN21" s="6">
        <f>Painel!AN21*IPC!I$3</f>
        <v>0</v>
      </c>
      <c r="AO21" s="6">
        <f>Painel!AO21*IPC!J$3</f>
        <v>9.4484024605120513</v>
      </c>
      <c r="AP21" s="6">
        <v>14.9</v>
      </c>
      <c r="AQ21" s="14"/>
      <c r="AR21" s="14"/>
      <c r="AS21" s="14"/>
      <c r="AT21" s="14"/>
      <c r="AU21" s="6">
        <v>69.599999999999994</v>
      </c>
      <c r="AV21" s="6">
        <f>Painel!AV21*IPC!G$3</f>
        <v>49.202550000000009</v>
      </c>
      <c r="AW21" s="6">
        <f>Painel!AW21*IPC!H$3</f>
        <v>0</v>
      </c>
      <c r="AX21" s="6">
        <f>Painel!AX21*IPC!I$3</f>
        <v>0</v>
      </c>
      <c r="AY21" s="6">
        <f>Painel!AY21*IPC!J$3</f>
        <v>67.398604218319306</v>
      </c>
      <c r="AZ21" s="6">
        <v>25.9</v>
      </c>
      <c r="BA21" s="6">
        <f>Painel!BA21*IPC!G$3</f>
        <v>17.43235</v>
      </c>
      <c r="BB21" s="6">
        <f>Painel!BB21*IPC!H$3</f>
        <v>0</v>
      </c>
      <c r="BC21" s="6">
        <f>Painel!BC21*IPC!I$3</f>
        <v>0</v>
      </c>
      <c r="BD21" s="6">
        <f>Painel!BD21*IPC!J$3</f>
        <v>12.345912548402415</v>
      </c>
      <c r="BE21" s="6">
        <v>10.7</v>
      </c>
      <c r="BF21" s="6">
        <f>Painel!BF21*IPC!G$3</f>
        <v>11.346500000000001</v>
      </c>
      <c r="BG21" s="6">
        <f>Painel!BG21*IPC!H$3</f>
        <v>0</v>
      </c>
      <c r="BH21" s="6">
        <f>Painel!BH21*IPC!I$3</f>
        <v>0</v>
      </c>
      <c r="BI21" s="6">
        <f>Painel!BI21*IPC!J$3</f>
        <v>11.464061652087956</v>
      </c>
      <c r="BJ21" s="6">
        <v>38</v>
      </c>
      <c r="BK21" s="6">
        <f>Painel!BK21*IPC!G$3</f>
        <v>0</v>
      </c>
      <c r="BL21" s="6">
        <f>Painel!BL21*IPC!H$3</f>
        <v>0</v>
      </c>
      <c r="BM21" s="6">
        <f>Painel!BM21*IPC!I$3</f>
        <v>0</v>
      </c>
      <c r="BN21" s="6">
        <f>Painel!BN21*IPC!J$3</f>
        <v>14.487550439451812</v>
      </c>
      <c r="BO21" s="6">
        <v>5</v>
      </c>
      <c r="BP21" s="6">
        <f>Painel!BP21*IPC!G$3</f>
        <v>4.4354500000000003</v>
      </c>
      <c r="BQ21" s="6">
        <f>Painel!BQ21*IPC!H$3</f>
        <v>0</v>
      </c>
      <c r="BR21" s="6">
        <f>Painel!BR21*IPC!I$3</f>
        <v>0</v>
      </c>
      <c r="BS21" s="6">
        <f>Painel!BS21*IPC!J$3</f>
        <v>10.078295957879522</v>
      </c>
      <c r="BT21" s="6">
        <v>23.3</v>
      </c>
      <c r="BU21" s="6">
        <f>Painel!BU21*IPC!G$3</f>
        <v>20.114250000000002</v>
      </c>
      <c r="BV21" s="6">
        <f>Painel!BV21*IPC!H$3</f>
        <v>0</v>
      </c>
      <c r="BW21" s="6">
        <f>Painel!BW21*IPC!I$3</f>
        <v>0</v>
      </c>
      <c r="BX21" s="6">
        <f>Painel!BX21*IPC!J$3</f>
        <v>19.022783620497599</v>
      </c>
      <c r="BY21" s="6">
        <v>45.9</v>
      </c>
      <c r="BZ21" s="6">
        <f>Painel!BZ21*IPC!G$3</f>
        <v>46.830100000000002</v>
      </c>
      <c r="CA21" s="6">
        <f>Painel!CA21*IPC!H$3</f>
        <v>0</v>
      </c>
      <c r="CB21" s="6">
        <f>Painel!CB21*IPC!I$3</f>
        <v>0</v>
      </c>
      <c r="CC21" s="6">
        <f>Painel!CC21*IPC!J$3</f>
        <v>37.163716344680736</v>
      </c>
      <c r="CD21" s="6">
        <v>8.4</v>
      </c>
      <c r="CE21" s="6">
        <f>Painel!CE21*IPC!G$3</f>
        <v>8.4582999999999995</v>
      </c>
      <c r="CF21" s="6">
        <f>Painel!CF21*IPC!H$3</f>
        <v>0</v>
      </c>
      <c r="CG21" s="6">
        <f>Painel!CG21*IPC!I$3</f>
        <v>0</v>
      </c>
      <c r="CH21" s="6">
        <f>Painel!CH21*IPC!J$3</f>
        <v>9.322423761038559</v>
      </c>
      <c r="CI21" s="6">
        <v>47.8</v>
      </c>
      <c r="CJ21" s="6">
        <f>Painel!CJ21*IPC!G$3</f>
        <v>26.303250000000002</v>
      </c>
      <c r="CK21" s="6">
        <f>Painel!CK21*IPC!H$3</f>
        <v>0</v>
      </c>
      <c r="CL21" s="6">
        <f>Painel!CL21*IPC!I$3</f>
        <v>0</v>
      </c>
      <c r="CM21" s="6">
        <f>Painel!CM21*IPC!J$3</f>
        <v>30.234887873638566</v>
      </c>
      <c r="CN21" s="6">
        <v>21.5</v>
      </c>
      <c r="CO21" s="6">
        <f>Painel!CO21*IPC!G$3</f>
        <v>0</v>
      </c>
      <c r="CP21" s="6">
        <f>Painel!CP21*IPC!H$3</f>
        <v>0</v>
      </c>
      <c r="CQ21" s="6">
        <f>Painel!CQ21*IPC!I$3</f>
        <v>0</v>
      </c>
      <c r="CR21" s="6">
        <f>Painel!CR21*IPC!J$3</f>
        <v>22.424208506281939</v>
      </c>
    </row>
    <row r="22" spans="1:111" x14ac:dyDescent="0.3">
      <c r="A22" t="s">
        <v>62</v>
      </c>
      <c r="B22" s="6">
        <v>386</v>
      </c>
      <c r="C22" s="6">
        <f>Painel!C22*IPC!G$3</f>
        <v>119.43684210526318</v>
      </c>
      <c r="D22" s="6">
        <f>Painel!D22*IPC!H$3</f>
        <v>0</v>
      </c>
      <c r="E22" s="6">
        <f>Painel!E22*IPC!I$3</f>
        <v>0</v>
      </c>
      <c r="F22" s="6">
        <f>Painel!F22*IPC!J$3</f>
        <v>0</v>
      </c>
      <c r="G22" s="6">
        <v>1645</v>
      </c>
      <c r="H22" s="6">
        <f>Painel!H22*IPC!G$3</f>
        <v>1036.9289473684212</v>
      </c>
      <c r="I22" s="6">
        <f>Painel!I22*IPC!H$3</f>
        <v>0</v>
      </c>
      <c r="J22" s="6">
        <f>Painel!J22*IPC!I$3</f>
        <v>0</v>
      </c>
      <c r="K22" s="6">
        <f>Painel!K22*IPC!J$3</f>
        <v>324.89243548427407</v>
      </c>
      <c r="L22" s="6">
        <v>977</v>
      </c>
      <c r="M22" s="6">
        <f>Painel!M22*IPC!G$3</f>
        <v>553.75263157894744</v>
      </c>
      <c r="N22" s="6">
        <f>Painel!N22*IPC!H$3</f>
        <v>0</v>
      </c>
      <c r="O22" s="6">
        <f>Painel!O22*IPC!I$3</f>
        <v>0</v>
      </c>
      <c r="P22" s="6">
        <f>Painel!P22*IPC!J$3</f>
        <v>530.43662936208011</v>
      </c>
      <c r="Q22" s="6">
        <v>1189</v>
      </c>
      <c r="R22" s="6">
        <f>Painel!R22*IPC!G$3</f>
        <v>0</v>
      </c>
      <c r="S22" s="6">
        <f>Painel!S22*IPC!H$3</f>
        <v>0</v>
      </c>
      <c r="T22" s="6">
        <f>Painel!T22*IPC!I$3</f>
        <v>0</v>
      </c>
      <c r="U22" s="6">
        <f>Painel!U22*IPC!J$3</f>
        <v>649.78487096854815</v>
      </c>
      <c r="V22" s="6">
        <v>1271</v>
      </c>
      <c r="W22" s="14">
        <f>Painel!W22*IPC!G$3</f>
        <v>0</v>
      </c>
      <c r="X22" s="14">
        <f>Painel!X22*IPC!H$3</f>
        <v>0</v>
      </c>
      <c r="Y22" s="14">
        <f>Painel!Y22*IPC!I$3</f>
        <v>0</v>
      </c>
      <c r="Z22" s="14">
        <f>Painel!Z22*IPC!J$3</f>
        <v>702.82853390475611</v>
      </c>
      <c r="AA22" s="6">
        <v>2384</v>
      </c>
      <c r="AB22" s="6">
        <f>Painel!AB22*IPC!G$3</f>
        <v>2519.0315789473684</v>
      </c>
      <c r="AC22" s="6">
        <f>Painel!AC22*IPC!H$3</f>
        <v>0</v>
      </c>
      <c r="AD22" s="6">
        <f>Painel!AD22*IPC!I$3</f>
        <v>0</v>
      </c>
      <c r="AE22" s="6">
        <f>Painel!AE22*IPC!J$3</f>
        <v>2095.2246859802162</v>
      </c>
      <c r="AF22" s="6">
        <v>704</v>
      </c>
      <c r="AG22" s="6">
        <f>Painel!AG22*IPC!G$3</f>
        <v>434.31578947368422</v>
      </c>
      <c r="AH22" s="6">
        <f>Painel!AH22*IPC!H$3</f>
        <v>0</v>
      </c>
      <c r="AI22" s="6">
        <f>Painel!AI22*IPC!I$3</f>
        <v>0</v>
      </c>
      <c r="AJ22" s="6">
        <f>Painel!AJ22*IPC!J$3</f>
        <v>0</v>
      </c>
      <c r="AK22" s="6">
        <v>1436</v>
      </c>
      <c r="AL22" s="6">
        <f>Painel!AL22*IPC!G$3</f>
        <v>0</v>
      </c>
      <c r="AM22" s="6">
        <f>Painel!AM22*IPC!H$3</f>
        <v>0</v>
      </c>
      <c r="AN22" s="6">
        <f>Painel!AN22*IPC!I$3</f>
        <v>0</v>
      </c>
      <c r="AO22" s="6">
        <f>Painel!AO22*IPC!J$3</f>
        <v>497.28434002695013</v>
      </c>
      <c r="AP22" s="6">
        <v>782</v>
      </c>
      <c r="AQ22" s="6"/>
      <c r="AR22" s="6"/>
      <c r="AS22" s="6"/>
      <c r="AT22" s="6"/>
      <c r="AU22" s="6">
        <v>3661</v>
      </c>
      <c r="AV22" s="6">
        <f>Painel!AV22*IPC!G$3</f>
        <v>2589.6078947368424</v>
      </c>
      <c r="AW22" s="6">
        <f>Painel!AW22*IPC!H$3</f>
        <v>0</v>
      </c>
      <c r="AX22" s="6">
        <f>Painel!AX22*IPC!I$3</f>
        <v>0</v>
      </c>
      <c r="AY22" s="6">
        <f>Painel!AY22*IPC!J$3</f>
        <v>3547.2949588589108</v>
      </c>
      <c r="AZ22" s="6">
        <v>1363</v>
      </c>
      <c r="BA22" s="6">
        <f>Painel!BA22*IPC!G$3</f>
        <v>917.4921052631579</v>
      </c>
      <c r="BB22" s="6">
        <f>Painel!BB22*IPC!H$3</f>
        <v>0</v>
      </c>
      <c r="BC22" s="6">
        <f>Painel!BC22*IPC!I$3</f>
        <v>0</v>
      </c>
      <c r="BD22" s="6">
        <f>Painel!BD22*IPC!J$3</f>
        <v>649.78487096854815</v>
      </c>
      <c r="BE22" s="6">
        <v>564</v>
      </c>
      <c r="BF22" s="6">
        <f>Painel!BF22*IPC!G$3</f>
        <v>597.18421052631584</v>
      </c>
      <c r="BG22" s="6">
        <f>Painel!BG22*IPC!H$3</f>
        <v>0</v>
      </c>
      <c r="BH22" s="6">
        <f>Painel!BH22*IPC!I$3</f>
        <v>0</v>
      </c>
      <c r="BI22" s="6">
        <f>Painel!BI22*IPC!J$3</f>
        <v>603.37166589936612</v>
      </c>
      <c r="BJ22" s="6">
        <v>2001</v>
      </c>
      <c r="BK22" s="6">
        <f>Painel!BK22*IPC!G$3</f>
        <v>0</v>
      </c>
      <c r="BL22" s="6">
        <f>Painel!BL22*IPC!H$3</f>
        <v>0</v>
      </c>
      <c r="BM22" s="6">
        <f>Painel!BM22*IPC!I$3</f>
        <v>0</v>
      </c>
      <c r="BN22" s="6">
        <f>Painel!BN22*IPC!J$3</f>
        <v>762.50265470799025</v>
      </c>
      <c r="BO22" s="6">
        <v>266</v>
      </c>
      <c r="BP22" s="6">
        <f>Painel!BP22*IPC!G$3</f>
        <v>233.44473684210527</v>
      </c>
      <c r="BQ22" s="6">
        <f>Painel!BQ22*IPC!H$3</f>
        <v>0</v>
      </c>
      <c r="BR22" s="6">
        <f>Painel!BR22*IPC!I$3</f>
        <v>0</v>
      </c>
      <c r="BS22" s="6">
        <f>Painel!BS22*IPC!J$3</f>
        <v>530.43662936208011</v>
      </c>
      <c r="BT22" s="6">
        <v>1226</v>
      </c>
      <c r="BU22" s="6">
        <f>Painel!BU22*IPC!G$3</f>
        <v>1058.6447368421054</v>
      </c>
      <c r="BV22" s="6">
        <f>Painel!BV22*IPC!H$3</f>
        <v>0</v>
      </c>
      <c r="BW22" s="6">
        <f>Painel!BW22*IPC!I$3</f>
        <v>0</v>
      </c>
      <c r="BX22" s="6">
        <f>Painel!BX22*IPC!J$3</f>
        <v>1001.1991379209263</v>
      </c>
      <c r="BY22" s="6">
        <v>2416</v>
      </c>
      <c r="BZ22" s="6">
        <f>Painel!BZ22*IPC!G$3</f>
        <v>2464.742105263158</v>
      </c>
      <c r="CA22" s="6">
        <f>Painel!CA22*IPC!H$3</f>
        <v>0</v>
      </c>
      <c r="CB22" s="6">
        <f>Painel!CB22*IPC!I$3</f>
        <v>0</v>
      </c>
      <c r="CC22" s="6">
        <f>Painel!CC22*IPC!J$3</f>
        <v>1955.9850707726703</v>
      </c>
      <c r="CD22" s="6">
        <v>558</v>
      </c>
      <c r="CE22" s="6">
        <f>Painel!CE22*IPC!G$3</f>
        <v>445.17368421052629</v>
      </c>
      <c r="CF22" s="6">
        <f>Painel!CF22*IPC!H$3</f>
        <v>0</v>
      </c>
      <c r="CG22" s="6">
        <f>Painel!CG22*IPC!I$3</f>
        <v>0</v>
      </c>
      <c r="CH22" s="6">
        <f>Painel!CH22*IPC!J$3</f>
        <v>490.65388215992414</v>
      </c>
      <c r="CI22" s="6">
        <v>2515</v>
      </c>
      <c r="CJ22" s="6">
        <f>Painel!CJ22*IPC!G$3</f>
        <v>1384.3815789473686</v>
      </c>
      <c r="CK22" s="6">
        <f>Painel!CK22*IPC!H$3</f>
        <v>0</v>
      </c>
      <c r="CL22" s="6">
        <f>Painel!CL22*IPC!I$3</f>
        <v>0</v>
      </c>
      <c r="CM22" s="6">
        <f>Painel!CM22*IPC!J$3</f>
        <v>1591.3098880862403</v>
      </c>
      <c r="CN22" s="6">
        <v>1435</v>
      </c>
      <c r="CO22" s="6">
        <f>Painel!CO22*IPC!G$3</f>
        <v>0</v>
      </c>
      <c r="CP22" s="6">
        <f>Painel!CP22*IPC!H$3</f>
        <v>0</v>
      </c>
      <c r="CQ22" s="6">
        <f>Painel!CQ22*IPC!I$3</f>
        <v>0</v>
      </c>
      <c r="CR22" s="6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P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0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0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33.289318181818182</v>
      </c>
      <c r="X24" s="14">
        <f t="shared" si="62"/>
        <v>29.142922613636369</v>
      </c>
      <c r="Y24" s="14">
        <f t="shared" si="62"/>
        <v>40.925406226329549</v>
      </c>
      <c r="Z24" s="14">
        <f t="shared" si="62"/>
        <v>54.686208180539445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48.515151515151516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0</v>
      </c>
      <c r="AQ24" s="14"/>
      <c r="AR24" s="14"/>
      <c r="AS24" s="14"/>
      <c r="AT24" s="14"/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0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0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62.352941176470587</v>
      </c>
      <c r="CE24" s="14">
        <f t="shared" ref="CE24:CH24" si="67">CE11/CE18</f>
        <v>51.87838235294118</v>
      </c>
      <c r="CF24" s="14">
        <f t="shared" si="67"/>
        <v>65.041308345588249</v>
      </c>
      <c r="CG24" s="14">
        <f t="shared" si="67"/>
        <v>42.089237412352951</v>
      </c>
      <c r="CH24" s="14">
        <f t="shared" si="67"/>
        <v>74.105117337349427</v>
      </c>
      <c r="CI24" s="14">
        <f>CI11/CI18</f>
        <v>0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/>
      <c r="H25" s="14">
        <f t="shared" ref="H25:K25" si="70">H10/H16</f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/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>
        <f t="shared" ref="AF25:AJ25" si="73">AF10/AF16</f>
        <v>3.1666666666666665</v>
      </c>
      <c r="AG25" s="14">
        <f t="shared" si="73"/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/>
      <c r="AQ25" s="14"/>
      <c r="AR25" s="14"/>
      <c r="AS25" s="14"/>
      <c r="AT25" s="14"/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/>
      <c r="BP25" s="14">
        <f t="shared" ref="BP25:BS25" si="79">BP10/BP16</f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/>
      <c r="BU25" s="14">
        <f t="shared" ref="BU25:BX25" si="80">BU10/BU16</f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14.7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/>
      <c r="CJ25" s="14">
        <f t="shared" ref="CJ25:CM25" si="83">CJ10/CJ16</f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v>0</v>
      </c>
      <c r="H26" s="14">
        <f t="shared" ref="H26:K26" si="86">H10/H19</f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v>0</v>
      </c>
      <c r="M26" s="14">
        <f t="shared" ref="M26:P26" si="87">M10/M19</f>
        <v>1.7962327586206899</v>
      </c>
      <c r="N26" s="14">
        <f t="shared" si="87"/>
        <v>0.73987080851063836</v>
      </c>
      <c r="O26" s="14">
        <f t="shared" si="87"/>
        <v>4.5226076804405668</v>
      </c>
      <c r="P26" s="14">
        <f t="shared" si="87"/>
        <v>2.6179948484335478</v>
      </c>
      <c r="Q26" s="14">
        <v>0</v>
      </c>
      <c r="R26" s="14">
        <v>0</v>
      </c>
      <c r="S26" s="14">
        <f t="shared" ref="S26:U26" si="88">S10/S19</f>
        <v>0.88451125000000008</v>
      </c>
      <c r="T26" s="14">
        <f t="shared" si="88"/>
        <v>0.59626419667500008</v>
      </c>
      <c r="U26" s="14">
        <f t="shared" si="88"/>
        <v>1.1569472400627003</v>
      </c>
      <c r="V26" s="14">
        <v>0</v>
      </c>
      <c r="W26" s="14">
        <f t="shared" ref="W26:Z26" si="89">W10/W19</f>
        <v>0</v>
      </c>
      <c r="X26" s="14">
        <v>0</v>
      </c>
      <c r="Y26" s="14">
        <f t="shared" si="89"/>
        <v>1.8550441674333338</v>
      </c>
      <c r="Z26" s="14">
        <f t="shared" si="89"/>
        <v>1.1425975068526202</v>
      </c>
      <c r="AA26" s="14">
        <v>0</v>
      </c>
      <c r="AB26" s="14">
        <f t="shared" ref="AB26:AE26" si="90">AB10/AB19</f>
        <v>2.3169076923076926</v>
      </c>
      <c r="AC26" s="14">
        <f t="shared" si="90"/>
        <v>0.5338102982456141</v>
      </c>
      <c r="AD26" s="14">
        <f t="shared" si="90"/>
        <v>4.4193699282970593</v>
      </c>
      <c r="AE26" s="14">
        <f t="shared" si="90"/>
        <v>0.76487067537478526</v>
      </c>
      <c r="AF26" s="14">
        <f t="shared" ref="AF26:AI26" si="91">AF10/AF19</f>
        <v>0.5066666666666666</v>
      </c>
      <c r="AG26" s="14">
        <f t="shared" si="91"/>
        <v>0.83502380952380961</v>
      </c>
      <c r="AH26" s="14">
        <v>0</v>
      </c>
      <c r="AI26" s="14">
        <f t="shared" si="91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2">AO10/AO19</f>
        <v>3.7793609842048204</v>
      </c>
      <c r="AP26" s="14">
        <v>0</v>
      </c>
      <c r="AQ26" s="14">
        <v>0</v>
      </c>
      <c r="AR26" s="14">
        <v>0</v>
      </c>
      <c r="AS26" s="14"/>
      <c r="AT26" s="14"/>
      <c r="AU26" s="14">
        <f>AU10/AU19</f>
        <v>4.5909090909090908</v>
      </c>
      <c r="AV26" s="14">
        <f t="shared" ref="AV26:AY26" si="93">AV10/AV19</f>
        <v>2.212733870967742</v>
      </c>
      <c r="AW26" s="14">
        <f t="shared" si="93"/>
        <v>4.2549084436619724</v>
      </c>
      <c r="AX26" s="14">
        <f t="shared" si="93"/>
        <v>3.7287507510380289</v>
      </c>
      <c r="AY26" s="14">
        <f t="shared" si="93"/>
        <v>4.1992899824498009</v>
      </c>
      <c r="AZ26" s="14">
        <v>0</v>
      </c>
      <c r="BA26" s="14">
        <f t="shared" ref="BA26:BD26" si="94">BA10/BA19</f>
        <v>1.385157142857143</v>
      </c>
      <c r="BB26" s="14">
        <f t="shared" si="94"/>
        <v>2.2136181018518521</v>
      </c>
      <c r="BC26" s="14">
        <f t="shared" si="94"/>
        <v>0.93166280730468765</v>
      </c>
      <c r="BD26" s="14">
        <f t="shared" si="94"/>
        <v>2.8756007488514941</v>
      </c>
      <c r="BE26" s="14">
        <v>0</v>
      </c>
      <c r="BF26" s="14">
        <f t="shared" ref="BF26:BI26" si="95">BF10/BF19</f>
        <v>0.37509090909090914</v>
      </c>
      <c r="BG26" s="14">
        <f t="shared" si="95"/>
        <v>4.4966286206896557E-2</v>
      </c>
      <c r="BH26" s="14">
        <f t="shared" si="95"/>
        <v>0.31994664211829271</v>
      </c>
      <c r="BI26" s="14">
        <f t="shared" si="95"/>
        <v>0.15450217859956814</v>
      </c>
      <c r="BJ26" s="14">
        <f>BJ10/BJ19</f>
        <v>0.73529411764705888</v>
      </c>
      <c r="BK26" s="14">
        <v>0</v>
      </c>
      <c r="BL26" s="14">
        <f t="shared" ref="BL26:BN26" si="96">BL10/BL19</f>
        <v>4.0182082500000007</v>
      </c>
      <c r="BM26" s="14">
        <f t="shared" si="96"/>
        <v>2.4254814780000005</v>
      </c>
      <c r="BN26" s="14">
        <f t="shared" si="96"/>
        <v>2.0931845450980546</v>
      </c>
      <c r="BO26" s="14">
        <v>0</v>
      </c>
      <c r="BP26" s="14">
        <f t="shared" ref="BP26:BS26" si="97">BP10/BP19</f>
        <v>6.7271739130434785E-2</v>
      </c>
      <c r="BQ26" s="14">
        <v>0</v>
      </c>
      <c r="BR26" s="14">
        <f t="shared" si="97"/>
        <v>1.4503723702905409</v>
      </c>
      <c r="BS26" s="14">
        <f t="shared" si="97"/>
        <v>2.6649340273239123E-2</v>
      </c>
      <c r="BT26" s="14">
        <v>0</v>
      </c>
      <c r="BU26" s="14">
        <f t="shared" ref="BU26:BX26" si="98">BU10/BU19</f>
        <v>2.444513698630137</v>
      </c>
      <c r="BV26" s="14">
        <f t="shared" si="98"/>
        <v>1.9922562916666671</v>
      </c>
      <c r="BW26" s="14">
        <f t="shared" si="98"/>
        <v>1.1584561535400002</v>
      </c>
      <c r="BX26" s="14">
        <f t="shared" si="98"/>
        <v>3.0058075663851209</v>
      </c>
      <c r="BY26" s="14">
        <f>BY10/BY19</f>
        <v>2.6714285714285713</v>
      </c>
      <c r="BZ26" s="14">
        <f t="shared" ref="BZ26:CC26" si="99">BZ10/BZ19</f>
        <v>2.2158148148148151</v>
      </c>
      <c r="CA26" s="14">
        <f t="shared" si="99"/>
        <v>2.2886249962121217</v>
      </c>
      <c r="CB26" s="14">
        <f t="shared" si="99"/>
        <v>3.0635643208474144</v>
      </c>
      <c r="CC26" s="14">
        <f t="shared" si="99"/>
        <v>1.8386080463699126</v>
      </c>
      <c r="CD26" s="14">
        <f>CD10/CD19</f>
        <v>4.0465116279069768</v>
      </c>
      <c r="CE26" s="14">
        <f t="shared" ref="CE26:CH26" si="100">CE10/CE19</f>
        <v>3.2261808510638299</v>
      </c>
      <c r="CF26" s="14">
        <f t="shared" si="100"/>
        <v>2.3255064350000003</v>
      </c>
      <c r="CG26" s="14">
        <f t="shared" si="100"/>
        <v>1.8550441674333338</v>
      </c>
      <c r="CH26" s="14">
        <f t="shared" si="100"/>
        <v>3.6772160927398252</v>
      </c>
      <c r="CI26" s="14">
        <f>CI10/CI19</f>
        <v>0</v>
      </c>
      <c r="CJ26" s="14">
        <f t="shared" ref="CJ26:CM26" si="101">CJ10/CJ19</f>
        <v>4.3743240740740745</v>
      </c>
      <c r="CK26" s="14">
        <f t="shared" si="101"/>
        <v>2.7393524010416672</v>
      </c>
      <c r="CL26" s="14">
        <f t="shared" si="101"/>
        <v>2.7283604150886371</v>
      </c>
      <c r="CM26" s="14">
        <f t="shared" si="101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2">CQ10/CQ19</f>
        <v>0.95983992635487825</v>
      </c>
      <c r="CR26" s="14">
        <f t="shared" si="102"/>
        <v>0.35993914135284011</v>
      </c>
    </row>
    <row r="27" spans="1:111" x14ac:dyDescent="0.3">
      <c r="A27" t="s">
        <v>82</v>
      </c>
      <c r="B27" s="5"/>
      <c r="C27" s="14">
        <f t="shared" ref="C27:F27" si="103">C7/C12</f>
        <v>0</v>
      </c>
      <c r="D27" s="14">
        <f t="shared" si="103"/>
        <v>0</v>
      </c>
      <c r="E27" s="14">
        <f t="shared" si="103"/>
        <v>0</v>
      </c>
      <c r="F27" s="14">
        <f t="shared" si="103"/>
        <v>0</v>
      </c>
      <c r="G27" s="5"/>
      <c r="H27" s="14">
        <f t="shared" ref="H27:K27" si="104">H7/H12</f>
        <v>0</v>
      </c>
      <c r="I27" s="14">
        <f t="shared" si="104"/>
        <v>0</v>
      </c>
      <c r="J27" s="14">
        <f t="shared" si="104"/>
        <v>0</v>
      </c>
      <c r="K27" s="14">
        <f t="shared" si="104"/>
        <v>0</v>
      </c>
      <c r="L27" s="5"/>
      <c r="M27" s="14">
        <f t="shared" ref="M27:P27" si="105">M7/M12</f>
        <v>0</v>
      </c>
      <c r="N27" s="14">
        <f t="shared" si="105"/>
        <v>0</v>
      </c>
      <c r="O27" s="14">
        <f t="shared" si="105"/>
        <v>0</v>
      </c>
      <c r="P27" s="14">
        <f t="shared" si="105"/>
        <v>0</v>
      </c>
      <c r="Q27" s="5"/>
      <c r="R27" s="14">
        <f t="shared" ref="R27:U27" si="106">R7/R12</f>
        <v>0</v>
      </c>
      <c r="S27" s="14">
        <f t="shared" si="106"/>
        <v>0</v>
      </c>
      <c r="T27" s="14">
        <f t="shared" si="106"/>
        <v>0</v>
      </c>
      <c r="U27" s="14">
        <f t="shared" si="106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7">AB7/AB12</f>
        <v>0</v>
      </c>
      <c r="AC27" s="14">
        <f t="shared" si="107"/>
        <v>0</v>
      </c>
      <c r="AD27" s="14">
        <f t="shared" si="107"/>
        <v>0</v>
      </c>
      <c r="AE27" s="14">
        <f t="shared" si="107"/>
        <v>0</v>
      </c>
      <c r="AF27" s="14">
        <f t="shared" ref="AF27:AJ27" si="108">AF7/AF12</f>
        <v>0</v>
      </c>
      <c r="AG27" s="14">
        <f t="shared" si="108"/>
        <v>0</v>
      </c>
      <c r="AH27" s="14">
        <f t="shared" si="108"/>
        <v>0</v>
      </c>
      <c r="AI27" s="14">
        <f t="shared" si="108"/>
        <v>0</v>
      </c>
      <c r="AJ27" s="14">
        <f t="shared" si="108"/>
        <v>0</v>
      </c>
      <c r="AK27" s="5"/>
      <c r="AL27" s="14">
        <f t="shared" ref="AL27:AO27" si="109">AL7/AL12</f>
        <v>0</v>
      </c>
      <c r="AM27" s="14">
        <f t="shared" si="109"/>
        <v>0</v>
      </c>
      <c r="AN27" s="14">
        <f t="shared" si="109"/>
        <v>0</v>
      </c>
      <c r="AO27" s="14">
        <f t="shared" si="109"/>
        <v>0</v>
      </c>
      <c r="AP27" s="5"/>
      <c r="AQ27" s="5"/>
      <c r="AR27" s="5"/>
      <c r="AS27" s="5"/>
      <c r="AT27" s="5"/>
      <c r="AU27" s="14">
        <f>AU7/AU12</f>
        <v>0.29589632829373652</v>
      </c>
      <c r="AV27" s="14">
        <f t="shared" ref="AV27:AY27" si="110">AV7/AV12</f>
        <v>0.56947608200455579</v>
      </c>
      <c r="AW27" s="14">
        <f t="shared" si="110"/>
        <v>0.4096045197740113</v>
      </c>
      <c r="AX27" s="14">
        <f t="shared" si="110"/>
        <v>0.27409638554216864</v>
      </c>
      <c r="AY27" s="14">
        <f t="shared" si="110"/>
        <v>0.53680981595092025</v>
      </c>
      <c r="AZ27" s="5"/>
      <c r="BA27" s="14">
        <f t="shared" ref="BA27:BD27" si="111">BA7/BA12</f>
        <v>0</v>
      </c>
      <c r="BB27" s="14">
        <f t="shared" si="111"/>
        <v>0</v>
      </c>
      <c r="BC27" s="14">
        <f t="shared" si="111"/>
        <v>0</v>
      </c>
      <c r="BD27" s="14">
        <f t="shared" si="111"/>
        <v>0</v>
      </c>
      <c r="BE27" s="5"/>
      <c r="BF27" s="14">
        <f t="shared" ref="BF27:BI27" si="112">BF7/BF12</f>
        <v>0.42352941176470582</v>
      </c>
      <c r="BG27" s="14">
        <f t="shared" si="112"/>
        <v>0.46052631578947367</v>
      </c>
      <c r="BH27" s="14">
        <f t="shared" si="112"/>
        <v>0</v>
      </c>
      <c r="BI27" s="14">
        <f t="shared" si="112"/>
        <v>0.17391304347826086</v>
      </c>
      <c r="BJ27" s="14">
        <f>BJ7/BJ12</f>
        <v>0</v>
      </c>
      <c r="BK27" s="14">
        <f t="shared" ref="BK27:BN27" si="113">BK7/BK12</f>
        <v>0</v>
      </c>
      <c r="BL27" s="14">
        <f t="shared" si="113"/>
        <v>0</v>
      </c>
      <c r="BM27" s="14">
        <f t="shared" si="113"/>
        <v>0</v>
      </c>
      <c r="BN27" s="14">
        <f t="shared" si="113"/>
        <v>0</v>
      </c>
      <c r="BO27" s="5"/>
      <c r="BP27" s="14">
        <f t="shared" ref="BP27:BS27" si="114">BP7/BP12</f>
        <v>0.2181818181818182</v>
      </c>
      <c r="BQ27" s="14">
        <f t="shared" si="114"/>
        <v>3.3333333333333333E-2</v>
      </c>
      <c r="BR27" s="14">
        <f t="shared" si="114"/>
        <v>8.5106382978723402E-2</v>
      </c>
      <c r="BS27" s="14">
        <f t="shared" si="114"/>
        <v>4.878048780487805E-2</v>
      </c>
      <c r="BT27" s="5"/>
      <c r="BU27" s="14">
        <f t="shared" ref="BU27:BX27" si="115">BU7/BU12</f>
        <v>7.0707070707070704E-2</v>
      </c>
      <c r="BV27" s="14">
        <f t="shared" si="115"/>
        <v>0.32596685082872928</v>
      </c>
      <c r="BW27" s="14">
        <f t="shared" si="115"/>
        <v>0.17934782608695654</v>
      </c>
      <c r="BX27" s="14">
        <f t="shared" si="115"/>
        <v>0.37894736842105259</v>
      </c>
      <c r="BY27" s="14">
        <f>BY7/BY12</f>
        <v>0.19753086419753085</v>
      </c>
      <c r="BZ27" s="14">
        <f t="shared" ref="BZ27:CC27" si="116">BZ7/BZ12</f>
        <v>0.26027397260273977</v>
      </c>
      <c r="CA27" s="14">
        <f t="shared" si="116"/>
        <v>0.72676056338028161</v>
      </c>
      <c r="CB27" s="14">
        <f t="shared" si="116"/>
        <v>0.14077669902912621</v>
      </c>
      <c r="CC27" s="14">
        <f t="shared" si="116"/>
        <v>8.0321285140562249E-2</v>
      </c>
      <c r="CD27" s="14">
        <v>0</v>
      </c>
      <c r="CE27" s="14">
        <f t="shared" ref="CE27:CH27" si="117">CE7/CE12</f>
        <v>0</v>
      </c>
      <c r="CF27" s="14">
        <f t="shared" si="117"/>
        <v>0</v>
      </c>
      <c r="CG27" s="14">
        <f t="shared" si="117"/>
        <v>0</v>
      </c>
      <c r="CH27" s="14">
        <f t="shared" si="117"/>
        <v>0</v>
      </c>
      <c r="CI27" s="14"/>
      <c r="CJ27" s="14">
        <f t="shared" ref="CJ27:CM27" si="118">CJ7/CJ12</f>
        <v>0.14646464646464646</v>
      </c>
      <c r="CK27" s="14">
        <f t="shared" si="118"/>
        <v>0.21917808219178081</v>
      </c>
      <c r="CL27" s="14">
        <f t="shared" si="118"/>
        <v>2.9940119760479044E-3</v>
      </c>
      <c r="CM27" s="14">
        <f t="shared" si="118"/>
        <v>0.16363636363636364</v>
      </c>
      <c r="CN27" s="5"/>
      <c r="CO27" s="18">
        <f t="shared" ref="CO27:CR27" si="119">CO7/CO12</f>
        <v>2.9850746268656719E-2</v>
      </c>
      <c r="CP27" s="14">
        <f t="shared" si="119"/>
        <v>0.10769230769230768</v>
      </c>
      <c r="CQ27" s="14">
        <f t="shared" si="119"/>
        <v>0.15584415584415584</v>
      </c>
      <c r="CR27" s="14">
        <f t="shared" si="119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0">C12/C19</f>
        <v>1.1677358490566039</v>
      </c>
      <c r="D28" s="14">
        <f t="shared" si="120"/>
        <v>0.94316078301886808</v>
      </c>
      <c r="E28" s="14">
        <v>0</v>
      </c>
      <c r="F28" s="14">
        <v>0</v>
      </c>
      <c r="G28" s="14">
        <v>0</v>
      </c>
      <c r="H28" s="14">
        <f t="shared" ref="H28:K28" si="121">H12/H19</f>
        <v>4.4461206896551726</v>
      </c>
      <c r="I28" s="14">
        <f t="shared" si="121"/>
        <v>3.4023597708333337</v>
      </c>
      <c r="J28" s="14">
        <f t="shared" si="121"/>
        <v>3.5074364510294123</v>
      </c>
      <c r="K28" s="14">
        <f t="shared" si="121"/>
        <v>4.0943077328885558</v>
      </c>
      <c r="L28" s="14">
        <v>0</v>
      </c>
      <c r="M28" s="14">
        <f t="shared" ref="M28:P28" si="122">M12/M19</f>
        <v>3.1656379310344831</v>
      </c>
      <c r="N28" s="14">
        <f t="shared" si="122"/>
        <v>3.35253960106383</v>
      </c>
      <c r="O28" s="14">
        <f t="shared" si="122"/>
        <v>2.0475487508462265</v>
      </c>
      <c r="P28" s="14">
        <f t="shared" si="122"/>
        <v>2.7164157073972151</v>
      </c>
      <c r="Q28" s="14">
        <v>0</v>
      </c>
      <c r="R28" s="14">
        <v>0</v>
      </c>
      <c r="S28" s="14">
        <f t="shared" ref="S28:U28" si="123">S12/S19</f>
        <v>2.6788055000000002</v>
      </c>
      <c r="T28" s="14">
        <f t="shared" si="123"/>
        <v>2.4663655407920455</v>
      </c>
      <c r="U28" s="14">
        <f t="shared" si="123"/>
        <v>2.3910242961295807</v>
      </c>
      <c r="V28" s="14">
        <v>0</v>
      </c>
      <c r="W28" s="14">
        <f t="shared" ref="W28:Z28" si="124">W12/W19</f>
        <v>0</v>
      </c>
      <c r="X28" s="14">
        <v>0</v>
      </c>
      <c r="Y28" s="14">
        <f t="shared" si="124"/>
        <v>3.1624086282911112</v>
      </c>
      <c r="Z28" s="14">
        <f t="shared" si="124"/>
        <v>2.1680055258229207</v>
      </c>
      <c r="AA28" s="14">
        <v>0</v>
      </c>
      <c r="AB28" s="14">
        <f t="shared" ref="AB28:AE28" si="125">AB12/AB19</f>
        <v>4.3481692307692308</v>
      </c>
      <c r="AC28" s="14">
        <f t="shared" si="125"/>
        <v>3.965447929824562</v>
      </c>
      <c r="AD28" s="14">
        <f t="shared" si="125"/>
        <v>4.3959870186235301</v>
      </c>
      <c r="AE28" s="14">
        <f t="shared" si="125"/>
        <v>5.0391479789397611</v>
      </c>
      <c r="AF28" s="14">
        <f t="shared" ref="AF28:AI28" si="126">AF12/AF19</f>
        <v>3.9699999999999998</v>
      </c>
      <c r="AG28" s="14">
        <f t="shared" si="126"/>
        <v>1.7928452380952382</v>
      </c>
      <c r="AH28" s="14">
        <v>0</v>
      </c>
      <c r="AI28" s="14">
        <f t="shared" si="126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7">AO12/AO19</f>
        <v>7.3837515524742328</v>
      </c>
      <c r="AP28" s="14">
        <v>0</v>
      </c>
      <c r="AQ28" s="14">
        <v>0</v>
      </c>
      <c r="AR28" s="14">
        <v>0</v>
      </c>
      <c r="AS28" s="14"/>
      <c r="AT28" s="14"/>
      <c r="AU28" s="14">
        <f>AU12/AU19</f>
        <v>7.0151515151515156</v>
      </c>
      <c r="AV28" s="14">
        <f t="shared" ref="AV28:AY28" si="128">AV12/AV19</f>
        <v>7.3036854838709679</v>
      </c>
      <c r="AW28" s="14">
        <f t="shared" si="128"/>
        <v>5.4181208239436627</v>
      </c>
      <c r="AX28" s="14">
        <f t="shared" si="128"/>
        <v>5.5763299520028182</v>
      </c>
      <c r="AY28" s="14">
        <f t="shared" si="128"/>
        <v>4.5632284475954501</v>
      </c>
      <c r="AZ28" s="14">
        <v>0</v>
      </c>
      <c r="BA28" s="14">
        <f t="shared" ref="BA28:BD28" si="129">BA12/BA19</f>
        <v>1.9156428571428572</v>
      </c>
      <c r="BB28" s="14">
        <f t="shared" si="129"/>
        <v>2.3746085092592599</v>
      </c>
      <c r="BC28" s="14">
        <f t="shared" si="129"/>
        <v>1.3788609548109376</v>
      </c>
      <c r="BD28" s="14">
        <f t="shared" si="129"/>
        <v>1.6705871017137253</v>
      </c>
      <c r="BE28" s="14">
        <v>0</v>
      </c>
      <c r="BF28" s="14">
        <f t="shared" ref="BF28:BI28" si="130">BF12/BF19</f>
        <v>1.5941363636363639</v>
      </c>
      <c r="BG28" s="14">
        <f t="shared" si="130"/>
        <v>1.4239323965517243</v>
      </c>
      <c r="BH28" s="14">
        <f t="shared" si="130"/>
        <v>1.2797865684731708</v>
      </c>
      <c r="BI28" s="14">
        <f t="shared" si="130"/>
        <v>1.6401000497492619</v>
      </c>
      <c r="BJ28" s="14">
        <f>BJ12/BJ19</f>
        <v>3.3970588235294117</v>
      </c>
      <c r="BK28" s="14">
        <v>0</v>
      </c>
      <c r="BL28" s="14">
        <f t="shared" ref="BL28:BN28" si="131">BL12/BL19</f>
        <v>3.4116862500000007</v>
      </c>
      <c r="BM28" s="14">
        <f t="shared" si="131"/>
        <v>2.2233580215000006</v>
      </c>
      <c r="BN28" s="14">
        <f t="shared" si="131"/>
        <v>2.1125658834785921</v>
      </c>
      <c r="BO28" s="14">
        <v>0</v>
      </c>
      <c r="BP28" s="14">
        <f t="shared" ref="BP28:BS28" si="132">BP12/BP19</f>
        <v>0.73998913043478265</v>
      </c>
      <c r="BQ28" s="14">
        <v>0</v>
      </c>
      <c r="BR28" s="14">
        <f t="shared" si="132"/>
        <v>1.514833364525676</v>
      </c>
      <c r="BS28" s="14">
        <f t="shared" si="132"/>
        <v>0.99329359200254908</v>
      </c>
      <c r="BT28" s="14">
        <v>0</v>
      </c>
      <c r="BU28" s="14">
        <f t="shared" ref="BU28:BX28" si="133">BU12/BU19</f>
        <v>2.7977671232876715</v>
      </c>
      <c r="BV28" s="14">
        <f t="shared" si="133"/>
        <v>4.0977089635416677</v>
      </c>
      <c r="BW28" s="14">
        <f t="shared" si="133"/>
        <v>3.1346460625200003</v>
      </c>
      <c r="BX28" s="14">
        <f t="shared" si="133"/>
        <v>4.1992899824498009</v>
      </c>
      <c r="BY28" s="14">
        <f>BY12/BY19</f>
        <v>5.7857142857142856</v>
      </c>
      <c r="BZ28" s="14">
        <f t="shared" ref="BZ28:CC28" si="134">BZ12/BZ19</f>
        <v>4.6481172839506177</v>
      </c>
      <c r="CA28" s="14">
        <f t="shared" si="134"/>
        <v>5.8450494507575765</v>
      </c>
      <c r="CB28" s="14">
        <f t="shared" si="134"/>
        <v>4.2355318798293107</v>
      </c>
      <c r="CC28" s="14">
        <f t="shared" si="134"/>
        <v>4.2390129957972986</v>
      </c>
      <c r="CD28" s="14">
        <f>CD12/CD19</f>
        <v>3.9883720930232558</v>
      </c>
      <c r="CE28" s="14">
        <f t="shared" ref="CE28:CH28" si="135">CE12/CE19</f>
        <v>2.9847659574468088</v>
      </c>
      <c r="CF28" s="14">
        <f t="shared" si="135"/>
        <v>2.8905827650000004</v>
      </c>
      <c r="CG28" s="14">
        <f t="shared" si="135"/>
        <v>3.0254887016472227</v>
      </c>
      <c r="CH28" s="14">
        <f t="shared" si="135"/>
        <v>2.826008663864866</v>
      </c>
      <c r="CI28" s="14">
        <f>CI12/CI19</f>
        <v>0</v>
      </c>
      <c r="CJ28" s="14">
        <f t="shared" ref="CJ28:CM28" si="136">CJ12/CJ19</f>
        <v>3.7821666666666669</v>
      </c>
      <c r="CK28" s="14">
        <f t="shared" si="136"/>
        <v>4.958001453125001</v>
      </c>
      <c r="CL28" s="14">
        <f t="shared" si="136"/>
        <v>3.0174582074159093</v>
      </c>
      <c r="CM28" s="14">
        <f t="shared" si="136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7">CQ12/CQ19</f>
        <v>2.2396264948280491</v>
      </c>
      <c r="CR28" s="14">
        <f t="shared" si="137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38">C11/C19</f>
        <v>2.8025660377358492</v>
      </c>
      <c r="D29" s="14">
        <f t="shared" si="138"/>
        <v>2.0298460330188681</v>
      </c>
      <c r="E29" s="14">
        <v>0</v>
      </c>
      <c r="F29" s="14">
        <v>0</v>
      </c>
      <c r="G29" s="14">
        <v>0</v>
      </c>
      <c r="H29" s="14">
        <f t="shared" ref="H29:K29" si="139">H11/H19</f>
        <v>6.8470258620689668</v>
      </c>
      <c r="I29" s="14">
        <f t="shared" si="139"/>
        <v>6.4295543958333345</v>
      </c>
      <c r="J29" s="14">
        <f t="shared" si="139"/>
        <v>2.297370875424265</v>
      </c>
      <c r="K29" s="14">
        <f t="shared" si="139"/>
        <v>7.427494156458085</v>
      </c>
      <c r="L29" s="14">
        <v>0</v>
      </c>
      <c r="M29" s="14">
        <f t="shared" ref="M29:P29" si="140">M11/M19</f>
        <v>6.2067844827586214</v>
      </c>
      <c r="N29" s="14">
        <f t="shared" si="140"/>
        <v>5.9189664680851068</v>
      </c>
      <c r="O29" s="14">
        <f t="shared" si="140"/>
        <v>7.4026762530594352</v>
      </c>
      <c r="P29" s="14">
        <f t="shared" si="140"/>
        <v>7.4603011094459744</v>
      </c>
      <c r="Q29" s="14">
        <v>0</v>
      </c>
      <c r="R29" s="14">
        <v>0</v>
      </c>
      <c r="S29" s="14">
        <f t="shared" ref="S29:U29" si="141">S11/S19</f>
        <v>4.9027195000000008</v>
      </c>
      <c r="T29" s="14">
        <f t="shared" si="141"/>
        <v>3.2523501636818186</v>
      </c>
      <c r="U29" s="14">
        <f t="shared" si="141"/>
        <v>4.4735293282424413</v>
      </c>
      <c r="V29" s="14">
        <v>0</v>
      </c>
      <c r="W29" s="14">
        <f t="shared" ref="W29:Z29" si="142">W11/W19</f>
        <v>2.7636415094339624</v>
      </c>
      <c r="X29" s="14">
        <v>0</v>
      </c>
      <c r="Y29" s="14">
        <f t="shared" si="142"/>
        <v>6.6693254591055569</v>
      </c>
      <c r="Z29" s="14">
        <f t="shared" si="142"/>
        <v>5.5957980463807813</v>
      </c>
      <c r="AA29" s="14">
        <v>0</v>
      </c>
      <c r="AB29" s="14">
        <f t="shared" ref="AB29:AE29" si="143">AB11/AB19</f>
        <v>10.346738461538461</v>
      </c>
      <c r="AC29" s="14">
        <f t="shared" si="143"/>
        <v>8.5409647719298256</v>
      </c>
      <c r="AD29" s="14">
        <f t="shared" si="143"/>
        <v>9.937736611250001</v>
      </c>
      <c r="AE29" s="14">
        <f t="shared" si="143"/>
        <v>8.3235926437844263</v>
      </c>
      <c r="AF29" s="14">
        <f t="shared" ref="AF29:AI29" si="144">AF11/AF19</f>
        <v>5.3366666666666669</v>
      </c>
      <c r="AG29" s="14">
        <f t="shared" si="144"/>
        <v>3.8312857142857148</v>
      </c>
      <c r="AH29" s="14">
        <v>0</v>
      </c>
      <c r="AI29" s="14">
        <f t="shared" si="144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5">AO11/AO19</f>
        <v>9.8333373755699505</v>
      </c>
      <c r="AP29" s="14">
        <v>0</v>
      </c>
      <c r="AQ29" s="14">
        <v>0</v>
      </c>
      <c r="AR29" s="14">
        <v>0</v>
      </c>
      <c r="AS29" s="14"/>
      <c r="AT29" s="14"/>
      <c r="AU29" s="14">
        <f>AU11/AU19</f>
        <v>19.939393939393938</v>
      </c>
      <c r="AV29" s="14">
        <f t="shared" ref="AV29:AY29" si="146">AV11/AV19</f>
        <v>18.500451612903227</v>
      </c>
      <c r="AW29" s="14">
        <f t="shared" si="146"/>
        <v>15.688061707746483</v>
      </c>
      <c r="AX29" s="14">
        <f t="shared" si="146"/>
        <v>10.816736412921129</v>
      </c>
      <c r="AY29" s="14">
        <f t="shared" si="146"/>
        <v>12.793836813197059</v>
      </c>
      <c r="AZ29" s="14">
        <v>0</v>
      </c>
      <c r="BA29" s="14">
        <f t="shared" ref="BA29:BD29" si="147">BA11/BA19</f>
        <v>4.8480500000000006</v>
      </c>
      <c r="BB29" s="14">
        <f t="shared" si="147"/>
        <v>6.3188734907407413</v>
      </c>
      <c r="BC29" s="14">
        <f t="shared" si="147"/>
        <v>3.4098858747351568</v>
      </c>
      <c r="BD29" s="14">
        <f t="shared" si="147"/>
        <v>6.8466684496464145</v>
      </c>
      <c r="BE29" s="14">
        <v>0</v>
      </c>
      <c r="BF29" s="14">
        <f t="shared" ref="BF29:BI29" si="148">BF11/BF19</f>
        <v>4.5573545454545457</v>
      </c>
      <c r="BG29" s="14">
        <f t="shared" si="148"/>
        <v>2.9415445560344828</v>
      </c>
      <c r="BH29" s="14">
        <f t="shared" si="148"/>
        <v>2.2396264948280491</v>
      </c>
      <c r="BI29" s="14">
        <f t="shared" si="148"/>
        <v>2.5908826872850659</v>
      </c>
      <c r="BJ29" s="14">
        <f>BJ11/BJ19</f>
        <v>6.2352941176470589</v>
      </c>
      <c r="BK29" s="14">
        <v>0</v>
      </c>
      <c r="BL29" s="14">
        <f t="shared" ref="BL29:BN29" si="149">BL11/BL19</f>
        <v>11.801907250000001</v>
      </c>
      <c r="BM29" s="14">
        <f t="shared" si="149"/>
        <v>7.781753075250001</v>
      </c>
      <c r="BN29" s="14">
        <f t="shared" si="149"/>
        <v>7.9075860592593177</v>
      </c>
      <c r="BO29" s="14">
        <v>0</v>
      </c>
      <c r="BP29" s="14">
        <f t="shared" ref="BP29:BS29" si="150">BP11/BP19</f>
        <v>2.1751195652173916</v>
      </c>
      <c r="BQ29" s="14">
        <v>0</v>
      </c>
      <c r="BR29" s="14">
        <f t="shared" si="150"/>
        <v>2.7718227521108112</v>
      </c>
      <c r="BS29" s="14">
        <f t="shared" si="150"/>
        <v>2.2046272407861456</v>
      </c>
      <c r="BT29" s="14">
        <v>0</v>
      </c>
      <c r="BU29" s="14">
        <f t="shared" ref="BU29:BX29" si="151">BU11/BU19</f>
        <v>5.1151095890410962</v>
      </c>
      <c r="BV29" s="14">
        <f t="shared" si="151"/>
        <v>7.7879109583333346</v>
      </c>
      <c r="BW29" s="14">
        <f t="shared" si="151"/>
        <v>4.429391175300001</v>
      </c>
      <c r="BX29" s="14">
        <f t="shared" si="151"/>
        <v>8.6195952271338019</v>
      </c>
      <c r="BY29" s="14">
        <f>BY11/BY19</f>
        <v>11.985714285714286</v>
      </c>
      <c r="BZ29" s="14">
        <f t="shared" ref="BZ29:CC29" si="152">BZ11/BZ19</f>
        <v>10.073043209876543</v>
      </c>
      <c r="CA29" s="14">
        <f t="shared" si="152"/>
        <v>15.295918140151517</v>
      </c>
      <c r="CB29" s="14">
        <f t="shared" si="152"/>
        <v>10.938363883831036</v>
      </c>
      <c r="CC29" s="14">
        <f t="shared" si="152"/>
        <v>10.180440849344517</v>
      </c>
      <c r="CD29" s="14">
        <f>CD11/CD19</f>
        <v>9.8604651162790695</v>
      </c>
      <c r="CE29" s="14">
        <f t="shared" ref="CE29:CH29" si="153">CE11/CE19</f>
        <v>7.5058085106382988</v>
      </c>
      <c r="CF29" s="14">
        <f t="shared" si="153"/>
        <v>8.8456179350000017</v>
      </c>
      <c r="CG29" s="14">
        <f t="shared" si="153"/>
        <v>5.3001261926666681</v>
      </c>
      <c r="CH29" s="14">
        <f t="shared" si="153"/>
        <v>6.8096594309996776</v>
      </c>
      <c r="CI29" s="14">
        <f>CI11/CI19</f>
        <v>0</v>
      </c>
      <c r="CJ29" s="14">
        <f t="shared" ref="CJ29:CM29" si="154">CJ11/CJ19</f>
        <v>11.231888888888889</v>
      </c>
      <c r="CK29" s="14">
        <f t="shared" si="154"/>
        <v>9.8028065260416692</v>
      </c>
      <c r="CL29" s="14">
        <f t="shared" si="154"/>
        <v>5.8361616826068188</v>
      </c>
      <c r="CM29" s="14">
        <f t="shared" si="154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5">CQ11/CQ19</f>
        <v>4.7410275150256105</v>
      </c>
      <c r="CR29" s="14">
        <f t="shared" si="155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 t="s">
        <v>107</v>
      </c>
      <c r="BL30" s="14" t="s">
        <v>107</v>
      </c>
      <c r="BM30" s="14" t="s">
        <v>107</v>
      </c>
      <c r="BN30" s="14" t="s">
        <v>107</v>
      </c>
      <c r="BO30" s="14" t="s">
        <v>107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107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>
        <v>0</v>
      </c>
      <c r="CE30" s="14">
        <f>Painel!CE30*IPC!G$3</f>
        <v>0</v>
      </c>
      <c r="CF30" s="14">
        <f>Painel!CF30*IPC!H$3</f>
        <v>0</v>
      </c>
      <c r="CG30" s="14">
        <f>Painel!CG30*IPC!I$3</f>
        <v>0</v>
      </c>
      <c r="CH30" s="14">
        <f>Painel!CH30*IPC!J$3</f>
        <v>0</v>
      </c>
      <c r="CI30" s="14" t="s">
        <v>107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/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14"/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>
        <f>Painel!AF31</f>
        <v>18</v>
      </c>
      <c r="AG31" s="14">
        <f>Painel!AG31*IPC!G$3</f>
        <v>203.20550000000003</v>
      </c>
      <c r="AH31" s="14">
        <f>Painel!AH31*IPC!H$3</f>
        <v>257.54440425000001</v>
      </c>
      <c r="AI31" s="14">
        <f>Painel!AI31*IPC!I$3</f>
        <v>313.63496745105004</v>
      </c>
      <c r="AJ31" s="14">
        <f>Painel!AJ31*IPC!J$3</f>
        <v>268.33462987854227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/>
      <c r="AQ31" s="14"/>
      <c r="AR31" s="14"/>
      <c r="AS31" s="14"/>
      <c r="AT31" s="14"/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>
        <f>Painel!CD31</f>
        <v>418</v>
      </c>
      <c r="CE31" s="14">
        <f>Painel!CE31*IPC!G$3</f>
        <v>453.86</v>
      </c>
      <c r="CF31" s="14">
        <f>Painel!CF31*IPC!H$3</f>
        <v>383.59989325000004</v>
      </c>
      <c r="CG31" s="14">
        <f>Painel!CG31*IPC!I$3</f>
        <v>425.73263642595003</v>
      </c>
      <c r="CH31" s="14">
        <f>Painel!CH31*IPC!J$3</f>
        <v>425.80800422040983</v>
      </c>
      <c r="CI31" s="14"/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6">C31/C14</f>
        <v>32.333333333333336</v>
      </c>
      <c r="D32" s="20">
        <f t="shared" ref="D32" si="157">D31/D14</f>
        <v>3.9954545454545456</v>
      </c>
      <c r="E32" s="20">
        <f t="shared" ref="E32" si="158">E31/E14</f>
        <v>22.166666666666664</v>
      </c>
      <c r="F32" s="20">
        <f t="shared" ref="F32" si="159">F31/F14</f>
        <v>-7.0777777777777784</v>
      </c>
      <c r="G32" s="14"/>
      <c r="H32" s="20">
        <f t="shared" ref="H32" si="160">H31/H14</f>
        <v>29.794871794871792</v>
      </c>
      <c r="I32" s="20">
        <f t="shared" ref="I32" si="161">I31/I14</f>
        <v>8.137614678899082</v>
      </c>
      <c r="J32" s="20">
        <f t="shared" ref="J32" si="162">J31/J14</f>
        <v>-5.0580645161290327</v>
      </c>
      <c r="K32" s="20">
        <f t="shared" ref="K32" si="163">K31/K14</f>
        <v>4.5600000000000005</v>
      </c>
      <c r="L32" s="14"/>
      <c r="M32" s="20">
        <f t="shared" ref="M32" si="164">M31/M14</f>
        <v>4.563380281690141</v>
      </c>
      <c r="N32" s="20">
        <f t="shared" ref="N32" si="165">N31/N14</f>
        <v>4.6769230769230763</v>
      </c>
      <c r="O32" s="20">
        <f t="shared" ref="O32" si="166">O31/O14</f>
        <v>2.2686567164179108</v>
      </c>
      <c r="P32" s="20">
        <f t="shared" ref="P32" si="167">P31/P14</f>
        <v>2.5765765765765769</v>
      </c>
      <c r="Q32" s="14"/>
      <c r="R32" s="20">
        <f t="shared" ref="R32" si="168">R31/R14</f>
        <v>200</v>
      </c>
      <c r="S32" s="20">
        <f t="shared" ref="S32" si="169">S31/S14</f>
        <v>3.486486486486486</v>
      </c>
      <c r="T32" s="20">
        <f t="shared" ref="T32" si="170">T31/T14</f>
        <v>-12.076923076923077</v>
      </c>
      <c r="U32" s="20">
        <f t="shared" ref="U32" si="171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2">AB31/AB14</f>
        <v>3.6707317073170729</v>
      </c>
      <c r="AC32" s="20">
        <f t="shared" ref="AC32" si="173">AC31/AC14</f>
        <v>2.915730337078652</v>
      </c>
      <c r="AD32" s="20">
        <f t="shared" ref="AD32" si="174">AD31/AD14</f>
        <v>10.75</v>
      </c>
      <c r="AE32" s="20">
        <f t="shared" ref="AE32" si="175">AE31/AE14</f>
        <v>-17.777777777777779</v>
      </c>
      <c r="AF32" s="20">
        <f t="shared" ref="AF32:AG32" si="176">AF31/AF14</f>
        <v>0.3</v>
      </c>
      <c r="AG32" s="20">
        <f t="shared" si="176"/>
        <v>3.078125</v>
      </c>
      <c r="AH32" s="20">
        <f t="shared" ref="AH32" si="177">AH31/AH14</f>
        <v>10.772727272727272</v>
      </c>
      <c r="AI32" s="20">
        <f t="shared" ref="AI32" si="178">AI31/AI14</f>
        <v>10.958333333333332</v>
      </c>
      <c r="AJ32" s="20">
        <f t="shared" ref="AJ32" si="179">AJ31/AJ14</f>
        <v>-19.363636363636363</v>
      </c>
      <c r="AK32" s="14"/>
      <c r="AL32" s="20">
        <f t="shared" ref="AL32" si="180">AL31/AL14</f>
        <v>4.5273972602739718</v>
      </c>
      <c r="AM32" s="20">
        <f t="shared" ref="AM32" si="181">AM31/AM14</f>
        <v>-8.4938271604938276</v>
      </c>
      <c r="AN32" s="20">
        <f t="shared" ref="AN32" si="182">AN31/AN14</f>
        <v>-2.7277777777777774</v>
      </c>
      <c r="AO32" s="20">
        <f t="shared" ref="AO32" si="183">AO31/AO14</f>
        <v>2.8367346938775513</v>
      </c>
      <c r="AP32" s="14"/>
      <c r="AQ32" s="14"/>
      <c r="AR32" s="14"/>
      <c r="AS32" s="14"/>
      <c r="AT32" s="14"/>
      <c r="AU32" s="20">
        <f>AU31/AU14</f>
        <v>0.52577319587628868</v>
      </c>
      <c r="AV32" s="20">
        <f t="shared" ref="AV32" si="184">AV31/AV14</f>
        <v>1.0526125730994154</v>
      </c>
      <c r="AW32" s="20">
        <f t="shared" ref="AW32" si="185">AW31/AW14</f>
        <v>1.364207944615385</v>
      </c>
      <c r="AX32" s="20">
        <f t="shared" ref="AX32" si="186">AX31/AX14</f>
        <v>3.0725143311017651</v>
      </c>
      <c r="AY32" s="20">
        <f t="shared" ref="AY32" si="187">AY31/AY14</f>
        <v>2.1690687369024979</v>
      </c>
      <c r="AZ32" s="14"/>
      <c r="BA32" s="20">
        <f t="shared" ref="BA32" si="188">BA31/BA14</f>
        <v>9.109375</v>
      </c>
      <c r="BB32" s="20">
        <f t="shared" ref="BB32" si="189">BB31/BB14</f>
        <v>-6.814814814814814</v>
      </c>
      <c r="BC32" s="20">
        <f t="shared" ref="BC32" si="190">BC31/BC14</f>
        <v>-3.3166666666666669</v>
      </c>
      <c r="BD32" s="20">
        <f t="shared" ref="BD32" si="191">BD31/BD14</f>
        <v>7.628571428571429</v>
      </c>
      <c r="BE32" s="14"/>
      <c r="BF32" s="20">
        <f t="shared" ref="BF32" si="192">BF31/BF14</f>
        <v>0.17719298245614037</v>
      </c>
      <c r="BG32" s="20">
        <f t="shared" ref="BG32" si="193">BG31/BG14</f>
        <v>-0.15185185185185185</v>
      </c>
      <c r="BH32" s="20">
        <f t="shared" ref="BH32" si="194">BH31/BH14</f>
        <v>-9.6666666666666651E-2</v>
      </c>
      <c r="BI32" s="20">
        <f t="shared" ref="BI32" si="195">BI31/BI14</f>
        <v>1.711111111111111</v>
      </c>
      <c r="BJ32" s="20">
        <f>BJ31/BJ14</f>
        <v>2.9225806451612901</v>
      </c>
      <c r="BK32" s="20">
        <f t="shared" ref="BK32" si="196">BK31/BK14</f>
        <v>13.818181818181818</v>
      </c>
      <c r="BL32" s="20">
        <f t="shared" ref="BL32" si="197">BL31/BL14</f>
        <v>2.0057803468208095</v>
      </c>
      <c r="BM32" s="20">
        <f t="shared" ref="BM32" si="198">BM31/BM14</f>
        <v>2.5538461538461537</v>
      </c>
      <c r="BN32" s="20">
        <f t="shared" ref="BN32" si="199">BN31/BN14</f>
        <v>2.2088607594936707</v>
      </c>
      <c r="BO32" s="14"/>
      <c r="BP32" s="20">
        <f t="shared" ref="BP32" si="200">BP31/BP14</f>
        <v>1.3225152129817446</v>
      </c>
      <c r="BQ32" s="20">
        <f t="shared" ref="BQ32" si="201">BQ31/BQ14</f>
        <v>3.6200000000000006</v>
      </c>
      <c r="BR32" s="20">
        <f t="shared" ref="BR32" si="202">BR31/BR14</f>
        <v>2.0137931034482759</v>
      </c>
      <c r="BS32" s="20">
        <f t="shared" ref="BS32" si="203">BS31/BS14</f>
        <v>1.0894736842105266</v>
      </c>
      <c r="BT32" s="14"/>
      <c r="BU32" s="20">
        <f t="shared" ref="BU32" si="204">BU31/BU14</f>
        <v>2.8596491228070176</v>
      </c>
      <c r="BV32" s="20">
        <f t="shared" ref="BV32" si="205">BV31/BV14</f>
        <v>3.4949494949494948</v>
      </c>
      <c r="BW32" s="20">
        <f t="shared" ref="BW32" si="206">BW31/BW14</f>
        <v>166</v>
      </c>
      <c r="BX32" s="20">
        <f t="shared" ref="BX32" si="207">BX31/BX14</f>
        <v>2.202247191011236</v>
      </c>
      <c r="BY32" s="20">
        <f>BY31/BY14</f>
        <v>0.68817204301075274</v>
      </c>
      <c r="BZ32" s="20">
        <f t="shared" ref="BZ32:CC32" si="208">BZ31/BZ14</f>
        <v>0.87431693989071035</v>
      </c>
      <c r="CA32" s="20">
        <f t="shared" si="208"/>
        <v>0.55521472392638038</v>
      </c>
      <c r="CB32" s="20">
        <f t="shared" si="208"/>
        <v>1.8013245033112582</v>
      </c>
      <c r="CC32" s="20">
        <f t="shared" si="208"/>
        <v>1.2804232804232805</v>
      </c>
      <c r="CD32" s="14">
        <f>Painel!CD32</f>
        <v>2.1770833333333335</v>
      </c>
      <c r="CE32" s="20">
        <f t="shared" ref="CE32" si="209">CE31/CE14</f>
        <v>2.268041237113402</v>
      </c>
      <c r="CF32" s="20">
        <f t="shared" ref="CF32" si="210">CF31/CF14</f>
        <v>1.6495327102803738</v>
      </c>
      <c r="CG32" s="20">
        <v>0</v>
      </c>
      <c r="CH32" s="20">
        <f t="shared" ref="CH32" si="211">CH31/CH14</f>
        <v>1.6568627450980393</v>
      </c>
      <c r="CI32" s="20"/>
      <c r="CJ32" s="20">
        <f t="shared" ref="CJ32" si="212">CJ31/CJ14</f>
        <v>2.2675438596491229</v>
      </c>
      <c r="CK32" s="20">
        <f t="shared" ref="CK32" si="213">CK31/CK14</f>
        <v>19.16</v>
      </c>
      <c r="CL32" s="20">
        <f t="shared" ref="CL32" si="214">CL31/CL14</f>
        <v>0.83371824480369505</v>
      </c>
      <c r="CM32" s="20">
        <f t="shared" ref="CM32" si="215">CM31/CM14</f>
        <v>1.0990712074303406</v>
      </c>
      <c r="CN32" s="14"/>
      <c r="CO32" s="20">
        <f t="shared" ref="CO32" si="216">CO31/CO14</f>
        <v>26.125000000000004</v>
      </c>
      <c r="CP32" s="20">
        <f t="shared" ref="CP32" si="217">CP31/CP14</f>
        <v>8.1071428571428577</v>
      </c>
      <c r="CQ32" s="20">
        <f t="shared" ref="CQ32" si="218">CQ31/CQ14</f>
        <v>11.6056338028169</v>
      </c>
      <c r="CR32" s="20">
        <f t="shared" ref="CR32" si="219">CR31/CR14</f>
        <v>4.6806722689075633</v>
      </c>
    </row>
    <row r="33" spans="1:96" s="18" customFormat="1" x14ac:dyDescent="0.3">
      <c r="A33" s="18" t="s">
        <v>110</v>
      </c>
      <c r="C33" s="18">
        <f t="shared" ref="C33:F33" si="220">C31/C11</f>
        <v>0.67361111111111116</v>
      </c>
      <c r="D33" s="18">
        <f t="shared" si="220"/>
        <v>0.88787878787878793</v>
      </c>
      <c r="E33" s="18">
        <f t="shared" si="220"/>
        <v>1.4456521739130435</v>
      </c>
      <c r="F33" s="18">
        <f t="shared" si="220"/>
        <v>2.0548387096774192</v>
      </c>
      <c r="H33" s="18">
        <f t="shared" ref="H33:K33" si="221">H31/H11</f>
        <v>3.0181818181818181</v>
      </c>
      <c r="I33" s="18">
        <f t="shared" si="221"/>
        <v>1.7847082494969817</v>
      </c>
      <c r="J33" s="18">
        <f t="shared" si="221"/>
        <v>5.9847328244274811</v>
      </c>
      <c r="K33" s="18">
        <f t="shared" si="221"/>
        <v>2.0141342756183747</v>
      </c>
      <c r="M33" s="18">
        <f t="shared" ref="M33:P33" si="222">M31/M11</f>
        <v>0.92836676217765035</v>
      </c>
      <c r="N33" s="18">
        <f t="shared" si="222"/>
        <v>1.1875</v>
      </c>
      <c r="O33" s="18">
        <f t="shared" si="222"/>
        <v>0.92401215805471115</v>
      </c>
      <c r="P33" s="18">
        <f t="shared" si="222"/>
        <v>0.7546174142480212</v>
      </c>
      <c r="R33" s="18">
        <f t="shared" ref="R33:U33" si="223">R31/R11</f>
        <v>2</v>
      </c>
      <c r="S33" s="18">
        <f t="shared" si="223"/>
        <v>0.66494845360824739</v>
      </c>
      <c r="T33" s="18">
        <f t="shared" si="223"/>
        <v>1.3083333333333333</v>
      </c>
      <c r="U33" s="18">
        <f t="shared" si="223"/>
        <v>0.8160919540229884</v>
      </c>
      <c r="AB33" s="18">
        <f t="shared" ref="AB33:AE33" si="224">AB31/AB11</f>
        <v>0.92331288343558293</v>
      </c>
      <c r="AC33" s="18">
        <f t="shared" si="224"/>
        <v>1.158482142857143</v>
      </c>
      <c r="AD33" s="18">
        <f t="shared" si="224"/>
        <v>1.0117647058823529</v>
      </c>
      <c r="AE33" s="18">
        <f t="shared" si="224"/>
        <v>0.8648648648648648</v>
      </c>
      <c r="AF33" s="18">
        <f t="shared" ref="AF33:AJ33" si="225">AF31/AF11</f>
        <v>0.11242973141786385</v>
      </c>
      <c r="AG33" s="18">
        <f t="shared" si="225"/>
        <v>1.2628205128205128</v>
      </c>
      <c r="AH33" s="18">
        <f t="shared" si="225"/>
        <v>2.9624999999999995</v>
      </c>
      <c r="AI33" s="18">
        <f t="shared" si="225"/>
        <v>2.63</v>
      </c>
      <c r="AJ33" s="18">
        <f t="shared" si="225"/>
        <v>5.6052631578947363</v>
      </c>
      <c r="AL33" s="18">
        <f t="shared" ref="AL33:AO33" si="226">AL31/AL11</f>
        <v>4.5273972602739718</v>
      </c>
      <c r="AM33" s="18">
        <f t="shared" si="226"/>
        <v>5.7333333333333325</v>
      </c>
      <c r="AN33" s="18">
        <f t="shared" si="226"/>
        <v>4.1610169491525424</v>
      </c>
      <c r="AO33" s="18">
        <f t="shared" si="226"/>
        <v>1.4839857651245552</v>
      </c>
      <c r="AU33" s="18">
        <f>AU31/AU11</f>
        <v>0.19376899696048633</v>
      </c>
      <c r="AV33" s="18">
        <f t="shared" ref="AV33:AY33" si="227">AV31/AV11</f>
        <v>0.3138489208633094</v>
      </c>
      <c r="AW33" s="18">
        <f t="shared" si="227"/>
        <v>0.39804878048780484</v>
      </c>
      <c r="AX33" s="18">
        <f t="shared" si="227"/>
        <v>0.68012422360248448</v>
      </c>
      <c r="AY33" s="18">
        <f t="shared" si="227"/>
        <v>0.46717724288840262</v>
      </c>
      <c r="BA33" s="18">
        <f t="shared" ref="BA33:BD33" si="228">BA31/BA11</f>
        <v>1.7720364741641335</v>
      </c>
      <c r="BB33" s="18">
        <f t="shared" si="228"/>
        <v>1.7579617834394905</v>
      </c>
      <c r="BC33" s="18">
        <f t="shared" si="228"/>
        <v>3.2622950819672134</v>
      </c>
      <c r="BD33" s="18">
        <f t="shared" si="228"/>
        <v>2.1360000000000001</v>
      </c>
      <c r="BF33" s="18">
        <f t="shared" ref="BF33:BI33" si="229">BF31/BF11</f>
        <v>4.1563786008230463E-2</v>
      </c>
      <c r="BG33" s="18">
        <f t="shared" si="229"/>
        <v>7.8343949044585998E-2</v>
      </c>
      <c r="BH33" s="18">
        <f t="shared" si="229"/>
        <v>0.22597402597402597</v>
      </c>
      <c r="BI33" s="18">
        <f t="shared" si="229"/>
        <v>0.14128440366972478</v>
      </c>
      <c r="BJ33" s="18">
        <f>BJ31/BJ11</f>
        <v>1.0683962264150944</v>
      </c>
      <c r="BK33" s="18">
        <f t="shared" ref="BK33:BN33" si="230">BK31/BK11</f>
        <v>1.5833333333333335</v>
      </c>
      <c r="BL33" s="18">
        <f t="shared" si="230"/>
        <v>0.74304068522483935</v>
      </c>
      <c r="BM33" s="18">
        <f t="shared" si="230"/>
        <v>0.8623376623376624</v>
      </c>
      <c r="BN33" s="18">
        <f t="shared" si="230"/>
        <v>0.85539215686274506</v>
      </c>
      <c r="BP33" s="18">
        <f t="shared" ref="BP33:BS33" si="231">BP31/BP11</f>
        <v>0.6721649484536083</v>
      </c>
      <c r="BQ33" s="18">
        <f t="shared" si="231"/>
        <v>1.5404255319148938</v>
      </c>
      <c r="BR33" s="18">
        <f t="shared" si="231"/>
        <v>0.67906976744186054</v>
      </c>
      <c r="BS33" s="18">
        <f t="shared" si="231"/>
        <v>0.45494505494505505</v>
      </c>
      <c r="BU33" s="18">
        <f t="shared" ref="BU33:BX33" si="232">BU31/BU11</f>
        <v>0.90055248618784522</v>
      </c>
      <c r="BV33" s="18">
        <f t="shared" si="232"/>
        <v>1.0058139534883721</v>
      </c>
      <c r="BW33" s="18">
        <f t="shared" si="232"/>
        <v>1.2769230769230768</v>
      </c>
      <c r="BX33" s="18">
        <f t="shared" si="232"/>
        <v>0.50256410256410255</v>
      </c>
      <c r="BY33" s="18">
        <f>BY31/BY11</f>
        <v>0.15256257449344457</v>
      </c>
      <c r="BZ33" s="18">
        <f t="shared" ref="BZ33:CC33" si="233">BZ31/BZ11</f>
        <v>0.20227560050568902</v>
      </c>
      <c r="CA33" s="18">
        <f t="shared" si="233"/>
        <v>0.19483315392895587</v>
      </c>
      <c r="CB33" s="18">
        <f t="shared" si="233"/>
        <v>0.51127819548872178</v>
      </c>
      <c r="CC33" s="18">
        <f t="shared" si="233"/>
        <v>0.40468227424749165</v>
      </c>
      <c r="CD33" s="14">
        <f>Painel!CD33</f>
        <v>0.98584905660377353</v>
      </c>
      <c r="CE33" s="18">
        <f t="shared" ref="CE33:CH33" si="234">CE31/CE11</f>
        <v>1.2865497076023391</v>
      </c>
      <c r="CF33" s="18">
        <f t="shared" si="234"/>
        <v>0.86732186732186722</v>
      </c>
      <c r="CG33" s="18">
        <f t="shared" si="234"/>
        <v>1.4874999999999998</v>
      </c>
      <c r="CH33" s="18">
        <f t="shared" si="234"/>
        <v>0.84499999999999997</v>
      </c>
      <c r="CJ33" s="18">
        <f t="shared" ref="CJ33:CM33" si="235">CJ31/CJ11</f>
        <v>0.87925170068027214</v>
      </c>
      <c r="CK33" s="18">
        <f t="shared" si="235"/>
        <v>1.1062355658198613</v>
      </c>
      <c r="CL33" s="18">
        <f t="shared" si="235"/>
        <v>1.1176470588235294</v>
      </c>
      <c r="CM33" s="18">
        <f t="shared" si="235"/>
        <v>1.0889570552147239</v>
      </c>
      <c r="CO33" s="18">
        <f t="shared" ref="CO33:CR33" si="236">CO31/CO11</f>
        <v>5.4051724137931041</v>
      </c>
      <c r="CP33" s="18">
        <f t="shared" si="236"/>
        <v>4.1024096385542173</v>
      </c>
      <c r="CQ33" s="18">
        <f t="shared" si="236"/>
        <v>5.0552147239263805</v>
      </c>
      <c r="CR33" s="18">
        <f t="shared" si="236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37">C12/C11</f>
        <v>0.41666666666666674</v>
      </c>
      <c r="D34" s="18">
        <f t="shared" si="237"/>
        <v>0.46464646464646464</v>
      </c>
      <c r="E34" s="18">
        <f t="shared" si="237"/>
        <v>0.52173913043478271</v>
      </c>
      <c r="F34" s="18">
        <f t="shared" si="237"/>
        <v>0.80645161290322576</v>
      </c>
      <c r="G34" s="18">
        <v>0</v>
      </c>
      <c r="H34" s="18">
        <f t="shared" ref="H34:K34" si="238">H12/H11</f>
        <v>0.64935064935064923</v>
      </c>
      <c r="I34" s="18">
        <f t="shared" si="238"/>
        <v>0.52917505030181078</v>
      </c>
      <c r="J34" s="18">
        <f t="shared" si="238"/>
        <v>1.5267175572519085</v>
      </c>
      <c r="K34" s="18">
        <f t="shared" si="238"/>
        <v>0.5512367491166078</v>
      </c>
      <c r="L34" s="18">
        <v>0</v>
      </c>
      <c r="M34" s="18">
        <f t="shared" ref="M34:P34" si="239">M12/M11</f>
        <v>0.51002865329512892</v>
      </c>
      <c r="N34" s="18">
        <f t="shared" si="239"/>
        <v>0.56640625</v>
      </c>
      <c r="O34" s="18">
        <f t="shared" si="239"/>
        <v>0.27659574468085102</v>
      </c>
      <c r="P34" s="18">
        <f t="shared" si="239"/>
        <v>0.36411609498680741</v>
      </c>
      <c r="Q34" s="18">
        <v>0</v>
      </c>
      <c r="R34" s="18">
        <f t="shared" ref="R34:U34" si="240">R12/R11</f>
        <v>0.72</v>
      </c>
      <c r="S34" s="18">
        <f t="shared" si="240"/>
        <v>0.54639175257731964</v>
      </c>
      <c r="T34" s="18">
        <f t="shared" si="240"/>
        <v>0.7583333333333333</v>
      </c>
      <c r="U34" s="18">
        <f t="shared" si="240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1">AB12/AB11</f>
        <v>0.42024539877300615</v>
      </c>
      <c r="AC34" s="18">
        <f t="shared" si="241"/>
        <v>0.4642857142857143</v>
      </c>
      <c r="AD34" s="18">
        <f t="shared" si="241"/>
        <v>0.44235294117647062</v>
      </c>
      <c r="AE34" s="18">
        <f t="shared" si="241"/>
        <v>0.60540540540540544</v>
      </c>
      <c r="AF34" s="18">
        <v>0</v>
      </c>
      <c r="AG34" s="18">
        <f t="shared" ref="AG34:AJ34" si="242">AG12/AG11</f>
        <v>0.46794871794871795</v>
      </c>
      <c r="AH34" s="18">
        <f t="shared" si="242"/>
        <v>0.61249999999999993</v>
      </c>
      <c r="AI34" s="18">
        <f t="shared" si="242"/>
        <v>0.49</v>
      </c>
      <c r="AJ34" s="18">
        <f t="shared" si="242"/>
        <v>0.97368421052631582</v>
      </c>
      <c r="AK34" s="18">
        <v>0</v>
      </c>
      <c r="AL34" s="18">
        <f t="shared" ref="AL34:AO34" si="243">AL12/AL11</f>
        <v>0.3904109589041096</v>
      </c>
      <c r="AM34" s="18">
        <f t="shared" si="243"/>
        <v>0.5</v>
      </c>
      <c r="AN34" s="18">
        <f t="shared" si="243"/>
        <v>0.83050847457627119</v>
      </c>
      <c r="AO34" s="18">
        <f t="shared" si="243"/>
        <v>0.7508896797153024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f>AU12/AU11</f>
        <v>0.3518237082066869</v>
      </c>
      <c r="AV34" s="18">
        <f t="shared" ref="AV34:AY34" si="244">AV12/AV11</f>
        <v>0.39478417266187049</v>
      </c>
      <c r="AW34" s="18">
        <f t="shared" si="244"/>
        <v>0.34536585365853656</v>
      </c>
      <c r="AX34" s="18">
        <f t="shared" si="244"/>
        <v>0.51552795031055898</v>
      </c>
      <c r="AY34" s="18">
        <f t="shared" si="244"/>
        <v>0.35667396061269147</v>
      </c>
      <c r="AZ34" s="18">
        <v>0</v>
      </c>
      <c r="BA34" s="18">
        <f t="shared" ref="BA34:BD34" si="245">BA12/BA11</f>
        <v>0.39513677811550146</v>
      </c>
      <c r="BB34" s="18">
        <f t="shared" si="245"/>
        <v>0.37579617834394907</v>
      </c>
      <c r="BC34" s="18">
        <f t="shared" si="245"/>
        <v>0.4043715846994535</v>
      </c>
      <c r="BD34" s="18">
        <f t="shared" si="245"/>
        <v>0.24400000000000002</v>
      </c>
      <c r="BE34" s="18">
        <v>0</v>
      </c>
      <c r="BF34" s="18">
        <f t="shared" ref="BF34:BI34" si="246">BF12/BF11</f>
        <v>0.34979423868312759</v>
      </c>
      <c r="BG34" s="18">
        <f t="shared" si="246"/>
        <v>0.48407643312101911</v>
      </c>
      <c r="BH34" s="18">
        <f t="shared" si="246"/>
        <v>0.5714285714285714</v>
      </c>
      <c r="BI34" s="18">
        <f t="shared" si="246"/>
        <v>0.6330275229357798</v>
      </c>
      <c r="BJ34" s="18">
        <f>BJ12/BJ11</f>
        <v>0.54481132075471694</v>
      </c>
      <c r="BK34" s="18">
        <f t="shared" ref="BK34:BN34" si="247">BK12/BK11</f>
        <v>0.40277777777777779</v>
      </c>
      <c r="BL34" s="18">
        <f t="shared" si="247"/>
        <v>0.28907922912205569</v>
      </c>
      <c r="BM34" s="18">
        <f t="shared" si="247"/>
        <v>0.28571428571428575</v>
      </c>
      <c r="BN34" s="18">
        <f t="shared" si="247"/>
        <v>0.26715686274509803</v>
      </c>
      <c r="BO34" s="18">
        <v>0</v>
      </c>
      <c r="BP34" s="18">
        <f t="shared" ref="BP34:BS34" si="248">BP12/BP11</f>
        <v>0.34020618556701032</v>
      </c>
      <c r="BQ34" s="18">
        <f t="shared" si="248"/>
        <v>0.51063829787234039</v>
      </c>
      <c r="BR34" s="18">
        <f t="shared" si="248"/>
        <v>0.54651162790697683</v>
      </c>
      <c r="BS34" s="18">
        <f t="shared" si="248"/>
        <v>0.45054945054945056</v>
      </c>
      <c r="BT34" s="18">
        <v>0</v>
      </c>
      <c r="BU34" s="18">
        <f t="shared" ref="BU34:BX34" si="249">BU12/BU11</f>
        <v>0.54696132596685088</v>
      </c>
      <c r="BV34" s="18">
        <f t="shared" si="249"/>
        <v>0.52616279069767447</v>
      </c>
      <c r="BW34" s="18">
        <f t="shared" si="249"/>
        <v>0.70769230769230762</v>
      </c>
      <c r="BX34" s="18">
        <f t="shared" si="249"/>
        <v>0.48717948717948717</v>
      </c>
      <c r="BY34" s="18">
        <f>BY12/BY11</f>
        <v>0.48271752085816449</v>
      </c>
      <c r="BZ34" s="18">
        <f t="shared" ref="BZ34:CC34" si="250">BZ12/BZ11</f>
        <v>0.46144121365360302</v>
      </c>
      <c r="CA34" s="18">
        <f t="shared" si="250"/>
        <v>0.38213132400430572</v>
      </c>
      <c r="CB34" s="18">
        <f t="shared" si="250"/>
        <v>0.38721804511278196</v>
      </c>
      <c r="CC34" s="18">
        <f t="shared" si="250"/>
        <v>0.41638795986622068</v>
      </c>
      <c r="CD34" s="14">
        <f>Painel!CD34</f>
        <v>0.40448113207547171</v>
      </c>
      <c r="CE34" s="18">
        <f t="shared" ref="CE34:CH34" si="251">CE12/CE11</f>
        <v>0.39766081871345033</v>
      </c>
      <c r="CF34" s="18">
        <f t="shared" si="251"/>
        <v>0.32678132678132676</v>
      </c>
      <c r="CG34" s="18">
        <f t="shared" si="251"/>
        <v>0.5708333333333333</v>
      </c>
      <c r="CH34" s="18">
        <f t="shared" si="251"/>
        <v>0.41499999999999998</v>
      </c>
      <c r="CI34" s="18"/>
      <c r="CJ34" s="18">
        <f t="shared" ref="CJ34:CM34" si="252">CJ12/CJ11</f>
        <v>0.33673469387755101</v>
      </c>
      <c r="CK34" s="18">
        <f t="shared" si="252"/>
        <v>0.50577367205542723</v>
      </c>
      <c r="CL34" s="18">
        <f t="shared" si="252"/>
        <v>0.51702786377708976</v>
      </c>
      <c r="CM34" s="18">
        <f t="shared" si="252"/>
        <v>0.50613496932515334</v>
      </c>
      <c r="CN34" s="18">
        <v>0</v>
      </c>
      <c r="CO34" s="18">
        <f t="shared" ref="CO34:CR34" si="253">CO12/CO11</f>
        <v>0.57758620689655171</v>
      </c>
      <c r="CP34" s="18">
        <f t="shared" si="253"/>
        <v>0.391566265060241</v>
      </c>
      <c r="CQ34" s="18">
        <f t="shared" si="253"/>
        <v>0.47239263803680986</v>
      </c>
      <c r="CR34" s="18">
        <f t="shared" si="253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4">(C12+C15)/C11</f>
        <v>0.52777777777777779</v>
      </c>
      <c r="D35" s="18">
        <f t="shared" si="254"/>
        <v>0.46464646464646464</v>
      </c>
      <c r="E35" s="18">
        <f t="shared" si="254"/>
        <v>0.52826086956521745</v>
      </c>
      <c r="F35" s="18">
        <f t="shared" si="254"/>
        <v>0.83225806451612905</v>
      </c>
      <c r="G35" s="18">
        <v>0</v>
      </c>
      <c r="H35" s="18">
        <f t="shared" ref="H35:K35" si="255">(H12+H15)/H11</f>
        <v>1.0337662337662337</v>
      </c>
      <c r="I35" s="18">
        <f t="shared" si="255"/>
        <v>0.75452716297786715</v>
      </c>
      <c r="J35" s="18">
        <f t="shared" si="255"/>
        <v>3.4503816793893134</v>
      </c>
      <c r="K35" s="18">
        <f t="shared" si="255"/>
        <v>0.73498233215547704</v>
      </c>
      <c r="L35" s="18">
        <v>0</v>
      </c>
      <c r="M35" s="18">
        <f t="shared" ref="M35:P35" si="256">(M12+M15)/M11</f>
        <v>0.7822349570200573</v>
      </c>
      <c r="N35" s="18">
        <f t="shared" si="256"/>
        <v>0.77734375</v>
      </c>
      <c r="O35" s="18">
        <f t="shared" si="256"/>
        <v>0.39209726443768994</v>
      </c>
      <c r="P35" s="18">
        <f t="shared" si="256"/>
        <v>0.44327176781002636</v>
      </c>
      <c r="Q35" s="18">
        <v>0</v>
      </c>
      <c r="R35" s="18">
        <f t="shared" ref="R35:U35" si="257">(R12+R15)/R11</f>
        <v>0.72</v>
      </c>
      <c r="S35" s="18">
        <f t="shared" si="257"/>
        <v>0.54639175257731964</v>
      </c>
      <c r="T35" s="18">
        <f t="shared" si="257"/>
        <v>0.84166666666666656</v>
      </c>
      <c r="U35" s="18">
        <f t="shared" si="257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58">(AB12+AB15)/AB11</f>
        <v>0.48466257668711654</v>
      </c>
      <c r="AC35" s="18">
        <f t="shared" si="258"/>
        <v>0.4665178571428571</v>
      </c>
      <c r="AD35" s="18">
        <f t="shared" si="258"/>
        <v>0.59058823529411764</v>
      </c>
      <c r="AE35" s="18">
        <f t="shared" si="258"/>
        <v>0.6351351351351352</v>
      </c>
      <c r="AF35" s="18">
        <v>0</v>
      </c>
      <c r="AG35" s="18">
        <f t="shared" ref="AG35:AJ35" si="259">(AG12+AG15)/AG11</f>
        <v>0.51282051282051289</v>
      </c>
      <c r="AH35" s="18">
        <f t="shared" si="259"/>
        <v>0.64</v>
      </c>
      <c r="AI35" s="18">
        <f t="shared" si="259"/>
        <v>0.505</v>
      </c>
      <c r="AJ35" s="18">
        <f t="shared" si="259"/>
        <v>0.99736842105263157</v>
      </c>
      <c r="AK35" s="18">
        <v>0</v>
      </c>
      <c r="AL35" s="18">
        <f t="shared" ref="AL35:AO35" si="260">(AL12+AL15)/AL11</f>
        <v>0.3904109589041096</v>
      </c>
      <c r="AM35" s="18">
        <f t="shared" si="260"/>
        <v>0.5083333333333333</v>
      </c>
      <c r="AN35" s="18">
        <f t="shared" si="260"/>
        <v>0.98305084745762705</v>
      </c>
      <c r="AO35" s="18">
        <f t="shared" si="260"/>
        <v>0.95017793594306033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f>(AU12+AU15)/AU11</f>
        <v>0.55927051671732519</v>
      </c>
      <c r="AV35" s="18">
        <f t="shared" ref="AV35:AY35" si="261">(AV12+AV15)/AV11</f>
        <v>0.60251798561151082</v>
      </c>
      <c r="AW35" s="18">
        <f t="shared" si="261"/>
        <v>0.46243902439024392</v>
      </c>
      <c r="AX35" s="18">
        <f t="shared" si="261"/>
        <v>0.79192546583850942</v>
      </c>
      <c r="AY35" s="18">
        <f t="shared" si="261"/>
        <v>0.63019693654266962</v>
      </c>
      <c r="AZ35" s="18">
        <v>0</v>
      </c>
      <c r="BA35" s="18">
        <f t="shared" ref="BA35:BD35" si="262">(BA12+BA15)/BA11</f>
        <v>0.47720364741641336</v>
      </c>
      <c r="BB35" s="18">
        <f t="shared" si="262"/>
        <v>0.41719745222929944</v>
      </c>
      <c r="BC35" s="18">
        <f t="shared" si="262"/>
        <v>0.45027322404371578</v>
      </c>
      <c r="BD35" s="18">
        <f t="shared" si="262"/>
        <v>0.28800000000000003</v>
      </c>
      <c r="BE35" s="18">
        <v>0</v>
      </c>
      <c r="BF35" s="18">
        <f t="shared" ref="BF35:BI35" si="263">(BF12+BF15)/BF11</f>
        <v>0.53909465020576142</v>
      </c>
      <c r="BG35" s="18">
        <f t="shared" si="263"/>
        <v>0.59872611464968151</v>
      </c>
      <c r="BH35" s="18">
        <f t="shared" si="263"/>
        <v>0.66233766233766223</v>
      </c>
      <c r="BI35" s="18">
        <f t="shared" si="263"/>
        <v>0.68440366972477062</v>
      </c>
      <c r="BJ35" s="18">
        <f>(BJ12+BJ15)/BJ11</f>
        <v>0.60141509433962259</v>
      </c>
      <c r="BK35" s="18">
        <f t="shared" ref="BK35:BN35" si="264">(BK12+BK15)/BK11</f>
        <v>0.63194444444444442</v>
      </c>
      <c r="BL35" s="18">
        <f t="shared" si="264"/>
        <v>0.42398286937901497</v>
      </c>
      <c r="BM35" s="18">
        <f t="shared" si="264"/>
        <v>0.41038961038961042</v>
      </c>
      <c r="BN35" s="18">
        <f t="shared" si="264"/>
        <v>0.38725490196078427</v>
      </c>
      <c r="BO35" s="18">
        <v>0</v>
      </c>
      <c r="BP35" s="18">
        <f t="shared" ref="BP35:BS35" si="265">(BP12+BP15)/BP11</f>
        <v>0.3587628865979382</v>
      </c>
      <c r="BQ35" s="18">
        <f t="shared" si="265"/>
        <v>0.51063829787234039</v>
      </c>
      <c r="BR35" s="18">
        <f t="shared" si="265"/>
        <v>0.62093023255813962</v>
      </c>
      <c r="BS35" s="18">
        <f t="shared" si="265"/>
        <v>0.51098901098901106</v>
      </c>
      <c r="BT35" s="18">
        <v>0</v>
      </c>
      <c r="BU35" s="18">
        <f t="shared" ref="BU35:BX35" si="266">(BU12+BU15)/BU11</f>
        <v>0.79005524861878451</v>
      </c>
      <c r="BV35" s="18">
        <f t="shared" si="266"/>
        <v>0.6191860465116279</v>
      </c>
      <c r="BW35" s="18">
        <f t="shared" si="266"/>
        <v>0.92307692307692313</v>
      </c>
      <c r="BX35" s="18">
        <f t="shared" si="266"/>
        <v>0.62051282051282053</v>
      </c>
      <c r="BY35" s="18">
        <f>(BY12+BY15)/BY11</f>
        <v>0.66150178784266989</v>
      </c>
      <c r="BZ35" s="18">
        <f t="shared" ref="BZ35:CC35" si="267">(BZ12+BZ15)/BZ11</f>
        <v>0.59418457648546141</v>
      </c>
      <c r="CA35" s="18">
        <f t="shared" si="267"/>
        <v>0.46932185145317545</v>
      </c>
      <c r="CB35" s="18">
        <f t="shared" si="267"/>
        <v>0.61654135338345861</v>
      </c>
      <c r="CC35" s="18">
        <f t="shared" si="267"/>
        <v>0.59866220735785947</v>
      </c>
      <c r="CD35" s="14">
        <f>Painel!CD35</f>
        <v>0.63561320754716977</v>
      </c>
      <c r="CE35" s="18">
        <f t="shared" ref="CE35:CH35" si="268">(CE12+CE15)/CE11</f>
        <v>0.57894736842105265</v>
      </c>
      <c r="CF35" s="18">
        <f t="shared" si="268"/>
        <v>0.37100737100737102</v>
      </c>
      <c r="CG35" s="18">
        <f t="shared" si="268"/>
        <v>0.7416666666666667</v>
      </c>
      <c r="CH35" s="18">
        <f t="shared" si="268"/>
        <v>0.54749999999999999</v>
      </c>
      <c r="CI35" s="18"/>
      <c r="CJ35" s="18">
        <f t="shared" ref="CJ35:CM35" si="269">(CJ12+CJ15)/CJ11</f>
        <v>0.46598639455782315</v>
      </c>
      <c r="CK35" s="18">
        <f t="shared" si="269"/>
        <v>0.69976905311778281</v>
      </c>
      <c r="CL35" s="18">
        <f t="shared" si="269"/>
        <v>0.84210526315789469</v>
      </c>
      <c r="CM35" s="18">
        <f t="shared" si="269"/>
        <v>0.9478527607361964</v>
      </c>
      <c r="CN35" s="18">
        <v>0</v>
      </c>
      <c r="CO35" s="18">
        <f t="shared" ref="CO35:CR35" si="270">(CO12+CO15)/CO11</f>
        <v>0.80172413793103448</v>
      </c>
      <c r="CP35" s="18">
        <f t="shared" si="270"/>
        <v>0.40602409638554221</v>
      </c>
      <c r="CQ35" s="18">
        <f t="shared" si="270"/>
        <v>0.48159509202453993</v>
      </c>
      <c r="CR35" s="18">
        <f t="shared" si="270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  <c r="CD36" s="14"/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  <c r="CD37" s="14"/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1">BZ10/BZ37</f>
        <v>2.71875</v>
      </c>
      <c r="CA38" s="14">
        <f t="shared" si="271"/>
        <v>2.6226415094339623</v>
      </c>
      <c r="CB38" s="14">
        <f t="shared" si="271"/>
        <v>2.8653846153846154</v>
      </c>
      <c r="CC38" s="14">
        <f t="shared" si="271"/>
        <v>2.0377358490566038</v>
      </c>
      <c r="CD38" s="14"/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B5D-EA92-4165-B3F7-5826A0789D8F}">
  <dimension ref="A1:BU39"/>
  <sheetViews>
    <sheetView tabSelected="1" workbookViewId="0">
      <pane xSplit="1" ySplit="2" topLeftCell="S7" activePane="bottomRight" state="frozen"/>
      <selection pane="topRight" activeCell="B1" sqref="B1"/>
      <selection pane="bottomLeft" activeCell="A3" sqref="A3"/>
      <selection pane="bottomRight" activeCell="S20" sqref="S20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4" width="7.44140625" bestFit="1" customWidth="1"/>
    <col min="5" max="5" width="7.33203125" customWidth="1"/>
    <col min="6" max="6" width="6.6640625" bestFit="1" customWidth="1"/>
    <col min="7" max="7" width="6.5546875" bestFit="1" customWidth="1"/>
    <col min="8" max="8" width="8.5546875" bestFit="1" customWidth="1"/>
    <col min="9" max="9" width="6.33203125" customWidth="1"/>
    <col min="10" max="10" width="6.21875" customWidth="1"/>
    <col min="11" max="11" width="6.44140625" bestFit="1" customWidth="1"/>
    <col min="12" max="12" width="7.44140625" bestFit="1" customWidth="1"/>
    <col min="13" max="13" width="6.33203125" customWidth="1"/>
    <col min="14" max="14" width="8.77734375" bestFit="1" customWidth="1"/>
    <col min="15" max="16" width="7.33203125" bestFit="1" customWidth="1"/>
    <col min="17" max="17" width="10.33203125" bestFit="1" customWidth="1"/>
    <col min="18" max="19" width="7.33203125" bestFit="1" customWidth="1"/>
    <col min="20" max="20" width="7.44140625" customWidth="1"/>
    <col min="21" max="21" width="6" customWidth="1"/>
    <col min="22" max="22" width="7.33203125" bestFit="1" customWidth="1"/>
    <col min="23" max="23" width="7.88671875" bestFit="1" customWidth="1"/>
    <col min="24" max="24" width="7.33203125" bestFit="1" customWidth="1"/>
    <col min="25" max="25" width="6.109375" bestFit="1" customWidth="1"/>
    <col min="26" max="26" width="7.77734375" customWidth="1"/>
    <col min="27" max="27" width="7.5546875" customWidth="1"/>
    <col min="28" max="28" width="5.44140625" bestFit="1" customWidth="1"/>
    <col min="29" max="29" width="9" bestFit="1" customWidth="1"/>
    <col min="30" max="31" width="6.5546875" bestFit="1" customWidth="1"/>
    <col min="32" max="32" width="10.21875" bestFit="1" customWidth="1"/>
    <col min="33" max="33" width="7.109375" customWidth="1"/>
    <col min="34" max="34" width="6.6640625" customWidth="1"/>
    <col min="35" max="35" width="8.6640625" bestFit="1" customWidth="1"/>
    <col min="36" max="37" width="6.6640625" customWidth="1"/>
    <col min="38" max="38" width="7.109375" bestFit="1" customWidth="1"/>
    <col min="39" max="39" width="7.33203125" bestFit="1" customWidth="1"/>
    <col min="40" max="40" width="6.5546875" customWidth="1"/>
    <col min="41" max="41" width="5.6640625" bestFit="1" customWidth="1"/>
    <col min="42" max="42" width="5.5546875" bestFit="1" customWidth="1"/>
    <col min="43" max="43" width="7" customWidth="1"/>
    <col min="44" max="44" width="11.88671875" bestFit="1" customWidth="1"/>
    <col min="45" max="45" width="6.5546875" customWidth="1"/>
    <col min="46" max="46" width="7" customWidth="1"/>
    <col min="47" max="47" width="9" bestFit="1" customWidth="1"/>
    <col min="48" max="48" width="6.33203125" customWidth="1"/>
    <col min="49" max="49" width="6.5546875" customWidth="1"/>
    <col min="50" max="50" width="7.33203125" bestFit="1" customWidth="1"/>
    <col min="51" max="51" width="6.33203125" customWidth="1"/>
    <col min="52" max="52" width="6.77734375" customWidth="1"/>
    <col min="53" max="53" width="9.109375" bestFit="1" customWidth="1"/>
    <col min="54" max="54" width="6.77734375" customWidth="1"/>
    <col min="55" max="55" width="6.21875" bestFit="1" customWidth="1"/>
    <col min="56" max="56" width="13.77734375" bestFit="1" customWidth="1"/>
    <col min="57" max="57" width="7.33203125" bestFit="1" customWidth="1"/>
    <col min="58" max="58" width="6.77734375" customWidth="1"/>
    <col min="59" max="59" width="10.33203125" bestFit="1" customWidth="1"/>
    <col min="60" max="61" width="5.44140625" bestFit="1" customWidth="1"/>
    <col min="62" max="63" width="5" bestFit="1" customWidth="1"/>
    <col min="64" max="64" width="8.109375" bestFit="1" customWidth="1"/>
    <col min="65" max="68" width="5" bestFit="1" customWidth="1"/>
    <col min="69" max="69" width="9.21875" bestFit="1" customWidth="1"/>
    <col min="70" max="73" width="5" bestFit="1" customWidth="1"/>
  </cols>
  <sheetData>
    <row r="1" spans="1:73" x14ac:dyDescent="0.3">
      <c r="A1" s="1"/>
      <c r="B1" s="1" t="s">
        <v>35</v>
      </c>
      <c r="E1" s="1" t="s">
        <v>27</v>
      </c>
      <c r="F1" s="1"/>
      <c r="G1" s="1"/>
      <c r="H1" t="s">
        <v>79</v>
      </c>
      <c r="K1" s="1" t="s">
        <v>31</v>
      </c>
      <c r="L1" s="1"/>
      <c r="N1" s="1" t="s">
        <v>26</v>
      </c>
      <c r="O1" s="1"/>
      <c r="P1" s="1"/>
      <c r="Q1" s="1" t="s">
        <v>23</v>
      </c>
      <c r="R1" s="1"/>
      <c r="S1" s="1"/>
      <c r="T1" s="1" t="s">
        <v>34</v>
      </c>
      <c r="W1" s="1" t="s">
        <v>28</v>
      </c>
      <c r="X1" s="1"/>
      <c r="Y1" s="1"/>
      <c r="Z1" s="1" t="s">
        <v>37</v>
      </c>
      <c r="AA1" s="1"/>
      <c r="AC1" s="1" t="s">
        <v>18</v>
      </c>
      <c r="AD1" s="1"/>
      <c r="AE1" s="1"/>
      <c r="AF1" s="1" t="s">
        <v>25</v>
      </c>
      <c r="AG1" s="1"/>
      <c r="AH1" s="1"/>
      <c r="AI1" s="1" t="s">
        <v>32</v>
      </c>
      <c r="AL1" s="1" t="s">
        <v>29</v>
      </c>
      <c r="AM1" s="1"/>
      <c r="AN1" s="1"/>
      <c r="AO1" s="1" t="s">
        <v>36</v>
      </c>
      <c r="AP1" s="1"/>
      <c r="AR1" s="1" t="s">
        <v>30</v>
      </c>
      <c r="AS1" s="1"/>
      <c r="AT1" s="1"/>
      <c r="AU1" s="1" t="s">
        <v>15</v>
      </c>
      <c r="AV1" s="1"/>
      <c r="AW1" s="1"/>
      <c r="AX1" s="1" t="s">
        <v>33</v>
      </c>
      <c r="BA1" s="1" t="s">
        <v>22</v>
      </c>
      <c r="BB1" s="1"/>
      <c r="BC1" s="1"/>
      <c r="BD1" s="1" t="s">
        <v>24</v>
      </c>
      <c r="BG1" s="1"/>
    </row>
    <row r="2" spans="1:73" x14ac:dyDescent="0.3">
      <c r="A2" s="1" t="s">
        <v>21</v>
      </c>
      <c r="B2" s="6">
        <v>2023</v>
      </c>
      <c r="C2" s="6">
        <v>2022</v>
      </c>
      <c r="D2" s="6">
        <v>2019</v>
      </c>
      <c r="E2" s="6">
        <v>2023</v>
      </c>
      <c r="F2" s="6">
        <v>2022</v>
      </c>
      <c r="G2" s="6">
        <v>2019</v>
      </c>
      <c r="H2" s="6">
        <v>2023</v>
      </c>
      <c r="I2" s="6">
        <v>2022</v>
      </c>
      <c r="J2" s="6">
        <v>2019</v>
      </c>
      <c r="K2" s="6">
        <v>2023</v>
      </c>
      <c r="L2" s="6">
        <v>2022</v>
      </c>
      <c r="M2" s="6">
        <v>2019</v>
      </c>
      <c r="N2" s="6">
        <v>2023</v>
      </c>
      <c r="O2" s="6">
        <v>2022</v>
      </c>
      <c r="P2" s="6">
        <v>2019</v>
      </c>
      <c r="Q2" s="6">
        <v>2023</v>
      </c>
      <c r="R2" s="6">
        <v>2022</v>
      </c>
      <c r="S2" s="6">
        <v>2019</v>
      </c>
      <c r="T2" s="6">
        <v>2023</v>
      </c>
      <c r="U2" s="6">
        <v>2022</v>
      </c>
      <c r="V2" s="6">
        <v>2019</v>
      </c>
      <c r="W2" s="6">
        <v>2023</v>
      </c>
      <c r="X2" s="6">
        <v>2022</v>
      </c>
      <c r="Y2" s="6">
        <v>2019</v>
      </c>
      <c r="Z2" s="6">
        <v>2023</v>
      </c>
      <c r="AA2" s="6">
        <v>2022</v>
      </c>
      <c r="AB2" s="6">
        <v>2019</v>
      </c>
      <c r="AC2" s="6">
        <v>2023</v>
      </c>
      <c r="AD2" s="6">
        <v>2022</v>
      </c>
      <c r="AE2" s="6">
        <v>2019</v>
      </c>
      <c r="AF2" s="6">
        <v>2023</v>
      </c>
      <c r="AG2" s="6">
        <v>2022</v>
      </c>
      <c r="AH2" s="6">
        <v>2019</v>
      </c>
      <c r="AI2" s="6">
        <v>2023</v>
      </c>
      <c r="AJ2" s="6">
        <v>2022</v>
      </c>
      <c r="AK2" s="6">
        <v>2019</v>
      </c>
      <c r="AL2" s="6">
        <v>2023</v>
      </c>
      <c r="AM2" s="6">
        <v>2022</v>
      </c>
      <c r="AN2" s="6">
        <v>2019</v>
      </c>
      <c r="AO2" s="6">
        <v>2023</v>
      </c>
      <c r="AP2" s="6">
        <v>2022</v>
      </c>
      <c r="AQ2" s="6">
        <v>2019</v>
      </c>
      <c r="AR2" s="6">
        <v>2023</v>
      </c>
      <c r="AS2" s="6">
        <v>2022</v>
      </c>
      <c r="AT2" s="6">
        <v>2019</v>
      </c>
      <c r="AU2" s="6">
        <v>2023</v>
      </c>
      <c r="AV2" s="6">
        <v>2022</v>
      </c>
      <c r="AW2" s="6">
        <v>2019</v>
      </c>
      <c r="AX2" s="6">
        <v>2023</v>
      </c>
      <c r="AY2" s="6">
        <v>2022</v>
      </c>
      <c r="AZ2" s="6">
        <v>2019</v>
      </c>
      <c r="BA2" s="6">
        <v>2023</v>
      </c>
      <c r="BB2" s="6">
        <v>2022</v>
      </c>
      <c r="BC2" s="6">
        <v>2019</v>
      </c>
      <c r="BD2" s="6">
        <v>2023</v>
      </c>
      <c r="BE2" s="6">
        <v>2022</v>
      </c>
      <c r="BF2" s="6">
        <v>2019</v>
      </c>
    </row>
    <row r="3" spans="1:73" x14ac:dyDescent="0.3">
      <c r="A3" s="8" t="s">
        <v>95</v>
      </c>
      <c r="B3" s="14"/>
      <c r="C3" s="14">
        <f>Painel!C3*IPC!G$3</f>
        <v>105.21300000000001</v>
      </c>
      <c r="D3" s="14">
        <f>Painel!F3*IPC!J$3</f>
        <v>13.101784745243378</v>
      </c>
      <c r="E3" s="14"/>
      <c r="F3" s="14">
        <f>Painel!H3*IPC!G$3</f>
        <v>159.88250000000002</v>
      </c>
      <c r="G3" s="14">
        <f>Painel!K3*IPC!J$3</f>
        <v>152.43422636292777</v>
      </c>
      <c r="H3" s="14"/>
      <c r="I3" s="14">
        <f>Painel!M3*IPC!G$3</f>
        <v>133.0635</v>
      </c>
      <c r="J3" s="14">
        <f>Painel!P3*IPC!J$3</f>
        <v>201.56591915759043</v>
      </c>
      <c r="K3" s="14"/>
      <c r="L3" s="14">
        <f>Painel!R3*IPC!G$3</f>
        <v>22.693000000000001</v>
      </c>
      <c r="M3" s="14">
        <f>Painel!U3*IPC!J$3</f>
        <v>102.04274657353017</v>
      </c>
      <c r="N3" s="14"/>
      <c r="O3" s="14"/>
      <c r="P3" s="14"/>
      <c r="Q3" s="14"/>
      <c r="R3" s="14">
        <f>Painel!AB3*IPC!G$3</f>
        <v>328.01700000000005</v>
      </c>
      <c r="S3" s="14">
        <f>Painel!AE3*IPC!J$3</f>
        <v>238.0997420049037</v>
      </c>
      <c r="T3" s="14">
        <f>Painel!AF3</f>
        <v>51</v>
      </c>
      <c r="U3" s="14">
        <f>Painel!AG3*IPC!G$3</f>
        <v>50.543500000000002</v>
      </c>
      <c r="V3" s="14">
        <f>Painel!AJ3*IPC!J$3</f>
        <v>18.896804921024103</v>
      </c>
      <c r="W3" s="14"/>
      <c r="X3" s="14">
        <f>Painel!AL3*IPC!G$3</f>
        <v>29.913500000000003</v>
      </c>
      <c r="Y3" s="14">
        <f>Painel!AO3*IPC!J$3</f>
        <v>128.49827346296391</v>
      </c>
      <c r="Z3" s="14"/>
      <c r="AA3" s="14"/>
      <c r="AB3" s="14"/>
      <c r="AC3" s="1">
        <v>425</v>
      </c>
      <c r="AD3">
        <v>518</v>
      </c>
      <c r="AE3">
        <v>420</v>
      </c>
      <c r="AF3" s="14"/>
      <c r="AG3" s="14">
        <f>Painel!BA3*IPC!G$3</f>
        <v>155.75650000000002</v>
      </c>
      <c r="AH3" s="14">
        <f>Painel!BD3*IPC!J$3</f>
        <v>136.05699543137354</v>
      </c>
      <c r="AI3" s="14"/>
      <c r="AJ3" s="14">
        <f>Painel!BF3*IPC!G$3</f>
        <v>121.71700000000001</v>
      </c>
      <c r="AK3" s="14">
        <f>Painel!BI3*IPC!J$3</f>
        <v>57.95020175780725</v>
      </c>
      <c r="AL3" s="14">
        <f>Painel!BJ3</f>
        <v>193</v>
      </c>
      <c r="AM3" s="14">
        <f>Painel!BK3*IPC!G$3</f>
        <v>72.205000000000013</v>
      </c>
      <c r="AN3" s="14">
        <f>Painel!BN3*IPC!J$3</f>
        <v>207.86485413126513</v>
      </c>
      <c r="AO3" s="14"/>
      <c r="AP3" s="14">
        <f>Painel!BP3*IPC!G$3</f>
        <v>76.537300000000016</v>
      </c>
      <c r="AQ3" s="14">
        <f>Painel!BS3*IPC!J$3</f>
        <v>86.925302636710882</v>
      </c>
      <c r="AR3" s="14"/>
      <c r="AS3" s="14">
        <f>Painel!BU3*IPC!G$3</f>
        <v>159.88250000000002</v>
      </c>
      <c r="AT3" s="14">
        <f>Painel!BX3*IPC!J$3</f>
        <v>195.26698418391575</v>
      </c>
      <c r="AU3" s="14">
        <f>Resultado!Q2+Resultado!Q6</f>
        <v>263</v>
      </c>
      <c r="AV3" s="14">
        <f>Painel!BZ3*IPC!G$3</f>
        <v>271.28450000000004</v>
      </c>
      <c r="AW3" s="14">
        <f>Painel!CC3*IPC!J$3</f>
        <v>274.63356485221698</v>
      </c>
      <c r="AX3" s="14"/>
      <c r="AY3" s="14">
        <f>Painel!CE3*IPC!G$3</f>
        <v>108.3075</v>
      </c>
      <c r="AZ3" s="14">
        <f>Painel!CH3*IPC!J$3</f>
        <v>138.57656942084344</v>
      </c>
      <c r="BA3" s="14"/>
      <c r="BB3" s="14">
        <f>Painel!CJ3*IPC!G$3</f>
        <v>211.45750000000001</v>
      </c>
      <c r="BC3" s="14">
        <f>Painel!CM3*IPC!J$3</f>
        <v>172.59081827868681</v>
      </c>
      <c r="BD3" s="14"/>
      <c r="BE3" s="14">
        <f>Painel!CO3*IPC!G$3</f>
        <v>33.008000000000003</v>
      </c>
      <c r="BF3" s="14">
        <f>Painel!CR3*IPC!J$3</f>
        <v>149.9146523734579</v>
      </c>
      <c r="BH3" s="14"/>
      <c r="BI3" s="14"/>
      <c r="BJ3" s="14"/>
      <c r="BK3" s="14"/>
      <c r="BM3" s="14"/>
      <c r="BN3" s="14"/>
      <c r="BO3" s="14"/>
      <c r="BP3" s="14"/>
      <c r="BR3" s="14"/>
      <c r="BS3" s="14"/>
      <c r="BT3" s="14"/>
      <c r="BU3" s="14"/>
    </row>
    <row r="4" spans="1:73" x14ac:dyDescent="0.3">
      <c r="A4" s="8" t="s">
        <v>0</v>
      </c>
      <c r="B4" s="14"/>
      <c r="C4" s="14">
        <f>Painel!C4*IPC!G$3</f>
        <v>18.154400000000003</v>
      </c>
      <c r="D4" s="14">
        <f>Painel!F4*IPC!J$3</f>
        <v>7.18078586998916</v>
      </c>
      <c r="E4" s="14"/>
      <c r="F4" s="14">
        <f>Painel!H4*IPC!G$3</f>
        <v>71.173500000000004</v>
      </c>
      <c r="G4" s="14">
        <f>Painel!K4*IPC!J$3</f>
        <v>27.715313884168687</v>
      </c>
      <c r="H4" s="14"/>
      <c r="I4" s="14">
        <f>Painel!M4*IPC!G$3</f>
        <v>72.205000000000013</v>
      </c>
      <c r="J4" s="14">
        <f>Painel!P4*IPC!J$3</f>
        <v>21.416378910493986</v>
      </c>
      <c r="K4" s="14"/>
      <c r="L4" s="14">
        <f>Painel!R4*IPC!G$3</f>
        <v>18.567</v>
      </c>
      <c r="M4" s="14">
        <f>Painel!U4*IPC!J$3</f>
        <v>20.156591915759044</v>
      </c>
      <c r="N4" s="14"/>
      <c r="O4" s="14"/>
      <c r="P4" s="14"/>
      <c r="Q4" s="14"/>
      <c r="R4" s="14">
        <f>Painel!AB4*IPC!G$3</f>
        <v>96.961000000000013</v>
      </c>
      <c r="S4" s="14">
        <f>Painel!AE4*IPC!J$3</f>
        <v>91.964450615650634</v>
      </c>
      <c r="T4" s="14">
        <f>Painel!AF4</f>
        <v>14.2</v>
      </c>
      <c r="U4" s="14">
        <f>Painel!AG4*IPC!G$3</f>
        <v>16.504000000000001</v>
      </c>
      <c r="V4" s="14">
        <f>Painel!AJ4*IPC!J$3</f>
        <v>5.0391479789397611</v>
      </c>
      <c r="W4" s="14"/>
      <c r="X4" s="14">
        <f>Painel!AL4*IPC!G$3</f>
        <v>29.913500000000003</v>
      </c>
      <c r="Y4" s="14">
        <f>Painel!AO4*IPC!J$3</f>
        <v>32.754461863108446</v>
      </c>
      <c r="Z4" s="14"/>
      <c r="AA4" s="14"/>
      <c r="AB4" s="14"/>
      <c r="AC4" s="14">
        <f>Resultado!K3</f>
        <v>183</v>
      </c>
      <c r="AD4" s="14">
        <f>Painel!AV4*IPC!G$3</f>
        <v>154.72500000000002</v>
      </c>
      <c r="AE4" s="14">
        <f>Painel!AY4*IPC!J$3</f>
        <v>99.523172584060276</v>
      </c>
      <c r="AF4" s="14"/>
      <c r="AG4" s="14">
        <f>Painel!BA4*IPC!G$3</f>
        <v>34.039500000000004</v>
      </c>
      <c r="AH4" s="14">
        <f>Painel!BD4*IPC!J$3</f>
        <v>11.338082952614462</v>
      </c>
      <c r="AI4" s="14"/>
      <c r="AJ4" s="14">
        <f>Painel!BF4*IPC!G$3</f>
        <v>22.693000000000001</v>
      </c>
      <c r="AK4" s="14">
        <f>Painel!BI4*IPC!J$3</f>
        <v>9.4484024605120513</v>
      </c>
      <c r="AL4" s="14">
        <f>Painel!BJ4</f>
        <v>74</v>
      </c>
      <c r="AM4" s="14">
        <f>Painel!BK4*IPC!G$3</f>
        <v>45.386000000000003</v>
      </c>
      <c r="AN4" s="14">
        <f>Painel!BN4*IPC!J$3</f>
        <v>46.612118805192793</v>
      </c>
      <c r="AO4" s="14"/>
      <c r="AP4" s="14">
        <f>Painel!BP4*IPC!G$3</f>
        <v>13.409500000000001</v>
      </c>
      <c r="AQ4" s="14">
        <f>Painel!BS4*IPC!J$3</f>
        <v>7.5587219684096416</v>
      </c>
      <c r="AR4" s="14"/>
      <c r="AS4" s="14">
        <f>Painel!BU4*IPC!G$3</f>
        <v>48.480500000000006</v>
      </c>
      <c r="AT4" s="14">
        <f>Painel!BX4*IPC!J$3</f>
        <v>59.209988752542195</v>
      </c>
      <c r="AU4" s="14">
        <f>Resultado!Q3</f>
        <v>121</v>
      </c>
      <c r="AV4" s="14">
        <f>Painel!BZ4*IPC!G$3</f>
        <v>140.28400000000002</v>
      </c>
      <c r="AW4" s="14">
        <f>Painel!CC4*IPC!J$3</f>
        <v>142.35593040504824</v>
      </c>
      <c r="AX4" s="14"/>
      <c r="AY4" s="14">
        <f>Painel!CE4*IPC!G$3</f>
        <v>69.110500000000002</v>
      </c>
      <c r="AZ4" s="14">
        <f>Painel!CH4*IPC!J$3</f>
        <v>28.975100878903625</v>
      </c>
      <c r="BA4" s="14"/>
      <c r="BB4" s="14">
        <f>Painel!CJ4*IPC!G$3</f>
        <v>55.701000000000008</v>
      </c>
      <c r="BC4" s="14">
        <f>Painel!CM4*IPC!J$3</f>
        <v>26.455526889433745</v>
      </c>
      <c r="BD4" s="14"/>
      <c r="BE4" s="14">
        <f>Painel!CO4*IPC!G$3</f>
        <v>24.343400000000003</v>
      </c>
      <c r="BF4" s="14">
        <f>Painel!CR4*IPC!J$3</f>
        <v>20.156591915759044</v>
      </c>
      <c r="BH4" s="14"/>
      <c r="BI4" s="14"/>
      <c r="BJ4" s="14"/>
      <c r="BK4" s="14"/>
      <c r="BM4" s="14"/>
      <c r="BN4" s="14"/>
      <c r="BO4" s="14"/>
      <c r="BP4" s="14"/>
      <c r="BR4" s="14"/>
      <c r="BS4" s="14"/>
      <c r="BT4" s="14"/>
      <c r="BU4" s="14"/>
    </row>
    <row r="5" spans="1:73" x14ac:dyDescent="0.3">
      <c r="A5" s="9" t="s">
        <v>87</v>
      </c>
      <c r="B5" s="14"/>
      <c r="C5" s="14">
        <f>Painel!C5*IPC!G$3</f>
        <v>3.6102500000000002</v>
      </c>
      <c r="D5" s="14">
        <f>Painel!F5*IPC!J$3</f>
        <v>0.37793609842048209</v>
      </c>
      <c r="E5" s="14"/>
      <c r="F5" s="14">
        <f>Painel!H5*IPC!G$3</f>
        <v>40.228500000000004</v>
      </c>
      <c r="G5" s="14">
        <f>Painel!K5*IPC!J$3</f>
        <v>21.416378910493986</v>
      </c>
      <c r="H5" s="14"/>
      <c r="I5" s="14">
        <f>Painel!M5*IPC!G$3</f>
        <v>24.756</v>
      </c>
      <c r="J5" s="14">
        <f>Painel!P5*IPC!J$3</f>
        <v>30.234887873638566</v>
      </c>
      <c r="K5" s="14"/>
      <c r="L5" s="14">
        <f>Painel!R5*IPC!G$3</f>
        <v>18.567</v>
      </c>
      <c r="M5" s="14">
        <f>Painel!U5*IPC!J$3</f>
        <v>21.416378910493986</v>
      </c>
      <c r="N5" s="14"/>
      <c r="O5" s="14"/>
      <c r="P5" s="14"/>
      <c r="Q5" s="14"/>
      <c r="R5" s="14">
        <f>Painel!AB5*IPC!G$3</f>
        <v>101.087</v>
      </c>
      <c r="S5" s="14">
        <f>Painel!AE5*IPC!J$3</f>
        <v>78.106793673566301</v>
      </c>
      <c r="T5" s="14">
        <f>Painel!AF5</f>
        <v>11.7</v>
      </c>
      <c r="U5" s="14">
        <f>Painel!AG5*IPC!G$3</f>
        <v>27.850500000000004</v>
      </c>
      <c r="V5" s="14">
        <f>Painel!AJ5*IPC!J$3</f>
        <v>6.5508923726216892</v>
      </c>
      <c r="W5" s="14"/>
      <c r="X5" s="14">
        <f>Painel!AL5*IPC!G$3</f>
        <v>33.008000000000003</v>
      </c>
      <c r="Y5" s="14">
        <f>Painel!AO5*IPC!J$3</f>
        <v>22.676165905228924</v>
      </c>
      <c r="Z5" s="14"/>
      <c r="AA5" s="14"/>
      <c r="AB5" s="14"/>
      <c r="AC5" s="14">
        <f>Resultado!K4</f>
        <v>169</v>
      </c>
      <c r="AD5" s="14">
        <f>Painel!AV5*IPC!G$3</f>
        <v>131.00050000000002</v>
      </c>
      <c r="AE5" s="14">
        <f>Painel!AY5*IPC!J$3</f>
        <v>143.61571739978319</v>
      </c>
      <c r="AF5" s="14"/>
      <c r="AG5" s="14">
        <f>Painel!BA5*IPC!G$3</f>
        <v>24.756</v>
      </c>
      <c r="AH5" s="14">
        <f>Painel!BD5*IPC!J$3</f>
        <v>20.156591915759044</v>
      </c>
      <c r="AI5" s="14"/>
      <c r="AJ5" s="14">
        <f>Painel!BF5*IPC!G$3</f>
        <v>19.598500000000001</v>
      </c>
      <c r="AK5" s="14">
        <f>Painel!BI5*IPC!J$3</f>
        <v>15.117443936819283</v>
      </c>
      <c r="AL5" s="14">
        <f>Painel!BJ5</f>
        <v>2.4</v>
      </c>
      <c r="AM5" s="14">
        <f>Painel!BK5*IPC!G$3</f>
        <v>0</v>
      </c>
      <c r="AN5" s="14">
        <f>Painel!BN5*IPC!J$3</f>
        <v>0.25195739894698804</v>
      </c>
      <c r="AO5" s="14"/>
      <c r="AP5" s="14">
        <f>Painel!BP5*IPC!G$3</f>
        <v>5.7763999999999998</v>
      </c>
      <c r="AQ5" s="14">
        <f>Painel!BS5*IPC!J$3</f>
        <v>10.834168154720485</v>
      </c>
      <c r="AR5" s="14"/>
      <c r="AS5" s="14">
        <f>Painel!BU5*IPC!G$3</f>
        <v>15.472500000000002</v>
      </c>
      <c r="AT5" s="14">
        <f>Painel!BX5*IPC!J$3</f>
        <v>25.195739894698804</v>
      </c>
      <c r="AU5" s="14">
        <f>Resultado!Q4</f>
        <v>63</v>
      </c>
      <c r="AV5" s="14">
        <f>Painel!BZ5*IPC!G$3</f>
        <v>57.764000000000003</v>
      </c>
      <c r="AW5" s="14">
        <f>Painel!CC5*IPC!J$3</f>
        <v>56.690414763072312</v>
      </c>
      <c r="AX5" s="14"/>
      <c r="AY5" s="14">
        <f>Painel!CE5*IPC!G$3</f>
        <v>45.386000000000003</v>
      </c>
      <c r="AZ5" s="14">
        <f>Painel!CH5*IPC!J$3</f>
        <v>30.234887873638566</v>
      </c>
      <c r="BA5" s="14"/>
      <c r="BB5" s="14">
        <f>Painel!CJ5*IPC!G$3</f>
        <v>66.016000000000005</v>
      </c>
      <c r="BC5" s="14">
        <f>Painel!CM5*IPC!J$3</f>
        <v>49.131692794662669</v>
      </c>
      <c r="BD5" s="14"/>
      <c r="BE5" s="14">
        <f>Painel!CO5*IPC!G$3</f>
        <v>11.44965</v>
      </c>
      <c r="BF5" s="14">
        <f>Painel!CR5*IPC!J$3</f>
        <v>20.156591915759044</v>
      </c>
      <c r="BH5" s="14"/>
      <c r="BI5" s="14"/>
      <c r="BJ5" s="14"/>
      <c r="BK5" s="14"/>
      <c r="BM5" s="14"/>
      <c r="BN5" s="14"/>
      <c r="BO5" s="14"/>
      <c r="BP5" s="14"/>
      <c r="BR5" s="14"/>
      <c r="BS5" s="14"/>
      <c r="BT5" s="14"/>
      <c r="BU5" s="14"/>
    </row>
    <row r="6" spans="1:73" x14ac:dyDescent="0.3">
      <c r="A6" s="9" t="s">
        <v>3</v>
      </c>
      <c r="B6" s="14"/>
      <c r="C6" s="14"/>
      <c r="D6" s="14"/>
      <c r="E6" s="14"/>
      <c r="F6" s="14">
        <f>Painel!H6*IPC!G$3</f>
        <v>29.913500000000003</v>
      </c>
      <c r="G6" s="14">
        <f>Painel!K6*IPC!J$3</f>
        <v>12.597869947349402</v>
      </c>
      <c r="H6" s="14"/>
      <c r="I6" s="14">
        <f>Painel!M6*IPC!G$3</f>
        <v>39.197000000000003</v>
      </c>
      <c r="J6" s="14">
        <f>Painel!P6*IPC!J$3</f>
        <v>34.014248857843384</v>
      </c>
      <c r="K6" s="14"/>
      <c r="L6" s="14"/>
      <c r="M6" s="14"/>
      <c r="N6" s="14"/>
      <c r="O6" s="14"/>
      <c r="P6" s="14"/>
      <c r="Q6" s="14"/>
      <c r="R6" s="14">
        <f>Painel!AB6*IPC!G$3</f>
        <v>33.008000000000003</v>
      </c>
      <c r="S6" s="14">
        <f>Painel!AE6*IPC!J$3</f>
        <v>26.455526889433745</v>
      </c>
      <c r="T6" s="14">
        <f>Painel!AF6</f>
        <v>26.9</v>
      </c>
      <c r="U6" s="14">
        <f>Painel!AG6*IPC!G$3</f>
        <v>22.693000000000001</v>
      </c>
      <c r="V6" s="14">
        <f>Painel!AJ6*IPC!J$3</f>
        <v>12.597869947349402</v>
      </c>
      <c r="W6" s="14"/>
      <c r="X6" s="14">
        <f>Painel!AL6*IPC!G$3</f>
        <v>30.945000000000004</v>
      </c>
      <c r="Y6" s="14">
        <f>Painel!AO6*IPC!J$3</f>
        <v>17.637017926289165</v>
      </c>
      <c r="Z6" s="14"/>
      <c r="AA6" s="14"/>
      <c r="AB6" s="14"/>
      <c r="AC6" s="14">
        <f>Resultado!K5</f>
        <v>90</v>
      </c>
      <c r="AD6" s="14">
        <f>Painel!AV6*IPC!G$3</f>
        <v>74.268000000000001</v>
      </c>
      <c r="AE6" s="14">
        <f>Painel!AY6*IPC!J$3</f>
        <v>78.106793673566301</v>
      </c>
      <c r="AF6" s="14"/>
      <c r="AG6" s="14">
        <f>Painel!BA6*IPC!G$3</f>
        <v>22.693000000000001</v>
      </c>
      <c r="AH6" s="14">
        <f>Painel!BD6*IPC!J$3</f>
        <v>6.2989349736747009</v>
      </c>
      <c r="AI6" s="14"/>
      <c r="AJ6" s="14">
        <f>Painel!BF6*IPC!G$3</f>
        <v>36.102500000000006</v>
      </c>
      <c r="AK6" s="14">
        <f>Painel!BI6*IPC!J$3</f>
        <v>23.935952899963866</v>
      </c>
      <c r="AL6" s="14">
        <f>Painel!BJ6</f>
        <v>86</v>
      </c>
      <c r="AM6" s="14">
        <f>Painel!BK6*IPC!G$3</f>
        <v>54.669500000000006</v>
      </c>
      <c r="AN6" s="14">
        <f>Painel!BN6*IPC!J$3</f>
        <v>104.56232056300004</v>
      </c>
      <c r="AO6" s="14"/>
      <c r="AP6" s="14">
        <f>Painel!BP6*IPC!G$3</f>
        <v>1.3409500000000001</v>
      </c>
      <c r="AQ6" s="14">
        <f>Painel!BS6*IPC!J$3</f>
        <v>1.1338082952614463</v>
      </c>
      <c r="AR6" s="14"/>
      <c r="AS6" s="14"/>
      <c r="AT6" s="14"/>
      <c r="AU6" s="14">
        <f>Resultado!Q5</f>
        <v>59</v>
      </c>
      <c r="AV6" s="14">
        <f>Painel!BZ6*IPC!G$3</f>
        <v>51.575000000000003</v>
      </c>
      <c r="AW6" s="14">
        <f>Painel!CC6*IPC!J$3</f>
        <v>57.95020175780725</v>
      </c>
      <c r="AX6" s="14"/>
      <c r="AY6" s="14"/>
      <c r="AZ6" s="14"/>
      <c r="BA6" s="14"/>
      <c r="BB6" s="14">
        <f>Painel!CJ6*IPC!G$3</f>
        <v>18.567</v>
      </c>
      <c r="BC6" s="14">
        <f>Painel!CM6*IPC!J$3</f>
        <v>12.597869947349402</v>
      </c>
      <c r="BD6" s="14"/>
      <c r="BE6" s="14">
        <f>Painel!CO6*IPC!G$3</f>
        <v>27.850500000000004</v>
      </c>
      <c r="BF6" s="14">
        <f>Painel!CR6*IPC!J$3</f>
        <v>45.352331810457848</v>
      </c>
      <c r="BH6" s="14"/>
      <c r="BI6" s="14"/>
      <c r="BJ6" s="14"/>
      <c r="BK6" s="14"/>
      <c r="BM6" s="14"/>
      <c r="BN6" s="14"/>
      <c r="BO6" s="14"/>
      <c r="BP6" s="14"/>
      <c r="BR6" s="14"/>
      <c r="BS6" s="14"/>
      <c r="BT6" s="14"/>
      <c r="BU6" s="14"/>
    </row>
    <row r="7" spans="1:73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>
        <f>Resultado!K6</f>
        <v>137</v>
      </c>
      <c r="AD7" s="14">
        <f>Painel!AV7*IPC!G$3</f>
        <v>257.875</v>
      </c>
      <c r="AE7" s="14">
        <f>Painel!AY7*IPC!J$3</f>
        <v>220.46272407861454</v>
      </c>
      <c r="AF7" s="14"/>
      <c r="AG7" s="14"/>
      <c r="AH7" s="14"/>
      <c r="AI7" s="14"/>
      <c r="AJ7" s="14">
        <f>Painel!BF7*IPC!G$3</f>
        <v>37.134</v>
      </c>
      <c r="AK7" s="14">
        <f>Painel!BI7*IPC!J$3</f>
        <v>15.117443936819283</v>
      </c>
      <c r="AL7" s="14">
        <f>Painel!BJ7</f>
        <v>0</v>
      </c>
      <c r="AM7" s="14">
        <f>Painel!BK7*IPC!G$3</f>
        <v>0</v>
      </c>
      <c r="AN7" s="14">
        <f>Painel!BN7*IPC!J$3</f>
        <v>0</v>
      </c>
      <c r="AO7" s="14"/>
      <c r="AP7" s="14">
        <f>Painel!BP7*IPC!G$3</f>
        <v>7.426800000000001</v>
      </c>
      <c r="AQ7" s="14">
        <f>Painel!BS7*IPC!J$3</f>
        <v>2.5195739894698805</v>
      </c>
      <c r="AR7" s="14"/>
      <c r="AS7" s="14">
        <f>Painel!BU7*IPC!G$3</f>
        <v>14.441000000000001</v>
      </c>
      <c r="AT7" s="14">
        <f>Painel!BX7*IPC!J$3</f>
        <v>90.704663620915696</v>
      </c>
      <c r="AU7" s="14">
        <f>Resultado!Q6</f>
        <v>80</v>
      </c>
      <c r="AV7" s="14">
        <f>Painel!BZ7*IPC!G$3</f>
        <v>97.992500000000007</v>
      </c>
      <c r="AW7" s="14">
        <f>Painel!CC7*IPC!J$3</f>
        <v>25.195739894698804</v>
      </c>
      <c r="AX7" s="14"/>
      <c r="AY7" s="14"/>
      <c r="AZ7" s="14"/>
      <c r="BA7" s="14"/>
      <c r="BB7" s="14">
        <f>Painel!CJ7*IPC!G$3</f>
        <v>29.913500000000003</v>
      </c>
      <c r="BC7" s="14">
        <f>Painel!CM7*IPC!J$3</f>
        <v>34.014248857843384</v>
      </c>
      <c r="BD7" s="14"/>
      <c r="BE7" s="14">
        <f>Painel!CO7*IPC!G$3</f>
        <v>2.0630000000000002</v>
      </c>
      <c r="BF7" s="14">
        <f>Painel!CR7*IPC!J$3</f>
        <v>27.715313884168687</v>
      </c>
      <c r="BH7" s="14"/>
      <c r="BI7" s="14"/>
      <c r="BJ7" s="14"/>
      <c r="BK7" s="14"/>
      <c r="BM7" s="14"/>
      <c r="BN7" s="14"/>
      <c r="BO7" s="14"/>
      <c r="BP7" s="14"/>
      <c r="BR7" s="14"/>
      <c r="BS7" s="14"/>
      <c r="BT7" s="14"/>
      <c r="BU7" s="14"/>
    </row>
    <row r="8" spans="1:73" x14ac:dyDescent="0.3">
      <c r="A8" s="9" t="s">
        <v>5</v>
      </c>
      <c r="B8" s="14"/>
      <c r="C8" s="14"/>
      <c r="D8" s="14"/>
      <c r="E8" s="14"/>
      <c r="F8" s="14"/>
      <c r="G8" s="14"/>
      <c r="H8" s="14"/>
      <c r="I8" s="14">
        <f>Painel!M8*IPC!G$3</f>
        <v>80.457000000000008</v>
      </c>
      <c r="J8" s="14">
        <f>Painel!P8*IPC!J$3</f>
        <v>34.014248857843384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f>Painel!AL8*IPC!G$3</f>
        <v>14.441000000000001</v>
      </c>
      <c r="Y8" s="14"/>
      <c r="Z8" s="14"/>
      <c r="AA8" s="14"/>
      <c r="AB8" s="14"/>
      <c r="AC8" s="14">
        <f>Resultado!K7</f>
        <v>59</v>
      </c>
      <c r="AD8" s="14">
        <f>Painel!AV8*IPC!G$3</f>
        <v>90.772000000000006</v>
      </c>
      <c r="AE8" s="14">
        <f>Painel!AY8*IPC!J$3</f>
        <v>17.637017926289165</v>
      </c>
      <c r="AF8" s="14"/>
      <c r="AG8" s="14"/>
      <c r="AH8" s="14"/>
      <c r="AI8" s="14"/>
      <c r="AJ8" s="14"/>
      <c r="AK8" s="14"/>
      <c r="AL8" s="14">
        <f>Painel!BJ8</f>
        <v>31</v>
      </c>
      <c r="AM8" s="14">
        <f>Painel!BK8*IPC!G$3</f>
        <v>11.346500000000001</v>
      </c>
      <c r="AN8" s="14">
        <f>Painel!BN8*IPC!J$3</f>
        <v>23.935952899963866</v>
      </c>
      <c r="AO8" s="14"/>
      <c r="AP8" s="14"/>
      <c r="AQ8" s="14"/>
      <c r="AR8" s="14"/>
      <c r="AS8" s="14">
        <f>Painel!BU8*IPC!G$3</f>
        <v>13.409500000000001</v>
      </c>
      <c r="AT8" s="14">
        <f>Painel!BX8*IPC!J$3</f>
        <v>3.7793609842048208</v>
      </c>
      <c r="AU8" s="14">
        <f>Resultado!Q7</f>
        <v>36</v>
      </c>
      <c r="AV8" s="14">
        <f>Painel!BZ8*IPC!G$3</f>
        <v>22.693000000000001</v>
      </c>
      <c r="AW8" s="14">
        <f>Painel!CC8*IPC!J$3</f>
        <v>18.896804921024103</v>
      </c>
      <c r="AX8" s="14"/>
      <c r="AY8" s="14"/>
      <c r="AZ8" s="14"/>
      <c r="BA8" s="14"/>
      <c r="BB8" s="14">
        <f>Painel!CJ8*IPC!G$3</f>
        <v>16.504000000000001</v>
      </c>
      <c r="BC8" s="14">
        <f>Painel!CM8*IPC!J$3</f>
        <v>16.377230931554223</v>
      </c>
      <c r="BD8" s="14"/>
      <c r="BE8" s="14">
        <f>Painel!CO8*IPC!G$3</f>
        <v>4.1260000000000003</v>
      </c>
      <c r="BF8" s="14">
        <f>Painel!CR8*IPC!J$3</f>
        <v>3.7793609842048208</v>
      </c>
      <c r="BH8" s="14"/>
      <c r="BI8" s="14"/>
      <c r="BJ8" s="14"/>
      <c r="BK8" s="14"/>
      <c r="BM8" s="14"/>
      <c r="BN8" s="14"/>
      <c r="BO8" s="14"/>
      <c r="BP8" s="14"/>
      <c r="BR8" s="14"/>
      <c r="BS8" s="14"/>
      <c r="BT8" s="14"/>
      <c r="BU8" s="14"/>
    </row>
    <row r="9" spans="1:73" x14ac:dyDescent="0.3">
      <c r="A9" s="9" t="s">
        <v>75</v>
      </c>
      <c r="B9" s="14"/>
      <c r="C9" s="14">
        <f>SUM(C3:C8)-C7</f>
        <v>126.97765</v>
      </c>
      <c r="D9" s="14">
        <f t="shared" ref="D9" si="0">SUM(D3:D8)-D7</f>
        <v>20.660506713653017</v>
      </c>
      <c r="E9" s="14"/>
      <c r="F9" s="14">
        <f>SUM(F3:F8)-F7</f>
        <v>301.19800000000004</v>
      </c>
      <c r="G9" s="14">
        <f t="shared" ref="G9" si="1">SUM(G3:G8)-G7</f>
        <v>214.16378910493987</v>
      </c>
      <c r="H9" s="14"/>
      <c r="I9" s="14">
        <f>SUM(I3:I8)-I7</f>
        <v>349.67849999999999</v>
      </c>
      <c r="J9" s="14">
        <f t="shared" ref="J9" si="2">SUM(J3:J8)-J7</f>
        <v>321.24568365740976</v>
      </c>
      <c r="K9" s="14"/>
      <c r="L9" s="14">
        <f>SUM(L3:L8)-L7</f>
        <v>59.827000000000005</v>
      </c>
      <c r="M9" s="14">
        <f t="shared" ref="M9" si="3">SUM(M3:M8)-M7</f>
        <v>143.61571739978319</v>
      </c>
      <c r="N9" s="14"/>
      <c r="O9" s="14"/>
      <c r="P9" s="14"/>
      <c r="Q9" s="14"/>
      <c r="R9" s="14">
        <f>SUM(R3:R8)-R7</f>
        <v>559.07300000000009</v>
      </c>
      <c r="S9" s="14">
        <f t="shared" ref="S9" si="4">SUM(S3:S8)-S7</f>
        <v>434.62651318355438</v>
      </c>
      <c r="T9" s="14">
        <f>Painel!AF9</f>
        <v>103.80000000000001</v>
      </c>
      <c r="U9" s="14">
        <f>SUM(U3:U8)-U7</f>
        <v>117.59099999999999</v>
      </c>
      <c r="V9" s="14">
        <f t="shared" ref="V9" si="5">SUM(V3:V8)-V7</f>
        <v>43.084715219934957</v>
      </c>
      <c r="W9" s="14"/>
      <c r="X9" s="14">
        <f>SUM(X3:X8)-X7</f>
        <v>138.221</v>
      </c>
      <c r="Y9" s="14">
        <f t="shared" ref="Y9" si="6">SUM(Y3:Y8)-Y7</f>
        <v>201.56591915759043</v>
      </c>
      <c r="Z9" s="14"/>
      <c r="AA9" s="14"/>
      <c r="AB9" s="14"/>
      <c r="AC9" s="14">
        <f>SUM(AC3:AC8)-AC7</f>
        <v>926</v>
      </c>
      <c r="AD9" s="14">
        <f t="shared" ref="AD9" si="7">SUM(AD3:AD8)-AD7</f>
        <v>968.76549999999997</v>
      </c>
      <c r="AE9" s="14">
        <f t="shared" ref="AE9" si="8">SUM(AE3:AE8)-AE7</f>
        <v>758.88270158369892</v>
      </c>
      <c r="AF9" s="14"/>
      <c r="AG9" s="14">
        <f>SUM(AG3:AG8)-AG7</f>
        <v>237.24500000000003</v>
      </c>
      <c r="AH9" s="14">
        <f t="shared" ref="AH9" si="9">SUM(AH3:AH8)-AH7</f>
        <v>173.85060527342173</v>
      </c>
      <c r="AI9" s="14"/>
      <c r="AJ9" s="14">
        <f>SUM(AJ3:AJ8)-AJ7</f>
        <v>200.11100000000005</v>
      </c>
      <c r="AK9" s="14">
        <f t="shared" ref="AK9" si="10">SUM(AK3:AK8)-AK7</f>
        <v>106.45200105510246</v>
      </c>
      <c r="AL9" s="14">
        <f>Painel!BJ9</f>
        <v>386.4</v>
      </c>
      <c r="AM9" s="14">
        <f>SUM(AM3:AM8)-AM7</f>
        <v>183.607</v>
      </c>
      <c r="AN9" s="14">
        <f t="shared" ref="AN9" si="11">SUM(AN3:AN8)-AN7</f>
        <v>383.22720379836881</v>
      </c>
      <c r="AO9" s="14"/>
      <c r="AP9" s="14">
        <f>SUM(AP3:AP8)-AP7</f>
        <v>97.064150000000026</v>
      </c>
      <c r="AQ9" s="14">
        <f t="shared" ref="AQ9" si="12">SUM(AQ3:AQ8)-AQ7</f>
        <v>106.45200105510246</v>
      </c>
      <c r="AR9" s="14"/>
      <c r="AS9" s="14">
        <f>SUM(AS3:AS8)-AS7</f>
        <v>237.24500000000003</v>
      </c>
      <c r="AT9" s="14">
        <f t="shared" ref="AT9:AZ9" si="13">SUM(AT3:AT8)-AT7</f>
        <v>283.45207381536153</v>
      </c>
      <c r="AU9" s="14">
        <f t="shared" si="13"/>
        <v>542</v>
      </c>
      <c r="AV9" s="14">
        <f t="shared" si="13"/>
        <v>543.60050000000001</v>
      </c>
      <c r="AW9" s="14">
        <f t="shared" si="13"/>
        <v>550.52691669916885</v>
      </c>
      <c r="AX9" s="14"/>
      <c r="AY9" s="14">
        <f t="shared" si="13"/>
        <v>222.804</v>
      </c>
      <c r="AZ9" s="14">
        <f t="shared" si="13"/>
        <v>197.78655817338563</v>
      </c>
      <c r="BA9" s="14"/>
      <c r="BB9" s="14">
        <f t="shared" ref="BB9:BC9" si="14">SUM(BB3:BB8)-BB7</f>
        <v>368.24550000000005</v>
      </c>
      <c r="BC9" s="14">
        <f t="shared" si="14"/>
        <v>277.15313884168683</v>
      </c>
      <c r="BD9" s="14"/>
      <c r="BE9" s="14">
        <f t="shared" ref="BE9:BF9" si="15">SUM(BE3:BE8)-BE7</f>
        <v>100.77755000000002</v>
      </c>
      <c r="BF9" s="14">
        <f t="shared" si="15"/>
        <v>239.35952899963863</v>
      </c>
      <c r="BH9" s="14"/>
      <c r="BI9" s="14"/>
      <c r="BJ9" s="14"/>
      <c r="BK9" s="14"/>
      <c r="BM9" s="14"/>
      <c r="BN9" s="14"/>
      <c r="BO9" s="14"/>
      <c r="BP9" s="14"/>
      <c r="BR9" s="14"/>
      <c r="BS9" s="14"/>
      <c r="BT9" s="14"/>
      <c r="BU9" s="14"/>
    </row>
    <row r="10" spans="1:73" x14ac:dyDescent="0.3">
      <c r="A10" s="9" t="s">
        <v>2</v>
      </c>
      <c r="B10" s="14"/>
      <c r="C10" s="14">
        <f>Painel!C10*IPC!G$3</f>
        <v>10.315000000000001</v>
      </c>
      <c r="D10" s="14">
        <f>Painel!F10*IPC!J$3</f>
        <v>5.2911053778867494</v>
      </c>
      <c r="E10" s="14"/>
      <c r="F10" s="14">
        <f>Painel!H10*IPC!G$3</f>
        <v>90.772000000000006</v>
      </c>
      <c r="G10" s="14">
        <f>Painel!K10*IPC!J$3</f>
        <v>133.53742144190366</v>
      </c>
      <c r="H10" s="14"/>
      <c r="I10" s="14">
        <f>Painel!M10*IPC!G$3</f>
        <v>104.18150000000001</v>
      </c>
      <c r="J10" s="14">
        <f>Painel!P10*IPC!J$3</f>
        <v>167.55167029974706</v>
      </c>
      <c r="K10" s="14"/>
      <c r="L10" s="14">
        <f>Painel!R10*IPC!G$3</f>
        <v>21.6615</v>
      </c>
      <c r="M10" s="14">
        <f>Painel!U10*IPC!J$3</f>
        <v>56.690414763072312</v>
      </c>
      <c r="N10" s="14"/>
      <c r="O10" s="14"/>
      <c r="P10" s="14"/>
      <c r="Q10" s="14"/>
      <c r="R10" s="14">
        <f>Painel!AB10*IPC!G$3</f>
        <v>150.59900000000002</v>
      </c>
      <c r="S10" s="14">
        <f>Painel!AE10*IPC!J$3</f>
        <v>42.832757820987972</v>
      </c>
      <c r="T10" s="14">
        <f>Painel!AF10</f>
        <v>15.2</v>
      </c>
      <c r="U10" s="14">
        <f>Painel!AG10*IPC!G$3</f>
        <v>35.071000000000005</v>
      </c>
      <c r="V10" s="14">
        <f>Painel!AJ10*IPC!J$3</f>
        <v>3.6533822847313266</v>
      </c>
      <c r="W10" s="14"/>
      <c r="X10" s="14">
        <f>Painel!AL10*IPC!G$3</f>
        <v>16.504000000000001</v>
      </c>
      <c r="Y10" s="14">
        <f>Painel!AO10*IPC!J$3</f>
        <v>136.05699543137354</v>
      </c>
      <c r="Z10" s="14"/>
      <c r="AA10" s="14"/>
      <c r="AB10" s="14"/>
      <c r="AC10" s="14">
        <f>Resultado!K9</f>
        <v>303</v>
      </c>
      <c r="AD10" s="14">
        <f>Painel!AV10*IPC!G$3</f>
        <v>137.18950000000001</v>
      </c>
      <c r="AE10" s="14">
        <f>Painel!AY10*IPC!J$3</f>
        <v>377.9360984204821</v>
      </c>
      <c r="AF10" s="14"/>
      <c r="AG10" s="14">
        <f>Painel!BA10*IPC!G$3</f>
        <v>96.961000000000013</v>
      </c>
      <c r="AH10" s="14">
        <f>Painel!BD10*IPC!J$3</f>
        <v>132.27763444716874</v>
      </c>
      <c r="AI10" s="14"/>
      <c r="AJ10" s="14">
        <f>Painel!BF10*IPC!G$3</f>
        <v>20.630000000000003</v>
      </c>
      <c r="AK10" s="14">
        <f>Painel!BI10*IPC!J$3</f>
        <v>8.1886154657771115</v>
      </c>
      <c r="AL10" s="14">
        <f>Painel!BJ10</f>
        <v>50</v>
      </c>
      <c r="AM10" s="14">
        <f>Painel!BK10*IPC!G$3</f>
        <v>105.21300000000001</v>
      </c>
      <c r="AN10" s="14">
        <f>Painel!BN10*IPC!J$3</f>
        <v>136.05699543137354</v>
      </c>
      <c r="AO10" s="14"/>
      <c r="AP10" s="14">
        <f>Painel!BP10*IPC!G$3</f>
        <v>3.0945</v>
      </c>
      <c r="AQ10" s="14">
        <f>Painel!BS10*IPC!J$3</f>
        <v>1.3857656942084344</v>
      </c>
      <c r="AR10" s="14"/>
      <c r="AS10" s="14">
        <f>Painel!BU10*IPC!G$3</f>
        <v>178.4495</v>
      </c>
      <c r="AT10" s="14">
        <f>Painel!BX10*IPC!J$3</f>
        <v>171.33103128395189</v>
      </c>
      <c r="AU10" s="14">
        <f>Resultado!Q9</f>
        <v>187</v>
      </c>
      <c r="AV10" s="14">
        <f>Painel!BZ10*IPC!G$3</f>
        <v>179.48100000000002</v>
      </c>
      <c r="AW10" s="14">
        <f>Painel!CC10*IPC!J$3</f>
        <v>136.05699543137354</v>
      </c>
      <c r="AX10" s="14"/>
      <c r="AY10" s="14">
        <f>Painel!CE10*IPC!G$3</f>
        <v>151.63050000000001</v>
      </c>
      <c r="AZ10" s="14">
        <f>Painel!CH10*IPC!J$3</f>
        <v>272.11399086274707</v>
      </c>
      <c r="BA10" s="14"/>
      <c r="BB10" s="14">
        <f>Painel!CJ10*IPC!G$3</f>
        <v>236.21350000000001</v>
      </c>
      <c r="BC10" s="14">
        <f>Painel!CM10*IPC!J$3</f>
        <v>132.27763444716874</v>
      </c>
      <c r="BD10" s="14"/>
      <c r="BE10" s="14">
        <f>Painel!CO10*IPC!G$3</f>
        <v>27.334750000000003</v>
      </c>
      <c r="BF10" s="14">
        <f>Painel!CR10*IPC!J$3</f>
        <v>17.637017926289165</v>
      </c>
      <c r="BH10" s="14"/>
      <c r="BI10" s="14"/>
      <c r="BJ10" s="14"/>
      <c r="BK10" s="14"/>
      <c r="BM10" s="14"/>
      <c r="BN10" s="14"/>
      <c r="BO10" s="14"/>
      <c r="BP10" s="14"/>
      <c r="BR10" s="14"/>
      <c r="BS10" s="14"/>
      <c r="BT10" s="14"/>
      <c r="BU10" s="14"/>
    </row>
    <row r="11" spans="1:73" x14ac:dyDescent="0.3">
      <c r="A11" s="9" t="s">
        <v>72</v>
      </c>
      <c r="B11" s="14"/>
      <c r="C11" s="14">
        <f>Painel!C11*IPC!G$3</f>
        <v>148.536</v>
      </c>
      <c r="D11" s="14">
        <f>Painel!F11*IPC!J$3</f>
        <v>39.053396836783151</v>
      </c>
      <c r="E11" s="14"/>
      <c r="F11" s="14">
        <f>Painel!H11*IPC!G$3</f>
        <v>397.12750000000005</v>
      </c>
      <c r="G11" s="14">
        <f>Painel!K11*IPC!J$3</f>
        <v>356.51971950998808</v>
      </c>
      <c r="H11" s="14"/>
      <c r="I11" s="14">
        <f>Painel!M11*IPC!G$3</f>
        <v>359.99350000000004</v>
      </c>
      <c r="J11" s="14">
        <f>Painel!P11*IPC!J$3</f>
        <v>477.45927100454236</v>
      </c>
      <c r="K11" s="14"/>
      <c r="L11" s="14">
        <f>Painel!R11*IPC!G$3</f>
        <v>103.15</v>
      </c>
      <c r="M11" s="14">
        <f>Painel!U11*IPC!J$3</f>
        <v>219.20293708387962</v>
      </c>
      <c r="N11" s="14"/>
      <c r="O11" s="14"/>
      <c r="P11" s="14"/>
      <c r="Q11" s="14"/>
      <c r="R11" s="14">
        <f>Painel!AB11*IPC!G$3</f>
        <v>672.53800000000001</v>
      </c>
      <c r="S11" s="14">
        <f>Painel!AE11*IPC!J$3</f>
        <v>466.1211880519279</v>
      </c>
      <c r="T11" s="14">
        <f>Painel!AF11</f>
        <v>160.1</v>
      </c>
      <c r="U11" s="14">
        <f>Painel!AG11*IPC!G$3</f>
        <v>160.91400000000002</v>
      </c>
      <c r="V11" s="14">
        <f>Painel!AJ11*IPC!J$3</f>
        <v>47.871905799927731</v>
      </c>
      <c r="W11" s="14"/>
      <c r="X11" s="14">
        <f>Painel!AL11*IPC!G$3</f>
        <v>150.59900000000002</v>
      </c>
      <c r="Y11" s="14">
        <f>Painel!AO11*IPC!J$3</f>
        <v>354.00014552051823</v>
      </c>
      <c r="Z11" s="14"/>
      <c r="AA11" s="14"/>
      <c r="AB11" s="14"/>
      <c r="AC11" s="14">
        <f>Resultado!K11</f>
        <v>1316</v>
      </c>
      <c r="AD11" s="14">
        <f>Painel!AV11*IPC!G$3</f>
        <v>1147.028</v>
      </c>
      <c r="AE11" s="14">
        <f>Painel!AY11*IPC!J$3</f>
        <v>1151.4453131877353</v>
      </c>
      <c r="AF11" s="14"/>
      <c r="AG11" s="14">
        <f>Painel!BA11*IPC!G$3</f>
        <v>339.36350000000004</v>
      </c>
      <c r="AH11" s="14">
        <f>Painel!BD11*IPC!J$3</f>
        <v>314.94674868373505</v>
      </c>
      <c r="AI11" s="14"/>
      <c r="AJ11" s="14">
        <f>Painel!BF11*IPC!G$3</f>
        <v>250.65450000000001</v>
      </c>
      <c r="AK11" s="14">
        <f>Painel!BI11*IPC!J$3</f>
        <v>137.31678242610849</v>
      </c>
      <c r="AL11" s="14">
        <f>Painel!BJ11</f>
        <v>424</v>
      </c>
      <c r="AM11" s="14">
        <f>Painel!BK11*IPC!G$3</f>
        <v>297.072</v>
      </c>
      <c r="AN11" s="14">
        <f>Painel!BN11*IPC!J$3</f>
        <v>513.99309385185563</v>
      </c>
      <c r="AO11" s="14"/>
      <c r="AP11" s="14">
        <f>Painel!BP11*IPC!G$3</f>
        <v>100.05550000000001</v>
      </c>
      <c r="AQ11" s="14">
        <f>Painel!BS11*IPC!J$3</f>
        <v>114.64061652087956</v>
      </c>
      <c r="AR11" s="14"/>
      <c r="AS11" s="14">
        <f>Painel!BU11*IPC!G$3</f>
        <v>373.40300000000002</v>
      </c>
      <c r="AT11" s="14">
        <f>Painel!BX11*IPC!J$3</f>
        <v>491.31692794662672</v>
      </c>
      <c r="AU11" s="14">
        <f>Resultado!Q11</f>
        <v>839</v>
      </c>
      <c r="AV11" s="14">
        <f>Painel!BZ11*IPC!G$3</f>
        <v>815.91650000000004</v>
      </c>
      <c r="AW11" s="14">
        <f>Painel!CC11*IPC!J$3</f>
        <v>753.35262285149429</v>
      </c>
      <c r="AX11" s="14"/>
      <c r="AY11" s="14">
        <f>Painel!CE11*IPC!G$3</f>
        <v>352.77300000000002</v>
      </c>
      <c r="AZ11" s="14">
        <f>Painel!CH11*IPC!J$3</f>
        <v>503.91479789397613</v>
      </c>
      <c r="BA11" s="14"/>
      <c r="BB11" s="14">
        <f>Painel!CJ11*IPC!G$3</f>
        <v>606.52200000000005</v>
      </c>
      <c r="BC11" s="14">
        <f>Painel!CM11*IPC!J$3</f>
        <v>410.69056028359051</v>
      </c>
      <c r="BD11" s="14"/>
      <c r="BE11" s="14">
        <f>Painel!CO11*IPC!G$3</f>
        <v>119.65400000000001</v>
      </c>
      <c r="BF11" s="14">
        <f>Painel!CR11*IPC!J$3</f>
        <v>302.34887873638564</v>
      </c>
      <c r="BH11" s="14"/>
      <c r="BI11" s="14"/>
      <c r="BJ11" s="14"/>
      <c r="BK11" s="14"/>
      <c r="BM11" s="14"/>
      <c r="BN11" s="14"/>
      <c r="BO11" s="14"/>
      <c r="BP11" s="14"/>
      <c r="BR11" s="14"/>
      <c r="BS11" s="14"/>
      <c r="BT11" s="14"/>
      <c r="BU11" s="14"/>
    </row>
    <row r="12" spans="1:73" x14ac:dyDescent="0.3">
      <c r="A12" s="10" t="s">
        <v>65</v>
      </c>
      <c r="B12" s="14"/>
      <c r="C12" s="14">
        <f>Painel!C12*IPC!G$3</f>
        <v>61.890000000000008</v>
      </c>
      <c r="D12" s="14">
        <f>Painel!F12*IPC!J$3</f>
        <v>31.494674868373508</v>
      </c>
      <c r="E12" s="14"/>
      <c r="F12" s="14">
        <f>Painel!H12*IPC!G$3</f>
        <v>257.875</v>
      </c>
      <c r="G12" s="14">
        <f>Painel!K12*IPC!J$3</f>
        <v>196.52677117865068</v>
      </c>
      <c r="H12" s="14"/>
      <c r="I12" s="14">
        <f>Painel!M12*IPC!G$3</f>
        <v>183.60700000000003</v>
      </c>
      <c r="J12" s="14">
        <f>Painel!P12*IPC!J$3</f>
        <v>173.85060527342176</v>
      </c>
      <c r="K12" s="14"/>
      <c r="L12" s="14">
        <f>Painel!R12*IPC!G$3</f>
        <v>74.268000000000001</v>
      </c>
      <c r="M12" s="14">
        <f>Painel!U12*IPC!J$3</f>
        <v>117.16019051034945</v>
      </c>
      <c r="N12" s="14"/>
      <c r="O12" s="14"/>
      <c r="P12" s="14"/>
      <c r="Q12" s="14"/>
      <c r="R12" s="14">
        <f>Painel!AB12*IPC!G$3</f>
        <v>282.63100000000003</v>
      </c>
      <c r="S12" s="14">
        <f>Painel!AE12*IPC!J$3</f>
        <v>282.19228682062663</v>
      </c>
      <c r="T12" s="14">
        <f>Painel!AF12</f>
        <v>119.1</v>
      </c>
      <c r="U12" s="14">
        <f>Painel!AG12*IPC!G$3</f>
        <v>75.299500000000009</v>
      </c>
      <c r="V12" s="14">
        <f>Painel!AJ12*IPC!J$3</f>
        <v>46.612118805192793</v>
      </c>
      <c r="W12" s="14"/>
      <c r="X12" s="14">
        <f>Painel!AL12*IPC!G$3</f>
        <v>58.795500000000004</v>
      </c>
      <c r="Y12" s="14">
        <f>Painel!AO12*IPC!J$3</f>
        <v>265.81505588907237</v>
      </c>
      <c r="Z12" s="14"/>
      <c r="AA12" s="14"/>
      <c r="AB12" s="14"/>
      <c r="AC12" s="14">
        <f>Índices!K28</f>
        <v>463</v>
      </c>
      <c r="AD12" s="14">
        <f>Painel!AV12*IPC!G$3</f>
        <v>452.82850000000002</v>
      </c>
      <c r="AE12" s="14">
        <f>Painel!AY12*IPC!J$3</f>
        <v>410.69056028359051</v>
      </c>
      <c r="AF12" s="14"/>
      <c r="AG12" s="14">
        <f>Painel!BA12*IPC!G$3</f>
        <v>134.095</v>
      </c>
      <c r="AH12" s="14">
        <f>Painel!BD12*IPC!J$3</f>
        <v>76.847006678831363</v>
      </c>
      <c r="AI12" s="14"/>
      <c r="AJ12" s="14">
        <f>Painel!BF12*IPC!G$3</f>
        <v>87.677500000000009</v>
      </c>
      <c r="AK12" s="14">
        <f>Painel!BI12*IPC!J$3</f>
        <v>86.925302636710882</v>
      </c>
      <c r="AL12" s="14">
        <f>Painel!BJ12</f>
        <v>231</v>
      </c>
      <c r="AM12" s="14">
        <f>Painel!BK12*IPC!G$3</f>
        <v>119.65400000000001</v>
      </c>
      <c r="AN12" s="14">
        <f>Painel!BN12*IPC!J$3</f>
        <v>137.31678242610849</v>
      </c>
      <c r="AO12" s="14"/>
      <c r="AP12" s="14">
        <f>Painel!BP12*IPC!G$3</f>
        <v>34.039500000000004</v>
      </c>
      <c r="AQ12" s="14">
        <f>Painel!BS12*IPC!J$3</f>
        <v>51.651266784132552</v>
      </c>
      <c r="AR12" s="14"/>
      <c r="AS12" s="14">
        <f>Painel!BU12*IPC!G$3</f>
        <v>204.23700000000002</v>
      </c>
      <c r="AT12" s="14">
        <f>Painel!BX12*IPC!J$3</f>
        <v>239.35952899963866</v>
      </c>
      <c r="AU12" s="14">
        <f>Índices!Q28</f>
        <v>405</v>
      </c>
      <c r="AV12" s="14">
        <f>Painel!BZ12*IPC!G$3</f>
        <v>376.4975</v>
      </c>
      <c r="AW12" s="14">
        <f>Painel!CC12*IPC!J$3</f>
        <v>313.6869616890001</v>
      </c>
      <c r="AX12" s="14"/>
      <c r="AY12" s="14">
        <f>Painel!CE12*IPC!G$3</f>
        <v>140.28400000000002</v>
      </c>
      <c r="AZ12" s="14">
        <f>Painel!CH12*IPC!J$3</f>
        <v>209.12464112600009</v>
      </c>
      <c r="BA12" s="14"/>
      <c r="BB12" s="14">
        <f>Painel!CJ12*IPC!G$3</f>
        <v>204.23700000000002</v>
      </c>
      <c r="BC12" s="14">
        <f>Painel!CM12*IPC!J$3</f>
        <v>207.86485413126513</v>
      </c>
      <c r="BD12" s="14"/>
      <c r="BE12" s="14">
        <f>Painel!CO12*IPC!G$3</f>
        <v>69.110500000000002</v>
      </c>
      <c r="BF12" s="14">
        <f>Painel!CR12*IPC!J$3</f>
        <v>112.12104253140969</v>
      </c>
      <c r="BH12" s="14"/>
      <c r="BI12" s="14"/>
      <c r="BJ12" s="14"/>
      <c r="BK12" s="14"/>
      <c r="BM12" s="14"/>
      <c r="BN12" s="14"/>
      <c r="BO12" s="14"/>
      <c r="BP12" s="14"/>
      <c r="BR12" s="14"/>
      <c r="BS12" s="14"/>
      <c r="BT12" s="14"/>
      <c r="BU12" s="14"/>
    </row>
    <row r="13" spans="1:73" x14ac:dyDescent="0.3">
      <c r="A13" t="s">
        <v>74</v>
      </c>
      <c r="B13" s="14"/>
      <c r="C13" s="14">
        <f>Painel!C13*IPC!G$3</f>
        <v>-21.6615</v>
      </c>
      <c r="D13" s="14">
        <f>Painel!F13*IPC!J$3</f>
        <v>-21.416378910493986</v>
      </c>
      <c r="E13" s="14"/>
      <c r="F13" s="14">
        <f>Painel!H13*IPC!G$3</f>
        <v>73.236500000000007</v>
      </c>
      <c r="G13" s="14">
        <f>Painel!K13*IPC!J$3</f>
        <v>-59.209988752542195</v>
      </c>
      <c r="H13" s="14"/>
      <c r="I13" s="14">
        <f>Painel!M13*IPC!G$3</f>
        <v>49.512</v>
      </c>
      <c r="J13" s="14">
        <f>Painel!P13*IPC!J$3</f>
        <v>79.366580668301239</v>
      </c>
      <c r="K13" s="14"/>
      <c r="L13" s="14">
        <f>Painel!R13*IPC!G$3</f>
        <v>-80.457000000000008</v>
      </c>
      <c r="M13" s="14">
        <f>Painel!U13*IPC!J$3</f>
        <v>4.7871905799927728</v>
      </c>
      <c r="N13" s="14"/>
      <c r="O13" s="14"/>
      <c r="P13" s="14"/>
      <c r="Q13" s="14"/>
      <c r="R13" s="15">
        <f>Painel!AB13*IPC!G$3</f>
        <v>15.472500000000002</v>
      </c>
      <c r="S13" s="15">
        <f>Painel!AE13*IPC!J$3</f>
        <v>-246.91825096804828</v>
      </c>
      <c r="T13" s="14">
        <f>Painel!AF13</f>
        <v>50</v>
      </c>
      <c r="U13" s="14">
        <f>Painel!AG13*IPC!G$3</f>
        <v>62.921500000000002</v>
      </c>
      <c r="V13" s="14">
        <f>Painel!AJ13*IPC!J$3</f>
        <v>-62.989349736747016</v>
      </c>
      <c r="W13" s="14"/>
      <c r="X13" s="14">
        <f>Painel!AL13*IPC!G$3</f>
        <v>-25.787500000000001</v>
      </c>
      <c r="Y13" s="14">
        <f>Painel!AO13*IPC!J$3</f>
        <v>-496.35607592556647</v>
      </c>
      <c r="Z13" s="14"/>
      <c r="AA13" s="14"/>
      <c r="AB13" s="14"/>
      <c r="AC13" s="14">
        <f>Resultado!K21</f>
        <v>320</v>
      </c>
      <c r="AD13" s="14">
        <f>Painel!AV13*IPC!G$3</f>
        <v>140.28400000000002</v>
      </c>
      <c r="AE13" s="14">
        <f>Painel!AY13*IPC!J$3</f>
        <v>79.366580668301239</v>
      </c>
      <c r="AF13" s="14"/>
      <c r="AG13" s="14">
        <f>Painel!BA13*IPC!G$3</f>
        <v>7.2205000000000004</v>
      </c>
      <c r="AH13" s="14">
        <f>Painel!BD13*IPC!J$3</f>
        <v>-11.338082952614462</v>
      </c>
      <c r="AI13" s="14"/>
      <c r="AJ13" s="14">
        <f>Painel!BF13*IPC!G$3</f>
        <v>33.008000000000003</v>
      </c>
      <c r="AK13" s="14">
        <f>Painel!BI13*IPC!J$3</f>
        <v>4.283275782098797</v>
      </c>
      <c r="AL13" s="14">
        <f>Painel!BJ13</f>
        <v>45</v>
      </c>
      <c r="AM13" s="14">
        <f>Painel!BK13*IPC!G$3</f>
        <v>-99.024000000000001</v>
      </c>
      <c r="AN13" s="14">
        <f>Painel!BN13*IPC!J$3</f>
        <v>27.715313884168687</v>
      </c>
      <c r="AO13" s="14"/>
      <c r="AP13" s="14">
        <f>Painel!BP13*IPC!G$3</f>
        <v>13.409500000000001</v>
      </c>
      <c r="AQ13" s="14">
        <f>Painel!BS13*IPC!J$3</f>
        <v>3.5274035852578325</v>
      </c>
      <c r="AR13" s="14"/>
      <c r="AS13" s="14">
        <f>Painel!BU13*IPC!G$3</f>
        <v>1.0315000000000001</v>
      </c>
      <c r="AT13" s="14">
        <f>Painel!BX13*IPC!J$3</f>
        <v>-3.7793609842048208</v>
      </c>
      <c r="AU13" s="14">
        <f>Resultado!Q21</f>
        <v>8.5</v>
      </c>
      <c r="AV13" s="14">
        <f>Painel!BZ13*IPC!G$3</f>
        <v>18.567</v>
      </c>
      <c r="AW13" s="14">
        <f>Painel!CC13*IPC!J$3</f>
        <v>2.5195739894698805</v>
      </c>
      <c r="AX13" s="14"/>
      <c r="AY13" s="14">
        <f>Painel!CE13*IPC!G$3</f>
        <v>17.535500000000003</v>
      </c>
      <c r="AZ13" s="14">
        <f>Painel!CH13*IPC!J$3</f>
        <v>30.234887873638566</v>
      </c>
      <c r="BA13" s="14"/>
      <c r="BB13" s="14">
        <f>Painel!CJ13*IPC!G$3</f>
        <v>38.165500000000002</v>
      </c>
      <c r="BC13" s="14">
        <f>Painel!CM13*IPC!J$3</f>
        <v>-196.52677117865068</v>
      </c>
      <c r="BD13" s="14"/>
      <c r="BE13" s="14">
        <f>Painel!CO13*IPC!G$3</f>
        <v>-90.772000000000006</v>
      </c>
      <c r="BF13" s="14">
        <f>Painel!CR13*IPC!J$3</f>
        <v>-6.2989349736747009</v>
      </c>
      <c r="BH13" s="14"/>
      <c r="BI13" s="14"/>
      <c r="BJ13" s="14"/>
      <c r="BK13" s="14"/>
      <c r="BM13" s="14"/>
      <c r="BN13" s="14"/>
      <c r="BO13" s="14"/>
      <c r="BP13" s="14"/>
      <c r="BR13" s="14"/>
      <c r="BS13" s="14"/>
      <c r="BT13" s="14"/>
      <c r="BU13" s="14"/>
    </row>
    <row r="14" spans="1:73" x14ac:dyDescent="0.3">
      <c r="A14" t="s">
        <v>38</v>
      </c>
      <c r="B14" s="14"/>
      <c r="C14" s="14">
        <f>Painel!C14*IPC!G$3</f>
        <v>3.0945</v>
      </c>
      <c r="D14" s="14">
        <f>Painel!F14*IPC!J$3</f>
        <v>-11.338082952614462</v>
      </c>
      <c r="E14" s="14"/>
      <c r="F14" s="14">
        <f>Painel!H14*IPC!G$3</f>
        <v>40.228500000000004</v>
      </c>
      <c r="G14" s="14">
        <f>Painel!K14*IPC!J$3</f>
        <v>157.47337434186753</v>
      </c>
      <c r="H14" s="14"/>
      <c r="I14" s="14">
        <f>Painel!M14*IPC!G$3</f>
        <v>73.236500000000007</v>
      </c>
      <c r="J14" s="14">
        <f>Painel!P14*IPC!J$3</f>
        <v>139.83635641557836</v>
      </c>
      <c r="K14" s="14"/>
      <c r="L14" s="14">
        <f>Painel!R14*IPC!G$3</f>
        <v>1.0315000000000001</v>
      </c>
      <c r="M14" s="14">
        <f>Painel!U14*IPC!J$3</f>
        <v>49.131692794662669</v>
      </c>
      <c r="N14" s="14"/>
      <c r="O14" s="14"/>
      <c r="P14" s="14"/>
      <c r="Q14" s="14"/>
      <c r="R14" s="14">
        <f>Painel!AB14*IPC!G$3</f>
        <v>169.16600000000003</v>
      </c>
      <c r="S14" s="14">
        <f>Painel!AE14*IPC!J$3</f>
        <v>-22.676165905228924</v>
      </c>
      <c r="T14" s="14">
        <f>Painel!AF14</f>
        <v>60</v>
      </c>
      <c r="U14" s="14">
        <f>Painel!AG14*IPC!G$3</f>
        <v>66.016000000000005</v>
      </c>
      <c r="V14" s="14">
        <f>Painel!AJ14*IPC!J$3</f>
        <v>-13.857656942084343</v>
      </c>
      <c r="W14" s="14"/>
      <c r="X14" s="14">
        <f>Painel!AL14*IPC!G$3</f>
        <v>150.59900000000002</v>
      </c>
      <c r="Y14" s="14">
        <f>Painel!AO14*IPC!J$3</f>
        <v>185.18868822603622</v>
      </c>
      <c r="Z14" s="14"/>
      <c r="AA14" s="14"/>
      <c r="AB14" s="14"/>
      <c r="AC14" s="14">
        <v>485</v>
      </c>
      <c r="AD14" s="14">
        <v>342</v>
      </c>
      <c r="AE14" s="14">
        <v>248</v>
      </c>
      <c r="AF14" s="14"/>
      <c r="AG14" s="14">
        <f>Painel!BA14*IPC!G$3</f>
        <v>66.016000000000005</v>
      </c>
      <c r="AH14" s="14">
        <f>Painel!BD14*IPC!J$3</f>
        <v>88.18508963144582</v>
      </c>
      <c r="AI14" s="14"/>
      <c r="AJ14" s="14">
        <f>Painel!BF14*IPC!G$3</f>
        <v>58.795500000000004</v>
      </c>
      <c r="AK14" s="14">
        <f>Painel!BI14*IPC!J$3</f>
        <v>11.338082952614462</v>
      </c>
      <c r="AL14" s="14">
        <f>Painel!BJ14</f>
        <v>155</v>
      </c>
      <c r="AM14" s="14">
        <f>Painel!BK14*IPC!G$3</f>
        <v>34.039500000000004</v>
      </c>
      <c r="AN14" s="14">
        <f>Painel!BN14*IPC!J$3</f>
        <v>199.04634516812055</v>
      </c>
      <c r="AO14" s="14"/>
      <c r="AP14" s="14">
        <f>Painel!BP14*IPC!G$3</f>
        <v>50.85295</v>
      </c>
      <c r="AQ14" s="14">
        <f>Painel!BS14*IPC!J$3</f>
        <v>47.871905799927731</v>
      </c>
      <c r="AR14" s="14"/>
      <c r="AS14" s="14">
        <f>Painel!BU14*IPC!G$3</f>
        <v>117.59100000000001</v>
      </c>
      <c r="AT14" s="14">
        <f>Painel!BX14*IPC!J$3</f>
        <v>112.12104253140969</v>
      </c>
      <c r="AU14" s="14">
        <f>Painel!BY14</f>
        <v>186</v>
      </c>
      <c r="AV14" s="14">
        <f>Painel!BZ14*IPC!G$3</f>
        <v>188.76450000000003</v>
      </c>
      <c r="AW14" s="14">
        <f>Painel!CC14*IPC!J$3</f>
        <v>238.0997420049037</v>
      </c>
      <c r="AX14" s="14"/>
      <c r="AY14" s="14">
        <f>Painel!CE14*IPC!G$3</f>
        <v>200.11100000000002</v>
      </c>
      <c r="AZ14" s="14">
        <f>Painel!CH14*IPC!J$3</f>
        <v>256.99654692592782</v>
      </c>
      <c r="BA14" s="14"/>
      <c r="BB14" s="14">
        <f>Painel!CJ14*IPC!G$3</f>
        <v>235.18200000000002</v>
      </c>
      <c r="BC14" s="14">
        <f>Painel!CM14*IPC!J$3</f>
        <v>406.91119929938571</v>
      </c>
      <c r="BD14" s="14"/>
      <c r="BE14" s="14">
        <f>Painel!CO14*IPC!G$3</f>
        <v>24.756</v>
      </c>
      <c r="BF14" s="14">
        <f>Painel!CR14*IPC!J$3</f>
        <v>149.9146523734579</v>
      </c>
      <c r="BH14" s="14"/>
      <c r="BI14" s="14"/>
      <c r="BJ14" s="14"/>
      <c r="BK14" s="14"/>
      <c r="BM14" s="14"/>
      <c r="BN14" s="14"/>
      <c r="BO14" s="14"/>
      <c r="BP14" s="14"/>
      <c r="BR14" s="14"/>
      <c r="BS14" s="14"/>
      <c r="BT14" s="14"/>
      <c r="BU14" s="14"/>
    </row>
    <row r="15" spans="1:73" x14ac:dyDescent="0.3">
      <c r="A15" t="s">
        <v>66</v>
      </c>
      <c r="B15" s="14"/>
      <c r="C15" s="14">
        <f>Painel!C15*IPC!G$3</f>
        <v>16.504000000000001</v>
      </c>
      <c r="D15" s="14">
        <f>Painel!F15*IPC!J$3</f>
        <v>1.0078295957879522</v>
      </c>
      <c r="E15" s="14"/>
      <c r="F15" s="14">
        <f>Painel!H15*IPC!G$3</f>
        <v>152.66200000000001</v>
      </c>
      <c r="G15" s="14">
        <f>Painel!K15*IPC!J$3</f>
        <v>65.508923726216892</v>
      </c>
      <c r="H15" s="14"/>
      <c r="I15" s="14">
        <f>Painel!M15*IPC!G$3</f>
        <v>97.992500000000007</v>
      </c>
      <c r="J15" s="14">
        <f>Painel!P15*IPC!J$3</f>
        <v>37.793609842048205</v>
      </c>
      <c r="K15" s="14"/>
      <c r="L15" s="14">
        <f>Painel!R15*IPC!G$3</f>
        <v>0</v>
      </c>
      <c r="M15" s="14">
        <f>Painel!U15*IPC!J$3</f>
        <v>41.572970826253027</v>
      </c>
      <c r="N15" s="14"/>
      <c r="O15" s="14"/>
      <c r="P15" s="14"/>
      <c r="Q15" s="14"/>
      <c r="R15" s="14">
        <f>Painel!AB15*IPC!G$3</f>
        <v>43.323</v>
      </c>
      <c r="S15" s="14">
        <f>Painel!AE15*IPC!J$3</f>
        <v>13.857656942084343</v>
      </c>
      <c r="T15" s="14">
        <f>Painel!AF15</f>
        <v>6.1</v>
      </c>
      <c r="U15" s="14">
        <f>Painel!AG15*IPC!G$3</f>
        <v>7.2205000000000004</v>
      </c>
      <c r="V15" s="14">
        <f>Painel!AJ15*IPC!J$3</f>
        <v>1.1338082952614463</v>
      </c>
      <c r="W15" s="14"/>
      <c r="X15" s="14">
        <f>Painel!AL15*IPC!G$3</f>
        <v>0</v>
      </c>
      <c r="Y15" s="14">
        <f>Painel!AO15*IPC!J$3</f>
        <v>70.548071705156659</v>
      </c>
      <c r="Z15" s="14"/>
      <c r="AA15" s="14"/>
      <c r="AB15" s="14"/>
      <c r="AC15" s="14">
        <v>273</v>
      </c>
      <c r="AD15" s="14">
        <f>Painel!AV15*IPC!G$3</f>
        <v>238.27650000000003</v>
      </c>
      <c r="AE15" s="14">
        <f>Painel!AY15*IPC!J$3</f>
        <v>314.94674868373505</v>
      </c>
      <c r="AF15" s="14"/>
      <c r="AG15" s="14">
        <f>Painel!BA15*IPC!G$3</f>
        <v>27.850500000000004</v>
      </c>
      <c r="AH15" s="14">
        <f>Painel!BD15*IPC!J$3</f>
        <v>13.857656942084343</v>
      </c>
      <c r="AI15" s="14"/>
      <c r="AJ15" s="14">
        <f>Painel!BF15*IPC!G$3</f>
        <v>47.449000000000005</v>
      </c>
      <c r="AK15" s="14">
        <f>Painel!BI15*IPC!J$3</f>
        <v>7.054807170515665</v>
      </c>
      <c r="AL15" s="14">
        <f>Painel!BJ15</f>
        <v>24</v>
      </c>
      <c r="AM15" s="14">
        <f>Painel!BK15*IPC!G$3</f>
        <v>68.079000000000008</v>
      </c>
      <c r="AN15" s="14">
        <f>Painel!BN15*IPC!J$3</f>
        <v>61.729562742012071</v>
      </c>
      <c r="AO15" s="14"/>
      <c r="AP15" s="14">
        <f>Painel!BP15*IPC!G$3</f>
        <v>1.8567000000000002</v>
      </c>
      <c r="AQ15" s="14">
        <f>Painel!BS15*IPC!J$3</f>
        <v>6.9288284710421717</v>
      </c>
      <c r="AR15" s="14"/>
      <c r="AS15" s="14">
        <f>Painel!BU15*IPC!G$3</f>
        <v>90.772000000000006</v>
      </c>
      <c r="AT15" s="14">
        <f>Painel!BX15*IPC!J$3</f>
        <v>65.508923726216892</v>
      </c>
      <c r="AU15" s="14">
        <v>150</v>
      </c>
      <c r="AV15" s="14">
        <f>Painel!BZ15*IPC!G$3</f>
        <v>108.3075</v>
      </c>
      <c r="AW15" s="14">
        <f>Painel!CC15*IPC!J$3</f>
        <v>137.31678242610849</v>
      </c>
      <c r="AX15" s="14"/>
      <c r="AY15" s="14">
        <f>Painel!CE15*IPC!G$3</f>
        <v>63.953000000000003</v>
      </c>
      <c r="AZ15" s="14">
        <f>Painel!CH15*IPC!J$3</f>
        <v>66.76871072095183</v>
      </c>
      <c r="BA15" s="14"/>
      <c r="BB15" s="14">
        <f>Painel!CJ15*IPC!G$3</f>
        <v>78.394000000000005</v>
      </c>
      <c r="BC15" s="14">
        <f>Painel!CM15*IPC!J$3</f>
        <v>181.40932724183139</v>
      </c>
      <c r="BD15" s="14"/>
      <c r="BE15" s="14">
        <f>Painel!CO15*IPC!G$3</f>
        <v>26.819000000000003</v>
      </c>
      <c r="BF15" s="14">
        <f>Painel!CR15*IPC!J$3</f>
        <v>4.283275782098797</v>
      </c>
      <c r="BH15" s="14"/>
      <c r="BI15" s="14"/>
      <c r="BJ15" s="14"/>
      <c r="BK15" s="14"/>
      <c r="BM15" s="14"/>
      <c r="BN15" s="14"/>
      <c r="BO15" s="14"/>
      <c r="BP15" s="14"/>
      <c r="BR15" s="14"/>
      <c r="BS15" s="14"/>
      <c r="BT15" s="14"/>
      <c r="BU15" s="14"/>
    </row>
    <row r="16" spans="1:73" x14ac:dyDescent="0.3">
      <c r="A16" t="s">
        <v>85</v>
      </c>
      <c r="B16" s="14"/>
      <c r="C16" s="14">
        <f>Painel!C16*IPC!G$3</f>
        <v>5.1575000000000006</v>
      </c>
      <c r="D16" s="14">
        <f>Painel!F16*IPC!J$3</f>
        <v>1.3857656942084344</v>
      </c>
      <c r="E16" s="14"/>
      <c r="F16" s="14">
        <f>Painel!H16*IPC!G$3</f>
        <v>18.567</v>
      </c>
      <c r="G16" s="14">
        <f>Painel!K16*IPC!J$3</f>
        <v>17.637017926289165</v>
      </c>
      <c r="H16" s="14"/>
      <c r="I16" s="14">
        <f>Painel!M16*IPC!G$3</f>
        <v>14.441000000000001</v>
      </c>
      <c r="J16" s="14">
        <f>Painel!P16*IPC!J$3</f>
        <v>27.715313884168687</v>
      </c>
      <c r="K16" s="14"/>
      <c r="L16" s="14">
        <f>Painel!R16*IPC!G$3</f>
        <v>13.409500000000001</v>
      </c>
      <c r="M16" s="14">
        <f>Painel!U16*IPC!J$3</f>
        <v>17.637017926289165</v>
      </c>
      <c r="N16" s="14"/>
      <c r="O16" s="14"/>
      <c r="P16" s="14"/>
      <c r="Q16" s="14"/>
      <c r="R16" s="14">
        <f>Painel!AB16*IPC!G$3</f>
        <v>0</v>
      </c>
      <c r="S16" s="14">
        <f>Painel!AE16*IPC!J$3</f>
        <v>0</v>
      </c>
      <c r="T16" s="14">
        <f>Painel!AF16</f>
        <v>4.8</v>
      </c>
      <c r="U16" s="14">
        <f>Painel!AG16*IPC!G$3</f>
        <v>10.624450000000001</v>
      </c>
      <c r="V16" s="14">
        <f>Painel!AJ16*IPC!J$3</f>
        <v>19.904634516812056</v>
      </c>
      <c r="W16" s="14"/>
      <c r="X16" s="14">
        <f>Painel!AL16*IPC!G$3</f>
        <v>0</v>
      </c>
      <c r="Y16" s="14">
        <f>Painel!AO16*IPC!J$3</f>
        <v>23.935952899963866</v>
      </c>
      <c r="Z16" s="14"/>
      <c r="AA16" s="14"/>
      <c r="AB16" s="14"/>
      <c r="AC16" s="22">
        <v>16</v>
      </c>
      <c r="AD16" s="14">
        <f>Painel!AV16*IPC!G$3</f>
        <v>28.882000000000001</v>
      </c>
      <c r="AE16" s="14">
        <f>Painel!AY16*IPC!J$3</f>
        <v>40.313183831518089</v>
      </c>
      <c r="AF16" s="14"/>
      <c r="AG16" s="14">
        <f>Painel!BA16*IPC!G$3</f>
        <v>20.630000000000003</v>
      </c>
      <c r="AH16" s="14">
        <f>Painel!BD16*IPC!J$3</f>
        <v>20.156591915759044</v>
      </c>
      <c r="AI16" s="14"/>
      <c r="AJ16" s="14">
        <f>Painel!BF16*IPC!G$3</f>
        <v>4.1260000000000003</v>
      </c>
      <c r="AK16" s="14">
        <f>Painel!BI16*IPC!J$3</f>
        <v>2.0156591915759043</v>
      </c>
      <c r="AL16" s="14">
        <f>Painel!BJ16</f>
        <v>26</v>
      </c>
      <c r="AM16" s="14">
        <f>Painel!BK16*IPC!G$3</f>
        <v>25.787500000000001</v>
      </c>
      <c r="AN16" s="14">
        <f>Painel!BN16*IPC!J$3</f>
        <v>28.975100878903625</v>
      </c>
      <c r="AO16" s="14"/>
      <c r="AP16" s="14">
        <f>Painel!BP16*IPC!G$3</f>
        <v>4.7449000000000003</v>
      </c>
      <c r="AQ16" s="14">
        <f>Painel!BS16*IPC!J$3</f>
        <v>7.9366580668301232</v>
      </c>
      <c r="AR16" s="14"/>
      <c r="AS16" s="14">
        <f>Painel!BU16*IPC!G$3</f>
        <v>22.693000000000001</v>
      </c>
      <c r="AT16" s="14">
        <f>Painel!BX16*IPC!J$3</f>
        <v>27.21139908627471</v>
      </c>
      <c r="AU16" s="15">
        <v>29</v>
      </c>
      <c r="AV16" s="14">
        <f>Painel!BZ16*IPC!G$3</f>
        <v>30.945000000000004</v>
      </c>
      <c r="AW16" s="14">
        <f>Painel!CC16*IPC!J$3</f>
        <v>32.754461863108446</v>
      </c>
      <c r="AX16" s="14"/>
      <c r="AY16" s="14">
        <f>Painel!CE16*IPC!G$3</f>
        <v>10.315000000000001</v>
      </c>
      <c r="AZ16" s="14">
        <f>Painel!CH16*IPC!J$3</f>
        <v>11.338082952614462</v>
      </c>
      <c r="BA16" s="14"/>
      <c r="BB16" s="14">
        <f>Painel!CJ16*IPC!G$3</f>
        <v>16.504000000000001</v>
      </c>
      <c r="BC16" s="14">
        <f>Painel!CM16*IPC!J$3</f>
        <v>50.391479789397607</v>
      </c>
      <c r="BD16" s="14"/>
      <c r="BE16" s="14">
        <f>Painel!CO16*IPC!G$3</f>
        <v>8.9740500000000001</v>
      </c>
      <c r="BF16" s="14">
        <f>Painel!CR16*IPC!J$3</f>
        <v>16.377230931554223</v>
      </c>
      <c r="BH16" s="14"/>
      <c r="BI16" s="14"/>
      <c r="BJ16" s="14"/>
      <c r="BK16" s="14"/>
      <c r="BM16" s="14"/>
      <c r="BN16" s="14"/>
      <c r="BO16" s="14"/>
      <c r="BP16" s="14"/>
      <c r="BR16" s="14"/>
      <c r="BS16" s="14"/>
      <c r="BT16" s="14"/>
      <c r="BU16" s="14"/>
    </row>
    <row r="17" spans="1:7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4.3</v>
      </c>
      <c r="F17" s="14">
        <v>4.3</v>
      </c>
      <c r="G17" s="14">
        <v>4.3</v>
      </c>
      <c r="H17" s="14">
        <v>1.5</v>
      </c>
      <c r="I17" s="14">
        <v>1.5</v>
      </c>
      <c r="J17" s="14">
        <v>1.5</v>
      </c>
      <c r="K17" s="14">
        <v>3.6</v>
      </c>
      <c r="L17" s="14">
        <v>3.6</v>
      </c>
      <c r="M17" s="14">
        <v>3.6</v>
      </c>
      <c r="N17" s="14">
        <v>2</v>
      </c>
      <c r="O17" s="14">
        <v>2</v>
      </c>
      <c r="P17" s="14">
        <v>2</v>
      </c>
      <c r="Q17" s="14">
        <v>14.2</v>
      </c>
      <c r="R17" s="14">
        <v>14.2</v>
      </c>
      <c r="S17" s="14">
        <v>14.2</v>
      </c>
      <c r="T17" s="14">
        <v>0.1</v>
      </c>
      <c r="U17" s="14">
        <v>0.1</v>
      </c>
      <c r="V17" s="14">
        <v>0.1</v>
      </c>
      <c r="W17" s="14">
        <v>6.1</v>
      </c>
      <c r="X17" s="14">
        <v>6.1</v>
      </c>
      <c r="Y17" s="14">
        <v>6.1</v>
      </c>
      <c r="Z17" s="14">
        <v>0.1</v>
      </c>
      <c r="AA17" s="14">
        <v>0.1</v>
      </c>
      <c r="AB17" s="14">
        <v>0.1</v>
      </c>
      <c r="AC17" s="14">
        <v>21.9</v>
      </c>
      <c r="AD17" s="14">
        <v>21.9</v>
      </c>
      <c r="AE17" s="14">
        <v>21.9</v>
      </c>
      <c r="AF17" s="14">
        <v>3.4</v>
      </c>
      <c r="AG17" s="14">
        <v>3.4</v>
      </c>
      <c r="AH17" s="14">
        <v>3.4</v>
      </c>
      <c r="AI17" s="14">
        <v>1.2</v>
      </c>
      <c r="AJ17" s="14">
        <v>1.2</v>
      </c>
      <c r="AK17" s="14">
        <v>1.2</v>
      </c>
      <c r="AL17" s="14">
        <v>4.5999999999999996</v>
      </c>
      <c r="AM17" s="14">
        <v>4.5999999999999996</v>
      </c>
      <c r="AN17" s="14">
        <v>4.5999999999999996</v>
      </c>
      <c r="AO17" s="14">
        <v>0.2</v>
      </c>
      <c r="AP17" s="14">
        <v>0.2</v>
      </c>
      <c r="AQ17" s="14">
        <v>0.2</v>
      </c>
      <c r="AR17" s="14">
        <v>3.5</v>
      </c>
      <c r="AS17" s="14">
        <v>3.5</v>
      </c>
      <c r="AT17" s="14">
        <v>3.5</v>
      </c>
      <c r="AU17" s="14">
        <v>7.7</v>
      </c>
      <c r="AV17" s="14">
        <v>7.7</v>
      </c>
      <c r="AW17" s="14">
        <v>7.7</v>
      </c>
      <c r="AX17" s="14">
        <v>3.1</v>
      </c>
      <c r="AY17" s="14">
        <v>3.1</v>
      </c>
      <c r="AZ17" s="14">
        <v>3.1</v>
      </c>
      <c r="BA17" s="14">
        <v>9.9</v>
      </c>
      <c r="BB17" s="14">
        <v>9.9</v>
      </c>
      <c r="BC17" s="14">
        <v>9.9</v>
      </c>
      <c r="BD17" s="14">
        <v>6.2</v>
      </c>
      <c r="BE17" s="14">
        <v>6.2</v>
      </c>
      <c r="BF17" s="14">
        <v>6.2</v>
      </c>
    </row>
    <row r="18" spans="1:71" x14ac:dyDescent="0.3">
      <c r="A18" t="s">
        <v>76</v>
      </c>
      <c r="B18" s="14">
        <v>1</v>
      </c>
      <c r="C18" s="14">
        <v>1</v>
      </c>
      <c r="D18" s="14">
        <v>1</v>
      </c>
      <c r="E18" s="14">
        <v>9.5</v>
      </c>
      <c r="F18" s="14">
        <v>9.5</v>
      </c>
      <c r="G18" s="14">
        <v>9.5</v>
      </c>
      <c r="H18" s="14">
        <v>3.3</v>
      </c>
      <c r="I18" s="14">
        <v>3.3</v>
      </c>
      <c r="J18" s="14">
        <v>3.3</v>
      </c>
      <c r="K18" s="14">
        <v>7.9</v>
      </c>
      <c r="L18" s="14">
        <v>7.9</v>
      </c>
      <c r="M18" s="14">
        <v>7.9</v>
      </c>
      <c r="N18" s="14">
        <v>4.4000000000000004</v>
      </c>
      <c r="O18" s="14">
        <v>4.4000000000000004</v>
      </c>
      <c r="P18" s="14">
        <v>4.4000000000000004</v>
      </c>
      <c r="Q18" s="14">
        <v>31.2</v>
      </c>
      <c r="R18" s="14">
        <v>31.2</v>
      </c>
      <c r="S18" s="14">
        <v>31.2</v>
      </c>
      <c r="T18" s="14">
        <v>3.3</v>
      </c>
      <c r="U18" s="14">
        <v>3.3</v>
      </c>
      <c r="V18" s="14">
        <v>3.3</v>
      </c>
      <c r="W18" s="14">
        <v>13.4</v>
      </c>
      <c r="X18" s="14">
        <v>13.4</v>
      </c>
      <c r="Y18" s="14">
        <v>13.4</v>
      </c>
      <c r="Z18" s="14">
        <v>0.2</v>
      </c>
      <c r="AA18" s="14">
        <v>0.2</v>
      </c>
      <c r="AB18" s="14">
        <v>0.2</v>
      </c>
      <c r="AC18" s="14">
        <v>48.1</v>
      </c>
      <c r="AD18" s="14">
        <v>48.1</v>
      </c>
      <c r="AE18" s="14">
        <v>48.1</v>
      </c>
      <c r="AF18" s="14">
        <v>7.5</v>
      </c>
      <c r="AG18" s="14">
        <v>7.5</v>
      </c>
      <c r="AH18" s="14">
        <v>7.5</v>
      </c>
      <c r="AI18" s="14">
        <v>2.6</v>
      </c>
      <c r="AJ18" s="14">
        <v>2.6</v>
      </c>
      <c r="AK18" s="14">
        <v>2.6</v>
      </c>
      <c r="AL18" s="14">
        <v>10.1</v>
      </c>
      <c r="AM18" s="14">
        <v>10.1</v>
      </c>
      <c r="AN18" s="14">
        <v>10.1</v>
      </c>
      <c r="AO18" s="14">
        <v>0.4</v>
      </c>
      <c r="AP18" s="14">
        <v>0.4</v>
      </c>
      <c r="AQ18" s="14">
        <v>0.4</v>
      </c>
      <c r="AR18" s="14">
        <v>7.7</v>
      </c>
      <c r="AS18" s="14">
        <v>7.7</v>
      </c>
      <c r="AT18" s="14">
        <v>7.7</v>
      </c>
      <c r="AU18" s="14">
        <v>16.899999999999999</v>
      </c>
      <c r="AV18" s="14">
        <v>16.899999999999999</v>
      </c>
      <c r="AW18" s="14">
        <v>16.899999999999999</v>
      </c>
      <c r="AX18" s="14">
        <v>6.8</v>
      </c>
      <c r="AY18" s="14">
        <v>6.8</v>
      </c>
      <c r="AZ18" s="14">
        <v>6.8</v>
      </c>
      <c r="BA18" s="14">
        <v>21.8</v>
      </c>
      <c r="BB18" s="14">
        <v>21.8</v>
      </c>
      <c r="BC18" s="14">
        <v>21.8</v>
      </c>
      <c r="BD18" s="14">
        <v>13.6</v>
      </c>
      <c r="BE18" s="14">
        <v>13.6</v>
      </c>
      <c r="BF18" s="14">
        <v>13.6</v>
      </c>
    </row>
    <row r="19" spans="1:71" x14ac:dyDescent="0.3">
      <c r="A19" t="s">
        <v>88</v>
      </c>
      <c r="B19">
        <v>24</v>
      </c>
      <c r="C19">
        <v>53</v>
      </c>
      <c r="D19">
        <v>0</v>
      </c>
      <c r="E19">
        <v>66</v>
      </c>
      <c r="F19">
        <v>58</v>
      </c>
      <c r="G19">
        <v>48</v>
      </c>
      <c r="H19">
        <v>56</v>
      </c>
      <c r="I19">
        <v>58</v>
      </c>
      <c r="J19">
        <v>64</v>
      </c>
      <c r="K19">
        <v>44</v>
      </c>
      <c r="L19">
        <v>0</v>
      </c>
      <c r="M19">
        <v>49</v>
      </c>
      <c r="N19">
        <v>64</v>
      </c>
      <c r="O19">
        <v>53</v>
      </c>
      <c r="P19">
        <v>43</v>
      </c>
      <c r="Q19">
        <v>50</v>
      </c>
      <c r="R19">
        <v>65</v>
      </c>
      <c r="S19">
        <v>56</v>
      </c>
      <c r="T19">
        <v>30</v>
      </c>
      <c r="U19">
        <v>42</v>
      </c>
      <c r="V19">
        <v>0</v>
      </c>
      <c r="W19">
        <v>47</v>
      </c>
      <c r="X19">
        <v>0</v>
      </c>
      <c r="Y19">
        <v>36</v>
      </c>
      <c r="Z19">
        <v>51</v>
      </c>
      <c r="AA19">
        <v>41</v>
      </c>
      <c r="AB19">
        <v>0</v>
      </c>
      <c r="AC19">
        <v>66</v>
      </c>
      <c r="AD19">
        <v>62</v>
      </c>
      <c r="AE19">
        <v>90</v>
      </c>
      <c r="AF19">
        <v>56</v>
      </c>
      <c r="AG19">
        <v>70</v>
      </c>
      <c r="AH19">
        <v>46</v>
      </c>
      <c r="AI19">
        <v>54</v>
      </c>
      <c r="AJ19">
        <v>55</v>
      </c>
      <c r="AK19">
        <v>53</v>
      </c>
      <c r="AL19">
        <v>68</v>
      </c>
      <c r="AM19">
        <v>0</v>
      </c>
      <c r="AN19">
        <v>65</v>
      </c>
      <c r="AO19">
        <v>38</v>
      </c>
      <c r="AP19">
        <v>46</v>
      </c>
      <c r="AQ19">
        <v>52</v>
      </c>
      <c r="AR19">
        <v>55</v>
      </c>
      <c r="AS19">
        <v>73</v>
      </c>
      <c r="AT19">
        <v>57</v>
      </c>
      <c r="AU19">
        <v>70</v>
      </c>
      <c r="AV19">
        <v>81</v>
      </c>
      <c r="AW19">
        <v>74</v>
      </c>
      <c r="AX19">
        <v>43</v>
      </c>
      <c r="AY19">
        <v>47</v>
      </c>
      <c r="AZ19">
        <v>74</v>
      </c>
      <c r="BA19">
        <v>53</v>
      </c>
      <c r="BB19">
        <v>54</v>
      </c>
      <c r="BC19">
        <v>63</v>
      </c>
      <c r="BD19">
        <v>45</v>
      </c>
      <c r="BE19">
        <v>0</v>
      </c>
      <c r="BF19">
        <v>49</v>
      </c>
    </row>
    <row r="20" spans="1:71" x14ac:dyDescent="0.3">
      <c r="A20" t="s">
        <v>89</v>
      </c>
      <c r="B20" s="6">
        <v>0</v>
      </c>
      <c r="C20" s="6">
        <v>0.24369580448359887</v>
      </c>
      <c r="D20" s="6">
        <v>0</v>
      </c>
      <c r="E20" s="6">
        <v>0.94936786212601332</v>
      </c>
      <c r="F20" s="6">
        <v>0.36084880671453018</v>
      </c>
      <c r="G20" s="6">
        <v>0.15751996908273488</v>
      </c>
      <c r="H20" s="6">
        <v>0.84248003091726509</v>
      </c>
      <c r="I20" s="6">
        <v>0.41148094458851686</v>
      </c>
      <c r="J20" s="6">
        <v>0.47136605318055197</v>
      </c>
      <c r="K20" s="6">
        <v>0.52863394681944809</v>
      </c>
      <c r="L20" s="6">
        <v>0</v>
      </c>
      <c r="M20" s="6">
        <v>0.21239034303474383</v>
      </c>
      <c r="N20" s="6">
        <v>0.91068099478781195</v>
      </c>
      <c r="O20" s="6">
        <v>0.21239034303474383</v>
      </c>
      <c r="P20" s="6">
        <v>0.11051724646602176</v>
      </c>
      <c r="Q20" s="6">
        <v>0.68301074609085888</v>
      </c>
      <c r="R20" s="6">
        <v>0.54465950260609397</v>
      </c>
      <c r="S20" s="6">
        <v>0.31698925390914107</v>
      </c>
      <c r="T20" s="6">
        <v>0.22767024869695299</v>
      </c>
      <c r="U20" s="6">
        <v>0.11051724646602176</v>
      </c>
      <c r="V20" s="6">
        <v>0</v>
      </c>
      <c r="W20" s="6">
        <v>0.63915119328546977</v>
      </c>
      <c r="X20" s="6">
        <v>0</v>
      </c>
      <c r="Y20" s="6">
        <v>6.9406318392981087E-2</v>
      </c>
      <c r="Z20" s="6">
        <v>0.72169761342906036</v>
      </c>
      <c r="AA20" s="6">
        <v>8.9319005212188038E-2</v>
      </c>
      <c r="AB20" s="6">
        <v>0</v>
      </c>
      <c r="AC20" s="6">
        <v>0.93059368160701894</v>
      </c>
      <c r="AD20" s="6">
        <v>0.47136605318055197</v>
      </c>
      <c r="AE20" s="6">
        <v>1</v>
      </c>
      <c r="AF20" s="6">
        <v>0.86682144198242272</v>
      </c>
      <c r="AG20" s="6">
        <v>0.63915119328546977</v>
      </c>
      <c r="AH20" s="6">
        <v>0.13317855801757725</v>
      </c>
      <c r="AI20" s="6">
        <v>0.7876096569652562</v>
      </c>
      <c r="AJ20" s="6">
        <v>0.31698925390914107</v>
      </c>
      <c r="AK20" s="6">
        <v>0.27830238657093959</v>
      </c>
      <c r="AL20" s="6">
        <v>0.96712671343233014</v>
      </c>
      <c r="AM20" s="6">
        <v>0</v>
      </c>
      <c r="AN20" s="6">
        <v>0.54465950260609397</v>
      </c>
      <c r="AO20" s="6">
        <v>0.36084880671453018</v>
      </c>
      <c r="AP20" s="6">
        <v>0.15751996908273488</v>
      </c>
      <c r="AQ20" s="6">
        <v>0.24369580448359887</v>
      </c>
      <c r="AR20" s="6">
        <v>0.81618930410843615</v>
      </c>
      <c r="AS20" s="6">
        <v>0.77232975130304693</v>
      </c>
      <c r="AT20" s="6">
        <v>0.36084880671453018</v>
      </c>
      <c r="AU20" s="6">
        <v>0.983974444213354</v>
      </c>
      <c r="AV20" s="6">
        <v>1</v>
      </c>
      <c r="AW20" s="6">
        <v>0.63915119328546977</v>
      </c>
      <c r="AX20" s="6">
        <v>0.45534049739390597</v>
      </c>
      <c r="AY20" s="6">
        <v>0.18381069589156382</v>
      </c>
      <c r="AZ20" s="6">
        <v>0.77232975130304693</v>
      </c>
      <c r="BA20" s="6">
        <v>0.75630419551640116</v>
      </c>
      <c r="BB20" s="6">
        <v>0.27830238657093959</v>
      </c>
      <c r="BC20" s="6">
        <v>0.41148094458851686</v>
      </c>
      <c r="BD20" s="6">
        <v>0.58851905541148319</v>
      </c>
      <c r="BE20" s="6">
        <v>0</v>
      </c>
      <c r="BF20" s="6">
        <v>0.18381069589156382</v>
      </c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Painel!F21*IPC!J$3</f>
        <v>0</v>
      </c>
      <c r="E21" s="14">
        <v>31.2</v>
      </c>
      <c r="F21" s="14">
        <f>Painel!H21*IPC!G$3</f>
        <v>19.701650000000004</v>
      </c>
      <c r="G21" s="14">
        <f>Painel!K21*IPC!J$3</f>
        <v>6.1729562742012076</v>
      </c>
      <c r="H21" s="14">
        <v>18.600000000000001</v>
      </c>
      <c r="I21" s="14">
        <f>Painel!M21*IPC!G$3</f>
        <v>10.5213</v>
      </c>
      <c r="J21" s="14">
        <f>Painel!P21*IPC!J$3</f>
        <v>10.078295957879522</v>
      </c>
      <c r="K21" s="14">
        <v>22.6</v>
      </c>
      <c r="L21" s="14">
        <f>Painel!R21*IPC!G$3</f>
        <v>0</v>
      </c>
      <c r="M21" s="14">
        <f>Painel!U21*IPC!J$3</f>
        <v>12.345912548402415</v>
      </c>
      <c r="N21" s="14">
        <v>24.1</v>
      </c>
      <c r="O21" s="14">
        <f>Painel_Cte!W21</f>
        <v>11.037050000000001</v>
      </c>
      <c r="P21" s="14">
        <f>Painel_Cte!Z21</f>
        <v>13.353742144190367</v>
      </c>
      <c r="Q21" s="6">
        <v>42.9</v>
      </c>
      <c r="R21" s="6">
        <f>Painel!AB21*IPC!G$3</f>
        <v>47.861600000000003</v>
      </c>
      <c r="S21" s="6">
        <f>Painel!AE21*IPC!J$3</f>
        <v>39.809269033624112</v>
      </c>
      <c r="T21" s="6">
        <v>12</v>
      </c>
      <c r="U21" s="6">
        <f>Painel!AG21*IPC!G$3</f>
        <v>8.2520000000000007</v>
      </c>
      <c r="V21" s="6">
        <f>Painel!AJ21*IPC!J$3</f>
        <v>0</v>
      </c>
      <c r="W21" s="6">
        <v>25.6</v>
      </c>
      <c r="X21" s="6">
        <f>Painel!AL21*IPC!G$3</f>
        <v>0</v>
      </c>
      <c r="Y21" s="6">
        <f>Painel!AO21*IPC!J$3</f>
        <v>9.4484024605120513</v>
      </c>
      <c r="Z21" s="6">
        <v>14.9</v>
      </c>
      <c r="AA21" s="14">
        <v>12</v>
      </c>
      <c r="AB21" s="6">
        <v>0</v>
      </c>
      <c r="AC21" s="6">
        <v>69.599999999999994</v>
      </c>
      <c r="AD21" s="6">
        <f>Painel!AV21*IPC!G$3</f>
        <v>49.202550000000009</v>
      </c>
      <c r="AE21" s="6">
        <f>Painel!AY21*IPC!J$3</f>
        <v>67.398604218319306</v>
      </c>
      <c r="AF21" s="6">
        <v>25.9</v>
      </c>
      <c r="AG21" s="6">
        <f>Painel!BA21*IPC!G$3</f>
        <v>17.43235</v>
      </c>
      <c r="AH21" s="6">
        <f>Painel!BD21*IPC!J$3</f>
        <v>12.345912548402415</v>
      </c>
      <c r="AI21" s="6">
        <v>10.7</v>
      </c>
      <c r="AJ21" s="6">
        <f>Painel!BF21*IPC!G$3</f>
        <v>11.346500000000001</v>
      </c>
      <c r="AK21" s="6">
        <f>Painel!BI21*IPC!J$3</f>
        <v>11.464061652087956</v>
      </c>
      <c r="AL21" s="6">
        <v>38</v>
      </c>
      <c r="AM21" s="6">
        <f>Painel!BK21*IPC!G$3</f>
        <v>0</v>
      </c>
      <c r="AN21" s="6">
        <f>Painel!BN21*IPC!J$3</f>
        <v>14.487550439451812</v>
      </c>
      <c r="AO21" s="6">
        <v>5</v>
      </c>
      <c r="AP21" s="6">
        <f>Painel!BP21*IPC!G$3</f>
        <v>4.4354500000000003</v>
      </c>
      <c r="AQ21" s="6">
        <f>Painel!BS21*IPC!J$3</f>
        <v>10.078295957879522</v>
      </c>
      <c r="AR21" s="6">
        <v>23.3</v>
      </c>
      <c r="AS21" s="6">
        <f>Painel!BU21*IPC!G$3</f>
        <v>20.114250000000002</v>
      </c>
      <c r="AT21" s="6">
        <f>Painel!BX21*IPC!J$3</f>
        <v>19.022783620497599</v>
      </c>
      <c r="AU21" s="6">
        <v>45.9</v>
      </c>
      <c r="AV21" s="6">
        <f>Painel!BZ21*IPC!G$3</f>
        <v>46.830100000000002</v>
      </c>
      <c r="AW21" s="6">
        <f>Painel!CC21*IPC!J$3</f>
        <v>37.163716344680736</v>
      </c>
      <c r="AX21" s="6">
        <v>8.4</v>
      </c>
      <c r="AY21" s="6">
        <f>Painel!CE21*IPC!G$3</f>
        <v>8.4582999999999995</v>
      </c>
      <c r="AZ21" s="6">
        <f>Painel!CH21*IPC!J$3</f>
        <v>9.322423761038559</v>
      </c>
      <c r="BA21" s="6">
        <v>47.8</v>
      </c>
      <c r="BB21" s="6">
        <f>Painel!CJ21*IPC!G$3</f>
        <v>26.303250000000002</v>
      </c>
      <c r="BC21" s="6">
        <f>Painel!CM21*IPC!J$3</f>
        <v>30.234887873638566</v>
      </c>
      <c r="BD21" s="6">
        <v>21.5</v>
      </c>
      <c r="BE21" s="6">
        <f>Painel!CO21*IPC!G$3</f>
        <v>0</v>
      </c>
      <c r="BF21" s="6">
        <f>Painel!CR21*IPC!J$3</f>
        <v>22.424208506281939</v>
      </c>
    </row>
    <row r="22" spans="1:71" x14ac:dyDescent="0.3">
      <c r="A22" t="s">
        <v>62</v>
      </c>
      <c r="B22" s="6">
        <v>386</v>
      </c>
      <c r="C22" s="6">
        <f>Painel!C22*IPC!G$3</f>
        <v>119.43684210526318</v>
      </c>
      <c r="D22" s="6">
        <f>Painel!F22*IPC!J$3</f>
        <v>0</v>
      </c>
      <c r="E22" s="6">
        <v>1645</v>
      </c>
      <c r="F22" s="6">
        <f>Painel!H22*IPC!G$3</f>
        <v>1036.9289473684212</v>
      </c>
      <c r="G22" s="6">
        <f>Painel!K22*IPC!J$3</f>
        <v>324.89243548427407</v>
      </c>
      <c r="H22" s="6">
        <v>977</v>
      </c>
      <c r="I22" s="6">
        <f>Painel!M22*IPC!G$3</f>
        <v>553.75263157894744</v>
      </c>
      <c r="J22" s="6">
        <f>Painel!P22*IPC!J$3</f>
        <v>530.43662936208011</v>
      </c>
      <c r="K22" s="6">
        <v>1189</v>
      </c>
      <c r="L22" s="6">
        <f>Painel!R22*IPC!G$3</f>
        <v>0</v>
      </c>
      <c r="M22" s="6">
        <f>Painel!U22*IPC!J$3</f>
        <v>649.78487096854815</v>
      </c>
      <c r="N22" s="6">
        <v>1271</v>
      </c>
      <c r="O22" s="6">
        <f>(O21/19)*1000</f>
        <v>580.89736842105265</v>
      </c>
      <c r="P22" s="6">
        <f>(P21/19)*1000</f>
        <v>702.82853390475623</v>
      </c>
      <c r="Q22" s="6">
        <v>2384</v>
      </c>
      <c r="R22" s="6">
        <f>Painel!AB22*IPC!G$3</f>
        <v>2519.0315789473684</v>
      </c>
      <c r="S22" s="6">
        <f>Painel!AE22*IPC!J$3</f>
        <v>2095.2246859802162</v>
      </c>
      <c r="T22" s="6">
        <v>704</v>
      </c>
      <c r="U22" s="6">
        <f>Painel!AG22*IPC!G$3</f>
        <v>434.31578947368422</v>
      </c>
      <c r="V22" s="6">
        <f>Painel!AJ22*IPC!J$3</f>
        <v>0</v>
      </c>
      <c r="W22" s="6">
        <v>1436</v>
      </c>
      <c r="X22" s="6">
        <f>Painel!AL22*IPC!G$3</f>
        <v>0</v>
      </c>
      <c r="Y22" s="6">
        <f>Painel!AO22*IPC!J$3</f>
        <v>497.28434002695013</v>
      </c>
      <c r="Z22" s="6">
        <v>782</v>
      </c>
      <c r="AA22" s="6">
        <f>(AA21/19)*1000</f>
        <v>631.57894736842104</v>
      </c>
      <c r="AB22" s="6">
        <v>0</v>
      </c>
      <c r="AC22" s="6">
        <v>3661</v>
      </c>
      <c r="AD22" s="6">
        <f>Painel!AV22*IPC!G$3</f>
        <v>2589.6078947368424</v>
      </c>
      <c r="AE22" s="6">
        <f>Painel!AY22*IPC!J$3</f>
        <v>3547.2949588589108</v>
      </c>
      <c r="AF22" s="6">
        <v>1363</v>
      </c>
      <c r="AG22" s="6">
        <f>Painel!BA22*IPC!G$3</f>
        <v>917.4921052631579</v>
      </c>
      <c r="AH22" s="6">
        <f>Painel!BD22*IPC!J$3</f>
        <v>649.78487096854815</v>
      </c>
      <c r="AI22" s="6">
        <v>564</v>
      </c>
      <c r="AJ22" s="6">
        <f>Painel!BF22*IPC!G$3</f>
        <v>597.18421052631584</v>
      </c>
      <c r="AK22" s="6">
        <f>Painel!BI22*IPC!J$3</f>
        <v>603.37166589936612</v>
      </c>
      <c r="AL22" s="6">
        <v>2001</v>
      </c>
      <c r="AM22" s="6">
        <f>Painel!BK22*IPC!G$3</f>
        <v>0</v>
      </c>
      <c r="AN22" s="6">
        <f>Painel!BN22*IPC!J$3</f>
        <v>762.50265470799025</v>
      </c>
      <c r="AO22" s="6">
        <v>266</v>
      </c>
      <c r="AP22" s="6">
        <f>Painel!BP22*IPC!G$3</f>
        <v>233.44473684210527</v>
      </c>
      <c r="AQ22" s="6">
        <f>Painel!BS22*IPC!J$3</f>
        <v>530.43662936208011</v>
      </c>
      <c r="AR22" s="6">
        <v>1226</v>
      </c>
      <c r="AS22" s="6">
        <f>Painel!BU22*IPC!G$3</f>
        <v>1058.6447368421054</v>
      </c>
      <c r="AT22" s="6">
        <f>Painel!BX22*IPC!J$3</f>
        <v>1001.1991379209263</v>
      </c>
      <c r="AU22" s="6">
        <v>2416</v>
      </c>
      <c r="AV22" s="6">
        <f>Painel!BZ22*IPC!G$3</f>
        <v>2464.742105263158</v>
      </c>
      <c r="AW22" s="6">
        <f>Painel!CC22*IPC!J$3</f>
        <v>1955.9850707726703</v>
      </c>
      <c r="AX22" s="6">
        <v>558</v>
      </c>
      <c r="AY22" s="6">
        <f>Painel!CE22*IPC!G$3</f>
        <v>445.17368421052629</v>
      </c>
      <c r="AZ22" s="6">
        <f>Painel!CH22*IPC!J$3</f>
        <v>490.65388215992414</v>
      </c>
      <c r="BA22" s="6">
        <v>2515</v>
      </c>
      <c r="BB22" s="6">
        <f>Painel!CJ22*IPC!G$3</f>
        <v>1384.3815789473686</v>
      </c>
      <c r="BC22" s="6">
        <f>Painel!CM22*IPC!J$3</f>
        <v>1591.3098880862403</v>
      </c>
      <c r="BD22" s="6">
        <v>1435</v>
      </c>
      <c r="BE22" s="6">
        <f>Painel!CO22*IPC!G$3</f>
        <v>0</v>
      </c>
      <c r="BF22" s="6">
        <f>Painel!CR22*IPC!J$3</f>
        <v>1180.2215003306283</v>
      </c>
    </row>
    <row r="23" spans="1:71" x14ac:dyDescent="0.3">
      <c r="A23" t="s">
        <v>63</v>
      </c>
      <c r="B23" s="6">
        <v>4910</v>
      </c>
      <c r="C23" s="6">
        <f>Painel!C23</f>
        <v>2548</v>
      </c>
      <c r="D23" s="6">
        <f>Painel!F23</f>
        <v>0</v>
      </c>
      <c r="E23" s="6">
        <v>27989</v>
      </c>
      <c r="F23" s="6">
        <f>Painel!H23</f>
        <v>25578</v>
      </c>
      <c r="G23" s="6">
        <f>Painel!K23</f>
        <v>15526</v>
      </c>
      <c r="H23" s="6">
        <v>22283</v>
      </c>
      <c r="I23" s="6">
        <f>Painel!M23</f>
        <v>18685</v>
      </c>
      <c r="J23" s="6">
        <f>Painel!P23</f>
        <v>15115</v>
      </c>
      <c r="K23" s="6">
        <v>36461</v>
      </c>
      <c r="L23" s="6">
        <f>Painel!R23</f>
        <v>0</v>
      </c>
      <c r="M23" s="6">
        <f>Painel!U23</f>
        <v>26339</v>
      </c>
      <c r="N23" s="6">
        <v>26691</v>
      </c>
      <c r="O23" s="6">
        <f>Painel!W23</f>
        <v>0</v>
      </c>
      <c r="P23" s="6">
        <f>Painel!Z23</f>
        <v>16032</v>
      </c>
      <c r="Q23" s="6">
        <v>38433</v>
      </c>
      <c r="R23" s="6">
        <f>Painel!AB23</f>
        <v>38770</v>
      </c>
      <c r="S23" s="6">
        <f>Painel!AE23</f>
        <v>32869</v>
      </c>
      <c r="T23" s="6">
        <v>21466</v>
      </c>
      <c r="U23" s="6">
        <f>Painel!AG23</f>
        <v>20608</v>
      </c>
      <c r="V23" s="6">
        <f>Painel!AJ23</f>
        <v>0</v>
      </c>
      <c r="W23" s="6">
        <v>29307</v>
      </c>
      <c r="X23" s="6">
        <f>Painel!AL23</f>
        <v>0</v>
      </c>
      <c r="Y23" s="6">
        <f>Painel!AO23</f>
        <v>22439</v>
      </c>
      <c r="Z23" s="6">
        <v>14701</v>
      </c>
      <c r="AA23" s="6">
        <f>Painel!AQ23</f>
        <v>12715</v>
      </c>
      <c r="AB23" s="6">
        <f>Painel!AT23</f>
        <v>0</v>
      </c>
      <c r="AC23" s="6">
        <v>54499</v>
      </c>
      <c r="AD23" s="6">
        <f>Painel!AV23</f>
        <v>51757</v>
      </c>
      <c r="AE23" s="6">
        <f>Painel!AY23</f>
        <v>55025</v>
      </c>
      <c r="AF23" s="6">
        <v>29783</v>
      </c>
      <c r="AG23" s="6">
        <f>Painel!BA23</f>
        <v>28262</v>
      </c>
      <c r="AH23" s="6">
        <f>Painel!BD23</f>
        <v>20209</v>
      </c>
      <c r="AI23" s="6">
        <v>32787</v>
      </c>
      <c r="AJ23" s="6">
        <f>Painel!BF23</f>
        <v>32961</v>
      </c>
      <c r="AK23" s="6">
        <f>Painel!BI23</f>
        <v>33000</v>
      </c>
      <c r="AL23" s="6">
        <v>31385</v>
      </c>
      <c r="AM23" s="6">
        <f>Painel!BK23</f>
        <v>0</v>
      </c>
      <c r="AN23" s="6">
        <f>Painel!BN23</f>
        <v>16648</v>
      </c>
      <c r="AO23" s="6">
        <v>7698</v>
      </c>
      <c r="AP23" s="6">
        <f>Painel!BP23</f>
        <v>8845</v>
      </c>
      <c r="AQ23" s="6">
        <f>Painel!BS23</f>
        <v>13506</v>
      </c>
      <c r="AR23" s="6">
        <v>27325</v>
      </c>
      <c r="AS23" s="6">
        <f>Painel!BU23</f>
        <v>22902</v>
      </c>
      <c r="AT23" s="6">
        <f>Painel!BX23</f>
        <v>19824</v>
      </c>
      <c r="AU23" s="6">
        <v>33167</v>
      </c>
      <c r="AV23" s="6">
        <f>Painel!BZ23</f>
        <v>35943</v>
      </c>
      <c r="AW23" s="6">
        <f>Painel!CC23</f>
        <v>27962</v>
      </c>
      <c r="AX23" s="6">
        <v>12147</v>
      </c>
      <c r="AY23" s="6">
        <f>Painel!CE23</f>
        <v>11845</v>
      </c>
      <c r="AZ23" s="6">
        <f>Painel!CH23</f>
        <v>10307</v>
      </c>
      <c r="BA23" s="6">
        <v>43780</v>
      </c>
      <c r="BB23" s="6">
        <f>Painel!CJ23</f>
        <v>30132</v>
      </c>
      <c r="BC23" s="6">
        <f>Painel!CM23</f>
        <v>29432</v>
      </c>
      <c r="BD23" s="6">
        <v>26347</v>
      </c>
      <c r="BE23" s="6">
        <f>Painel!CO23</f>
        <v>0</v>
      </c>
      <c r="BF23" s="6">
        <f>Painel!CR23</f>
        <v>20449</v>
      </c>
    </row>
    <row r="24" spans="1:71" x14ac:dyDescent="0.3">
      <c r="A24" t="s">
        <v>80</v>
      </c>
      <c r="B24" s="14">
        <f t="shared" ref="B24:AA24" si="16">B11/B18</f>
        <v>0</v>
      </c>
      <c r="C24" s="14">
        <f t="shared" si="16"/>
        <v>148.536</v>
      </c>
      <c r="D24" s="14">
        <f t="shared" si="16"/>
        <v>39.053396836783151</v>
      </c>
      <c r="E24" s="14">
        <f t="shared" si="16"/>
        <v>0</v>
      </c>
      <c r="F24" s="14">
        <f t="shared" si="16"/>
        <v>41.802894736842113</v>
      </c>
      <c r="G24" s="14">
        <f t="shared" si="16"/>
        <v>37.52839152736717</v>
      </c>
      <c r="H24" s="14">
        <f t="shared" si="16"/>
        <v>0</v>
      </c>
      <c r="I24" s="14">
        <f t="shared" si="16"/>
        <v>109.08893939393941</v>
      </c>
      <c r="J24" s="14">
        <f t="shared" si="16"/>
        <v>144.68462757713405</v>
      </c>
      <c r="K24" s="14">
        <f t="shared" si="16"/>
        <v>0</v>
      </c>
      <c r="L24" s="14">
        <f t="shared" si="16"/>
        <v>13.056962025316455</v>
      </c>
      <c r="M24" s="14">
        <f t="shared" si="16"/>
        <v>27.747207225807546</v>
      </c>
      <c r="N24" s="14">
        <f t="shared" si="16"/>
        <v>0</v>
      </c>
      <c r="O24" s="14">
        <f t="shared" si="16"/>
        <v>0</v>
      </c>
      <c r="P24" s="14">
        <f t="shared" si="16"/>
        <v>0</v>
      </c>
      <c r="Q24" s="14">
        <f t="shared" si="16"/>
        <v>0</v>
      </c>
      <c r="R24" s="14">
        <f t="shared" si="16"/>
        <v>21.55570512820513</v>
      </c>
      <c r="S24" s="14">
        <f t="shared" si="16"/>
        <v>14.939781668331023</v>
      </c>
      <c r="T24" s="14">
        <f t="shared" si="16"/>
        <v>48.515151515151516</v>
      </c>
      <c r="U24" s="14">
        <f t="shared" si="16"/>
        <v>48.761818181818192</v>
      </c>
      <c r="V24" s="14">
        <f t="shared" si="16"/>
        <v>14.506638121190223</v>
      </c>
      <c r="W24" s="14">
        <f t="shared" si="16"/>
        <v>0</v>
      </c>
      <c r="X24" s="14">
        <f t="shared" si="16"/>
        <v>11.238731343283582</v>
      </c>
      <c r="Y24" s="14">
        <f t="shared" si="16"/>
        <v>26.417921307501359</v>
      </c>
      <c r="Z24" s="14">
        <f t="shared" si="16"/>
        <v>0</v>
      </c>
      <c r="AA24" s="14">
        <f t="shared" si="16"/>
        <v>0</v>
      </c>
      <c r="AB24" s="14"/>
      <c r="AC24" s="14">
        <f>AC11/AC18</f>
        <v>27.359667359667359</v>
      </c>
      <c r="AD24" s="14">
        <f t="shared" ref="AD24:BF24" si="17">AD11/AD18</f>
        <v>23.846735966735967</v>
      </c>
      <c r="AE24" s="14">
        <f t="shared" si="17"/>
        <v>23.938571999745015</v>
      </c>
      <c r="AF24" s="14">
        <f t="shared" si="17"/>
        <v>0</v>
      </c>
      <c r="AG24" s="14">
        <f t="shared" si="17"/>
        <v>45.248466666666673</v>
      </c>
      <c r="AH24" s="14">
        <f t="shared" si="17"/>
        <v>41.992899824498004</v>
      </c>
      <c r="AI24" s="14">
        <f t="shared" si="17"/>
        <v>0</v>
      </c>
      <c r="AJ24" s="14">
        <f t="shared" si="17"/>
        <v>96.405576923076922</v>
      </c>
      <c r="AK24" s="14">
        <f t="shared" si="17"/>
        <v>52.814147086964802</v>
      </c>
      <c r="AL24" s="14">
        <f>AL11/AL18</f>
        <v>41.980198019801982</v>
      </c>
      <c r="AM24" s="14">
        <f t="shared" ref="AM24:AN24" si="18">AM11/AM18</f>
        <v>29.413069306930694</v>
      </c>
      <c r="AN24" s="14">
        <f t="shared" si="18"/>
        <v>50.890405331866894</v>
      </c>
      <c r="AO24" s="14">
        <f t="shared" si="17"/>
        <v>0</v>
      </c>
      <c r="AP24" s="14">
        <f t="shared" si="17"/>
        <v>250.13875000000002</v>
      </c>
      <c r="AQ24" s="14">
        <f t="shared" si="17"/>
        <v>286.60154130219888</v>
      </c>
      <c r="AR24" s="14">
        <f t="shared" si="17"/>
        <v>0</v>
      </c>
      <c r="AS24" s="14">
        <f t="shared" si="17"/>
        <v>48.493896103896105</v>
      </c>
      <c r="AT24" s="14">
        <f t="shared" si="17"/>
        <v>63.80739323982165</v>
      </c>
      <c r="AU24" s="14">
        <f>AU11/AU18</f>
        <v>49.64497041420119</v>
      </c>
      <c r="AV24" s="14">
        <f t="shared" ref="AV24:AW24" si="19">AV11/AV18</f>
        <v>48.27908284023669</v>
      </c>
      <c r="AW24" s="14">
        <f t="shared" si="19"/>
        <v>44.577078275236353</v>
      </c>
      <c r="AX24" s="14">
        <f>AX11/AX18</f>
        <v>0</v>
      </c>
      <c r="AY24" s="14">
        <f t="shared" ref="AY24:AZ24" si="20">AY11/AY18</f>
        <v>51.87838235294118</v>
      </c>
      <c r="AZ24" s="14">
        <f t="shared" si="20"/>
        <v>74.105117337349427</v>
      </c>
      <c r="BA24" s="14">
        <f>BA11/BA18</f>
        <v>0</v>
      </c>
      <c r="BB24" s="14">
        <f t="shared" ref="BB24:BC24" si="21">BB11/BB18</f>
        <v>27.82211009174312</v>
      </c>
      <c r="BC24" s="14">
        <f t="shared" si="21"/>
        <v>18.839016526770205</v>
      </c>
      <c r="BD24" s="14">
        <f t="shared" si="17"/>
        <v>0</v>
      </c>
      <c r="BE24" s="14">
        <f t="shared" si="17"/>
        <v>8.7980882352941183</v>
      </c>
      <c r="BF24" s="14">
        <f t="shared" si="17"/>
        <v>22.231535201204828</v>
      </c>
    </row>
    <row r="25" spans="1:71" x14ac:dyDescent="0.3">
      <c r="A25" t="s">
        <v>86</v>
      </c>
      <c r="B25" s="14"/>
      <c r="C25" s="14">
        <f t="shared" ref="C25:D25" si="22">C10/C16</f>
        <v>2</v>
      </c>
      <c r="D25" s="14">
        <f t="shared" si="22"/>
        <v>3.8181818181818179</v>
      </c>
      <c r="E25" s="14"/>
      <c r="F25" s="14">
        <f t="shared" ref="F25:G25" si="23">F10/F16</f>
        <v>4.8888888888888893</v>
      </c>
      <c r="G25" s="14">
        <f t="shared" si="23"/>
        <v>7.5714285714285703</v>
      </c>
      <c r="H25" s="14"/>
      <c r="I25" s="14">
        <f t="shared" ref="I25:J25" si="24">I10/I16</f>
        <v>7.2142857142857153</v>
      </c>
      <c r="J25" s="14">
        <f t="shared" si="24"/>
        <v>6.045454545454545</v>
      </c>
      <c r="K25" s="14"/>
      <c r="L25" s="14">
        <f t="shared" ref="L25:M25" si="25">L10/L16</f>
        <v>1.6153846153846152</v>
      </c>
      <c r="M25" s="14">
        <f t="shared" si="25"/>
        <v>3.214285714285714</v>
      </c>
      <c r="N25" s="14"/>
      <c r="O25" s="14">
        <v>0</v>
      </c>
      <c r="P25" s="14">
        <v>0</v>
      </c>
      <c r="Q25" s="14"/>
      <c r="R25" s="14">
        <v>0</v>
      </c>
      <c r="S25" s="14">
        <v>0</v>
      </c>
      <c r="T25" s="14">
        <f t="shared" ref="T25:V25" si="26">T10/T16</f>
        <v>3.1666666666666665</v>
      </c>
      <c r="U25" s="14">
        <f t="shared" si="26"/>
        <v>3.3009708737864076</v>
      </c>
      <c r="V25" s="14">
        <f t="shared" si="26"/>
        <v>0.18354430379746836</v>
      </c>
      <c r="W25" s="14"/>
      <c r="X25" s="14">
        <v>0</v>
      </c>
      <c r="Y25" s="14">
        <f t="shared" ref="Y25" si="27">Y10/Y16</f>
        <v>5.6842105263157885</v>
      </c>
      <c r="Z25" s="14">
        <v>0</v>
      </c>
      <c r="AA25" s="14">
        <v>0</v>
      </c>
      <c r="AB25" s="14"/>
      <c r="AC25" s="14">
        <f>AC10/AC16</f>
        <v>18.9375</v>
      </c>
      <c r="AD25" s="14">
        <f t="shared" ref="AD25:AE25" si="28">AD10/AD16</f>
        <v>4.75</v>
      </c>
      <c r="AE25" s="14">
        <f t="shared" si="28"/>
        <v>9.375</v>
      </c>
      <c r="AF25" s="14"/>
      <c r="AG25" s="14">
        <f t="shared" ref="AG25:AH25" si="29">AG10/AG16</f>
        <v>4.7</v>
      </c>
      <c r="AH25" s="14">
        <f t="shared" si="29"/>
        <v>6.5625</v>
      </c>
      <c r="AI25" s="14"/>
      <c r="AJ25" s="14">
        <f t="shared" ref="AJ25:AK25" si="30">AJ10/AJ16</f>
        <v>5</v>
      </c>
      <c r="AK25" s="14">
        <f t="shared" si="30"/>
        <v>4.0625</v>
      </c>
      <c r="AL25" s="14">
        <f>AL10/AL16</f>
        <v>1.9230769230769231</v>
      </c>
      <c r="AM25" s="14">
        <f t="shared" ref="AM25:AN25" si="31">AM10/AM16</f>
        <v>4.08</v>
      </c>
      <c r="AN25" s="14">
        <f t="shared" si="31"/>
        <v>4.695652173913043</v>
      </c>
      <c r="AO25" s="14"/>
      <c r="AP25" s="14">
        <f t="shared" ref="AP25:AQ25" si="32">AP10/AP16</f>
        <v>0.65217391304347827</v>
      </c>
      <c r="AQ25" s="14">
        <f t="shared" si="32"/>
        <v>0.17460317460317462</v>
      </c>
      <c r="AR25" s="14"/>
      <c r="AS25" s="14">
        <f t="shared" ref="AS25:AT25" si="33">AS10/AS16</f>
        <v>7.8636363636363633</v>
      </c>
      <c r="AT25" s="14">
        <f t="shared" si="33"/>
        <v>6.2962962962962967</v>
      </c>
      <c r="AU25" s="14">
        <f>AU10/AU16</f>
        <v>6.4482758620689653</v>
      </c>
      <c r="AV25" s="14">
        <f t="shared" ref="AV25:AW25" si="34">AV10/AV16</f>
        <v>5.8</v>
      </c>
      <c r="AW25" s="14">
        <f t="shared" si="34"/>
        <v>4.1538461538461533</v>
      </c>
      <c r="AX25" s="14">
        <v>0</v>
      </c>
      <c r="AY25" s="14">
        <f t="shared" ref="AY25:AZ25" si="35">AY10/AY16</f>
        <v>14.7</v>
      </c>
      <c r="AZ25" s="14">
        <f t="shared" si="35"/>
        <v>24</v>
      </c>
      <c r="BA25" s="14"/>
      <c r="BB25" s="14">
        <f t="shared" ref="BB25:BC25" si="36">BB10/BB16</f>
        <v>14.3125</v>
      </c>
      <c r="BC25" s="14">
        <f t="shared" si="36"/>
        <v>2.6250000000000004</v>
      </c>
      <c r="BD25" s="14"/>
      <c r="BE25" s="14">
        <f t="shared" ref="BE25:BF25" si="37">BE10/BE16</f>
        <v>3.0459770114942533</v>
      </c>
      <c r="BF25" s="14">
        <f t="shared" si="37"/>
        <v>1.0769230769230771</v>
      </c>
    </row>
    <row r="26" spans="1:71" x14ac:dyDescent="0.3">
      <c r="A26" t="s">
        <v>134</v>
      </c>
      <c r="B26" s="14">
        <v>0</v>
      </c>
      <c r="C26" s="14">
        <f t="shared" ref="C26" si="38">C10/C19</f>
        <v>0.19462264150943398</v>
      </c>
      <c r="D26" s="14">
        <v>0</v>
      </c>
      <c r="E26" s="14">
        <v>0</v>
      </c>
      <c r="F26" s="14">
        <f t="shared" ref="F26:G26" si="39">F10/F19</f>
        <v>1.5650344827586209</v>
      </c>
      <c r="G26" s="14">
        <f t="shared" si="39"/>
        <v>2.7820296133729929</v>
      </c>
      <c r="H26" s="14">
        <v>0</v>
      </c>
      <c r="I26" s="14">
        <f t="shared" ref="I26:J26" si="40">I10/I19</f>
        <v>1.7962327586206899</v>
      </c>
      <c r="J26" s="14">
        <f t="shared" si="40"/>
        <v>2.6179948484335478</v>
      </c>
      <c r="K26" s="14">
        <v>0</v>
      </c>
      <c r="L26" s="14">
        <v>0</v>
      </c>
      <c r="M26" s="14">
        <f t="shared" ref="M26" si="41">M10/M19</f>
        <v>1.1569472400627003</v>
      </c>
      <c r="N26" s="14">
        <v>0</v>
      </c>
      <c r="O26" s="14">
        <f t="shared" ref="O26:P26" si="42">O10/O19</f>
        <v>0</v>
      </c>
      <c r="P26" s="14">
        <f t="shared" si="42"/>
        <v>0</v>
      </c>
      <c r="Q26" s="14">
        <v>0</v>
      </c>
      <c r="R26" s="14">
        <f t="shared" ref="R26:S26" si="43">R10/R19</f>
        <v>2.3169076923076926</v>
      </c>
      <c r="S26" s="14">
        <f t="shared" si="43"/>
        <v>0.76487067537478526</v>
      </c>
      <c r="T26" s="14">
        <f t="shared" ref="T26:V26" si="44">T10/T19</f>
        <v>0.5066666666666666</v>
      </c>
      <c r="U26" s="14">
        <f t="shared" si="44"/>
        <v>0.83502380952380961</v>
      </c>
      <c r="V26" s="14">
        <v>0</v>
      </c>
      <c r="W26" s="14">
        <v>0</v>
      </c>
      <c r="X26" s="14">
        <v>0</v>
      </c>
      <c r="Y26" s="14">
        <f t="shared" ref="Y26" si="45">Y10/Y19</f>
        <v>3.7793609842048204</v>
      </c>
      <c r="Z26" s="14">
        <v>0</v>
      </c>
      <c r="AA26" s="14">
        <v>0</v>
      </c>
      <c r="AB26" s="14"/>
      <c r="AC26" s="14">
        <f>AC10/AC19</f>
        <v>4.5909090909090908</v>
      </c>
      <c r="AD26" s="14">
        <f t="shared" ref="AD26:AE26" si="46">AD10/AD19</f>
        <v>2.212733870967742</v>
      </c>
      <c r="AE26" s="14">
        <f t="shared" si="46"/>
        <v>4.1992899824498009</v>
      </c>
      <c r="AF26" s="14">
        <v>0</v>
      </c>
      <c r="AG26" s="14">
        <f t="shared" ref="AG26:AH26" si="47">AG10/AG19</f>
        <v>1.385157142857143</v>
      </c>
      <c r="AH26" s="14">
        <f t="shared" si="47"/>
        <v>2.8756007488514941</v>
      </c>
      <c r="AI26" s="14">
        <v>0</v>
      </c>
      <c r="AJ26" s="14">
        <f t="shared" ref="AJ26:AK26" si="48">AJ10/AJ19</f>
        <v>0.37509090909090914</v>
      </c>
      <c r="AK26" s="14">
        <f t="shared" si="48"/>
        <v>0.15450217859956814</v>
      </c>
      <c r="AL26" s="14">
        <f>AL10/AL19</f>
        <v>0.73529411764705888</v>
      </c>
      <c r="AM26" s="14">
        <v>0</v>
      </c>
      <c r="AN26" s="14">
        <f t="shared" ref="AN26" si="49">AN10/AN19</f>
        <v>2.0931845450980546</v>
      </c>
      <c r="AO26" s="14">
        <v>0</v>
      </c>
      <c r="AP26" s="14">
        <f t="shared" ref="AP26:AQ26" si="50">AP10/AP19</f>
        <v>6.7271739130434785E-2</v>
      </c>
      <c r="AQ26" s="14">
        <f t="shared" si="50"/>
        <v>2.6649340273239123E-2</v>
      </c>
      <c r="AR26" s="14">
        <v>0</v>
      </c>
      <c r="AS26" s="14">
        <f t="shared" ref="AS26:AT26" si="51">AS10/AS19</f>
        <v>2.444513698630137</v>
      </c>
      <c r="AT26" s="14">
        <f t="shared" si="51"/>
        <v>3.0058075663851209</v>
      </c>
      <c r="AU26" s="14">
        <f>AU10/AU19</f>
        <v>2.6714285714285713</v>
      </c>
      <c r="AV26" s="14">
        <f t="shared" ref="AV26:AW26" si="52">AV10/AV19</f>
        <v>2.2158148148148151</v>
      </c>
      <c r="AW26" s="14">
        <f t="shared" si="52"/>
        <v>1.8386080463699126</v>
      </c>
      <c r="AX26" s="14">
        <f>AX10/AX19</f>
        <v>0</v>
      </c>
      <c r="AY26" s="14">
        <f t="shared" ref="AY26:AZ26" si="53">AY10/AY19</f>
        <v>3.2261808510638299</v>
      </c>
      <c r="AZ26" s="14">
        <f t="shared" si="53"/>
        <v>3.6772160927398252</v>
      </c>
      <c r="BA26" s="14">
        <f>BA10/BA19</f>
        <v>0</v>
      </c>
      <c r="BB26" s="14">
        <f t="shared" ref="BB26:BC26" si="54">BB10/BB19</f>
        <v>4.3743240740740745</v>
      </c>
      <c r="BC26" s="14">
        <f t="shared" si="54"/>
        <v>2.0996449912249004</v>
      </c>
      <c r="BD26" s="14">
        <v>0</v>
      </c>
      <c r="BE26" s="14">
        <v>0</v>
      </c>
      <c r="BF26" s="14">
        <f t="shared" ref="BF26" si="55">BF10/BF19</f>
        <v>0.35993914135284011</v>
      </c>
    </row>
    <row r="27" spans="1:71" x14ac:dyDescent="0.3">
      <c r="A27" t="s">
        <v>82</v>
      </c>
      <c r="B27" s="5"/>
      <c r="C27" s="14">
        <f t="shared" ref="C27:D27" si="56">C7/C12</f>
        <v>0</v>
      </c>
      <c r="D27" s="14">
        <f t="shared" si="56"/>
        <v>0</v>
      </c>
      <c r="E27" s="5"/>
      <c r="F27" s="14">
        <f t="shared" ref="F27:G27" si="57">F7/F12</f>
        <v>0</v>
      </c>
      <c r="G27" s="14">
        <f t="shared" si="57"/>
        <v>0</v>
      </c>
      <c r="H27" s="5"/>
      <c r="I27" s="14">
        <f t="shared" ref="I27:J27" si="58">I7/I12</f>
        <v>0</v>
      </c>
      <c r="J27" s="14">
        <f t="shared" si="58"/>
        <v>0</v>
      </c>
      <c r="K27" s="5"/>
      <c r="L27" s="14">
        <f t="shared" ref="L27:M27" si="59">L7/L12</f>
        <v>0</v>
      </c>
      <c r="M27" s="14">
        <f t="shared" si="59"/>
        <v>0</v>
      </c>
      <c r="N27" s="5"/>
      <c r="O27" s="14">
        <v>0</v>
      </c>
      <c r="P27" s="14">
        <v>0</v>
      </c>
      <c r="Q27" s="5"/>
      <c r="R27" s="14">
        <f t="shared" ref="R27:S27" si="60">R7/R12</f>
        <v>0</v>
      </c>
      <c r="S27" s="14">
        <f t="shared" si="60"/>
        <v>0</v>
      </c>
      <c r="T27" s="14">
        <f t="shared" ref="T27:V27" si="61">T7/T12</f>
        <v>0</v>
      </c>
      <c r="U27" s="14">
        <f t="shared" si="61"/>
        <v>0</v>
      </c>
      <c r="V27" s="14">
        <f t="shared" si="61"/>
        <v>0</v>
      </c>
      <c r="W27" s="5"/>
      <c r="X27" s="14">
        <f t="shared" ref="X27:Y27" si="62">X7/X12</f>
        <v>0</v>
      </c>
      <c r="Y27" s="14">
        <f t="shared" si="62"/>
        <v>0</v>
      </c>
      <c r="Z27" s="14">
        <v>0</v>
      </c>
      <c r="AA27" s="5"/>
      <c r="AB27" s="5"/>
      <c r="AC27" s="14">
        <f>AC7/AC12</f>
        <v>0.29589632829373652</v>
      </c>
      <c r="AD27" s="14">
        <f t="shared" ref="AD27:AE27" si="63">AD7/AD12</f>
        <v>0.56947608200455579</v>
      </c>
      <c r="AE27" s="14">
        <f t="shared" si="63"/>
        <v>0.53680981595092025</v>
      </c>
      <c r="AF27" s="5"/>
      <c r="AG27" s="14">
        <f t="shared" ref="AG27:AH27" si="64">AG7/AG12</f>
        <v>0</v>
      </c>
      <c r="AH27" s="14">
        <f t="shared" si="64"/>
        <v>0</v>
      </c>
      <c r="AI27" s="5"/>
      <c r="AJ27" s="14">
        <f t="shared" ref="AJ27:AK27" si="65">AJ7/AJ12</f>
        <v>0.42352941176470582</v>
      </c>
      <c r="AK27" s="14">
        <f t="shared" si="65"/>
        <v>0.17391304347826086</v>
      </c>
      <c r="AL27" s="14">
        <f>AL7/AL12</f>
        <v>0</v>
      </c>
      <c r="AM27" s="14">
        <f t="shared" ref="AM27:AN27" si="66">AM7/AM12</f>
        <v>0</v>
      </c>
      <c r="AN27" s="14">
        <f t="shared" si="66"/>
        <v>0</v>
      </c>
      <c r="AO27" s="5"/>
      <c r="AP27" s="14">
        <f t="shared" ref="AP27:AQ27" si="67">AP7/AP12</f>
        <v>0.2181818181818182</v>
      </c>
      <c r="AQ27" s="14">
        <f t="shared" si="67"/>
        <v>4.878048780487805E-2</v>
      </c>
      <c r="AR27" s="5"/>
      <c r="AS27" s="14">
        <f t="shared" ref="AS27:AT27" si="68">AS7/AS12</f>
        <v>7.0707070707070704E-2</v>
      </c>
      <c r="AT27" s="14">
        <f t="shared" si="68"/>
        <v>0.37894736842105259</v>
      </c>
      <c r="AU27" s="14">
        <f>AU7/AU12</f>
        <v>0.19753086419753085</v>
      </c>
      <c r="AV27" s="14">
        <f t="shared" ref="AV27:AW27" si="69">AV7/AV12</f>
        <v>0.26027397260273977</v>
      </c>
      <c r="AW27" s="14">
        <f t="shared" si="69"/>
        <v>8.0321285140562249E-2</v>
      </c>
      <c r="AX27" s="14">
        <v>0</v>
      </c>
      <c r="AY27" s="14">
        <f t="shared" ref="AY27:AZ27" si="70">AY7/AY12</f>
        <v>0</v>
      </c>
      <c r="AZ27" s="14">
        <f t="shared" si="70"/>
        <v>0</v>
      </c>
      <c r="BA27" s="14"/>
      <c r="BB27" s="14">
        <f t="shared" ref="BB27:BC27" si="71">BB7/BB12</f>
        <v>0.14646464646464646</v>
      </c>
      <c r="BC27" s="14">
        <f t="shared" si="71"/>
        <v>0.16363636363636364</v>
      </c>
      <c r="BD27" s="5"/>
      <c r="BE27" s="18">
        <f t="shared" ref="BE27:BF27" si="72">BE7/BE12</f>
        <v>2.9850746268656719E-2</v>
      </c>
      <c r="BF27" s="14">
        <f t="shared" si="72"/>
        <v>0.24719101123595505</v>
      </c>
    </row>
    <row r="28" spans="1:71" x14ac:dyDescent="0.3">
      <c r="A28" t="s">
        <v>135</v>
      </c>
      <c r="B28" s="14">
        <v>0</v>
      </c>
      <c r="C28" s="14">
        <f t="shared" ref="C28" si="73">C12/C19</f>
        <v>1.1677358490566039</v>
      </c>
      <c r="D28" s="14">
        <v>0</v>
      </c>
      <c r="E28" s="14">
        <v>0</v>
      </c>
      <c r="F28" s="14">
        <f t="shared" ref="F28:G28" si="74">F12/F19</f>
        <v>4.4461206896551726</v>
      </c>
      <c r="G28" s="14">
        <f t="shared" si="74"/>
        <v>4.0943077328885558</v>
      </c>
      <c r="H28" s="14">
        <v>0</v>
      </c>
      <c r="I28" s="14">
        <f t="shared" ref="I28:J28" si="75">I12/I19</f>
        <v>3.1656379310344831</v>
      </c>
      <c r="J28" s="14">
        <f t="shared" si="75"/>
        <v>2.7164157073972151</v>
      </c>
      <c r="K28" s="14">
        <v>0</v>
      </c>
      <c r="L28" s="14">
        <v>0</v>
      </c>
      <c r="M28" s="14">
        <f t="shared" ref="M28" si="76">M12/M19</f>
        <v>2.3910242961295807</v>
      </c>
      <c r="N28" s="14">
        <v>0</v>
      </c>
      <c r="O28" s="14">
        <f t="shared" ref="O28:P28" si="77">O12/O19</f>
        <v>0</v>
      </c>
      <c r="P28" s="14">
        <f t="shared" si="77"/>
        <v>0</v>
      </c>
      <c r="Q28" s="14">
        <v>0</v>
      </c>
      <c r="R28" s="14">
        <f t="shared" ref="R28:S28" si="78">R12/R19</f>
        <v>4.3481692307692308</v>
      </c>
      <c r="S28" s="14">
        <f t="shared" si="78"/>
        <v>5.0391479789397611</v>
      </c>
      <c r="T28" s="14">
        <f t="shared" ref="T28:U28" si="79">T12/T19</f>
        <v>3.9699999999999998</v>
      </c>
      <c r="U28" s="14">
        <f t="shared" si="79"/>
        <v>1.7928452380952382</v>
      </c>
      <c r="V28" s="14">
        <v>0</v>
      </c>
      <c r="W28" s="14">
        <v>0</v>
      </c>
      <c r="X28" s="14">
        <v>0</v>
      </c>
      <c r="Y28" s="14">
        <f t="shared" ref="Y28" si="80">Y12/Y19</f>
        <v>7.3837515524742328</v>
      </c>
      <c r="Z28" s="14">
        <v>0</v>
      </c>
      <c r="AA28" s="14">
        <v>0</v>
      </c>
      <c r="AB28" s="14"/>
      <c r="AC28" s="14">
        <f>AC12/AC19</f>
        <v>7.0151515151515156</v>
      </c>
      <c r="AD28" s="14">
        <f t="shared" ref="AD28:AE28" si="81">AD12/AD19</f>
        <v>7.3036854838709679</v>
      </c>
      <c r="AE28" s="14">
        <f t="shared" si="81"/>
        <v>4.5632284475954501</v>
      </c>
      <c r="AF28" s="14">
        <v>0</v>
      </c>
      <c r="AG28" s="14">
        <f t="shared" ref="AG28:AH28" si="82">AG12/AG19</f>
        <v>1.9156428571428572</v>
      </c>
      <c r="AH28" s="14">
        <f t="shared" si="82"/>
        <v>1.6705871017137253</v>
      </c>
      <c r="AI28" s="14">
        <v>0</v>
      </c>
      <c r="AJ28" s="14">
        <f t="shared" ref="AJ28:AK28" si="83">AJ12/AJ19</f>
        <v>1.5941363636363639</v>
      </c>
      <c r="AK28" s="14">
        <f t="shared" si="83"/>
        <v>1.6401000497492619</v>
      </c>
      <c r="AL28" s="14">
        <f>AL12/AL19</f>
        <v>3.3970588235294117</v>
      </c>
      <c r="AM28" s="14">
        <v>0</v>
      </c>
      <c r="AN28" s="14">
        <f t="shared" ref="AN28" si="84">AN12/AN19</f>
        <v>2.1125658834785921</v>
      </c>
      <c r="AO28" s="14">
        <v>0</v>
      </c>
      <c r="AP28" s="14">
        <f t="shared" ref="AP28:AQ28" si="85">AP12/AP19</f>
        <v>0.73998913043478265</v>
      </c>
      <c r="AQ28" s="14">
        <f t="shared" si="85"/>
        <v>0.99329359200254908</v>
      </c>
      <c r="AR28" s="14">
        <v>0</v>
      </c>
      <c r="AS28" s="14">
        <f t="shared" ref="AS28:AT28" si="86">AS12/AS19</f>
        <v>2.7977671232876715</v>
      </c>
      <c r="AT28" s="14">
        <f t="shared" si="86"/>
        <v>4.1992899824498009</v>
      </c>
      <c r="AU28" s="14">
        <f>AU12/AU19</f>
        <v>5.7857142857142856</v>
      </c>
      <c r="AV28" s="14">
        <f t="shared" ref="AV28:AW28" si="87">AV12/AV19</f>
        <v>4.6481172839506177</v>
      </c>
      <c r="AW28" s="14">
        <f t="shared" si="87"/>
        <v>4.2390129957972986</v>
      </c>
      <c r="AX28" s="14">
        <f>AX12/AX19</f>
        <v>0</v>
      </c>
      <c r="AY28" s="14">
        <f t="shared" ref="AY28:AZ28" si="88">AY12/AY19</f>
        <v>2.9847659574468088</v>
      </c>
      <c r="AZ28" s="14">
        <f t="shared" si="88"/>
        <v>2.826008663864866</v>
      </c>
      <c r="BA28" s="14">
        <f>BA12/BA19</f>
        <v>0</v>
      </c>
      <c r="BB28" s="14">
        <f t="shared" ref="BB28:BC28" si="89">BB12/BB19</f>
        <v>3.7821666666666669</v>
      </c>
      <c r="BC28" s="14">
        <f t="shared" si="89"/>
        <v>3.2994421290677005</v>
      </c>
      <c r="BD28" s="14">
        <v>0</v>
      </c>
      <c r="BE28" s="14">
        <v>0</v>
      </c>
      <c r="BF28" s="14">
        <f t="shared" ref="BF28" si="90">BF12/BF19</f>
        <v>2.2881845414573405</v>
      </c>
    </row>
    <row r="29" spans="1:71" x14ac:dyDescent="0.3">
      <c r="A29" t="s">
        <v>136</v>
      </c>
      <c r="B29" s="14">
        <v>0</v>
      </c>
      <c r="C29" s="14">
        <f t="shared" ref="C29" si="91">C11/C19</f>
        <v>2.8025660377358492</v>
      </c>
      <c r="D29" s="14">
        <v>0</v>
      </c>
      <c r="E29" s="14">
        <v>0</v>
      </c>
      <c r="F29" s="14">
        <f t="shared" ref="F29:G29" si="92">F11/F19</f>
        <v>6.8470258620689668</v>
      </c>
      <c r="G29" s="14">
        <f t="shared" si="92"/>
        <v>7.427494156458085</v>
      </c>
      <c r="H29" s="14">
        <v>0</v>
      </c>
      <c r="I29" s="14">
        <f t="shared" ref="I29:J29" si="93">I11/I19</f>
        <v>6.2067844827586214</v>
      </c>
      <c r="J29" s="14">
        <f t="shared" si="93"/>
        <v>7.4603011094459744</v>
      </c>
      <c r="K29" s="14">
        <v>0</v>
      </c>
      <c r="L29" s="14">
        <v>0</v>
      </c>
      <c r="M29" s="14">
        <f t="shared" ref="M29" si="94">M11/M19</f>
        <v>4.4735293282424413</v>
      </c>
      <c r="N29" s="14">
        <v>0</v>
      </c>
      <c r="O29" s="14">
        <f t="shared" ref="O29:P29" si="95">O11/O19</f>
        <v>0</v>
      </c>
      <c r="P29" s="14">
        <f t="shared" si="95"/>
        <v>0</v>
      </c>
      <c r="Q29" s="14">
        <v>0</v>
      </c>
      <c r="R29" s="14">
        <f t="shared" ref="R29:S29" si="96">R11/R19</f>
        <v>10.346738461538461</v>
      </c>
      <c r="S29" s="14">
        <f t="shared" si="96"/>
        <v>8.3235926437844263</v>
      </c>
      <c r="T29" s="14">
        <f t="shared" ref="T29:U29" si="97">T11/T19</f>
        <v>5.3366666666666669</v>
      </c>
      <c r="U29" s="14">
        <f t="shared" si="97"/>
        <v>3.8312857142857148</v>
      </c>
      <c r="V29" s="14">
        <v>0</v>
      </c>
      <c r="W29" s="14">
        <v>0</v>
      </c>
      <c r="X29" s="14">
        <v>0</v>
      </c>
      <c r="Y29" s="14">
        <f t="shared" ref="Y29" si="98">Y11/Y19</f>
        <v>9.8333373755699505</v>
      </c>
      <c r="Z29" s="14">
        <v>0</v>
      </c>
      <c r="AA29" s="14">
        <v>0</v>
      </c>
      <c r="AB29" s="14"/>
      <c r="AC29" s="14">
        <f>AC11/AC19</f>
        <v>19.939393939393938</v>
      </c>
      <c r="AD29" s="14">
        <f t="shared" ref="AD29:AE29" si="99">AD11/AD19</f>
        <v>18.500451612903227</v>
      </c>
      <c r="AE29" s="14">
        <f t="shared" si="99"/>
        <v>12.793836813197059</v>
      </c>
      <c r="AF29" s="14">
        <v>0</v>
      </c>
      <c r="AG29" s="14">
        <f t="shared" ref="AG29:AH29" si="100">AG11/AG19</f>
        <v>4.8480500000000006</v>
      </c>
      <c r="AH29" s="14">
        <f t="shared" si="100"/>
        <v>6.8466684496464145</v>
      </c>
      <c r="AI29" s="14">
        <v>0</v>
      </c>
      <c r="AJ29" s="14">
        <f t="shared" ref="AJ29:AK29" si="101">AJ11/AJ19</f>
        <v>4.5573545454545457</v>
      </c>
      <c r="AK29" s="14">
        <f t="shared" si="101"/>
        <v>2.5908826872850659</v>
      </c>
      <c r="AL29" s="14">
        <f>AL11/AL19</f>
        <v>6.2352941176470589</v>
      </c>
      <c r="AM29" s="14">
        <v>0</v>
      </c>
      <c r="AN29" s="14">
        <f t="shared" ref="AN29" si="102">AN11/AN19</f>
        <v>7.9075860592593177</v>
      </c>
      <c r="AO29" s="14">
        <v>0</v>
      </c>
      <c r="AP29" s="14">
        <f t="shared" ref="AP29:AQ29" si="103">AP11/AP19</f>
        <v>2.1751195652173916</v>
      </c>
      <c r="AQ29" s="14">
        <f t="shared" si="103"/>
        <v>2.2046272407861456</v>
      </c>
      <c r="AR29" s="14">
        <v>0</v>
      </c>
      <c r="AS29" s="14">
        <f t="shared" ref="AS29:AT29" si="104">AS11/AS19</f>
        <v>5.1151095890410962</v>
      </c>
      <c r="AT29" s="14">
        <f t="shared" si="104"/>
        <v>8.6195952271338019</v>
      </c>
      <c r="AU29" s="14">
        <f>AU11/AU19</f>
        <v>11.985714285714286</v>
      </c>
      <c r="AV29" s="14">
        <f t="shared" ref="AV29:AW29" si="105">AV11/AV19</f>
        <v>10.073043209876543</v>
      </c>
      <c r="AW29" s="14">
        <f t="shared" si="105"/>
        <v>10.180440849344517</v>
      </c>
      <c r="AX29" s="14">
        <f>AX11/AX19</f>
        <v>0</v>
      </c>
      <c r="AY29" s="14">
        <f t="shared" ref="AY29:AZ29" si="106">AY11/AY19</f>
        <v>7.5058085106382988</v>
      </c>
      <c r="AZ29" s="14">
        <f t="shared" si="106"/>
        <v>6.8096594309996776</v>
      </c>
      <c r="BA29" s="14">
        <f>BA11/BA19</f>
        <v>0</v>
      </c>
      <c r="BB29" s="14">
        <f t="shared" ref="BB29:BC29" si="107">BB11/BB19</f>
        <v>11.231888888888889</v>
      </c>
      <c r="BC29" s="14">
        <f t="shared" si="107"/>
        <v>6.5188977822792147</v>
      </c>
      <c r="BD29" s="14">
        <v>0</v>
      </c>
      <c r="BE29" s="14">
        <v>0</v>
      </c>
      <c r="BF29" s="14">
        <f t="shared" ref="BF29" si="108">BF11/BF19</f>
        <v>6.1703852803344006</v>
      </c>
    </row>
    <row r="30" spans="1:7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>
        <f>Painel!AU30</f>
        <v>326</v>
      </c>
      <c r="AD30" s="14">
        <v>260.125</v>
      </c>
      <c r="AE30" s="14">
        <v>199.53727592138546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>
        <v>84.583000000000013</v>
      </c>
      <c r="AK30" s="14">
        <v>42.832757820987965</v>
      </c>
      <c r="AL30" s="14">
        <f>Painel!BJ30</f>
        <v>0</v>
      </c>
      <c r="AM30" s="14" t="s">
        <v>107</v>
      </c>
      <c r="AN30" s="14" t="s">
        <v>107</v>
      </c>
      <c r="AO30" s="14" t="s">
        <v>107</v>
      </c>
      <c r="AP30" s="14">
        <v>69.110500000000016</v>
      </c>
      <c r="AQ30" s="14">
        <v>84.405728647241006</v>
      </c>
      <c r="AR30" s="14" t="s">
        <v>107</v>
      </c>
      <c r="AS30" s="14">
        <v>145.44150000000002</v>
      </c>
      <c r="AT30" s="14">
        <v>104.56232056300006</v>
      </c>
      <c r="AU30" s="14">
        <v>183</v>
      </c>
      <c r="AV30" s="14">
        <f>Painel!BZ30*IPC!G$3</f>
        <v>173.292</v>
      </c>
      <c r="AW30" s="14">
        <f>Painel!CC30*IPC!J$3</f>
        <v>249.43782495751816</v>
      </c>
      <c r="AX30" s="14"/>
      <c r="AY30" s="14">
        <f>Painel!CE30*IPC!G$3</f>
        <v>0</v>
      </c>
      <c r="AZ30" s="14">
        <f>Painel!CH30*IPC!J$3</f>
        <v>0</v>
      </c>
      <c r="BA30" s="14" t="s">
        <v>107</v>
      </c>
      <c r="BB30" s="14">
        <f>Painel!CJ30*IPC!G$3</f>
        <v>181.54400000000001</v>
      </c>
      <c r="BC30" s="14">
        <f>Painel!CM30*IPC!J$3</f>
        <v>138.57656942084344</v>
      </c>
      <c r="BD30" s="14" t="s">
        <v>107</v>
      </c>
      <c r="BE30" s="14">
        <v>30.945000000000004</v>
      </c>
      <c r="BF30" s="14">
        <v>122.1993384892892</v>
      </c>
    </row>
    <row r="31" spans="1:71" x14ac:dyDescent="0.3">
      <c r="A31" t="s">
        <v>39</v>
      </c>
      <c r="C31" s="14">
        <f>Painel!C31*IPC!G$3</f>
        <v>100.05550000000001</v>
      </c>
      <c r="D31" s="14">
        <f>Painel!F31*IPC!J$3</f>
        <v>80.2484315646157</v>
      </c>
      <c r="E31" s="14"/>
      <c r="F31" s="14">
        <f>Painel!H31*IPC!G$3</f>
        <v>1198.6030000000001</v>
      </c>
      <c r="G31" s="14">
        <f>Painel!K31*IPC!J$3</f>
        <v>718.07858699891597</v>
      </c>
      <c r="H31" s="14"/>
      <c r="I31" s="14">
        <v>334.20600000000002</v>
      </c>
      <c r="J31" s="14">
        <v>360.29908049419294</v>
      </c>
      <c r="K31" s="14"/>
      <c r="L31" s="14">
        <v>206.3</v>
      </c>
      <c r="M31" s="14">
        <v>178.88975325236152</v>
      </c>
      <c r="N31" s="14"/>
      <c r="O31" s="14"/>
      <c r="P31" s="14"/>
      <c r="Q31" s="14"/>
      <c r="R31" s="14">
        <v>620.96300000000008</v>
      </c>
      <c r="S31" s="14">
        <v>403.13183831518086</v>
      </c>
      <c r="T31" s="14">
        <f>Painel_Cte!AF31</f>
        <v>18</v>
      </c>
      <c r="U31" s="14">
        <f>Painel!AG31*IPC!G$3</f>
        <v>203.20550000000003</v>
      </c>
      <c r="V31" s="14">
        <f>Painel!AJ31*IPC!J$3</f>
        <v>268.33462987854227</v>
      </c>
      <c r="W31" s="14"/>
      <c r="X31" s="14">
        <v>681.82150000000001</v>
      </c>
      <c r="Y31" s="14">
        <v>525.33117680447015</v>
      </c>
      <c r="Z31" s="14"/>
      <c r="AA31" s="14"/>
      <c r="AB31" s="14"/>
      <c r="AC31" s="14">
        <f>Painel!AU31</f>
        <v>255</v>
      </c>
      <c r="AD31" s="14">
        <f>Painel!AV31*IPC!G$3</f>
        <v>359.99350000000004</v>
      </c>
      <c r="AE31" s="14">
        <f>Painel!AY31*IPC!J$3</f>
        <v>537.92904675181944</v>
      </c>
      <c r="AF31" s="14"/>
      <c r="AG31" s="14">
        <f>Painel!BA31*IPC!G$3</f>
        <v>601.36450000000002</v>
      </c>
      <c r="AH31" s="14">
        <f>Painel!BD31*IPC!J$3</f>
        <v>672.72625518845814</v>
      </c>
      <c r="AI31" s="14"/>
      <c r="AJ31" s="14">
        <f>Painel!BF31*IPC!G$3</f>
        <v>10.418150000000002</v>
      </c>
      <c r="AK31" s="14">
        <f>Painel!BI31*IPC!J$3</f>
        <v>19.400719718918079</v>
      </c>
      <c r="AL31" s="14">
        <f>Painel!BJ31</f>
        <v>453</v>
      </c>
      <c r="AM31" s="14">
        <f>Painel!BK31*IPC!G$3</f>
        <v>470.36400000000003</v>
      </c>
      <c r="AN31" s="14">
        <f>Painel!BN31*IPC!J$3</f>
        <v>439.66566116249413</v>
      </c>
      <c r="AO31" s="14"/>
      <c r="AP31" s="14">
        <f>Painel!BP31*IPC!G$3</f>
        <v>67.253800000000012</v>
      </c>
      <c r="AQ31" s="14">
        <f>Painel!BS31*IPC!J$3</f>
        <v>52.155181582026536</v>
      </c>
      <c r="AR31" s="14"/>
      <c r="AS31" s="14">
        <f>Painel!BU31*IPC!G$3</f>
        <v>336.26900000000001</v>
      </c>
      <c r="AT31" s="14">
        <f>Painel!BX31*IPC!J$3</f>
        <v>246.91825096804828</v>
      </c>
      <c r="AU31">
        <v>128</v>
      </c>
      <c r="AV31" s="14">
        <f>Painel!BZ31*IPC!G$3</f>
        <v>165.04000000000002</v>
      </c>
      <c r="AW31" s="14">
        <f>Painel!CC31*IPC!J$3</f>
        <v>304.86845272585555</v>
      </c>
      <c r="AX31" s="14"/>
      <c r="AY31" s="14">
        <f>Painel!CE31*IPC!G$3</f>
        <v>453.86</v>
      </c>
      <c r="AZ31" s="14">
        <f>Painel!CH31*IPC!J$3</f>
        <v>425.80800422040983</v>
      </c>
      <c r="BA31" s="14"/>
      <c r="BB31" s="14">
        <f>Painel!CJ31*IPC!G$3</f>
        <v>533.28550000000007</v>
      </c>
      <c r="BC31" s="14">
        <f>Painel!CM31*IPC!J$3</f>
        <v>447.22438313090379</v>
      </c>
      <c r="BD31" s="14"/>
      <c r="BE31" s="14">
        <f>Painel!CO31*IPC!G$3</f>
        <v>646.7505000000001</v>
      </c>
      <c r="BF31" s="14">
        <f>Painel!CR31*IPC!J$3</f>
        <v>701.70135606736176</v>
      </c>
    </row>
    <row r="32" spans="1:71" x14ac:dyDescent="0.3">
      <c r="A32" t="s">
        <v>109</v>
      </c>
      <c r="B32" s="14"/>
      <c r="C32" s="20">
        <f t="shared" ref="C32:D32" si="109">C31/C14</f>
        <v>32.333333333333336</v>
      </c>
      <c r="D32" s="20">
        <f t="shared" si="109"/>
        <v>-7.0777777777777784</v>
      </c>
      <c r="E32" s="14"/>
      <c r="F32" s="20">
        <f t="shared" ref="F32:G32" si="110">F31/F14</f>
        <v>29.794871794871792</v>
      </c>
      <c r="G32" s="20">
        <f t="shared" si="110"/>
        <v>4.5600000000000005</v>
      </c>
      <c r="H32" s="14"/>
      <c r="I32" s="20">
        <f t="shared" ref="I32:J32" si="111">I31/I14</f>
        <v>4.563380281690141</v>
      </c>
      <c r="J32" s="20">
        <f t="shared" si="111"/>
        <v>2.5765765765765769</v>
      </c>
      <c r="K32" s="14"/>
      <c r="L32" s="20">
        <f t="shared" ref="L32:M32" si="112">L31/L14</f>
        <v>200</v>
      </c>
      <c r="M32" s="20">
        <f t="shared" si="112"/>
        <v>3.641025641025641</v>
      </c>
      <c r="N32" s="14"/>
      <c r="O32" s="14"/>
      <c r="P32" s="14"/>
      <c r="Q32" s="14"/>
      <c r="R32" s="20">
        <f t="shared" ref="R32:S32" si="113">R31/R14</f>
        <v>3.6707317073170729</v>
      </c>
      <c r="S32" s="20">
        <f t="shared" si="113"/>
        <v>-17.777777777777779</v>
      </c>
      <c r="T32" s="20">
        <f t="shared" ref="T32:V32" si="114">T31/T14</f>
        <v>0.3</v>
      </c>
      <c r="U32" s="20">
        <f t="shared" si="114"/>
        <v>3.078125</v>
      </c>
      <c r="V32" s="20">
        <f t="shared" si="114"/>
        <v>-19.363636363636363</v>
      </c>
      <c r="W32" s="14"/>
      <c r="X32" s="20">
        <f t="shared" ref="X32:Y32" si="115">X31/X14</f>
        <v>4.5273972602739718</v>
      </c>
      <c r="Y32" s="20">
        <f t="shared" si="115"/>
        <v>2.8367346938775513</v>
      </c>
      <c r="Z32" s="14"/>
      <c r="AA32" s="14"/>
      <c r="AB32" s="14"/>
      <c r="AC32" s="20">
        <f>AC31/AC14</f>
        <v>0.52577319587628868</v>
      </c>
      <c r="AD32" s="20">
        <f t="shared" ref="AD32:AE32" si="116">AD31/AD14</f>
        <v>1.0526125730994154</v>
      </c>
      <c r="AE32" s="20">
        <f t="shared" si="116"/>
        <v>2.1690687369024979</v>
      </c>
      <c r="AF32" s="14"/>
      <c r="AG32" s="20">
        <f t="shared" ref="AG32:AH32" si="117">AG31/AG14</f>
        <v>9.109375</v>
      </c>
      <c r="AH32" s="20">
        <f t="shared" si="117"/>
        <v>7.628571428571429</v>
      </c>
      <c r="AI32" s="14"/>
      <c r="AJ32" s="20">
        <f t="shared" ref="AJ32:AK32" si="118">AJ31/AJ14</f>
        <v>0.17719298245614037</v>
      </c>
      <c r="AK32" s="20">
        <f t="shared" si="118"/>
        <v>1.711111111111111</v>
      </c>
      <c r="AL32" s="20">
        <f>AL31/AL14</f>
        <v>2.9225806451612901</v>
      </c>
      <c r="AM32" s="20">
        <f t="shared" ref="AM32:AN32" si="119">AM31/AM14</f>
        <v>13.818181818181818</v>
      </c>
      <c r="AN32" s="20">
        <f t="shared" si="119"/>
        <v>2.2088607594936707</v>
      </c>
      <c r="AO32" s="14"/>
      <c r="AP32" s="20">
        <f t="shared" ref="AP32:AQ32" si="120">AP31/AP14</f>
        <v>1.3225152129817446</v>
      </c>
      <c r="AQ32" s="20">
        <f t="shared" si="120"/>
        <v>1.0894736842105266</v>
      </c>
      <c r="AR32" s="14"/>
      <c r="AS32" s="20">
        <f t="shared" ref="AS32:AT32" si="121">AS31/AS14</f>
        <v>2.8596491228070176</v>
      </c>
      <c r="AT32" s="20">
        <f t="shared" si="121"/>
        <v>2.202247191011236</v>
      </c>
      <c r="AU32" s="20">
        <f>AU31/AU14</f>
        <v>0.68817204301075274</v>
      </c>
      <c r="AV32" s="20">
        <f t="shared" ref="AV32:AW32" si="122">AV31/AV14</f>
        <v>0.87431693989071035</v>
      </c>
      <c r="AW32" s="20">
        <f t="shared" si="122"/>
        <v>1.2804232804232805</v>
      </c>
      <c r="AX32" s="20">
        <v>0</v>
      </c>
      <c r="AY32" s="20">
        <f t="shared" ref="AY32" si="123">AY31/AY14</f>
        <v>2.268041237113402</v>
      </c>
      <c r="AZ32" s="20">
        <f t="shared" ref="AZ32" si="124">AZ31/AZ14</f>
        <v>1.6568627450980393</v>
      </c>
      <c r="BA32" s="20"/>
      <c r="BB32" s="20">
        <f t="shared" ref="BB32:BC32" si="125">BB31/BB14</f>
        <v>2.2675438596491229</v>
      </c>
      <c r="BC32" s="20">
        <f t="shared" si="125"/>
        <v>1.0990712074303406</v>
      </c>
      <c r="BD32" s="14"/>
      <c r="BE32" s="20">
        <f t="shared" ref="BE32:BF32" si="126">BE31/BE14</f>
        <v>26.125000000000004</v>
      </c>
      <c r="BF32" s="20">
        <f t="shared" si="126"/>
        <v>4.6806722689075633</v>
      </c>
    </row>
    <row r="33" spans="1:58" s="18" customFormat="1" x14ac:dyDescent="0.3">
      <c r="A33" s="18" t="s">
        <v>110</v>
      </c>
      <c r="C33" s="18">
        <f t="shared" ref="C33:D33" si="127">C31/C11</f>
        <v>0.67361111111111116</v>
      </c>
      <c r="D33" s="18">
        <f t="shared" si="127"/>
        <v>2.0548387096774192</v>
      </c>
      <c r="F33" s="18">
        <f t="shared" ref="F33:G33" si="128">F31/F11</f>
        <v>3.0181818181818181</v>
      </c>
      <c r="G33" s="18">
        <f t="shared" si="128"/>
        <v>2.0141342756183747</v>
      </c>
      <c r="I33" s="18">
        <f t="shared" ref="I33:J33" si="129">I31/I11</f>
        <v>0.92836676217765035</v>
      </c>
      <c r="J33" s="18">
        <f t="shared" si="129"/>
        <v>0.7546174142480212</v>
      </c>
      <c r="L33" s="18">
        <f t="shared" ref="L33:M33" si="130">L31/L11</f>
        <v>2</v>
      </c>
      <c r="M33" s="18">
        <f t="shared" si="130"/>
        <v>0.8160919540229884</v>
      </c>
      <c r="R33" s="18">
        <f t="shared" ref="R33:S33" si="131">R31/R11</f>
        <v>0.92331288343558293</v>
      </c>
      <c r="S33" s="18">
        <f t="shared" si="131"/>
        <v>0.8648648648648648</v>
      </c>
      <c r="T33" s="18">
        <f t="shared" ref="T33:V33" si="132">T31/T11</f>
        <v>0.11242973141786385</v>
      </c>
      <c r="U33" s="18">
        <f t="shared" si="132"/>
        <v>1.2628205128205128</v>
      </c>
      <c r="V33" s="18">
        <f t="shared" si="132"/>
        <v>5.6052631578947363</v>
      </c>
      <c r="X33" s="18">
        <f t="shared" ref="X33:Y33" si="133">X31/X11</f>
        <v>4.5273972602739718</v>
      </c>
      <c r="Y33" s="18">
        <f t="shared" si="133"/>
        <v>1.4839857651245552</v>
      </c>
      <c r="AC33" s="18">
        <f>AC31/AC11</f>
        <v>0.19376899696048633</v>
      </c>
      <c r="AD33" s="18">
        <f t="shared" ref="AD33:AE33" si="134">AD31/AD11</f>
        <v>0.3138489208633094</v>
      </c>
      <c r="AE33" s="18">
        <f t="shared" si="134"/>
        <v>0.46717724288840262</v>
      </c>
      <c r="AG33" s="18">
        <f t="shared" ref="AG33:AH33" si="135">AG31/AG11</f>
        <v>1.7720364741641335</v>
      </c>
      <c r="AH33" s="18">
        <f t="shared" si="135"/>
        <v>2.1360000000000001</v>
      </c>
      <c r="AJ33" s="18">
        <f t="shared" ref="AJ33:AK33" si="136">AJ31/AJ11</f>
        <v>4.1563786008230463E-2</v>
      </c>
      <c r="AK33" s="18">
        <f t="shared" si="136"/>
        <v>0.14128440366972478</v>
      </c>
      <c r="AL33" s="18">
        <f>AL31/AL11</f>
        <v>1.0683962264150944</v>
      </c>
      <c r="AM33" s="18">
        <f t="shared" ref="AM33:AN33" si="137">AM31/AM11</f>
        <v>1.5833333333333335</v>
      </c>
      <c r="AN33" s="18">
        <f t="shared" si="137"/>
        <v>0.85539215686274506</v>
      </c>
      <c r="AP33" s="18">
        <f t="shared" ref="AP33:AQ33" si="138">AP31/AP11</f>
        <v>0.6721649484536083</v>
      </c>
      <c r="AQ33" s="18">
        <f t="shared" si="138"/>
        <v>0.45494505494505505</v>
      </c>
      <c r="AS33" s="18">
        <f t="shared" ref="AS33:AT33" si="139">AS31/AS11</f>
        <v>0.90055248618784522</v>
      </c>
      <c r="AT33" s="18">
        <f t="shared" si="139"/>
        <v>0.50256410256410255</v>
      </c>
      <c r="AU33" s="18">
        <f>AU31/AU11</f>
        <v>0.15256257449344457</v>
      </c>
      <c r="AV33" s="18">
        <f t="shared" ref="AV33:AW33" si="140">AV31/AV11</f>
        <v>0.20227560050568902</v>
      </c>
      <c r="AW33" s="18">
        <f t="shared" si="140"/>
        <v>0.40468227424749165</v>
      </c>
      <c r="AX33" s="18">
        <v>0</v>
      </c>
      <c r="AY33" s="18">
        <f t="shared" ref="AY33:AZ33" si="141">AY31/AY11</f>
        <v>1.2865497076023391</v>
      </c>
      <c r="AZ33" s="18">
        <f t="shared" si="141"/>
        <v>0.84499999999999997</v>
      </c>
      <c r="BB33" s="18">
        <f t="shared" ref="BB33:BC33" si="142">BB31/BB11</f>
        <v>0.87925170068027214</v>
      </c>
      <c r="BC33" s="18">
        <f t="shared" si="142"/>
        <v>1.0889570552147239</v>
      </c>
      <c r="BE33" s="18">
        <f t="shared" ref="BE33:BF33" si="143">BE31/BE11</f>
        <v>5.4051724137931041</v>
      </c>
      <c r="BF33" s="18">
        <f t="shared" si="143"/>
        <v>2.3208333333333337</v>
      </c>
    </row>
    <row r="34" spans="1:58" x14ac:dyDescent="0.3">
      <c r="A34" t="s">
        <v>128</v>
      </c>
      <c r="B34" s="18">
        <v>0</v>
      </c>
      <c r="C34" s="18">
        <f t="shared" ref="C34:D34" si="144">C12/C11</f>
        <v>0.41666666666666674</v>
      </c>
      <c r="D34" s="18">
        <f t="shared" si="144"/>
        <v>0.80645161290322576</v>
      </c>
      <c r="E34" s="18">
        <v>0</v>
      </c>
      <c r="F34" s="18">
        <f t="shared" ref="F34:G34" si="145">F12/F11</f>
        <v>0.64935064935064923</v>
      </c>
      <c r="G34" s="18">
        <f t="shared" si="145"/>
        <v>0.5512367491166078</v>
      </c>
      <c r="H34" s="18">
        <v>0</v>
      </c>
      <c r="I34" s="18">
        <f t="shared" ref="I34:J34" si="146">I12/I11</f>
        <v>0.51002865329512892</v>
      </c>
      <c r="J34" s="18">
        <f t="shared" si="146"/>
        <v>0.36411609498680741</v>
      </c>
      <c r="K34" s="18">
        <v>0</v>
      </c>
      <c r="L34" s="18">
        <f t="shared" ref="L34:M34" si="147">L12/L11</f>
        <v>0.72</v>
      </c>
      <c r="M34" s="18">
        <f t="shared" si="147"/>
        <v>0.53448275862068961</v>
      </c>
      <c r="N34" s="18">
        <v>0</v>
      </c>
      <c r="O34" s="18">
        <v>0</v>
      </c>
      <c r="P34" s="18">
        <v>0</v>
      </c>
      <c r="Q34" s="18">
        <v>0</v>
      </c>
      <c r="R34" s="18">
        <f t="shared" ref="R34:S34" si="148">R12/R11</f>
        <v>0.42024539877300615</v>
      </c>
      <c r="S34" s="18">
        <f t="shared" si="148"/>
        <v>0.60540540540540544</v>
      </c>
      <c r="T34" s="18">
        <f t="shared" ref="T34:V34" si="149">T12/T11</f>
        <v>0.74391005621486572</v>
      </c>
      <c r="U34" s="18">
        <f t="shared" si="149"/>
        <v>0.46794871794871795</v>
      </c>
      <c r="V34" s="18">
        <f t="shared" si="149"/>
        <v>0.97368421052631582</v>
      </c>
      <c r="W34" s="18">
        <v>0</v>
      </c>
      <c r="X34" s="18">
        <f t="shared" ref="X34:Y34" si="150">X12/X11</f>
        <v>0.3904109589041096</v>
      </c>
      <c r="Y34" s="18">
        <f t="shared" si="150"/>
        <v>0.7508896797153024</v>
      </c>
      <c r="Z34" s="18">
        <v>0</v>
      </c>
      <c r="AA34" s="18">
        <v>0</v>
      </c>
      <c r="AB34" s="18">
        <v>0</v>
      </c>
      <c r="AC34" s="18">
        <f>AC12/AC11</f>
        <v>0.3518237082066869</v>
      </c>
      <c r="AD34" s="18">
        <f t="shared" ref="AD34:AE34" si="151">AD12/AD11</f>
        <v>0.39478417266187049</v>
      </c>
      <c r="AE34" s="18">
        <f t="shared" si="151"/>
        <v>0.35667396061269147</v>
      </c>
      <c r="AF34" s="18">
        <v>0</v>
      </c>
      <c r="AG34" s="18">
        <f t="shared" ref="AG34:AH34" si="152">AG12/AG11</f>
        <v>0.39513677811550146</v>
      </c>
      <c r="AH34" s="18">
        <f t="shared" si="152"/>
        <v>0.24400000000000002</v>
      </c>
      <c r="AI34" s="18">
        <v>0</v>
      </c>
      <c r="AJ34" s="18">
        <f t="shared" ref="AJ34:AK34" si="153">AJ12/AJ11</f>
        <v>0.34979423868312759</v>
      </c>
      <c r="AK34" s="18">
        <f t="shared" si="153"/>
        <v>0.6330275229357798</v>
      </c>
      <c r="AL34" s="18">
        <f>AL12/AL11</f>
        <v>0.54481132075471694</v>
      </c>
      <c r="AM34" s="18">
        <f t="shared" ref="AM34:AN34" si="154">AM12/AM11</f>
        <v>0.40277777777777779</v>
      </c>
      <c r="AN34" s="18">
        <f t="shared" si="154"/>
        <v>0.26715686274509803</v>
      </c>
      <c r="AO34" s="18">
        <v>0</v>
      </c>
      <c r="AP34" s="18">
        <f t="shared" ref="AP34:AQ34" si="155">AP12/AP11</f>
        <v>0.34020618556701032</v>
      </c>
      <c r="AQ34" s="18">
        <f t="shared" si="155"/>
        <v>0.45054945054945056</v>
      </c>
      <c r="AR34" s="18">
        <v>0</v>
      </c>
      <c r="AS34" s="18">
        <f t="shared" ref="AS34:AT34" si="156">AS12/AS11</f>
        <v>0.54696132596685088</v>
      </c>
      <c r="AT34" s="18">
        <f t="shared" si="156"/>
        <v>0.48717948717948717</v>
      </c>
      <c r="AU34" s="18">
        <f>AU12/AU11</f>
        <v>0.48271752085816449</v>
      </c>
      <c r="AV34" s="18">
        <f t="shared" ref="AV34:AW34" si="157">AV12/AV11</f>
        <v>0.46144121365360302</v>
      </c>
      <c r="AW34" s="18">
        <f t="shared" si="157"/>
        <v>0.41638795986622068</v>
      </c>
      <c r="AX34" s="18">
        <v>0</v>
      </c>
      <c r="AY34" s="18">
        <f t="shared" ref="AY34:AZ34" si="158">AY12/AY11</f>
        <v>0.39766081871345033</v>
      </c>
      <c r="AZ34" s="18">
        <f t="shared" si="158"/>
        <v>0.41499999999999998</v>
      </c>
      <c r="BA34" s="18"/>
      <c r="BB34" s="18">
        <f t="shared" ref="BB34:BC34" si="159">BB12/BB11</f>
        <v>0.33673469387755101</v>
      </c>
      <c r="BC34" s="18">
        <f t="shared" si="159"/>
        <v>0.50613496932515334</v>
      </c>
      <c r="BD34" s="18">
        <v>0</v>
      </c>
      <c r="BE34" s="18">
        <f t="shared" ref="BE34:BF34" si="160">BE12/BE11</f>
        <v>0.57758620689655171</v>
      </c>
      <c r="BF34" s="18">
        <f t="shared" si="160"/>
        <v>0.37083333333333335</v>
      </c>
    </row>
    <row r="35" spans="1:58" x14ac:dyDescent="0.3">
      <c r="A35" t="s">
        <v>133</v>
      </c>
      <c r="B35" s="18">
        <v>0</v>
      </c>
      <c r="C35" s="18">
        <f t="shared" ref="C35:D35" si="161">(C12+C15)/C11</f>
        <v>0.52777777777777779</v>
      </c>
      <c r="D35" s="18">
        <f t="shared" si="161"/>
        <v>0.83225806451612905</v>
      </c>
      <c r="E35" s="18">
        <v>0</v>
      </c>
      <c r="F35" s="18">
        <f t="shared" ref="F35:G35" si="162">(F12+F15)/F11</f>
        <v>1.0337662337662337</v>
      </c>
      <c r="G35" s="18">
        <f t="shared" si="162"/>
        <v>0.73498233215547704</v>
      </c>
      <c r="H35" s="18">
        <v>0</v>
      </c>
      <c r="I35" s="18">
        <f t="shared" ref="I35:J35" si="163">(I12+I15)/I11</f>
        <v>0.7822349570200573</v>
      </c>
      <c r="J35" s="18">
        <f t="shared" si="163"/>
        <v>0.44327176781002636</v>
      </c>
      <c r="K35" s="18">
        <v>0</v>
      </c>
      <c r="L35" s="18">
        <f t="shared" ref="L35:M35" si="164">(L12+L15)/L11</f>
        <v>0.72</v>
      </c>
      <c r="M35" s="18">
        <f t="shared" si="164"/>
        <v>0.72413793103448276</v>
      </c>
      <c r="N35" s="18">
        <v>0</v>
      </c>
      <c r="O35" s="18">
        <v>0</v>
      </c>
      <c r="P35" s="18">
        <v>0</v>
      </c>
      <c r="Q35" s="18">
        <v>0</v>
      </c>
      <c r="R35" s="18">
        <f t="shared" ref="R35:S35" si="165">(R12+R15)/R11</f>
        <v>0.48466257668711654</v>
      </c>
      <c r="S35" s="18">
        <f t="shared" si="165"/>
        <v>0.6351351351351352</v>
      </c>
      <c r="T35" s="18">
        <f t="shared" ref="T35:V35" si="166">(T12+T15)/T11</f>
        <v>0.78201124297314173</v>
      </c>
      <c r="U35" s="18">
        <f t="shared" si="166"/>
        <v>0.51282051282051289</v>
      </c>
      <c r="V35" s="18">
        <f t="shared" si="166"/>
        <v>0.99736842105263157</v>
      </c>
      <c r="W35" s="18">
        <v>0</v>
      </c>
      <c r="X35" s="18">
        <f t="shared" ref="X35:Y35" si="167">(X12+X15)/X11</f>
        <v>0.3904109589041096</v>
      </c>
      <c r="Y35" s="18">
        <f t="shared" si="167"/>
        <v>0.95017793594306033</v>
      </c>
      <c r="Z35" s="18">
        <v>0</v>
      </c>
      <c r="AA35" s="18">
        <v>0</v>
      </c>
      <c r="AB35" s="18">
        <v>0</v>
      </c>
      <c r="AC35" s="18">
        <f>(AC12+AC15)/AC11</f>
        <v>0.55927051671732519</v>
      </c>
      <c r="AD35" s="18">
        <f t="shared" ref="AD35:AE35" si="168">(AD12+AD15)/AD11</f>
        <v>0.60251798561151082</v>
      </c>
      <c r="AE35" s="18">
        <f t="shared" si="168"/>
        <v>0.63019693654266962</v>
      </c>
      <c r="AF35" s="18">
        <v>0</v>
      </c>
      <c r="AG35" s="18">
        <f t="shared" ref="AG35:AH35" si="169">(AG12+AG15)/AG11</f>
        <v>0.47720364741641336</v>
      </c>
      <c r="AH35" s="18">
        <f t="shared" si="169"/>
        <v>0.28800000000000003</v>
      </c>
      <c r="AI35" s="18">
        <v>0</v>
      </c>
      <c r="AJ35" s="18">
        <f t="shared" ref="AJ35:AK35" si="170">(AJ12+AJ15)/AJ11</f>
        <v>0.53909465020576142</v>
      </c>
      <c r="AK35" s="18">
        <f t="shared" si="170"/>
        <v>0.68440366972477062</v>
      </c>
      <c r="AL35" s="18">
        <f>(AL12+AL15)/AL11</f>
        <v>0.60141509433962259</v>
      </c>
      <c r="AM35" s="18">
        <f t="shared" ref="AM35:AN35" si="171">(AM12+AM15)/AM11</f>
        <v>0.63194444444444442</v>
      </c>
      <c r="AN35" s="18">
        <f t="shared" si="171"/>
        <v>0.38725490196078427</v>
      </c>
      <c r="AO35" s="18">
        <v>0</v>
      </c>
      <c r="AP35" s="18">
        <f t="shared" ref="AP35:AQ35" si="172">(AP12+AP15)/AP11</f>
        <v>0.3587628865979382</v>
      </c>
      <c r="AQ35" s="18">
        <f t="shared" si="172"/>
        <v>0.51098901098901106</v>
      </c>
      <c r="AR35" s="18">
        <v>0</v>
      </c>
      <c r="AS35" s="18">
        <f t="shared" ref="AS35:AT35" si="173">(AS12+AS15)/AS11</f>
        <v>0.79005524861878451</v>
      </c>
      <c r="AT35" s="18">
        <f t="shared" si="173"/>
        <v>0.62051282051282053</v>
      </c>
      <c r="AU35" s="18">
        <f>(AU12+AU15)/AU11</f>
        <v>0.66150178784266989</v>
      </c>
      <c r="AV35" s="18">
        <f t="shared" ref="AV35:AW35" si="174">(AV12+AV15)/AV11</f>
        <v>0.59418457648546141</v>
      </c>
      <c r="AW35" s="18">
        <f t="shared" si="174"/>
        <v>0.59866220735785947</v>
      </c>
      <c r="AX35" s="18">
        <v>0</v>
      </c>
      <c r="AY35" s="18">
        <f t="shared" ref="AY35:AZ35" si="175">(AY12+AY15)/AY11</f>
        <v>0.57894736842105265</v>
      </c>
      <c r="AZ35" s="18">
        <f t="shared" si="175"/>
        <v>0.54749999999999999</v>
      </c>
      <c r="BA35" s="18"/>
      <c r="BB35" s="18">
        <f t="shared" ref="BB35:BC35" si="176">(BB12+BB15)/BB11</f>
        <v>0.46598639455782315</v>
      </c>
      <c r="BC35" s="18">
        <f t="shared" si="176"/>
        <v>0.9478527607361964</v>
      </c>
      <c r="BD35" s="18">
        <v>0</v>
      </c>
      <c r="BE35" s="18">
        <f t="shared" ref="BE35:BF35" si="177">(BE12+BE15)/BE11</f>
        <v>0.80172413793103448</v>
      </c>
      <c r="BF35" s="18">
        <f t="shared" si="177"/>
        <v>0.38500000000000001</v>
      </c>
    </row>
    <row r="36" spans="1:58" x14ac:dyDescent="0.3">
      <c r="A36" t="s">
        <v>144</v>
      </c>
      <c r="AU36" s="14">
        <f>Painel!BY36</f>
        <v>47</v>
      </c>
      <c r="AV36" s="14">
        <f>Painel!BZ36*IPC!G$3</f>
        <v>35.071000000000005</v>
      </c>
      <c r="AW36" s="14">
        <f>Painel!CC36*IPC!J$3</f>
        <v>34.014248857843384</v>
      </c>
    </row>
    <row r="37" spans="1:58" x14ac:dyDescent="0.3">
      <c r="A37" t="s">
        <v>142</v>
      </c>
      <c r="AU37" s="14">
        <f>Painel!BY37</f>
        <v>76</v>
      </c>
      <c r="AV37" s="14">
        <f>Painel!BZ37*IPC!G$3</f>
        <v>66.016000000000005</v>
      </c>
      <c r="AW37" s="14">
        <f>Painel!CC37*IPC!J$3</f>
        <v>66.76871072095183</v>
      </c>
    </row>
    <row r="38" spans="1:58" x14ac:dyDescent="0.3">
      <c r="A38" t="s">
        <v>143</v>
      </c>
      <c r="AU38" s="14">
        <f>AU10/AU37</f>
        <v>2.4605263157894739</v>
      </c>
      <c r="AV38" s="14">
        <f t="shared" ref="AV38:AW38" si="178">AV10/AV37</f>
        <v>2.71875</v>
      </c>
      <c r="AW38" s="14">
        <f t="shared" si="178"/>
        <v>2.0377358490566038</v>
      </c>
    </row>
    <row r="39" spans="1:58" x14ac:dyDescent="0.3">
      <c r="J39" s="28"/>
      <c r="P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dimension ref="A1:W12"/>
  <sheetViews>
    <sheetView showGridLines="0" zoomScale="110" zoomScaleNormal="11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F10" sqref="AF10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H3">
        <v>843</v>
      </c>
      <c r="I3">
        <v>580</v>
      </c>
      <c r="J3">
        <v>478</v>
      </c>
      <c r="K3">
        <v>312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X3">
        <v>88</v>
      </c>
      <c r="Y3">
        <v>91</v>
      </c>
      <c r="Z3">
        <v>125</v>
      </c>
      <c r="AB3">
        <v>97</v>
      </c>
      <c r="AC3">
        <v>117</v>
      </c>
      <c r="AD3">
        <v>104</v>
      </c>
      <c r="AE3">
        <v>97</v>
      </c>
      <c r="AF3">
        <v>0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D3">
        <v>85</v>
      </c>
      <c r="CE3">
        <v>97</v>
      </c>
      <c r="CF3" s="11">
        <v>59</v>
      </c>
      <c r="CG3" s="11">
        <v>39</v>
      </c>
      <c r="CH3" s="11">
        <v>49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X4">
        <f>18+13</f>
        <v>31</v>
      </c>
      <c r="Y4">
        <f>16+10</f>
        <v>26</v>
      </c>
      <c r="Z4">
        <f>28+14+16+11</f>
        <v>69</v>
      </c>
      <c r="AF4">
        <v>8.4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D4">
        <v>63</v>
      </c>
      <c r="CE4">
        <v>58</v>
      </c>
      <c r="CF4" s="11">
        <v>50</v>
      </c>
      <c r="CG4" s="11">
        <v>46</v>
      </c>
      <c r="CH4" s="11">
        <v>20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X5">
        <v>12</v>
      </c>
      <c r="Y5">
        <v>105</v>
      </c>
      <c r="Z5">
        <v>115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BU5">
        <v>10</v>
      </c>
      <c r="BV5">
        <v>76</v>
      </c>
      <c r="BW5">
        <v>79</v>
      </c>
      <c r="BX5">
        <v>68</v>
      </c>
      <c r="CD5">
        <v>107</v>
      </c>
      <c r="CE5">
        <v>142</v>
      </c>
      <c r="CF5" s="11">
        <v>133</v>
      </c>
      <c r="CG5" s="11">
        <v>136</v>
      </c>
      <c r="CH5" s="11">
        <v>165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X6">
        <v>234</v>
      </c>
      <c r="Y6">
        <v>336</v>
      </c>
      <c r="Z6">
        <v>319</v>
      </c>
      <c r="AF6">
        <v>9.5</v>
      </c>
      <c r="AL6">
        <v>33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D6">
        <v>108</v>
      </c>
      <c r="CE6">
        <f>22+25</f>
        <v>47</v>
      </c>
      <c r="CF6" s="11">
        <f>18+15</f>
        <v>33</v>
      </c>
      <c r="CG6" s="11">
        <f>17+6</f>
        <v>23</v>
      </c>
      <c r="CH6" s="11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X7">
        <v>366</v>
      </c>
      <c r="Y7">
        <v>216</v>
      </c>
      <c r="Z7">
        <v>91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D7">
        <v>55</v>
      </c>
      <c r="CE7">
        <v>96</v>
      </c>
      <c r="CF7" s="11">
        <v>78</v>
      </c>
      <c r="CG7" s="11">
        <v>113</v>
      </c>
      <c r="CH7" s="11">
        <v>104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f>SUM(G3:G7)</f>
        <v>0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0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X8">
        <f>SUM(X3:X7)</f>
        <v>731</v>
      </c>
      <c r="Y8">
        <f>SUM(Y3:Y7)</f>
        <v>774</v>
      </c>
      <c r="Z8">
        <f>SUM(Z3:Z7)</f>
        <v>719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17.899999999999999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U8">
        <f>SUM(AU3:AU7)</f>
        <v>255</v>
      </c>
      <c r="AV8">
        <f t="shared" ref="AV8" si="25">SUM(AV3:AV7)</f>
        <v>349</v>
      </c>
      <c r="AW8">
        <f t="shared" ref="AW8" si="26">SUM(AW3:AW7)</f>
        <v>408</v>
      </c>
      <c r="AX8">
        <f t="shared" ref="AX8" si="27">SUM(AX3:AX7)</f>
        <v>438</v>
      </c>
      <c r="AY8">
        <f t="shared" ref="AY8" si="28">SUM(AY3:AY7)</f>
        <v>427</v>
      </c>
      <c r="AZ8">
        <f>SUM(AZ3:AZ7)</f>
        <v>0</v>
      </c>
      <c r="BA8">
        <f t="shared" ref="BA8" si="29">SUM(BA3:BA7)</f>
        <v>583</v>
      </c>
      <c r="BB8">
        <f t="shared" ref="BB8" si="30">SUM(BB3:BB7)</f>
        <v>552</v>
      </c>
      <c r="BC8">
        <f t="shared" ref="BC8" si="31">SUM(BC3:BC7)</f>
        <v>597</v>
      </c>
      <c r="BD8">
        <f t="shared" ref="BD8" si="32">SUM(BD3:BD7)</f>
        <v>534</v>
      </c>
      <c r="BE8">
        <f>SUM(BE3:BE7)</f>
        <v>0</v>
      </c>
      <c r="BF8">
        <f t="shared" ref="BF8" si="33">SUM(BF3:BF7)</f>
        <v>10.100000000000001</v>
      </c>
      <c r="BG8">
        <f t="shared" ref="BG8" si="34">SUM(BG3:BG7)</f>
        <v>12.3</v>
      </c>
      <c r="BH8">
        <f t="shared" ref="BH8" si="35">SUM(BH3:BH7)</f>
        <v>17.399999999999999</v>
      </c>
      <c r="BI8">
        <f t="shared" ref="BI8" si="36">SUM(BI3:BI7)</f>
        <v>15.4</v>
      </c>
      <c r="BJ8">
        <f>SUM(BJ3:BJ7)</f>
        <v>453</v>
      </c>
      <c r="BK8">
        <f t="shared" ref="BK8" si="37">SUM(BK3:BK7)</f>
        <v>456</v>
      </c>
      <c r="BL8">
        <f t="shared" ref="BL8" si="38">SUM(BL3:BL7)</f>
        <v>347</v>
      </c>
      <c r="BM8">
        <f t="shared" ref="BM8" si="39">SUM(BM3:BM7)</f>
        <v>332</v>
      </c>
      <c r="BN8">
        <f t="shared" ref="BN8" si="40">SUM(BN3:BN7)</f>
        <v>349</v>
      </c>
      <c r="BO8">
        <f>SUM(BO3:BO7)</f>
        <v>0</v>
      </c>
      <c r="BP8">
        <f t="shared" ref="BP8" si="41">SUM(BP3:BP7)</f>
        <v>65.2</v>
      </c>
      <c r="BQ8">
        <f t="shared" ref="BQ8" si="42">SUM(BQ3:BQ7)</f>
        <v>72.400000000000006</v>
      </c>
      <c r="BR8">
        <f t="shared" ref="BR8" si="43">SUM(BR3:BR7)</f>
        <v>58.4</v>
      </c>
      <c r="BS8">
        <f t="shared" ref="BS8" si="44">SUM(BS3:BS7)</f>
        <v>41.400000000000006</v>
      </c>
      <c r="BT8">
        <f>SUM(BT3:BT7)</f>
        <v>0</v>
      </c>
      <c r="BU8">
        <f t="shared" ref="BU8" si="45">SUM(BU3:BU7)</f>
        <v>326</v>
      </c>
      <c r="BV8">
        <f t="shared" ref="BV8" si="46">SUM(BV3:BV7)</f>
        <v>346</v>
      </c>
      <c r="BW8">
        <f t="shared" ref="BW8" si="47">SUM(BW3:BW7)</f>
        <v>332</v>
      </c>
      <c r="BX8">
        <f t="shared" ref="BX8" si="48">SUM(BX3:BX7)</f>
        <v>196</v>
      </c>
      <c r="BY8">
        <f>SUM(BY3:BY7)</f>
        <v>151</v>
      </c>
      <c r="BZ8">
        <f t="shared" ref="BZ8" si="49">SUM(BZ3:BZ7)</f>
        <v>160</v>
      </c>
      <c r="CA8">
        <f t="shared" ref="CA8" si="50">SUM(CA3:CA7)</f>
        <v>181</v>
      </c>
      <c r="CB8">
        <f t="shared" ref="CB8" si="51">SUM(CB3:CB7)</f>
        <v>272</v>
      </c>
      <c r="CC8">
        <f t="shared" ref="CC8" si="52">SUM(CC3:CC7)</f>
        <v>242</v>
      </c>
      <c r="CD8">
        <f>SUM(CD3:CD7)</f>
        <v>418</v>
      </c>
      <c r="CE8">
        <f t="shared" ref="CE8" si="53">SUM(CE3:CE7)</f>
        <v>440</v>
      </c>
      <c r="CF8">
        <f t="shared" ref="CF8" si="54">SUM(CF3:CF7)</f>
        <v>353</v>
      </c>
      <c r="CG8">
        <f t="shared" ref="CG8" si="55">SUM(CG3:CG7)</f>
        <v>357</v>
      </c>
      <c r="CH8">
        <f t="shared" ref="CH8" si="56">SUM(CH3:CH7)</f>
        <v>338</v>
      </c>
      <c r="CI8">
        <f>SUM(CI3:CI7)</f>
        <v>0</v>
      </c>
      <c r="CJ8">
        <f t="shared" ref="CJ8" si="57">SUM(CJ3:CJ7)</f>
        <v>517</v>
      </c>
      <c r="CK8">
        <f t="shared" ref="CK8" si="58">SUM(CK3:CK7)</f>
        <v>479</v>
      </c>
      <c r="CL8">
        <f t="shared" ref="CL8" si="59">SUM(CL3:CL7)</f>
        <v>361</v>
      </c>
      <c r="CM8">
        <f t="shared" ref="CM8" si="60">SUM(CM3:CM7)</f>
        <v>355</v>
      </c>
      <c r="CN8">
        <f>SUM(CN3:CN7)</f>
        <v>0</v>
      </c>
      <c r="CO8">
        <f t="shared" ref="CO8" si="61">SUM(CO3:CO7)</f>
        <v>627</v>
      </c>
      <c r="CP8">
        <f t="shared" ref="CP8" si="62">SUM(CP3:CP7)</f>
        <v>681</v>
      </c>
      <c r="CQ8">
        <f t="shared" ref="CQ8" si="63">SUM(CQ3:CQ7)</f>
        <v>824</v>
      </c>
      <c r="CR8">
        <f t="shared" ref="CR8" si="64">SUM(CR3:CR7)</f>
        <v>557</v>
      </c>
      <c r="CS8">
        <f>SUM(CS3:CS7)</f>
        <v>0</v>
      </c>
      <c r="CT8">
        <f t="shared" ref="CT8" si="65">SUM(CT3:CT7)</f>
        <v>16.3</v>
      </c>
      <c r="CU8">
        <f t="shared" ref="CU8" si="66">SUM(CU3:CU7)</f>
        <v>18.5</v>
      </c>
      <c r="CV8">
        <f t="shared" ref="CV8" si="67">SUM(CV3:CV7)</f>
        <v>18.399999999999999</v>
      </c>
      <c r="CW8">
        <f t="shared" ref="CW8" si="68">SUM(CW3:CW7)</f>
        <v>12.7</v>
      </c>
      <c r="CX8">
        <f>SUM(CX3:CX7)</f>
        <v>20.3</v>
      </c>
      <c r="CY8">
        <f t="shared" ref="CY8" si="69">SUM(CY3:CY7)</f>
        <v>3.3</v>
      </c>
      <c r="CZ8">
        <f t="shared" ref="CZ8" si="70">SUM(CZ3:CZ7)</f>
        <v>12.3</v>
      </c>
      <c r="DA8">
        <f t="shared" ref="DA8" si="71">SUM(DA3:DA7)</f>
        <v>8.1999999999999993</v>
      </c>
      <c r="DB8">
        <f t="shared" ref="DB8" si="72">SUM(DB3:DB7)</f>
        <v>9.1999999999999993</v>
      </c>
      <c r="DC8">
        <f>SUM(DC3:DC7)</f>
        <v>0</v>
      </c>
      <c r="DD8">
        <f t="shared" ref="DD8" si="73">SUM(DD3:DD7)</f>
        <v>17.799999999999997</v>
      </c>
      <c r="DE8">
        <f t="shared" ref="DE8" si="74">SUM(DE3:DE7)</f>
        <v>20.6</v>
      </c>
      <c r="DF8">
        <f t="shared" ref="DF8" si="75">SUM(DF3:DF7)</f>
        <v>21.7</v>
      </c>
      <c r="DG8">
        <f t="shared" ref="DG8" si="76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7">D11-D12+D13</f>
        <v>22</v>
      </c>
      <c r="E10">
        <f t="shared" si="77"/>
        <v>3</v>
      </c>
      <c r="F10">
        <f t="shared" si="77"/>
        <v>-9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8">N11-N12+N13</f>
        <v>65</v>
      </c>
      <c r="O10">
        <f t="shared" si="78"/>
        <v>134</v>
      </c>
      <c r="P10">
        <f t="shared" si="78"/>
        <v>111</v>
      </c>
      <c r="R10">
        <f>R11-R12+R13</f>
        <v>1</v>
      </c>
      <c r="S10">
        <f t="shared" ref="S10" si="79">S11-S12+S13</f>
        <v>37</v>
      </c>
      <c r="T10">
        <f t="shared" ref="T10" si="80">T11-T12+T13</f>
        <v>-13</v>
      </c>
      <c r="U10">
        <f t="shared" ref="U10" si="81">U11-U12+U13</f>
        <v>39</v>
      </c>
      <c r="X10">
        <f t="shared" ref="X10:Z10" si="82">X11-X12+X13</f>
        <v>-20</v>
      </c>
      <c r="Y10">
        <f t="shared" si="82"/>
        <v>13</v>
      </c>
      <c r="Z10">
        <f t="shared" si="82"/>
        <v>51</v>
      </c>
      <c r="AB10">
        <f>AB11-AB12+AB13</f>
        <v>164</v>
      </c>
      <c r="AC10">
        <f t="shared" ref="AC10" si="83">AC11-AC12+AC13</f>
        <v>178</v>
      </c>
      <c r="AD10">
        <f t="shared" ref="AD10" si="84">AD11-AD12+AD13</f>
        <v>40</v>
      </c>
      <c r="AE10">
        <f t="shared" ref="AE10" si="85">AE11-AE12+AE13</f>
        <v>-18</v>
      </c>
      <c r="AF10">
        <f>AF11-AF12+AF13</f>
        <v>60</v>
      </c>
      <c r="AG10">
        <f>AG11-AG12+AG13</f>
        <v>64</v>
      </c>
      <c r="AH10">
        <f t="shared" ref="AH10" si="86">AH11-AH12+AH13</f>
        <v>22</v>
      </c>
      <c r="AI10">
        <f t="shared" ref="AI10" si="87">AI11-AI12+AI13</f>
        <v>24</v>
      </c>
      <c r="AJ10">
        <f t="shared" ref="AJ10" si="88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89">BI11-BI12+BI13</f>
        <v>9</v>
      </c>
      <c r="BJ10">
        <f t="shared" si="89"/>
        <v>155</v>
      </c>
      <c r="BK10">
        <f t="shared" si="89"/>
        <v>33</v>
      </c>
      <c r="BL10">
        <f t="shared" si="89"/>
        <v>173</v>
      </c>
      <c r="BM10">
        <f t="shared" si="89"/>
        <v>130</v>
      </c>
      <c r="BN10">
        <f t="shared" si="89"/>
        <v>158</v>
      </c>
      <c r="BP10">
        <f>BP11-BP12+BP13</f>
        <v>49.3</v>
      </c>
      <c r="BQ10">
        <f t="shared" ref="BQ10:BS10" si="90">BQ11-BQ12+BQ13</f>
        <v>20</v>
      </c>
      <c r="BR10">
        <f t="shared" si="90"/>
        <v>29</v>
      </c>
      <c r="BS10">
        <f t="shared" si="90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D10">
        <f>CD11-CD12+CD13</f>
        <v>192</v>
      </c>
      <c r="CE10" s="11">
        <f>CE11-CE12+CE13</f>
        <v>194</v>
      </c>
      <c r="CF10" s="11">
        <f t="shared" ref="CF10" si="91">CF11-CF12+CF13</f>
        <v>214</v>
      </c>
      <c r="CG10" s="11">
        <f t="shared" ref="CG10" si="92">CG11-CG12+CG13</f>
        <v>9</v>
      </c>
      <c r="CH10" s="11">
        <f t="shared" ref="CH10" si="93">CH11-CH12+CH13</f>
        <v>204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4">CP11-CP12+CP13</f>
        <v>84</v>
      </c>
      <c r="CQ10">
        <f t="shared" ref="CQ10" si="95">CQ11-CQ12+CQ13</f>
        <v>71</v>
      </c>
      <c r="CR10">
        <f t="shared" ref="CR10" si="96">CR11-CR12+CR13</f>
        <v>119</v>
      </c>
      <c r="CT10">
        <f t="shared" ref="CT10:CY10" si="97">CT11-CT12+CT13</f>
        <v>14.000000000000005</v>
      </c>
      <c r="CU10">
        <f t="shared" si="97"/>
        <v>32.6</v>
      </c>
      <c r="CV10">
        <f t="shared" si="97"/>
        <v>4.26</v>
      </c>
      <c r="CW10">
        <f t="shared" si="97"/>
        <v>3.5</v>
      </c>
      <c r="CX10">
        <f t="shared" si="97"/>
        <v>59.8</v>
      </c>
      <c r="CY10">
        <f t="shared" si="97"/>
        <v>3.3000000000000007</v>
      </c>
      <c r="CZ10">
        <f t="shared" ref="CZ10:DD10" si="98">CZ11-CZ12+CZ13</f>
        <v>-2.6999999999999993</v>
      </c>
      <c r="DA10">
        <f t="shared" si="98"/>
        <v>1.2000000000000011</v>
      </c>
      <c r="DB10">
        <f t="shared" si="98"/>
        <v>1</v>
      </c>
      <c r="DD10">
        <f t="shared" si="98"/>
        <v>14</v>
      </c>
      <c r="DE10">
        <f t="shared" ref="DE10" si="99">DE11-DE12+DE13</f>
        <v>17</v>
      </c>
      <c r="DF10">
        <f t="shared" ref="DF10" si="100">DF11-DF12+DF13</f>
        <v>5</v>
      </c>
      <c r="DG10">
        <f t="shared" ref="DG10" si="101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>
        <f>160+96</f>
        <v>256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X12">
        <f>121+6+11</f>
        <v>138</v>
      </c>
      <c r="Y12">
        <f>121+6+11</f>
        <v>138</v>
      </c>
      <c r="Z12">
        <f>116+24</f>
        <v>140</v>
      </c>
      <c r="AB12">
        <v>565</v>
      </c>
      <c r="AC12">
        <v>332</v>
      </c>
      <c r="AD12">
        <v>462</v>
      </c>
      <c r="AE12">
        <v>454</v>
      </c>
      <c r="AF12">
        <v>208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D12">
        <f>224+58</f>
        <v>282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F13">
        <v>12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D13">
        <f>47+3</f>
        <v>50</v>
      </c>
      <c r="CE13" s="11">
        <f>20+3</f>
        <v>23</v>
      </c>
      <c r="CF13" s="11">
        <f>22+3</f>
        <v>25</v>
      </c>
      <c r="CG13" s="11">
        <f>30+2</f>
        <v>32</v>
      </c>
      <c r="CH13" s="11">
        <f>37+2</f>
        <v>39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2">+AV25</f>
        <v>0</v>
      </c>
      <c r="AW17">
        <f t="shared" si="102"/>
        <v>0</v>
      </c>
      <c r="AX17">
        <f t="shared" si="102"/>
        <v>0</v>
      </c>
      <c r="AY17">
        <f t="shared" si="102"/>
        <v>0</v>
      </c>
      <c r="BY17">
        <f>+BY25</f>
        <v>0</v>
      </c>
      <c r="BZ17">
        <f>+BZ25</f>
        <v>0</v>
      </c>
      <c r="CA17">
        <f t="shared" ref="CA17:CB17" si="103">+CA25</f>
        <v>0</v>
      </c>
      <c r="CB17">
        <f t="shared" si="103"/>
        <v>0</v>
      </c>
      <c r="CC17">
        <f t="shared" ref="CC17" si="104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0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0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142</v>
      </c>
      <c r="X18">
        <f>Painel!X11</f>
        <v>118</v>
      </c>
      <c r="Y18">
        <f>Painel!Y11</f>
        <v>151</v>
      </c>
      <c r="Z18">
        <f>Painel!Z11</f>
        <v>191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160.1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0</v>
      </c>
      <c r="AQ18">
        <f>Painel!AQ11</f>
        <v>0</v>
      </c>
      <c r="AR18">
        <f>Painel!AR11</f>
        <v>0</v>
      </c>
      <c r="AS18">
        <f>Painel!AS11</f>
        <v>0</v>
      </c>
      <c r="AT18">
        <f>Painel!AT11</f>
        <v>0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424</v>
      </c>
      <c r="CE18">
        <f>Painel!CE11</f>
        <v>342</v>
      </c>
      <c r="CF18">
        <f>Painel!CF11</f>
        <v>407</v>
      </c>
      <c r="CG18">
        <f>Painel!CG11</f>
        <v>240</v>
      </c>
      <c r="CH18">
        <f>Painel!CH11</f>
        <v>400</v>
      </c>
      <c r="CI18">
        <f>Painel!CI11</f>
        <v>0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0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0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64.399999999999991</v>
      </c>
      <c r="Y20">
        <f>Painel!Y12</f>
        <v>71.599999999999994</v>
      </c>
      <c r="Z20">
        <f>Painel!Z12</f>
        <v>74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119.1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0</v>
      </c>
      <c r="AQ20">
        <f>Painel!AQ12</f>
        <v>0</v>
      </c>
      <c r="AR20">
        <f>Painel!AR12</f>
        <v>0</v>
      </c>
      <c r="AS20">
        <f>Painel!AS12</f>
        <v>0</v>
      </c>
      <c r="AT20">
        <f>Painel!AT12</f>
        <v>0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171.5</v>
      </c>
      <c r="CE20">
        <f>Painel!CE12</f>
        <v>136</v>
      </c>
      <c r="CF20">
        <f>Painel!CF12</f>
        <v>133</v>
      </c>
      <c r="CG20">
        <f>Painel!CG12</f>
        <v>137</v>
      </c>
      <c r="CH20">
        <f>Painel!CH12</f>
        <v>166</v>
      </c>
      <c r="CI20">
        <f>Painel!CI12</f>
        <v>0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5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6">(LN(21)-LN(B45))/LN(21)</f>
        <v>0.36084880671453018</v>
      </c>
      <c r="H45" s="19">
        <f t="shared" si="105"/>
        <v>1</v>
      </c>
      <c r="I45" s="19">
        <f t="shared" ref="I45" si="107">(LN(21)-LN(D45))/LN(21)</f>
        <v>0.63915119328546977</v>
      </c>
      <c r="J45" s="19">
        <f t="shared" ref="J45" si="108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09">(LN(21)-LN(C63))/LN(21)</f>
        <v>0.27830238657093959</v>
      </c>
      <c r="I63">
        <f t="shared" si="109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W8 AA8:DG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</vt:lpstr>
      <vt:lpstr>Caixa</vt:lpstr>
      <vt:lpstr>Índices</vt:lpstr>
      <vt:lpstr>Painel</vt:lpstr>
      <vt:lpstr>Painel_Cte</vt:lpstr>
      <vt:lpstr>Painel_Cte (2)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2024-04-26T18:15:53Z</dcterms:modified>
</cp:coreProperties>
</file>