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5E68464F-4076-4826-A263-87FB76DB1F8D}" xr6:coauthVersionLast="47" xr6:coauthVersionMax="47" xr10:uidLastSave="{00000000-0000-0000-0000-000000000000}"/>
  <bookViews>
    <workbookView xWindow="-108" yWindow="-108" windowWidth="23256" windowHeight="12576" activeTab="2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lanilha1" sheetId="3" r:id="rId6"/>
    <sheet name="Transparência" sheetId="8" r:id="rId7"/>
    <sheet name="IPC" sheetId="6" r:id="rId8"/>
  </sheets>
  <definedNames>
    <definedName name="_xlnm._FilterDatabase" localSheetId="2" hidden="1">Índices!$A$1:$T$39</definedName>
    <definedName name="_xlnm._FilterDatabase" localSheetId="5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2" l="1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K53" i="2"/>
  <c r="Q53" i="2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2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C8" i="3"/>
  <c r="D8" i="3"/>
  <c r="E8" i="3"/>
  <c r="F8" i="3"/>
  <c r="B8" i="3"/>
  <c r="CC31" i="3" l="1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U28" i="2"/>
  <c r="V28" i="2"/>
  <c r="W28" i="2"/>
  <c r="F47" i="2"/>
  <c r="G47" i="2"/>
  <c r="H47" i="2"/>
  <c r="I47" i="2"/>
  <c r="J47" i="2"/>
  <c r="E47" i="2"/>
  <c r="D47" i="2"/>
  <c r="C47" i="2"/>
  <c r="B47" i="2"/>
  <c r="U47" i="2"/>
  <c r="V47" i="2"/>
  <c r="W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Y9" i="7" s="1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K30" i="5"/>
  <c r="J30" i="5"/>
  <c r="I30" i="5"/>
  <c r="H30" i="5"/>
  <c r="P30" i="5"/>
  <c r="O30" i="5"/>
  <c r="N30" i="5"/>
  <c r="M30" i="5"/>
  <c r="AO30" i="5"/>
  <c r="AN30" i="5"/>
  <c r="AM30" i="5"/>
  <c r="AL30" i="5"/>
  <c r="BD30" i="5"/>
  <c r="BC30" i="5"/>
  <c r="BB30" i="5"/>
  <c r="BA30" i="5"/>
  <c r="BI30" i="5"/>
  <c r="BN30" i="5"/>
  <c r="BM30" i="5"/>
  <c r="BL30" i="5"/>
  <c r="BK30" i="5"/>
  <c r="BS30" i="5"/>
  <c r="BR30" i="5"/>
  <c r="BX30" i="5"/>
  <c r="BV30" i="5"/>
  <c r="BU30" i="5"/>
  <c r="CH30" i="5"/>
  <c r="CG30" i="5"/>
  <c r="CF30" i="5"/>
  <c r="CE30" i="5"/>
  <c r="CL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L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CZ9" i="7" l="1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AU32" i="7"/>
  <c r="K31" i="7"/>
  <c r="J31" i="7"/>
  <c r="I31" i="7"/>
  <c r="H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BY3" i="5" l="1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F14" i="7"/>
  <c r="CG14" i="7"/>
  <c r="CH14" i="7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CE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Q48" i="2"/>
  <c r="K48" i="2"/>
  <c r="Q23" i="1"/>
  <c r="K23" i="1"/>
  <c r="AV30" i="5"/>
  <c r="AW30" i="5"/>
  <c r="AX30" i="5"/>
  <c r="AY30" i="5"/>
  <c r="AU30" i="5"/>
  <c r="B24" i="7"/>
  <c r="G24" i="7"/>
  <c r="L24" i="7"/>
  <c r="Q24" i="7"/>
  <c r="V24" i="7"/>
  <c r="W24" i="7"/>
  <c r="X24" i="7"/>
  <c r="Y24" i="7"/>
  <c r="Z24" i="7"/>
  <c r="AA24" i="7"/>
  <c r="AF24" i="7"/>
  <c r="AK24" i="7"/>
  <c r="AP24" i="7"/>
  <c r="BE24" i="7"/>
  <c r="BJ24" i="7"/>
  <c r="BO24" i="7"/>
  <c r="BT24" i="7"/>
  <c r="CD24" i="7"/>
  <c r="CI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J24" i="7" s="1"/>
  <c r="CK11" i="7"/>
  <c r="CK24" i="7" s="1"/>
  <c r="CL11" i="7"/>
  <c r="CL24" i="7" s="1"/>
  <c r="CM11" i="7"/>
  <c r="CM24" i="7" s="1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L3" i="7"/>
  <c r="CE16" i="7"/>
  <c r="CF16" i="7"/>
  <c r="CG16" i="7"/>
  <c r="CH16" i="7"/>
  <c r="CH15" i="7"/>
  <c r="CG15" i="7"/>
  <c r="CF15" i="7"/>
  <c r="CE15" i="7"/>
  <c r="CE11" i="7"/>
  <c r="CE24" i="7" s="1"/>
  <c r="CF11" i="7"/>
  <c r="CF24" i="7" s="1"/>
  <c r="CG11" i="7"/>
  <c r="CG24" i="7" s="1"/>
  <c r="CH11" i="7"/>
  <c r="CH24" i="7" s="1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CC24" i="7" s="1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U24" i="7" s="1"/>
  <c r="BV11" i="7"/>
  <c r="BV24" i="7" s="1"/>
  <c r="BW11" i="7"/>
  <c r="BW24" i="7" s="1"/>
  <c r="BX11" i="7"/>
  <c r="BX24" i="7" s="1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P24" i="7" s="1"/>
  <c r="BQ11" i="7"/>
  <c r="BR11" i="7"/>
  <c r="BS11" i="7"/>
  <c r="BS24" i="7" s="1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K24" i="7" s="1"/>
  <c r="BL11" i="7"/>
  <c r="BL24" i="7" s="1"/>
  <c r="BM11" i="7"/>
  <c r="BM24" i="7" s="1"/>
  <c r="BN11" i="7"/>
  <c r="BN24" i="7" s="1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F24" i="7" s="1"/>
  <c r="BG11" i="7"/>
  <c r="BG24" i="7" s="1"/>
  <c r="BH11" i="7"/>
  <c r="BH24" i="7" s="1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A24" i="7" s="1"/>
  <c r="BB11" i="7"/>
  <c r="BB24" i="7" s="1"/>
  <c r="BC11" i="7"/>
  <c r="BC24" i="7" s="1"/>
  <c r="BD11" i="7"/>
  <c r="BD24" i="7" s="1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W24" i="7" s="1"/>
  <c r="AX11" i="7"/>
  <c r="AX24" i="7" s="1"/>
  <c r="AY11" i="7"/>
  <c r="AY24" i="7" s="1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L24" i="7" s="1"/>
  <c r="AM11" i="7"/>
  <c r="AM24" i="7" s="1"/>
  <c r="AN11" i="7"/>
  <c r="AN24" i="7" s="1"/>
  <c r="AO11" i="7"/>
  <c r="AO24" i="7" s="1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G24" i="7" s="1"/>
  <c r="AH11" i="7"/>
  <c r="AH24" i="7" s="1"/>
  <c r="AI11" i="7"/>
  <c r="AI24" i="7" s="1"/>
  <c r="AJ11" i="7"/>
  <c r="AJ24" i="7" s="1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B24" i="7" s="1"/>
  <c r="AC11" i="7"/>
  <c r="AD11" i="7"/>
  <c r="AD24" i="7" s="1"/>
  <c r="AE11" i="7"/>
  <c r="AE24" i="7" s="1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R24" i="7" s="1"/>
  <c r="S11" i="7"/>
  <c r="S24" i="7" s="1"/>
  <c r="T11" i="7"/>
  <c r="T24" i="7" s="1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N24" i="7" s="1"/>
  <c r="O11" i="7"/>
  <c r="O24" i="7" s="1"/>
  <c r="P11" i="7"/>
  <c r="P24" i="7" s="1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H24" i="7" s="1"/>
  <c r="I11" i="7"/>
  <c r="I24" i="7" s="1"/>
  <c r="J11" i="7"/>
  <c r="J24" i="7" s="1"/>
  <c r="K11" i="7"/>
  <c r="K24" i="7" s="1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C24" i="7" s="1"/>
  <c r="D11" i="7"/>
  <c r="D24" i="7" s="1"/>
  <c r="E11" i="7"/>
  <c r="F11" i="7"/>
  <c r="F24" i="7" s="1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U22" i="1"/>
  <c r="Q22" i="1"/>
  <c r="K2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9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H12" i="5"/>
  <c r="CG12" i="5"/>
  <c r="CF12" i="5"/>
  <c r="CE12" i="5"/>
  <c r="CM12" i="5"/>
  <c r="CM20" i="3" s="1"/>
  <c r="CM3" i="5"/>
  <c r="CL12" i="5"/>
  <c r="CL20" i="3" s="1"/>
  <c r="CK12" i="5"/>
  <c r="CJ12" i="5"/>
  <c r="CK3" i="5"/>
  <c r="CJ3" i="5"/>
  <c r="BL9" i="7" l="1"/>
  <c r="BV9" i="7"/>
  <c r="CL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BY9" i="5"/>
  <c r="CJ30" i="5"/>
  <c r="CJ9" i="5"/>
  <c r="CF12" i="7"/>
  <c r="CF20" i="3"/>
  <c r="CO11" i="7"/>
  <c r="CO24" i="7" s="1"/>
  <c r="CO18" i="3"/>
  <c r="BD9" i="7"/>
  <c r="CK3" i="7"/>
  <c r="CK9" i="7" s="1"/>
  <c r="CK30" i="5"/>
  <c r="CK9" i="5"/>
  <c r="CG12" i="7"/>
  <c r="CG20" i="3"/>
  <c r="CO12" i="7"/>
  <c r="CO20" i="3"/>
  <c r="CR11" i="7"/>
  <c r="CR24" i="7" s="1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30" i="5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24" i="7" s="1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AU24" i="7"/>
  <c r="AU33" i="7"/>
  <c r="CP3" i="7"/>
  <c r="CP9" i="7" s="1"/>
  <c r="CR3" i="7"/>
  <c r="CR9" i="7" s="1"/>
  <c r="BY24" i="7"/>
  <c r="CO10" i="3"/>
  <c r="CJ3" i="7"/>
  <c r="CJ9" i="7" s="1"/>
  <c r="CM3" i="7"/>
  <c r="CM9" i="7" s="1"/>
  <c r="E24" i="7"/>
  <c r="U24" i="7"/>
  <c r="AC24" i="7"/>
  <c r="M24" i="7"/>
  <c r="BI24" i="7"/>
  <c r="AV24" i="7"/>
  <c r="BR24" i="7"/>
  <c r="CP24" i="7"/>
  <c r="BQ24" i="7"/>
  <c r="CC13" i="5"/>
  <c r="CC13" i="7" s="1"/>
  <c r="CC12" i="7"/>
  <c r="CC3" i="5"/>
  <c r="CC9" i="5" s="1"/>
  <c r="CB13" i="5"/>
  <c r="CB13" i="7" s="1"/>
  <c r="CB12" i="7"/>
  <c r="CB11" i="5"/>
  <c r="CB3" i="5"/>
  <c r="CB9" i="5" s="1"/>
  <c r="CA13" i="5"/>
  <c r="CA13" i="7" s="1"/>
  <c r="BZ13" i="5"/>
  <c r="BZ13" i="7" s="1"/>
  <c r="CA12" i="7"/>
  <c r="BZ12" i="7"/>
  <c r="CA11" i="5"/>
  <c r="CA3" i="5"/>
  <c r="CA9" i="5" s="1"/>
  <c r="BZ11" i="5"/>
  <c r="BZ3" i="5"/>
  <c r="BZ9" i="5" s="1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X9" i="5"/>
  <c r="AY9" i="5"/>
  <c r="AW12" i="5"/>
  <c r="AW9" i="5"/>
  <c r="AV12" i="5"/>
  <c r="AV9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L47" i="2"/>
  <c r="M47" i="2"/>
  <c r="N47" i="2"/>
  <c r="O47" i="2"/>
  <c r="P47" i="2"/>
  <c r="Q47" i="2"/>
  <c r="R47" i="2"/>
  <c r="S47" i="2"/>
  <c r="T47" i="2"/>
  <c r="C28" i="2"/>
  <c r="D28" i="2"/>
  <c r="E28" i="2"/>
  <c r="F28" i="2"/>
  <c r="G28" i="2"/>
  <c r="H28" i="2"/>
  <c r="I28" i="2"/>
  <c r="J28" i="2"/>
  <c r="R28" i="2"/>
  <c r="S28" i="2"/>
  <c r="T28" i="2"/>
  <c r="B2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BY16" i="3" l="1"/>
  <c r="AO12" i="7"/>
  <c r="AO20" i="3"/>
  <c r="AH12" i="7"/>
  <c r="AH20" i="3"/>
  <c r="BG30" i="5"/>
  <c r="BG9" i="5"/>
  <c r="CB11" i="7"/>
  <c r="CB24" i="7" s="1"/>
  <c r="CB18" i="3"/>
  <c r="BY27" i="3"/>
  <c r="BY29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24" i="7" s="1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CC30" i="5"/>
  <c r="CC3" i="7"/>
  <c r="CC9" i="7" s="1"/>
  <c r="BW3" i="7"/>
  <c r="BW9" i="7" s="1"/>
  <c r="CB30" i="5"/>
  <c r="CB3" i="7"/>
  <c r="CB9" i="7" s="1"/>
  <c r="BH3" i="7"/>
  <c r="BH9" i="7" s="1"/>
  <c r="P8" i="7"/>
  <c r="P9" i="7" s="1"/>
  <c r="CA3" i="7"/>
  <c r="CA9" i="7" s="1"/>
  <c r="CA30" i="5"/>
  <c r="BZ24" i="7"/>
  <c r="BZ30" i="5"/>
  <c r="BZ3" i="7"/>
  <c r="BZ9" i="7" s="1"/>
  <c r="AU27" i="3" l="1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8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9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0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1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2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3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4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5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6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sharedStrings.xml><?xml version="1.0" encoding="utf-8"?>
<sst xmlns="http://schemas.openxmlformats.org/spreadsheetml/2006/main" count="459" uniqueCount="140">
  <si>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</si>
  <si>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</si>
  <si>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</si>
  <si>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</si>
  <si>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</si>
  <si>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</si>
  <si>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</si>
  <si>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</si>
  <si>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</si>
  <si>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</si>
  <si>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</si>
  <si>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</si>
  <si>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</si>
  <si>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</si>
  <si>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</si>
  <si>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</si>
  <si>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</si>
  <si>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</si>
  <si>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</si>
  <si>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</si>
  <si>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</si>
  <si>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</si>
  <si>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</si>
  <si>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</si>
  <si>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</si>
  <si>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</si>
  <si>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</si>
  <si>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</si>
  <si>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</si>
  <si>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</si>
  <si>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</si>
  <si>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</si>
  <si>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</si>
  <si>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</si>
  <si>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</si>
  <si>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</si>
  <si>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</si>
  <si>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</si>
  <si>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</si>
  <si>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</si>
  <si>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</si>
  <si>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</si>
  <si>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</si>
  <si>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</si>
  <si>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</si>
  <si>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</si>
  <si>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</si>
  <si>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</si>
  <si>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</si>
  <si>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</si>
  <si>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</si>
  <si>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</si>
  <si>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</si>
  <si>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</si>
  <si>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</si>
  <si>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</si>
  <si>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</si>
  <si>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</si>
  <si>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</si>
  <si>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</si>
  <si>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</si>
  <si>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</si>
  <si>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</si>
  <si>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</si>
  <si>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</si>
  <si>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</si>
  <si>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</si>
  <si>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Direitos de transmissão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</si>
  <si>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</si>
  <si>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</si>
  <si>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</si>
  <si>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</si>
  <si>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</si>
  <si>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</si>
  <si>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</si>
  <si>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</si>
  <si>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</si>
  <si>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</si>
  <si>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</si>
  <si>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</si>
  <si>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</si>
  <si>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</si>
  <si>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</si>
  <si>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</si>
  <si>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/ Pontuação</t>
  </si>
  <si>
    <t>Receita Operacional Líquida  / Sócios Torcedores</t>
  </si>
  <si>
    <t>Folha do futebol / Pontuação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</si>
  <si>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</si>
  <si>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</si>
  <si>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</si>
  <si>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</si>
  <si>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</si>
  <si>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</si>
  <si>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</si>
  <si>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</si>
  <si>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</si>
  <si>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</si>
  <si>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</si>
  <si>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Direitos de Transmissão</t>
  </si>
  <si>
    <t>Transmissão + Premiação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</si>
  <si>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</si>
  <si>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</si>
  <si>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</si>
  <si>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</si>
  <si>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</si>
  <si>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</si>
  <si>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</si>
  <si>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</si>
  <si>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</si>
  <si>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</si>
  <si>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</si>
  <si>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</si>
  <si>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</si>
  <si>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</si>
  <si>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</si>
  <si>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</si>
  <si>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Rec Oper Líquida / Pontuação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</si>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</sst>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U23"/>
  <sheetViews>
    <sheetView showGridLines="0" zoomScale="110" zoomScaleNormal="11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1" x14ac:dyDescent="0.3">
      <c r="A1" s="1" t="s">
        <v>45</v>
      </c>
      <c r="B1" s="1" t="s">
        <v>35</v>
      </c>
      <c r="C1" s="1" t="s">
        <v>27</v>
      </c>
      <c r="D1" t="s">
        <v>80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93</v>
      </c>
    </row>
    <row r="2" spans="1:21" x14ac:dyDescent="0.3">
      <c r="A2" s="1" t="s">
        <v>6</v>
      </c>
      <c r="K2" s="1">
        <v>326</v>
      </c>
      <c r="Q2" s="1">
        <v>183</v>
      </c>
      <c r="U2" s="1">
        <f>AVERAGE(B2:T2)</f>
        <v>254.5</v>
      </c>
    </row>
    <row r="3" spans="1:21" x14ac:dyDescent="0.3">
      <c r="A3" s="1" t="s">
        <v>0</v>
      </c>
      <c r="K3" s="1">
        <v>183</v>
      </c>
      <c r="Q3" s="1">
        <v>121</v>
      </c>
      <c r="U3" s="1">
        <f t="shared" ref="U3:U22" si="0">AVERAGE(B3:T3)</f>
        <v>152</v>
      </c>
    </row>
    <row r="4" spans="1:21" x14ac:dyDescent="0.3">
      <c r="A4" s="1" t="s">
        <v>1</v>
      </c>
      <c r="K4" s="1">
        <v>169</v>
      </c>
      <c r="Q4" s="1">
        <v>63</v>
      </c>
      <c r="U4" s="1">
        <f t="shared" si="0"/>
        <v>116</v>
      </c>
    </row>
    <row r="5" spans="1:21" x14ac:dyDescent="0.3">
      <c r="A5" s="1" t="s">
        <v>3</v>
      </c>
      <c r="K5" s="1">
        <v>90</v>
      </c>
      <c r="Q5" s="1">
        <v>59</v>
      </c>
      <c r="U5" s="1">
        <f t="shared" si="0"/>
        <v>74.5</v>
      </c>
    </row>
    <row r="6" spans="1:21" x14ac:dyDescent="0.3">
      <c r="A6" s="1" t="s">
        <v>4</v>
      </c>
      <c r="K6">
        <v>137</v>
      </c>
      <c r="Q6" s="1">
        <v>80</v>
      </c>
      <c r="U6" s="1">
        <f t="shared" si="0"/>
        <v>108.5</v>
      </c>
    </row>
    <row r="7" spans="1:21" x14ac:dyDescent="0.3">
      <c r="A7" s="1" t="s">
        <v>5</v>
      </c>
      <c r="K7" s="1">
        <v>59</v>
      </c>
      <c r="Q7" s="1">
        <v>36</v>
      </c>
      <c r="U7" s="1">
        <f t="shared" si="0"/>
        <v>47.5</v>
      </c>
    </row>
    <row r="8" spans="1:21" x14ac:dyDescent="0.3">
      <c r="A8" s="1" t="s">
        <v>20</v>
      </c>
      <c r="K8" s="1">
        <v>924</v>
      </c>
      <c r="Q8" s="1">
        <v>541</v>
      </c>
      <c r="U8" s="1">
        <f t="shared" si="0"/>
        <v>732.5</v>
      </c>
    </row>
    <row r="9" spans="1:21" x14ac:dyDescent="0.3">
      <c r="A9" s="1" t="s">
        <v>2</v>
      </c>
      <c r="K9" s="1">
        <v>303</v>
      </c>
      <c r="Q9" s="1">
        <v>187</v>
      </c>
      <c r="U9" s="1">
        <f t="shared" si="0"/>
        <v>245</v>
      </c>
    </row>
    <row r="10" spans="1:21" x14ac:dyDescent="0.3">
      <c r="A10" s="1" t="s">
        <v>7</v>
      </c>
      <c r="K10" s="1">
        <v>18</v>
      </c>
      <c r="Q10" s="1">
        <v>4</v>
      </c>
      <c r="U10" s="1">
        <f t="shared" si="0"/>
        <v>11</v>
      </c>
    </row>
    <row r="11" spans="1:21" x14ac:dyDescent="0.3">
      <c r="A11" s="1" t="s">
        <v>19</v>
      </c>
      <c r="K11" s="1">
        <v>1316</v>
      </c>
      <c r="Q11" s="1">
        <v>732</v>
      </c>
      <c r="U11" s="1">
        <f t="shared" si="0"/>
        <v>1024</v>
      </c>
    </row>
    <row r="12" spans="1:21" x14ac:dyDescent="0.3">
      <c r="A12" s="1" t="s">
        <v>8</v>
      </c>
      <c r="K12" s="1">
        <v>339</v>
      </c>
      <c r="Q12" s="1">
        <v>387</v>
      </c>
      <c r="U12" s="1">
        <f t="shared" si="0"/>
        <v>363</v>
      </c>
    </row>
    <row r="13" spans="1:21" x14ac:dyDescent="0.3">
      <c r="A13" s="1" t="s">
        <v>9</v>
      </c>
      <c r="K13" s="1">
        <v>124</v>
      </c>
      <c r="Q13" s="1">
        <v>86</v>
      </c>
      <c r="U13" s="1">
        <f t="shared" si="0"/>
        <v>105</v>
      </c>
    </row>
    <row r="14" spans="1:21" x14ac:dyDescent="0.3">
      <c r="A14" s="1" t="s">
        <v>10</v>
      </c>
      <c r="K14" s="1">
        <v>125</v>
      </c>
      <c r="Q14" s="1">
        <v>26</v>
      </c>
      <c r="U14" s="1">
        <f t="shared" si="0"/>
        <v>75.5</v>
      </c>
    </row>
    <row r="15" spans="1:21" x14ac:dyDescent="0.3">
      <c r="A15" s="1" t="s">
        <v>11</v>
      </c>
      <c r="K15" s="1">
        <v>131</v>
      </c>
      <c r="Q15" s="1">
        <v>86</v>
      </c>
      <c r="U15" s="1">
        <f t="shared" si="0"/>
        <v>108.5</v>
      </c>
    </row>
    <row r="16" spans="1:21" x14ac:dyDescent="0.3">
      <c r="A16" s="1" t="s">
        <v>12</v>
      </c>
      <c r="K16" s="1">
        <v>200</v>
      </c>
      <c r="Q16" s="1">
        <v>106</v>
      </c>
      <c r="U16" s="1">
        <f t="shared" si="0"/>
        <v>153</v>
      </c>
    </row>
    <row r="17" spans="1:21" x14ac:dyDescent="0.3">
      <c r="A17" s="1" t="s">
        <v>13</v>
      </c>
      <c r="K17" s="1">
        <v>34</v>
      </c>
      <c r="Q17" s="1">
        <v>5</v>
      </c>
      <c r="U17" s="1">
        <f t="shared" si="0"/>
        <v>19.5</v>
      </c>
    </row>
    <row r="18" spans="1:21" x14ac:dyDescent="0.3">
      <c r="A18" s="1" t="s">
        <v>14</v>
      </c>
      <c r="K18" s="1">
        <v>953</v>
      </c>
      <c r="Q18" s="1">
        <v>697</v>
      </c>
      <c r="U18" s="1">
        <f t="shared" si="0"/>
        <v>825</v>
      </c>
    </row>
    <row r="19" spans="1:21" x14ac:dyDescent="0.3">
      <c r="A19" s="1" t="s">
        <v>40</v>
      </c>
      <c r="K19" s="1">
        <v>292</v>
      </c>
      <c r="Q19" s="1">
        <v>34</v>
      </c>
      <c r="U19" s="1">
        <f t="shared" si="0"/>
        <v>163</v>
      </c>
    </row>
    <row r="20" spans="1:21" x14ac:dyDescent="0.3">
      <c r="A20" s="1" t="s">
        <v>41</v>
      </c>
      <c r="K20" s="1">
        <v>28</v>
      </c>
      <c r="Q20" s="1">
        <v>51</v>
      </c>
      <c r="U20" s="1">
        <f t="shared" si="0"/>
        <v>39.5</v>
      </c>
    </row>
    <row r="21" spans="1:21" x14ac:dyDescent="0.3">
      <c r="A21" s="1" t="s">
        <v>42</v>
      </c>
      <c r="K21" s="1">
        <v>320</v>
      </c>
      <c r="Q21" s="1">
        <v>-16</v>
      </c>
      <c r="U21" s="1">
        <f t="shared" si="0"/>
        <v>152</v>
      </c>
    </row>
    <row r="22" spans="1:21" x14ac:dyDescent="0.3">
      <c r="A22" s="1" t="s">
        <v>94</v>
      </c>
      <c r="K22" s="1">
        <f>SUM(K12+K13)</f>
        <v>463</v>
      </c>
      <c r="Q22" s="1">
        <f>SUM(Q12+Q13)</f>
        <v>473</v>
      </c>
      <c r="U22" s="1">
        <f t="shared" si="0"/>
        <v>468</v>
      </c>
    </row>
    <row r="23" spans="1:21" x14ac:dyDescent="0.3">
      <c r="A23" s="1" t="s">
        <v>99</v>
      </c>
      <c r="K23" s="1">
        <f>K2+K6</f>
        <v>463</v>
      </c>
      <c r="Q23" s="1">
        <f>Q2+Q6</f>
        <v>263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3"/>
  <sheetViews>
    <sheetView showGridLines="0" zoomScale="110" zoomScaleNormal="11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1" bestFit="1" customWidth="1"/>
    <col min="22" max="22" width="8.33203125" style="1" bestFit="1" customWidth="1"/>
    <col min="23" max="23" width="9.554687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80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117</v>
      </c>
      <c r="V1" t="s">
        <v>118</v>
      </c>
      <c r="W1" t="s">
        <v>119</v>
      </c>
    </row>
    <row r="2" spans="1:23" x14ac:dyDescent="0.3">
      <c r="A2" s="1" t="s">
        <v>6</v>
      </c>
      <c r="K2" s="1">
        <v>326</v>
      </c>
      <c r="Q2" s="1">
        <v>183</v>
      </c>
    </row>
    <row r="3" spans="1:23" x14ac:dyDescent="0.3">
      <c r="A3" s="1" t="s">
        <v>0</v>
      </c>
      <c r="K3" s="1">
        <v>183</v>
      </c>
      <c r="Q3" s="1">
        <v>121</v>
      </c>
    </row>
    <row r="4" spans="1:23" x14ac:dyDescent="0.3">
      <c r="A4" s="1" t="s">
        <v>1</v>
      </c>
      <c r="K4" s="1">
        <v>169</v>
      </c>
      <c r="Q4" s="1">
        <v>63</v>
      </c>
    </row>
    <row r="5" spans="1:23" x14ac:dyDescent="0.3">
      <c r="A5" s="1" t="s">
        <v>3</v>
      </c>
      <c r="K5" s="1">
        <v>90</v>
      </c>
      <c r="Q5" s="1">
        <v>59</v>
      </c>
    </row>
    <row r="6" spans="1:23" x14ac:dyDescent="0.3">
      <c r="A6" s="1" t="s">
        <v>4</v>
      </c>
      <c r="K6" s="1">
        <v>96</v>
      </c>
      <c r="Q6" s="1">
        <v>80</v>
      </c>
    </row>
    <row r="7" spans="1:23" x14ac:dyDescent="0.3">
      <c r="A7" s="1" t="s">
        <v>5</v>
      </c>
      <c r="K7" s="1">
        <v>59</v>
      </c>
      <c r="Q7" s="1">
        <v>36</v>
      </c>
    </row>
    <row r="8" spans="1:23" x14ac:dyDescent="0.3">
      <c r="A8" s="1" t="s">
        <v>2</v>
      </c>
      <c r="K8" s="1">
        <v>303</v>
      </c>
      <c r="Q8" s="1">
        <v>187</v>
      </c>
    </row>
    <row r="9" spans="1:23" s="2" customFormat="1" x14ac:dyDescent="0.3">
      <c r="A9" s="2" t="s">
        <v>53</v>
      </c>
      <c r="K9" s="2">
        <f>SUM(K2:K8)</f>
        <v>1226</v>
      </c>
      <c r="Q9" s="2">
        <v>732</v>
      </c>
    </row>
    <row r="10" spans="1:23" s="2" customFormat="1" x14ac:dyDescent="0.3">
      <c r="A10" s="2" t="s">
        <v>47</v>
      </c>
      <c r="K10" s="2">
        <f>SUM(K11:K16)</f>
        <v>808</v>
      </c>
      <c r="Q10" s="2">
        <v>495</v>
      </c>
    </row>
    <row r="11" spans="1:23" x14ac:dyDescent="0.3">
      <c r="A11" s="1" t="s">
        <v>8</v>
      </c>
      <c r="K11" s="1">
        <v>339</v>
      </c>
      <c r="Q11" s="1">
        <v>387</v>
      </c>
    </row>
    <row r="12" spans="1:23" x14ac:dyDescent="0.3">
      <c r="A12" s="1" t="s">
        <v>9</v>
      </c>
      <c r="K12" s="1">
        <v>124</v>
      </c>
      <c r="Q12" s="1">
        <v>86</v>
      </c>
    </row>
    <row r="13" spans="1:23" x14ac:dyDescent="0.3">
      <c r="A13" s="1" t="s">
        <v>10</v>
      </c>
      <c r="K13" s="1">
        <v>125</v>
      </c>
      <c r="Q13" s="1">
        <v>26</v>
      </c>
    </row>
    <row r="14" spans="1:23" x14ac:dyDescent="0.3">
      <c r="A14" s="1" t="s">
        <v>11</v>
      </c>
      <c r="K14" s="1">
        <v>131</v>
      </c>
      <c r="Q14" s="1">
        <v>86</v>
      </c>
    </row>
    <row r="15" spans="1:23" x14ac:dyDescent="0.3">
      <c r="A15" s="1" t="s">
        <v>13</v>
      </c>
      <c r="K15" s="1">
        <v>34</v>
      </c>
      <c r="Q15" s="1">
        <v>5</v>
      </c>
    </row>
    <row r="16" spans="1:23" x14ac:dyDescent="0.3">
      <c r="A16" s="1" t="s">
        <v>56</v>
      </c>
      <c r="K16" s="1">
        <v>55</v>
      </c>
      <c r="Q16" s="3">
        <v>95</v>
      </c>
    </row>
    <row r="17" spans="1:17" s="2" customFormat="1" x14ac:dyDescent="0.3">
      <c r="A17" s="2" t="s">
        <v>55</v>
      </c>
      <c r="K17" s="2">
        <v>418</v>
      </c>
      <c r="Q17" s="2">
        <v>237</v>
      </c>
    </row>
    <row r="18" spans="1:17" s="2" customFormat="1" x14ac:dyDescent="0.3">
      <c r="A18" s="2" t="s">
        <v>51</v>
      </c>
      <c r="K18" s="2">
        <v>380</v>
      </c>
      <c r="Q18" s="2">
        <v>220</v>
      </c>
    </row>
    <row r="19" spans="1:17" x14ac:dyDescent="0.3">
      <c r="A19" s="1" t="s">
        <v>48</v>
      </c>
      <c r="K19" s="1">
        <f>273+87-20</f>
        <v>340</v>
      </c>
      <c r="Q19" s="1">
        <v>176</v>
      </c>
    </row>
    <row r="20" spans="1:17" x14ac:dyDescent="0.3">
      <c r="A20" s="1" t="s">
        <v>49</v>
      </c>
      <c r="K20" s="1">
        <v>39</v>
      </c>
      <c r="Q20" s="1">
        <v>12</v>
      </c>
    </row>
    <row r="21" spans="1:17" x14ac:dyDescent="0.3">
      <c r="A21" s="1" t="s">
        <v>50</v>
      </c>
      <c r="K21" s="1">
        <f>K18-SUM(K19:K20)</f>
        <v>1</v>
      </c>
      <c r="Q21" s="1">
        <f>Q18-Q19-Q20</f>
        <v>32</v>
      </c>
    </row>
    <row r="22" spans="1:17" s="2" customFormat="1" x14ac:dyDescent="0.3">
      <c r="A22" s="2" t="s">
        <v>52</v>
      </c>
      <c r="K22" s="2">
        <v>41</v>
      </c>
      <c r="Q22" s="2">
        <v>14</v>
      </c>
    </row>
    <row r="23" spans="1:17" s="2" customFormat="1" x14ac:dyDescent="0.3">
      <c r="A23" s="2" t="s">
        <v>54</v>
      </c>
      <c r="K23" s="4">
        <v>2</v>
      </c>
      <c r="Q23" s="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K54"/>
  <sheetViews>
    <sheetView showGridLines="0" tabSelected="1" zoomScale="90" zoomScaleNormal="90" workbookViewId="0">
      <pane xSplit="1" ySplit="1" topLeftCell="E26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80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117</v>
      </c>
      <c r="V1" t="s">
        <v>118</v>
      </c>
      <c r="W1" t="s">
        <v>119</v>
      </c>
    </row>
    <row r="2" spans="1:37" x14ac:dyDescent="0.3">
      <c r="A2" t="s">
        <v>67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326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183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90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541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4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732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387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697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-16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T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>
        <v>0</v>
      </c>
      <c r="O28">
        <v>0</v>
      </c>
      <c r="P28">
        <v>0</v>
      </c>
      <c r="Q28"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ref="U28:W28" si="1">U12+U13</f>
        <v>0</v>
      </c>
      <c r="V28">
        <f t="shared" si="1"/>
        <v>0</v>
      </c>
      <c r="W28">
        <f t="shared" si="1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77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78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102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2">C35/C36</f>
        <v>0.35992695755050602</v>
      </c>
      <c r="D37" s="5">
        <f t="shared" si="2"/>
        <v>0.55707499999999999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79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>
        <v>0</v>
      </c>
      <c r="O40">
        <v>0</v>
      </c>
      <c r="P40">
        <v>0</v>
      </c>
      <c r="Q40">
        <v>43.3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>
        <v>0</v>
      </c>
      <c r="O41">
        <v>0</v>
      </c>
      <c r="P41">
        <v>0</v>
      </c>
      <c r="Q41">
        <v>4.0999999999999996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>
        <v>0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>
        <v>0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>
        <v>0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84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>
        <v>0</v>
      </c>
      <c r="O46">
        <v>0</v>
      </c>
      <c r="P46">
        <v>0</v>
      </c>
      <c r="Q46">
        <v>10.45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88</v>
      </c>
      <c r="B47">
        <f t="shared" ref="B47:W47" si="3">SUM(B26+B25)</f>
        <v>0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16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76</v>
      </c>
      <c r="R47">
        <f t="shared" si="3"/>
        <v>0</v>
      </c>
      <c r="S47">
        <f t="shared" si="3"/>
        <v>0</v>
      </c>
      <c r="T47">
        <f t="shared" si="3"/>
        <v>0</v>
      </c>
      <c r="U47">
        <f t="shared" si="3"/>
        <v>0</v>
      </c>
      <c r="V47">
        <f t="shared" si="3"/>
        <v>0</v>
      </c>
      <c r="W47">
        <f t="shared" si="3"/>
        <v>0</v>
      </c>
    </row>
    <row r="48" spans="1:23" x14ac:dyDescent="0.3">
      <c r="A48" s="1" t="s">
        <v>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K2+K6</f>
        <v>416</v>
      </c>
      <c r="L48">
        <v>0</v>
      </c>
      <c r="M48">
        <v>0</v>
      </c>
      <c r="N48">
        <v>0</v>
      </c>
      <c r="O48">
        <v>0</v>
      </c>
      <c r="P48">
        <v>0</v>
      </c>
      <c r="Q48" s="1">
        <f>Q2+Q6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v>288</v>
      </c>
      <c r="L49">
        <v>0</v>
      </c>
      <c r="M49">
        <v>0</v>
      </c>
      <c r="N49">
        <v>0</v>
      </c>
      <c r="O49">
        <v>0</v>
      </c>
      <c r="P49">
        <v>0</v>
      </c>
      <c r="Q49"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0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111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>
        <v>0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>
        <v>0</v>
      </c>
      <c r="O52">
        <v>0</v>
      </c>
      <c r="P52">
        <v>0</v>
      </c>
      <c r="Q52" s="18">
        <f>Q50/Q11</f>
        <v>0.20628415300546449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134</v>
      </c>
      <c r="B53" s="25"/>
      <c r="C53" s="25"/>
      <c r="D53" s="25"/>
      <c r="E53" s="25"/>
      <c r="F53" s="25"/>
      <c r="G53" s="25"/>
      <c r="H53" s="25"/>
      <c r="I53" s="25"/>
      <c r="J53" s="25"/>
      <c r="K53" s="25">
        <f t="shared" ref="K53:Q53" si="4">K28/K11</f>
        <v>0.3518237082066869</v>
      </c>
      <c r="L53" s="25"/>
      <c r="M53" s="25"/>
      <c r="N53" s="25"/>
      <c r="O53" s="25"/>
      <c r="P53" s="25"/>
      <c r="Q53" s="25">
        <f t="shared" si="4"/>
        <v>0.55327868852459017</v>
      </c>
      <c r="R53" s="25"/>
      <c r="S53" s="25"/>
      <c r="T53" s="25"/>
      <c r="U53" s="25"/>
      <c r="V53" s="25"/>
      <c r="W53" s="25"/>
    </row>
    <row r="54" spans="1:23" x14ac:dyDescent="0.3">
      <c r="A54" t="s">
        <v>139</v>
      </c>
      <c r="K54" s="25">
        <f>(K28+K24)/K11</f>
        <v>0.55927051671732519</v>
      </c>
      <c r="Q54" s="25">
        <f>(Q28+Q24)/Q11</f>
        <v>0.75819672131147542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5"/>
  <sheetViews>
    <sheetView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A36" sqref="A36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6" width="5" customWidth="1"/>
    <col min="7" max="7" width="7.33203125" customWidth="1"/>
    <col min="8" max="8" width="5" bestFit="1" customWidth="1"/>
    <col min="9" max="11" width="5" customWidth="1"/>
    <col min="12" max="12" width="8.33203125" bestFit="1" customWidth="1"/>
    <col min="13" max="13" width="5" bestFit="1" customWidth="1"/>
    <col min="14" max="15" width="6" bestFit="1" customWidth="1"/>
    <col min="16" max="16" width="5" bestFit="1" customWidth="1"/>
    <col min="17" max="17" width="6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7" max="47" width="8.88671875" bestFit="1" customWidth="1"/>
    <col min="48" max="51" width="5" bestFit="1" customWidth="1"/>
    <col min="52" max="52" width="10.109375" bestFit="1" customWidth="1"/>
    <col min="53" max="54" width="5" bestFit="1" customWidth="1"/>
    <col min="55" max="55" width="6" bestFit="1" customWidth="1"/>
    <col min="56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3" width="5" bestFit="1" customWidth="1"/>
    <col min="74" max="75" width="6" bestFit="1" customWidth="1"/>
    <col min="76" max="76" width="5" bestFit="1" customWidth="1"/>
    <col min="77" max="77" width="8.88671875" bestFit="1" customWidth="1"/>
    <col min="78" max="81" width="5" bestFit="1" customWidth="1"/>
    <col min="82" max="82" width="6.554687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80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117</v>
      </c>
      <c r="CX1" t="s">
        <v>118</v>
      </c>
      <c r="DC1" t="s">
        <v>119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100</v>
      </c>
      <c r="C3">
        <v>102</v>
      </c>
      <c r="D3">
        <v>72</v>
      </c>
      <c r="E3">
        <v>26</v>
      </c>
      <c r="F3">
        <v>10.4</v>
      </c>
      <c r="H3">
        <v>155</v>
      </c>
      <c r="I3">
        <v>279</v>
      </c>
      <c r="J3">
        <v>64</v>
      </c>
      <c r="K3">
        <v>121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AB3">
        <v>318</v>
      </c>
      <c r="AC3">
        <v>266</v>
      </c>
      <c r="AD3">
        <v>160</v>
      </c>
      <c r="AE3">
        <v>189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U3" s="1">
        <v>425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>
        <f>168+BZ7</f>
        <v>336</v>
      </c>
      <c r="CA3">
        <f>243+258</f>
        <v>501</v>
      </c>
      <c r="CB3">
        <f>154+28</f>
        <v>182</v>
      </c>
      <c r="CC3">
        <f>198+19</f>
        <v>217</v>
      </c>
      <c r="CE3">
        <v>105</v>
      </c>
      <c r="CF3">
        <v>139</v>
      </c>
      <c r="CG3">
        <v>73</v>
      </c>
      <c r="CH3">
        <v>110</v>
      </c>
      <c r="CJ3">
        <f>176+29</f>
        <v>205</v>
      </c>
      <c r="CK3">
        <f>194+48</f>
        <v>242</v>
      </c>
      <c r="CL3">
        <v>128</v>
      </c>
      <c r="CM3">
        <f>110+27</f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H4">
        <v>69</v>
      </c>
      <c r="I4">
        <v>50</v>
      </c>
      <c r="J4">
        <v>21</v>
      </c>
      <c r="K4">
        <v>22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AB4">
        <v>94</v>
      </c>
      <c r="AC4">
        <v>126</v>
      </c>
      <c r="AD4">
        <v>71</v>
      </c>
      <c r="AE4">
        <v>73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E4">
        <v>54</v>
      </c>
      <c r="CF4">
        <v>39</v>
      </c>
      <c r="CG4">
        <v>15</v>
      </c>
      <c r="CH4">
        <v>14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90</v>
      </c>
      <c r="C5">
        <v>3.5</v>
      </c>
      <c r="D5">
        <v>3.8</v>
      </c>
      <c r="E5">
        <v>0.8</v>
      </c>
      <c r="F5">
        <v>0.3</v>
      </c>
      <c r="H5">
        <v>39</v>
      </c>
      <c r="I5">
        <v>43</v>
      </c>
      <c r="J5">
        <v>0.7</v>
      </c>
      <c r="K5">
        <v>17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AB5">
        <v>98</v>
      </c>
      <c r="AC5">
        <v>15</v>
      </c>
      <c r="AD5">
        <v>7</v>
      </c>
      <c r="AE5">
        <v>62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E5">
        <v>44</v>
      </c>
      <c r="CF5">
        <v>81</v>
      </c>
      <c r="CG5">
        <v>30</v>
      </c>
      <c r="CH5">
        <v>24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H6">
        <v>29</v>
      </c>
      <c r="I6">
        <v>13</v>
      </c>
      <c r="J6">
        <v>10</v>
      </c>
      <c r="K6">
        <v>10</v>
      </c>
      <c r="M6">
        <v>38</v>
      </c>
      <c r="N6">
        <v>22</v>
      </c>
      <c r="O6">
        <v>23.5</v>
      </c>
      <c r="P6">
        <v>27</v>
      </c>
      <c r="AB6">
        <v>32</v>
      </c>
      <c r="AC6">
        <v>13</v>
      </c>
      <c r="AD6">
        <v>13</v>
      </c>
      <c r="AE6">
        <v>21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M7">
        <v>81</v>
      </c>
      <c r="N7">
        <v>75</v>
      </c>
      <c r="O7">
        <v>29</v>
      </c>
      <c r="P7">
        <v>85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6">
        <v>80</v>
      </c>
      <c r="BZ7" s="6">
        <v>168</v>
      </c>
      <c r="CA7" s="6">
        <v>243</v>
      </c>
      <c r="CB7" s="6">
        <v>29</v>
      </c>
      <c r="CC7" s="6">
        <v>20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</row>
    <row r="8" spans="1:111" x14ac:dyDescent="0.3">
      <c r="A8" s="9" t="s">
        <v>5</v>
      </c>
      <c r="M8">
        <v>78</v>
      </c>
      <c r="N8">
        <v>27</v>
      </c>
      <c r="O8">
        <f>14</f>
        <v>14</v>
      </c>
      <c r="P8">
        <f>44-17</f>
        <v>27</v>
      </c>
      <c r="AL8">
        <v>14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76</v>
      </c>
      <c r="C9">
        <f>SUM(C3:C6,C8)</f>
        <v>123.1</v>
      </c>
      <c r="D9">
        <f>SUM(D3:D6,D8)</f>
        <v>89.8</v>
      </c>
      <c r="E9">
        <f t="shared" ref="E9" si="0">SUM(E3:E6,E8)</f>
        <v>28.6</v>
      </c>
      <c r="F9">
        <f t="shared" ref="F9" si="1">SUM(F3:F6,F8)</f>
        <v>16.400000000000002</v>
      </c>
      <c r="H9">
        <f>SUM(H3:H6,H8)</f>
        <v>292</v>
      </c>
      <c r="I9">
        <f>SUM(I3:I6,I8)</f>
        <v>385</v>
      </c>
      <c r="J9">
        <f t="shared" ref="J9" si="2">SUM(J3:J6,J8)</f>
        <v>95.7</v>
      </c>
      <c r="K9">
        <f t="shared" ref="K9" si="3">SUM(K3:K6,K8)</f>
        <v>170</v>
      </c>
      <c r="M9">
        <f>SUM(M3:M6,M8)</f>
        <v>339</v>
      </c>
      <c r="N9">
        <f>SUM(N3:N6,N8)</f>
        <v>266.2</v>
      </c>
      <c r="O9">
        <f t="shared" ref="O9" si="4">SUM(O3:O6,O8)</f>
        <v>126.3</v>
      </c>
      <c r="P9">
        <f t="shared" ref="P9" si="5">SUM(P3:P6,P8)</f>
        <v>255</v>
      </c>
      <c r="R9">
        <f>SUM(R3:R6,R8)</f>
        <v>58</v>
      </c>
      <c r="S9">
        <f t="shared" ref="S9" si="6">SUM(S3:S6,S8)</f>
        <v>144</v>
      </c>
      <c r="T9">
        <f t="shared" ref="T9" si="7">SUM(T3:T6,T8)</f>
        <v>69</v>
      </c>
      <c r="U9">
        <f t="shared" ref="U9" si="8">SUM(U3:U6,U8)</f>
        <v>114</v>
      </c>
      <c r="AB9">
        <f>SUM(AB3:AB6,AB8)</f>
        <v>542</v>
      </c>
      <c r="AC9">
        <f t="shared" ref="AC9" si="9">SUM(AC3:AC6,AC8)</f>
        <v>420</v>
      </c>
      <c r="AD9">
        <f t="shared" ref="AD9" si="10">SUM(AD3:AD6,AD8)</f>
        <v>251</v>
      </c>
      <c r="AE9">
        <f t="shared" ref="AE9" si="11">SUM(AE3:AE6,AE8)</f>
        <v>345</v>
      </c>
      <c r="AG9">
        <f>SUM(AG3:AG6,AG8)</f>
        <v>114</v>
      </c>
      <c r="AH9">
        <f t="shared" ref="AH9:AJ9" si="12">SUM(AH3:AH6,AH8)</f>
        <v>76.5</v>
      </c>
      <c r="AI9">
        <f t="shared" si="12"/>
        <v>57.100000000000009</v>
      </c>
      <c r="AJ9">
        <f t="shared" si="12"/>
        <v>34.200000000000003</v>
      </c>
      <c r="AL9">
        <f>SUM(AL3:AL6,AL8)</f>
        <v>134</v>
      </c>
      <c r="AM9">
        <f t="shared" ref="AM9:AO9" si="13">SUM(AM3:AM6,AM8)</f>
        <v>91.5</v>
      </c>
      <c r="AN9">
        <f t="shared" si="13"/>
        <v>86</v>
      </c>
      <c r="AO9">
        <f t="shared" si="13"/>
        <v>160</v>
      </c>
      <c r="AU9" s="1">
        <f>Resultado!K8</f>
        <v>924</v>
      </c>
      <c r="AV9">
        <f>SUM(AV3:AV8)</f>
        <v>1205</v>
      </c>
      <c r="AW9">
        <f>SUM(AW3:AW8)</f>
        <v>820</v>
      </c>
      <c r="AX9">
        <f>SUM(AX3:AX8)</f>
        <v>615</v>
      </c>
      <c r="AY9">
        <f>SUM(AY3:AY8)</f>
        <v>864</v>
      </c>
      <c r="BA9">
        <f>SUM(BA3:BA6,BA8)</f>
        <v>230</v>
      </c>
      <c r="BB9">
        <f t="shared" ref="BB9" si="14">SUM(BB3:BB6,BB8)</f>
        <v>208</v>
      </c>
      <c r="BC9">
        <f t="shared" ref="BC9" si="15">SUM(BC3:BC6,BC8)</f>
        <v>111.8</v>
      </c>
      <c r="BD9">
        <f t="shared" ref="BD9" si="16">SUM(BD3:BD6,BD8)</f>
        <v>138</v>
      </c>
      <c r="BF9">
        <f>SUM(BF3:BF6,BF8)</f>
        <v>194</v>
      </c>
      <c r="BG9">
        <f t="shared" ref="BG9" si="17">SUM(BG3:BG6,BG8)</f>
        <v>138</v>
      </c>
      <c r="BH9">
        <f t="shared" ref="BH9" si="18">SUM(BH3:BH6,BH8)</f>
        <v>50</v>
      </c>
      <c r="BI9">
        <f t="shared" ref="BI9" si="19">SUM(BI3:BI6,BI8)</f>
        <v>84.5</v>
      </c>
      <c r="BK9">
        <f>SUM(BK3:BK6,BK8)</f>
        <v>114</v>
      </c>
      <c r="BL9">
        <f t="shared" ref="BL9" si="20">SUM(BL3:BL6,BL8)</f>
        <v>236</v>
      </c>
      <c r="BM9">
        <f t="shared" ref="BM9" si="21">SUM(BM3:BM6,BM8)</f>
        <v>179</v>
      </c>
      <c r="BN9">
        <f t="shared" ref="BN9" si="22">SUM(BN3:BN6,BN8)</f>
        <v>202</v>
      </c>
      <c r="BP9">
        <f>SUM(BP3:BP6,BP8)</f>
        <v>94.1</v>
      </c>
      <c r="BQ9">
        <f t="shared" ref="BQ9" si="23">SUM(BQ3:BQ6,BQ8)</f>
        <v>36.299999999999997</v>
      </c>
      <c r="BR9">
        <f t="shared" ref="BR9" si="24">SUM(BR3:BR6,BR8)</f>
        <v>39.6</v>
      </c>
      <c r="BS9">
        <f t="shared" ref="BS9" si="25">SUM(BS3:BS6,BS8)</f>
        <v>84.5</v>
      </c>
      <c r="BU9">
        <f>SUM(BU3:BU6,BU8)</f>
        <v>230</v>
      </c>
      <c r="BV9">
        <f t="shared" ref="BV9" si="26">SUM(BV3:BV6,BV8)</f>
        <v>230.8</v>
      </c>
      <c r="BW9">
        <f t="shared" ref="BW9" si="27">SUM(BW3:BW6,BW8)</f>
        <v>143.6</v>
      </c>
      <c r="BX9">
        <f t="shared" ref="BX9" si="28">SUM(BX3:BX6,BX8)</f>
        <v>225</v>
      </c>
      <c r="BY9" s="1">
        <f>SUM(BY3:BY8)-BY7</f>
        <v>542</v>
      </c>
      <c r="BZ9" s="1">
        <f t="shared" ref="BZ9:CC9" si="29">SUM(BZ3:BZ8)-BZ7</f>
        <v>600</v>
      </c>
      <c r="CA9" s="1">
        <f t="shared" si="29"/>
        <v>722</v>
      </c>
      <c r="CB9" s="1">
        <f t="shared" si="29"/>
        <v>337</v>
      </c>
      <c r="CC9" s="1">
        <f t="shared" si="29"/>
        <v>436</v>
      </c>
      <c r="CE9">
        <f>SUM(CE3:CE6,CE8)</f>
        <v>203</v>
      </c>
      <c r="CF9">
        <f t="shared" ref="CF9" si="30">SUM(CF3:CF6,CF8)</f>
        <v>259</v>
      </c>
      <c r="CG9">
        <f t="shared" ref="CG9" si="31">SUM(CG3:CG6,CG8)</f>
        <v>118</v>
      </c>
      <c r="CH9">
        <f t="shared" ref="CH9" si="32">SUM(CH3:CH6,CH8)</f>
        <v>148</v>
      </c>
      <c r="CJ9">
        <f>SUM(CJ3:CJ6,CJ8)</f>
        <v>357</v>
      </c>
      <c r="CK9">
        <f t="shared" ref="CK9" si="33">SUM(CK3:CK6,CK8)</f>
        <v>309</v>
      </c>
      <c r="CL9">
        <f t="shared" ref="CL9" si="34">SUM(CL3:CL6,CL8)</f>
        <v>171</v>
      </c>
      <c r="CM9">
        <f t="shared" ref="CM9" si="35">SUM(CM3:CM6,CM8)</f>
        <v>220</v>
      </c>
      <c r="CO9">
        <f>SUM(CO3:CO6,CO8)</f>
        <v>97.7</v>
      </c>
      <c r="CP9">
        <f t="shared" ref="CP9" si="36">SUM(CP3:CP6,CP8)</f>
        <v>115.6</v>
      </c>
      <c r="CQ9">
        <f t="shared" ref="CQ9" si="37">SUM(CQ3:CQ6,CQ8)</f>
        <v>149.69999999999999</v>
      </c>
      <c r="CR9">
        <f t="shared" ref="CR9" si="38">SUM(CR3:CR6,CR8)</f>
        <v>190</v>
      </c>
      <c r="CT9">
        <f>SUM(CT3:CT6,CT8)</f>
        <v>83.7</v>
      </c>
      <c r="CU9">
        <f t="shared" ref="CU9" si="39">SUM(CU3:CU6,CU8)</f>
        <v>104.10000000000001</v>
      </c>
      <c r="CV9">
        <f t="shared" ref="CV9" si="40">SUM(CV3:CV6,CV8)</f>
        <v>43.100000000000009</v>
      </c>
      <c r="CW9">
        <f t="shared" ref="CW9" si="41">SUM(CW3:CW6,CW8)</f>
        <v>14.5</v>
      </c>
      <c r="CY9">
        <f>SUM(CY3:CY6,CY8)</f>
        <v>24.1</v>
      </c>
      <c r="CZ9">
        <f t="shared" ref="CZ9" si="42">SUM(CZ3:CZ6,CZ8)</f>
        <v>11.899999999999999</v>
      </c>
      <c r="DA9">
        <f t="shared" ref="DA9" si="43">SUM(DA3:DA6,DA8)</f>
        <v>4.8</v>
      </c>
      <c r="DB9">
        <f t="shared" ref="DB9" si="44">SUM(DB3:DB6,DB8)</f>
        <v>15.8</v>
      </c>
      <c r="DD9">
        <f>SUM(DD3:DD6,DD8)</f>
        <v>69.600000000000009</v>
      </c>
      <c r="DE9">
        <f t="shared" ref="DE9" si="45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H10">
        <v>88</v>
      </c>
      <c r="I10">
        <v>99</v>
      </c>
      <c r="J10">
        <v>28</v>
      </c>
      <c r="K10">
        <v>106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AB10">
        <v>146</v>
      </c>
      <c r="AC10">
        <v>28</v>
      </c>
      <c r="AD10">
        <v>189</v>
      </c>
      <c r="AE10">
        <v>34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E10">
        <v>70</v>
      </c>
      <c r="CF10">
        <v>107</v>
      </c>
      <c r="CG10">
        <v>84</v>
      </c>
      <c r="CH10">
        <v>216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73</v>
      </c>
      <c r="C11">
        <v>144</v>
      </c>
      <c r="D11">
        <v>99</v>
      </c>
      <c r="E11">
        <v>46</v>
      </c>
      <c r="F11">
        <v>31</v>
      </c>
      <c r="H11">
        <v>385</v>
      </c>
      <c r="I11">
        <v>497</v>
      </c>
      <c r="J11">
        <v>131</v>
      </c>
      <c r="K11">
        <v>283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AB11">
        <v>652</v>
      </c>
      <c r="AC11">
        <v>448</v>
      </c>
      <c r="AD11">
        <v>425</v>
      </c>
      <c r="AE11">
        <v>370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732</v>
      </c>
      <c r="BZ11">
        <f>791-87</f>
        <v>704</v>
      </c>
      <c r="CA11">
        <f>929-66</f>
        <v>863</v>
      </c>
      <c r="CB11">
        <f>531-42</f>
        <v>489</v>
      </c>
      <c r="CC11">
        <v>598</v>
      </c>
      <c r="CE11">
        <v>278</v>
      </c>
      <c r="CF11">
        <v>369</v>
      </c>
      <c r="CG11">
        <v>214</v>
      </c>
      <c r="CH11">
        <v>373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H12">
        <v>250</v>
      </c>
      <c r="I12">
        <v>263</v>
      </c>
      <c r="J12">
        <v>200</v>
      </c>
      <c r="K12">
        <v>156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AB12">
        <v>274</v>
      </c>
      <c r="AC12">
        <v>208</v>
      </c>
      <c r="AD12">
        <v>188</v>
      </c>
      <c r="AE12">
        <v>224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v>405</v>
      </c>
      <c r="BZ12">
        <v>365</v>
      </c>
      <c r="CA12">
        <v>355</v>
      </c>
      <c r="CB12">
        <v>206</v>
      </c>
      <c r="CC12">
        <v>267</v>
      </c>
      <c r="CE12">
        <f>80+31</f>
        <v>111</v>
      </c>
      <c r="CF12">
        <f>94+24</f>
        <v>118</v>
      </c>
      <c r="CG12">
        <f>95+28</f>
        <v>123</v>
      </c>
      <c r="CH12">
        <f>119+32</f>
        <v>151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75</v>
      </c>
      <c r="C13">
        <v>-21</v>
      </c>
      <c r="D13">
        <v>-4.8</v>
      </c>
      <c r="E13">
        <v>-8.6</v>
      </c>
      <c r="F13">
        <v>-17</v>
      </c>
      <c r="H13">
        <v>71</v>
      </c>
      <c r="I13">
        <v>101</v>
      </c>
      <c r="J13">
        <v>19</v>
      </c>
      <c r="K13">
        <v>-47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AB13">
        <v>15</v>
      </c>
      <c r="AC13">
        <v>6</v>
      </c>
      <c r="AD13">
        <v>-123</v>
      </c>
      <c r="AE13">
        <v>-196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-16</v>
      </c>
      <c r="BZ13">
        <f>77-4-20</f>
        <v>53</v>
      </c>
      <c r="CA13">
        <f>192-6-6</f>
        <v>180</v>
      </c>
      <c r="CB13">
        <f>-57-31</f>
        <v>-88</v>
      </c>
      <c r="CC13">
        <f>14+11</f>
        <v>25</v>
      </c>
      <c r="CE13">
        <v>107</v>
      </c>
      <c r="CF13">
        <v>148</v>
      </c>
      <c r="CG13">
        <v>-54</v>
      </c>
      <c r="CH13">
        <v>132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H14">
        <v>39</v>
      </c>
      <c r="I14">
        <v>109</v>
      </c>
      <c r="J14">
        <v>-155</v>
      </c>
      <c r="K14">
        <v>125</v>
      </c>
      <c r="M14">
        <v>71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AB14">
        <v>164</v>
      </c>
      <c r="AC14">
        <v>178</v>
      </c>
      <c r="AD14">
        <v>40</v>
      </c>
      <c r="AE14">
        <v>-18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>
        <v>186</v>
      </c>
      <c r="BZ14">
        <v>183</v>
      </c>
      <c r="CA14">
        <v>326</v>
      </c>
      <c r="CB14">
        <v>151</v>
      </c>
      <c r="CC14">
        <v>189</v>
      </c>
      <c r="CE14">
        <v>116</v>
      </c>
      <c r="CF14">
        <v>166</v>
      </c>
      <c r="CG14">
        <v>-22</v>
      </c>
      <c r="CH14">
        <v>168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H15">
        <v>148</v>
      </c>
      <c r="I15">
        <v>112</v>
      </c>
      <c r="J15">
        <v>252</v>
      </c>
      <c r="K15">
        <v>52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AB15">
        <v>42</v>
      </c>
      <c r="AC15">
        <v>1</v>
      </c>
      <c r="AD15">
        <v>63</v>
      </c>
      <c r="AE15" s="7">
        <v>11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v>150</v>
      </c>
      <c r="BZ15">
        <v>105</v>
      </c>
      <c r="CA15">
        <v>81</v>
      </c>
      <c r="CB15">
        <v>122</v>
      </c>
      <c r="CC15">
        <v>109</v>
      </c>
      <c r="CE15">
        <v>62</v>
      </c>
      <c r="CF15">
        <v>18</v>
      </c>
      <c r="CG15">
        <v>41</v>
      </c>
      <c r="CH15">
        <v>53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88</v>
      </c>
      <c r="C16">
        <v>5</v>
      </c>
      <c r="D16">
        <v>0</v>
      </c>
      <c r="E16">
        <v>3.7</v>
      </c>
      <c r="F16">
        <v>1.1000000000000001</v>
      </c>
      <c r="H16">
        <v>18</v>
      </c>
      <c r="I16">
        <v>18</v>
      </c>
      <c r="J16">
        <v>12</v>
      </c>
      <c r="K16"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AB16">
        <v>0</v>
      </c>
      <c r="AC16">
        <v>0</v>
      </c>
      <c r="AD16">
        <v>0</v>
      </c>
      <c r="AE16">
        <v>0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E16">
        <v>10</v>
      </c>
      <c r="CF16">
        <v>9.4</v>
      </c>
      <c r="CG16">
        <v>7.8</v>
      </c>
      <c r="CH16">
        <v>9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K17">
        <v>6.1</v>
      </c>
      <c r="AP17">
        <v>0.1</v>
      </c>
      <c r="AU17">
        <v>21.9</v>
      </c>
      <c r="AZ17">
        <v>3.4</v>
      </c>
      <c r="BE17">
        <v>1.2</v>
      </c>
      <c r="BJ17">
        <v>4.5999999999999996</v>
      </c>
      <c r="BO17">
        <v>0.2</v>
      </c>
      <c r="BT17">
        <v>3.5</v>
      </c>
      <c r="BY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77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K18">
        <v>13.4</v>
      </c>
      <c r="AP18">
        <v>0.2</v>
      </c>
      <c r="AU18">
        <v>48.1</v>
      </c>
      <c r="AZ18">
        <v>7.5</v>
      </c>
      <c r="BE18">
        <v>2.6</v>
      </c>
      <c r="BJ18">
        <v>10.1</v>
      </c>
      <c r="BO18">
        <v>0.4</v>
      </c>
      <c r="BT18">
        <v>7.7</v>
      </c>
      <c r="BY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6">(220*CU17)/100</f>
        <v>0.88</v>
      </c>
      <c r="CV18">
        <f t="shared" si="46"/>
        <v>0.88</v>
      </c>
      <c r="CW18">
        <f t="shared" si="46"/>
        <v>0.88</v>
      </c>
      <c r="CX18">
        <f>(220*CX17)/100</f>
        <v>0.22</v>
      </c>
      <c r="CY18">
        <f>(220*CY17)/100</f>
        <v>0.22</v>
      </c>
      <c r="CZ18">
        <f t="shared" ref="CZ18:DB18" si="47">(220*CZ17)/100</f>
        <v>0.22</v>
      </c>
      <c r="DA18">
        <f t="shared" si="47"/>
        <v>0.22</v>
      </c>
      <c r="DB18">
        <f t="shared" si="47"/>
        <v>0.22</v>
      </c>
      <c r="DC18">
        <f>(220*DC17)/100</f>
        <v>0.22</v>
      </c>
      <c r="DD18">
        <f>(220*DD17)/100</f>
        <v>0.22</v>
      </c>
      <c r="DE18">
        <f t="shared" ref="DE18" si="48">(220*DE17)/100</f>
        <v>0.22</v>
      </c>
      <c r="DF18">
        <f t="shared" ref="DF18" si="49">(220*DF17)/100</f>
        <v>0.22</v>
      </c>
      <c r="DG18">
        <f t="shared" ref="DG18" si="50">(220*DG17)/100</f>
        <v>0.22</v>
      </c>
    </row>
    <row r="19" spans="1:111" x14ac:dyDescent="0.3">
      <c r="A19" t="s">
        <v>91</v>
      </c>
      <c r="B19">
        <v>24</v>
      </c>
      <c r="C19">
        <v>53</v>
      </c>
      <c r="D19">
        <v>53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I19">
        <v>31</v>
      </c>
      <c r="AK19">
        <v>47</v>
      </c>
      <c r="AO19">
        <v>36</v>
      </c>
      <c r="AP19">
        <v>51</v>
      </c>
      <c r="AQ19">
        <v>41</v>
      </c>
      <c r="AR19">
        <v>47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L19">
        <v>43</v>
      </c>
      <c r="BM19">
        <v>59</v>
      </c>
      <c r="BN19">
        <v>65</v>
      </c>
      <c r="BO19">
        <v>38</v>
      </c>
      <c r="BP19">
        <v>46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92</v>
      </c>
      <c r="B20" s="6">
        <v>0</v>
      </c>
      <c r="C20" s="6">
        <v>0.24369580448359887</v>
      </c>
      <c r="D20" s="6">
        <v>0.31698925390914107</v>
      </c>
      <c r="E20" s="6"/>
      <c r="F20" s="6"/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/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/>
      <c r="AI20" s="6">
        <v>3.2873286567669809E-2</v>
      </c>
      <c r="AJ20" s="6"/>
      <c r="AK20" s="6">
        <v>0.63915119328546977</v>
      </c>
      <c r="AL20" s="6"/>
      <c r="AM20" s="6"/>
      <c r="AN20" s="6"/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/>
      <c r="AT20" s="6"/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/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/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/>
      <c r="CP20" s="6"/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78</v>
      </c>
      <c r="B21">
        <v>7.3</v>
      </c>
      <c r="G21">
        <v>31.2</v>
      </c>
      <c r="L21">
        <v>18.600000000000001</v>
      </c>
      <c r="Q21">
        <v>22.6</v>
      </c>
      <c r="V21">
        <v>24.1</v>
      </c>
      <c r="AA21">
        <v>42.9</v>
      </c>
      <c r="AF21">
        <v>12</v>
      </c>
      <c r="AK21">
        <v>25.6</v>
      </c>
      <c r="AP21">
        <v>14.9</v>
      </c>
      <c r="AU21">
        <v>69.599999999999994</v>
      </c>
      <c r="AZ21">
        <v>25.9</v>
      </c>
      <c r="BE21">
        <v>10.7</v>
      </c>
      <c r="BJ21">
        <v>38</v>
      </c>
      <c r="BO21">
        <v>5</v>
      </c>
      <c r="BT21">
        <v>23.3</v>
      </c>
      <c r="BY21">
        <v>45.9</v>
      </c>
      <c r="CD21">
        <v>8.4</v>
      </c>
      <c r="CI21">
        <v>47.8</v>
      </c>
      <c r="CN21">
        <v>21.5</v>
      </c>
    </row>
    <row r="22" spans="1:111" x14ac:dyDescent="0.3">
      <c r="A22" t="s">
        <v>62</v>
      </c>
      <c r="B22" s="1">
        <v>386</v>
      </c>
      <c r="G22" s="1">
        <v>1645</v>
      </c>
      <c r="L22" s="1">
        <v>977</v>
      </c>
      <c r="Q22" s="1">
        <v>1189</v>
      </c>
      <c r="V22" s="1">
        <v>1271</v>
      </c>
      <c r="AA22" s="1">
        <v>2384</v>
      </c>
      <c r="AB22" s="1"/>
      <c r="AC22" s="1"/>
      <c r="AD22" s="1"/>
      <c r="AE22" s="1"/>
      <c r="AF22" s="1">
        <v>704</v>
      </c>
      <c r="AG22" s="1"/>
      <c r="AH22" s="1"/>
      <c r="AI22" s="1"/>
      <c r="AJ22" s="1"/>
      <c r="AK22" s="1">
        <v>1436</v>
      </c>
      <c r="AL22" s="1"/>
      <c r="AM22" s="1"/>
      <c r="AN22" s="1"/>
      <c r="AO22" s="1"/>
      <c r="AP22" s="1">
        <v>782</v>
      </c>
      <c r="AQ22" s="1"/>
      <c r="AR22" s="1"/>
      <c r="AS22" s="1"/>
      <c r="AT22" s="1"/>
      <c r="AU22" s="1">
        <v>3661</v>
      </c>
      <c r="AV22" s="1"/>
      <c r="AW22" s="1"/>
      <c r="AX22" s="1"/>
      <c r="AY22" s="1"/>
      <c r="AZ22" s="1">
        <v>1363</v>
      </c>
      <c r="BA22" s="1"/>
      <c r="BB22" s="1"/>
      <c r="BC22" s="1"/>
      <c r="BE22" s="1">
        <v>564</v>
      </c>
      <c r="BF22" s="1"/>
      <c r="BG22" s="1"/>
      <c r="BI22" s="1"/>
      <c r="BJ22" s="1">
        <v>2001</v>
      </c>
      <c r="BK22" s="1"/>
      <c r="BM22" s="1"/>
      <c r="BN22" s="1"/>
      <c r="BO22" s="1">
        <v>266</v>
      </c>
      <c r="BT22" s="1">
        <v>1226</v>
      </c>
      <c r="BU22" s="1"/>
      <c r="BV22" s="1"/>
      <c r="BW22" s="1"/>
      <c r="BX22" s="1"/>
      <c r="BY22" s="1">
        <v>2416</v>
      </c>
      <c r="BZ22" s="1"/>
      <c r="CA22" s="1"/>
      <c r="CB22" s="1"/>
      <c r="CD22" s="1">
        <v>558</v>
      </c>
      <c r="CE22" s="1"/>
      <c r="CF22" s="1"/>
      <c r="CH22" s="1"/>
      <c r="CI22" s="1">
        <v>2515</v>
      </c>
      <c r="CJ22" s="1"/>
      <c r="CN22" s="1">
        <v>1435</v>
      </c>
    </row>
    <row r="23" spans="1:111" x14ac:dyDescent="0.3">
      <c r="A23" t="s">
        <v>63</v>
      </c>
      <c r="B23" s="1">
        <v>4910</v>
      </c>
      <c r="G23" s="1">
        <v>27989</v>
      </c>
      <c r="L23" s="1">
        <v>22283</v>
      </c>
      <c r="Q23" s="1">
        <v>36461</v>
      </c>
      <c r="V23" s="1">
        <v>26691</v>
      </c>
      <c r="AA23" s="1">
        <v>38433</v>
      </c>
      <c r="AB23" s="1"/>
      <c r="AC23" s="1"/>
      <c r="AD23" s="1"/>
      <c r="AE23" s="1"/>
      <c r="AF23" s="1">
        <v>21466</v>
      </c>
      <c r="AG23" s="1"/>
      <c r="AH23" s="1"/>
      <c r="AI23" s="1"/>
      <c r="AJ23" s="1"/>
      <c r="AK23" s="1">
        <v>29307</v>
      </c>
      <c r="AL23" s="1"/>
      <c r="AM23" s="1"/>
      <c r="AN23" s="1"/>
      <c r="AO23" s="1"/>
      <c r="AP23" s="1">
        <v>14701</v>
      </c>
      <c r="AQ23" s="1"/>
      <c r="AR23" s="1"/>
      <c r="AS23" s="1"/>
      <c r="AT23" s="1"/>
      <c r="AU23" s="1">
        <v>54499</v>
      </c>
      <c r="AV23" s="1"/>
      <c r="AW23" s="1"/>
      <c r="AX23" s="1"/>
      <c r="AY23" s="1"/>
      <c r="AZ23" s="1">
        <v>29783</v>
      </c>
      <c r="BA23" s="1"/>
      <c r="BB23" s="1"/>
      <c r="BC23" s="1"/>
      <c r="BE23" s="1">
        <v>32787</v>
      </c>
      <c r="BF23" s="1"/>
      <c r="BG23" s="1"/>
      <c r="BI23" s="1"/>
      <c r="BJ23" s="1">
        <v>31385</v>
      </c>
      <c r="BK23" s="1"/>
      <c r="BM23" s="1"/>
      <c r="BN23" s="1"/>
      <c r="BO23" s="1">
        <v>7698</v>
      </c>
      <c r="BT23" s="1">
        <v>27325</v>
      </c>
      <c r="BU23" s="1"/>
      <c r="BV23" s="1"/>
      <c r="BW23" s="1"/>
      <c r="BX23" s="1"/>
      <c r="BY23" s="1">
        <v>33167</v>
      </c>
      <c r="BZ23" s="1"/>
      <c r="CA23" s="1"/>
      <c r="CB23" s="1"/>
      <c r="CD23" s="1">
        <v>12147</v>
      </c>
      <c r="CE23" s="1"/>
      <c r="CF23" s="1"/>
      <c r="CH23" s="1"/>
      <c r="CI23" s="1">
        <v>43780</v>
      </c>
      <c r="CJ23" s="1"/>
      <c r="CN23" s="1">
        <v>26347</v>
      </c>
    </row>
    <row r="24" spans="1:111" x14ac:dyDescent="0.3">
      <c r="A24" t="s">
        <v>81</v>
      </c>
      <c r="B24">
        <v>0</v>
      </c>
      <c r="G24">
        <v>0</v>
      </c>
      <c r="L24">
        <v>0</v>
      </c>
      <c r="Q24">
        <v>0</v>
      </c>
      <c r="V24">
        <v>0</v>
      </c>
      <c r="AF24">
        <v>0</v>
      </c>
      <c r="AK24">
        <v>0</v>
      </c>
      <c r="AP24">
        <v>0</v>
      </c>
      <c r="AU24">
        <v>25.8</v>
      </c>
      <c r="AZ24">
        <v>0</v>
      </c>
      <c r="BE24">
        <v>0</v>
      </c>
      <c r="BJ24">
        <v>0</v>
      </c>
      <c r="BO24">
        <v>0</v>
      </c>
      <c r="BT24">
        <v>0</v>
      </c>
      <c r="BY24">
        <v>43.3</v>
      </c>
      <c r="CD24">
        <v>0</v>
      </c>
      <c r="CI24">
        <v>0</v>
      </c>
      <c r="CN24">
        <v>0</v>
      </c>
    </row>
    <row r="25" spans="1:111" x14ac:dyDescent="0.3">
      <c r="A25" t="s">
        <v>89</v>
      </c>
      <c r="B25">
        <v>0</v>
      </c>
      <c r="G25">
        <v>0</v>
      </c>
      <c r="L25">
        <v>0</v>
      </c>
      <c r="Q25">
        <v>0</v>
      </c>
      <c r="V25">
        <v>0</v>
      </c>
      <c r="AF25">
        <v>0</v>
      </c>
      <c r="AK25">
        <v>0</v>
      </c>
      <c r="AP25">
        <v>0</v>
      </c>
      <c r="AU25">
        <v>12.7</v>
      </c>
      <c r="AZ25">
        <v>0</v>
      </c>
      <c r="BE25">
        <v>0</v>
      </c>
      <c r="BJ25">
        <v>0</v>
      </c>
      <c r="BO25">
        <v>0</v>
      </c>
      <c r="BT25">
        <v>0</v>
      </c>
      <c r="BY25">
        <v>2.37</v>
      </c>
      <c r="CD25">
        <v>0</v>
      </c>
      <c r="CI25">
        <v>0</v>
      </c>
      <c r="CN25">
        <v>0</v>
      </c>
    </row>
    <row r="26" spans="1:111" x14ac:dyDescent="0.3">
      <c r="A26" t="s">
        <v>82</v>
      </c>
      <c r="B26">
        <v>0</v>
      </c>
      <c r="G26">
        <v>0</v>
      </c>
      <c r="L26">
        <v>0</v>
      </c>
      <c r="Q26">
        <v>0</v>
      </c>
      <c r="V26">
        <v>0</v>
      </c>
      <c r="AF26">
        <v>0</v>
      </c>
      <c r="AK26">
        <v>0</v>
      </c>
      <c r="AP26">
        <v>0</v>
      </c>
      <c r="AU26">
        <v>4.5999999999999996</v>
      </c>
      <c r="AZ26">
        <v>0</v>
      </c>
      <c r="BE26">
        <v>0</v>
      </c>
      <c r="BJ26">
        <v>0</v>
      </c>
      <c r="BO26">
        <v>0</v>
      </c>
      <c r="BT26">
        <v>0</v>
      </c>
      <c r="BY26">
        <v>2.67</v>
      </c>
      <c r="CD26">
        <v>0</v>
      </c>
      <c r="CI26">
        <v>0</v>
      </c>
      <c r="CN26">
        <v>0</v>
      </c>
    </row>
    <row r="27" spans="1:111" x14ac:dyDescent="0.3">
      <c r="A27" t="s">
        <v>83</v>
      </c>
      <c r="B27">
        <v>0</v>
      </c>
      <c r="G27">
        <v>0</v>
      </c>
      <c r="L27">
        <v>0</v>
      </c>
      <c r="Q27">
        <v>0</v>
      </c>
      <c r="V27">
        <v>0</v>
      </c>
      <c r="AF27">
        <v>0</v>
      </c>
      <c r="AK27">
        <v>0</v>
      </c>
      <c r="AP27">
        <v>0</v>
      </c>
      <c r="AU27">
        <v>0.21</v>
      </c>
      <c r="AZ27">
        <v>0</v>
      </c>
      <c r="BE27">
        <v>0</v>
      </c>
      <c r="BJ27">
        <v>0</v>
      </c>
      <c r="BO27">
        <v>0</v>
      </c>
      <c r="BT27">
        <v>0</v>
      </c>
      <c r="BY27">
        <v>0.17</v>
      </c>
      <c r="CD27">
        <v>0</v>
      </c>
      <c r="CI27">
        <v>0</v>
      </c>
      <c r="CN27">
        <v>0</v>
      </c>
    </row>
    <row r="28" spans="1:111" x14ac:dyDescent="0.3">
      <c r="A28" t="s">
        <v>86</v>
      </c>
      <c r="B28">
        <v>0</v>
      </c>
      <c r="G28">
        <v>0</v>
      </c>
      <c r="L28">
        <v>0</v>
      </c>
      <c r="Q28">
        <v>0</v>
      </c>
      <c r="V28">
        <v>0</v>
      </c>
      <c r="AF28">
        <v>0</v>
      </c>
      <c r="AK28">
        <v>0</v>
      </c>
      <c r="AP28">
        <v>0</v>
      </c>
      <c r="AU28">
        <v>7.02</v>
      </c>
      <c r="AZ28">
        <v>0</v>
      </c>
      <c r="BE28">
        <v>0</v>
      </c>
      <c r="BJ28">
        <v>0</v>
      </c>
      <c r="BO28">
        <v>0</v>
      </c>
      <c r="BT28">
        <v>0</v>
      </c>
      <c r="BY28">
        <v>6.77</v>
      </c>
      <c r="CD28">
        <v>0</v>
      </c>
      <c r="CI28">
        <v>0</v>
      </c>
      <c r="CN28">
        <v>0</v>
      </c>
    </row>
    <row r="29" spans="1:111" x14ac:dyDescent="0.3">
      <c r="A29" t="s">
        <v>84</v>
      </c>
      <c r="B29">
        <v>0</v>
      </c>
      <c r="G29">
        <v>0</v>
      </c>
      <c r="L29">
        <v>0</v>
      </c>
      <c r="Q29">
        <v>0</v>
      </c>
      <c r="V29">
        <v>0</v>
      </c>
      <c r="AF29">
        <v>0</v>
      </c>
      <c r="AK29">
        <v>0</v>
      </c>
      <c r="AP29">
        <v>0</v>
      </c>
      <c r="AU29">
        <v>18.86</v>
      </c>
      <c r="AZ29">
        <v>0</v>
      </c>
      <c r="BE29">
        <v>0</v>
      </c>
      <c r="BJ29">
        <v>0</v>
      </c>
      <c r="BO29">
        <v>0</v>
      </c>
      <c r="BT29">
        <v>0</v>
      </c>
      <c r="BY29">
        <v>10.45</v>
      </c>
      <c r="CD29">
        <v>0</v>
      </c>
      <c r="CI29">
        <v>0</v>
      </c>
      <c r="CN29">
        <v>0</v>
      </c>
    </row>
    <row r="30" spans="1:111" x14ac:dyDescent="0.3">
      <c r="A30" t="s">
        <v>98</v>
      </c>
      <c r="C30">
        <f>C3-C7</f>
        <v>102</v>
      </c>
      <c r="D30">
        <f t="shared" ref="D30:F30" si="51">D3-D7</f>
        <v>72</v>
      </c>
      <c r="E30">
        <f t="shared" si="51"/>
        <v>26</v>
      </c>
      <c r="F30">
        <f t="shared" si="51"/>
        <v>10.4</v>
      </c>
      <c r="H30">
        <f>H3-H7</f>
        <v>155</v>
      </c>
      <c r="I30">
        <f t="shared" ref="I30:K30" si="52">I3-I7</f>
        <v>279</v>
      </c>
      <c r="J30">
        <f t="shared" si="52"/>
        <v>64</v>
      </c>
      <c r="K30">
        <f t="shared" si="52"/>
        <v>121</v>
      </c>
      <c r="M30">
        <f>M3-M7</f>
        <v>48</v>
      </c>
      <c r="N30">
        <f t="shared" ref="N30:P30" si="53">N3-N7</f>
        <v>114</v>
      </c>
      <c r="O30">
        <f t="shared" si="53"/>
        <v>46</v>
      </c>
      <c r="P30">
        <f t="shared" si="53"/>
        <v>75</v>
      </c>
      <c r="AL30">
        <f>AL3-AL7</f>
        <v>29</v>
      </c>
      <c r="AM30">
        <f t="shared" ref="AM30:AO30" si="54">AM3-AM7</f>
        <v>44</v>
      </c>
      <c r="AN30">
        <f t="shared" si="54"/>
        <v>40</v>
      </c>
      <c r="AO30">
        <f t="shared" si="54"/>
        <v>102</v>
      </c>
      <c r="AU30" s="1">
        <f>AU3-AU7</f>
        <v>288</v>
      </c>
      <c r="AV30" s="1">
        <f t="shared" ref="AV30:AY30" si="55">AV3-AV7</f>
        <v>268</v>
      </c>
      <c r="AW30" s="1">
        <f t="shared" si="55"/>
        <v>258</v>
      </c>
      <c r="AX30" s="1">
        <f t="shared" si="55"/>
        <v>234</v>
      </c>
      <c r="AY30" s="1">
        <f t="shared" si="55"/>
        <v>245</v>
      </c>
      <c r="BA30">
        <f>BA3-BA7</f>
        <v>151</v>
      </c>
      <c r="BB30">
        <f t="shared" ref="BB30:BD30" si="56">BB3-BB7</f>
        <v>177</v>
      </c>
      <c r="BC30">
        <f t="shared" si="56"/>
        <v>88</v>
      </c>
      <c r="BD30">
        <f t="shared" si="56"/>
        <v>108</v>
      </c>
      <c r="BF30">
        <f>BF3-BF7</f>
        <v>82</v>
      </c>
      <c r="BG30">
        <f t="shared" ref="BG30:BI30" si="57">BG3-BG7</f>
        <v>74</v>
      </c>
      <c r="BH30">
        <f t="shared" si="57"/>
        <v>31</v>
      </c>
      <c r="BI30">
        <f t="shared" si="57"/>
        <v>34</v>
      </c>
      <c r="BK30">
        <f>BK3-BK7</f>
        <v>70</v>
      </c>
      <c r="BL30">
        <f t="shared" ref="BL30:BN30" si="58">BL3-BL7</f>
        <v>191</v>
      </c>
      <c r="BM30">
        <f t="shared" si="58"/>
        <v>146</v>
      </c>
      <c r="BN30">
        <f t="shared" si="58"/>
        <v>165</v>
      </c>
      <c r="BP30">
        <f>BP3-BP7</f>
        <v>67</v>
      </c>
      <c r="BQ30">
        <f t="shared" ref="BQ30:BS30" si="59">BQ3-BQ7</f>
        <v>29</v>
      </c>
      <c r="BR30">
        <f t="shared" si="59"/>
        <v>30</v>
      </c>
      <c r="BS30">
        <f t="shared" si="59"/>
        <v>67</v>
      </c>
      <c r="BU30">
        <f>BU3-BU7</f>
        <v>141</v>
      </c>
      <c r="BV30">
        <f t="shared" ref="BV30:BX30" si="60">BV3-BV7</f>
        <v>114</v>
      </c>
      <c r="BW30">
        <f t="shared" si="60"/>
        <v>68</v>
      </c>
      <c r="BX30">
        <f t="shared" si="60"/>
        <v>83</v>
      </c>
      <c r="BY30" s="1">
        <f>BY3-BY7</f>
        <v>183</v>
      </c>
      <c r="BZ30" s="1">
        <f t="shared" ref="BZ30:CC30" si="61">BZ3-BZ7</f>
        <v>168</v>
      </c>
      <c r="CA30" s="1">
        <f t="shared" si="61"/>
        <v>258</v>
      </c>
      <c r="CB30" s="1">
        <f t="shared" si="61"/>
        <v>153</v>
      </c>
      <c r="CC30" s="1">
        <f t="shared" si="61"/>
        <v>197</v>
      </c>
      <c r="CE30">
        <f>CE3-CE7</f>
        <v>105</v>
      </c>
      <c r="CF30">
        <f t="shared" ref="CF30:CH30" si="62">CF3-CF7</f>
        <v>139</v>
      </c>
      <c r="CG30">
        <f t="shared" si="62"/>
        <v>73</v>
      </c>
      <c r="CH30">
        <f t="shared" si="62"/>
        <v>110</v>
      </c>
      <c r="CJ30">
        <f>CJ3-CJ7</f>
        <v>176</v>
      </c>
      <c r="CK30">
        <f t="shared" ref="CK30:CM30" si="63">CK3-CK7</f>
        <v>194</v>
      </c>
      <c r="CL30">
        <f t="shared" si="63"/>
        <v>127.5</v>
      </c>
      <c r="CM30">
        <f t="shared" si="63"/>
        <v>110</v>
      </c>
      <c r="CO30">
        <f>CO3-CO7</f>
        <v>30</v>
      </c>
      <c r="CP30">
        <f t="shared" ref="CP30:CR30" si="64">CP3-CP7</f>
        <v>62</v>
      </c>
      <c r="CQ30">
        <f t="shared" si="64"/>
        <v>86</v>
      </c>
      <c r="CR30">
        <f t="shared" si="64"/>
        <v>97</v>
      </c>
      <c r="CT30">
        <f>CT3-CT7</f>
        <v>70</v>
      </c>
      <c r="CU30">
        <f t="shared" ref="CU30:CW30" si="65">CU3-CU7</f>
        <v>100</v>
      </c>
      <c r="CV30">
        <f t="shared" si="65"/>
        <v>39</v>
      </c>
      <c r="CW30">
        <f t="shared" si="65"/>
        <v>10</v>
      </c>
      <c r="CY30">
        <f>CY3-CY7</f>
        <v>11</v>
      </c>
      <c r="CZ30">
        <f t="shared" ref="CZ30:DB30" si="66">CZ3-CZ7</f>
        <v>7.7</v>
      </c>
      <c r="DA30">
        <f t="shared" si="66"/>
        <v>2.4</v>
      </c>
      <c r="DB30">
        <f t="shared" si="66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v>0</v>
      </c>
      <c r="H31">
        <v>1162</v>
      </c>
      <c r="I31">
        <v>887</v>
      </c>
      <c r="J31">
        <v>784</v>
      </c>
      <c r="K31">
        <v>570</v>
      </c>
      <c r="L31">
        <v>0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v>0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>
        <v>0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0</v>
      </c>
      <c r="CE31">
        <v>415</v>
      </c>
      <c r="CF31">
        <v>338</v>
      </c>
      <c r="CG31">
        <v>351</v>
      </c>
      <c r="CH31">
        <v>338</v>
      </c>
      <c r="CI31">
        <v>0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111</v>
      </c>
      <c r="B32">
        <v>0</v>
      </c>
      <c r="C32">
        <v>32.333333333333336</v>
      </c>
      <c r="D32">
        <v>3.9954545454545456</v>
      </c>
      <c r="E32">
        <v>22.166666666666668</v>
      </c>
      <c r="F32">
        <v>-7.0777777777777784</v>
      </c>
      <c r="G32">
        <v>0</v>
      </c>
      <c r="H32">
        <v>29.794871794871796</v>
      </c>
      <c r="I32">
        <v>8.137614678899082</v>
      </c>
      <c r="J32">
        <v>-5.0580645161290319</v>
      </c>
      <c r="K32">
        <v>4.5599999999999996</v>
      </c>
      <c r="L32">
        <v>0</v>
      </c>
      <c r="M32">
        <v>4.647887323943662</v>
      </c>
      <c r="N32">
        <v>4.953846153846154</v>
      </c>
      <c r="O32">
        <v>2.3880597014925371</v>
      </c>
      <c r="P32">
        <v>2.7117117117117115</v>
      </c>
      <c r="Q32">
        <v>0</v>
      </c>
      <c r="R32">
        <v>229</v>
      </c>
      <c r="S32">
        <v>4.7297297297297298</v>
      </c>
      <c r="T32">
        <v>-15.153846153846153</v>
      </c>
      <c r="U32">
        <v>4.5384615384615383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3.8231707317073171</v>
      </c>
      <c r="AC32">
        <v>3.1292134831460676</v>
      </c>
      <c r="AD32">
        <v>12.3</v>
      </c>
      <c r="AE32">
        <v>-18.055555555555557</v>
      </c>
      <c r="AF32">
        <v>0</v>
      </c>
      <c r="AG32">
        <v>3.078125</v>
      </c>
      <c r="AH32">
        <v>10.772727272727273</v>
      </c>
      <c r="AI32">
        <v>10.958333333333334</v>
      </c>
      <c r="AJ32">
        <v>-19.363636363636363</v>
      </c>
      <c r="AK32">
        <v>0</v>
      </c>
      <c r="AL32">
        <v>4.5979452054794514</v>
      </c>
      <c r="AM32">
        <v>-10.765432098765432</v>
      </c>
      <c r="AN32">
        <v>-3.6055555555555556</v>
      </c>
      <c r="AO32">
        <v>3.1496598639455784</v>
      </c>
      <c r="AP32">
        <v>0</v>
      </c>
      <c r="AQ32">
        <v>0</v>
      </c>
      <c r="AR32">
        <v>0</v>
      </c>
      <c r="AS32">
        <v>0</v>
      </c>
      <c r="AT32">
        <v>0</v>
      </c>
      <c r="AU32" s="18">
        <v>0.52577319587628868</v>
      </c>
      <c r="AV32">
        <v>1.0204678362573099</v>
      </c>
      <c r="AW32">
        <v>1.2553846153846153</v>
      </c>
      <c r="AX32">
        <v>2.5764705882352943</v>
      </c>
      <c r="AY32">
        <v>1.721774193548387</v>
      </c>
      <c r="AZ32">
        <v>0</v>
      </c>
      <c r="BA32">
        <v>9.109375</v>
      </c>
      <c r="BB32">
        <v>-6.8148148148148149</v>
      </c>
      <c r="BC32">
        <v>-3.3166666666666669</v>
      </c>
      <c r="BD32">
        <v>7.628571428571429</v>
      </c>
      <c r="BE32">
        <v>0</v>
      </c>
      <c r="BF32">
        <v>0.17719298245614037</v>
      </c>
      <c r="BG32">
        <v>-0.15185185185185185</v>
      </c>
      <c r="BH32">
        <v>-9.6666666666666665E-2</v>
      </c>
      <c r="BI32">
        <v>1.7111111111111112</v>
      </c>
      <c r="BJ32">
        <v>0</v>
      </c>
      <c r="BK32">
        <v>13.818181818181818</v>
      </c>
      <c r="BL32">
        <v>2.0057803468208091</v>
      </c>
      <c r="BM32">
        <v>2.5538461538461537</v>
      </c>
      <c r="BN32">
        <v>2.2088607594936707</v>
      </c>
      <c r="BO32">
        <v>0</v>
      </c>
      <c r="BP32">
        <v>1.3225152129817446</v>
      </c>
      <c r="BQ32">
        <v>3.62</v>
      </c>
      <c r="BR32">
        <v>2.0137931034482759</v>
      </c>
      <c r="BS32">
        <v>1.0894736842105264</v>
      </c>
      <c r="BT32">
        <v>0</v>
      </c>
      <c r="BU32">
        <v>2.8596491228070176</v>
      </c>
      <c r="BV32">
        <v>3.4949494949494948</v>
      </c>
      <c r="BW32">
        <v>166</v>
      </c>
      <c r="BX32">
        <v>2.202247191011236</v>
      </c>
      <c r="BY32">
        <v>0.81182795698924726</v>
      </c>
      <c r="BZ32">
        <v>0.87431693989071035</v>
      </c>
      <c r="CA32">
        <v>0.55521472392638038</v>
      </c>
      <c r="CB32">
        <v>1.8013245033112584</v>
      </c>
      <c r="CC32">
        <v>1.2804232804232805</v>
      </c>
      <c r="CD32">
        <v>0</v>
      </c>
      <c r="CE32">
        <v>3.5775862068965516</v>
      </c>
      <c r="CF32">
        <v>2.036144578313253</v>
      </c>
      <c r="CG32">
        <v>-15.954545454545455</v>
      </c>
      <c r="CH32">
        <v>2.0119047619047619</v>
      </c>
      <c r="CI32">
        <v>0</v>
      </c>
      <c r="CJ32">
        <v>2.2675438596491229</v>
      </c>
      <c r="CK32">
        <v>19.16</v>
      </c>
      <c r="CL32">
        <v>0.83371824480369516</v>
      </c>
      <c r="CM32">
        <v>1.0990712074303406</v>
      </c>
      <c r="CN32">
        <v>0</v>
      </c>
      <c r="CO32">
        <v>26.125</v>
      </c>
      <c r="CP32">
        <v>8.1071428571428577</v>
      </c>
      <c r="CQ32">
        <v>11.605633802816902</v>
      </c>
      <c r="CR32">
        <v>4.6806722689075633</v>
      </c>
      <c r="CS32">
        <v>0</v>
      </c>
      <c r="CT32">
        <v>1.1642857142857139</v>
      </c>
      <c r="CU32">
        <v>0.56748466257668706</v>
      </c>
      <c r="CV32">
        <v>4.31924882629108</v>
      </c>
      <c r="CW32">
        <v>3.6285714285714286</v>
      </c>
      <c r="CX32">
        <v>0</v>
      </c>
      <c r="CY32">
        <v>0.90909090909090895</v>
      </c>
      <c r="CZ32">
        <v>-4.5555555555555571</v>
      </c>
      <c r="DA32">
        <v>6.8333333333333268</v>
      </c>
      <c r="DB32">
        <v>9.1999999999999993</v>
      </c>
      <c r="DC32">
        <v>0</v>
      </c>
      <c r="DD32">
        <v>1.2714285714285711</v>
      </c>
      <c r="DE32">
        <v>1.2117647058823531</v>
      </c>
      <c r="DF32">
        <v>4.34</v>
      </c>
      <c r="DG32">
        <v>5.4249999999999998</v>
      </c>
    </row>
    <row r="33" spans="1:111" x14ac:dyDescent="0.3">
      <c r="A33" t="s">
        <v>113</v>
      </c>
      <c r="B33">
        <v>0</v>
      </c>
      <c r="C33">
        <v>0.67361111111111116</v>
      </c>
      <c r="D33">
        <v>0.88787878787878793</v>
      </c>
      <c r="E33">
        <v>1.4456521739130435</v>
      </c>
      <c r="F33">
        <v>2.0548387096774197</v>
      </c>
      <c r="G33">
        <v>0</v>
      </c>
      <c r="H33">
        <v>3.0181818181818181</v>
      </c>
      <c r="I33">
        <v>1.7847082494969819</v>
      </c>
      <c r="J33">
        <v>5.9847328244274811</v>
      </c>
      <c r="K33">
        <v>2.0141342756183747</v>
      </c>
      <c r="L33">
        <v>0</v>
      </c>
      <c r="M33">
        <v>0.94555873925501432</v>
      </c>
      <c r="N33">
        <v>1.2578125</v>
      </c>
      <c r="O33">
        <v>0.97264437689969607</v>
      </c>
      <c r="P33">
        <v>0.79419525065963059</v>
      </c>
      <c r="Q33">
        <v>0</v>
      </c>
      <c r="R33">
        <v>2.29</v>
      </c>
      <c r="S33">
        <v>0.90206185567010311</v>
      </c>
      <c r="T33">
        <v>1.6416666666666666</v>
      </c>
      <c r="U33">
        <v>1.0172413793103448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0.96165644171779141</v>
      </c>
      <c r="AC33">
        <v>1.2433035714285714</v>
      </c>
      <c r="AD33">
        <v>1.1576470588235295</v>
      </c>
      <c r="AE33">
        <v>0.8783783783783784</v>
      </c>
      <c r="AF33">
        <v>0</v>
      </c>
      <c r="AG33">
        <v>1.2628205128205128</v>
      </c>
      <c r="AH33">
        <v>2.9624999999999999</v>
      </c>
      <c r="AI33">
        <v>2.63</v>
      </c>
      <c r="AJ33">
        <v>5.6052631578947372</v>
      </c>
      <c r="AK33">
        <v>0</v>
      </c>
      <c r="AL33">
        <v>4.5979452054794514</v>
      </c>
      <c r="AM33">
        <v>7.2666666666666666</v>
      </c>
      <c r="AN33">
        <v>5.5</v>
      </c>
      <c r="AO33">
        <v>1.6476868327402134</v>
      </c>
      <c r="AP33">
        <v>0</v>
      </c>
      <c r="AQ33">
        <v>0</v>
      </c>
      <c r="AR33">
        <v>0</v>
      </c>
      <c r="AS33">
        <v>0</v>
      </c>
      <c r="AT33">
        <v>0</v>
      </c>
      <c r="AU33" s="18">
        <v>0.19376899696048633</v>
      </c>
      <c r="AV33">
        <v>0.31384892086330934</v>
      </c>
      <c r="AW33">
        <v>0.3980487804878049</v>
      </c>
      <c r="AX33">
        <v>0.68012422360248448</v>
      </c>
      <c r="AY33">
        <v>0.46717724288840262</v>
      </c>
      <c r="AZ33">
        <v>0</v>
      </c>
      <c r="BA33">
        <v>1.7720364741641337</v>
      </c>
      <c r="BB33">
        <v>1.7579617834394905</v>
      </c>
      <c r="BC33">
        <v>3.262295081967213</v>
      </c>
      <c r="BD33">
        <v>2.1360000000000001</v>
      </c>
      <c r="BE33">
        <v>0</v>
      </c>
      <c r="BF33">
        <v>4.1563786008230456E-2</v>
      </c>
      <c r="BG33">
        <v>7.8343949044585998E-2</v>
      </c>
      <c r="BH33">
        <v>0.22597402597402597</v>
      </c>
      <c r="BI33">
        <v>0.14128440366972478</v>
      </c>
      <c r="BJ33">
        <v>0</v>
      </c>
      <c r="BK33">
        <v>1.5833333333333333</v>
      </c>
      <c r="BL33">
        <v>0.74304068522483935</v>
      </c>
      <c r="BM33">
        <v>0.86233766233766229</v>
      </c>
      <c r="BN33">
        <v>0.85539215686274506</v>
      </c>
      <c r="BO33">
        <v>0</v>
      </c>
      <c r="BP33">
        <v>0.6721649484536083</v>
      </c>
      <c r="BQ33">
        <v>1.5404255319148938</v>
      </c>
      <c r="BR33">
        <v>0.67906976744186043</v>
      </c>
      <c r="BS33">
        <v>0.45494505494505499</v>
      </c>
      <c r="BT33">
        <v>0</v>
      </c>
      <c r="BU33">
        <v>0.90055248618784534</v>
      </c>
      <c r="BV33">
        <v>1.0058139534883721</v>
      </c>
      <c r="BW33">
        <v>1.2769230769230768</v>
      </c>
      <c r="BX33">
        <v>0.50256410256410255</v>
      </c>
      <c r="BY33">
        <v>0.20628415300546449</v>
      </c>
      <c r="BZ33">
        <v>0.22727272727272727</v>
      </c>
      <c r="CA33">
        <v>0.20973348783314022</v>
      </c>
      <c r="CB33">
        <v>0.55623721881390598</v>
      </c>
      <c r="CC33">
        <v>0.40468227424749165</v>
      </c>
      <c r="CD33">
        <v>0</v>
      </c>
      <c r="CE33">
        <v>1.4928057553956835</v>
      </c>
      <c r="CF33">
        <v>0.9159891598915989</v>
      </c>
      <c r="CG33">
        <v>1.6401869158878504</v>
      </c>
      <c r="CH33">
        <v>0.90616621983914214</v>
      </c>
      <c r="CI33">
        <v>0</v>
      </c>
      <c r="CJ33">
        <v>0.87925170068027214</v>
      </c>
      <c r="CK33">
        <v>1.1062355658198615</v>
      </c>
      <c r="CL33">
        <v>1.1176470588235294</v>
      </c>
      <c r="CM33">
        <v>1.0889570552147239</v>
      </c>
      <c r="CN33">
        <v>0</v>
      </c>
      <c r="CO33">
        <v>5.4051724137931032</v>
      </c>
      <c r="CP33">
        <v>4.1024096385542173</v>
      </c>
      <c r="CQ33">
        <v>5.0552147239263805</v>
      </c>
      <c r="CR33">
        <v>2.3208333333333333</v>
      </c>
      <c r="CS33">
        <v>0</v>
      </c>
      <c r="CT33">
        <v>0.16300000000000001</v>
      </c>
      <c r="CU33">
        <v>0.16371681415929204</v>
      </c>
      <c r="CV33">
        <v>0.36078431372549019</v>
      </c>
      <c r="CW33">
        <v>0.63500000000000001</v>
      </c>
      <c r="CX33">
        <v>0</v>
      </c>
      <c r="CY33">
        <v>0.1111111111111111</v>
      </c>
      <c r="CZ33">
        <v>0.82000000000000006</v>
      </c>
      <c r="DA33">
        <v>0.58571428571428563</v>
      </c>
      <c r="DB33">
        <v>0.35384615384615381</v>
      </c>
      <c r="DC33">
        <v>0</v>
      </c>
      <c r="DD33">
        <v>0.23421052631578942</v>
      </c>
      <c r="DE33">
        <v>0.30294117647058827</v>
      </c>
      <c r="DF33">
        <v>0.67812499999999998</v>
      </c>
      <c r="DG33">
        <v>1.2055555555555555</v>
      </c>
    </row>
    <row r="34" spans="1:111" x14ac:dyDescent="0.3">
      <c r="A34" t="s">
        <v>134</v>
      </c>
      <c r="B34">
        <v>0</v>
      </c>
      <c r="C34">
        <v>0.41666666666666669</v>
      </c>
      <c r="D34">
        <v>0.46464646464646464</v>
      </c>
      <c r="E34">
        <v>0.52173913043478259</v>
      </c>
      <c r="F34">
        <v>0.80645161290322576</v>
      </c>
      <c r="G34">
        <v>0</v>
      </c>
      <c r="H34">
        <v>0.64935064935064934</v>
      </c>
      <c r="I34">
        <v>0.52917505030181089</v>
      </c>
      <c r="J34">
        <v>1.5267175572519085</v>
      </c>
      <c r="K34">
        <v>0.5512367491166078</v>
      </c>
      <c r="L34">
        <v>0</v>
      </c>
      <c r="M34">
        <v>0.51002865329512892</v>
      </c>
      <c r="N34">
        <v>0.56640625</v>
      </c>
      <c r="O34">
        <v>0.27659574468085107</v>
      </c>
      <c r="P34">
        <v>0.36411609498680741</v>
      </c>
      <c r="Q34">
        <v>0</v>
      </c>
      <c r="R34">
        <v>0.72</v>
      </c>
      <c r="S34">
        <v>0.54639175257731953</v>
      </c>
      <c r="T34">
        <v>0.7583333333333333</v>
      </c>
      <c r="U34">
        <v>0.53448275862068961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0.42024539877300615</v>
      </c>
      <c r="AC34">
        <v>0.4642857142857143</v>
      </c>
      <c r="AD34">
        <v>0.44235294117647062</v>
      </c>
      <c r="AE34">
        <v>0.60540540540540544</v>
      </c>
      <c r="AF34">
        <v>0</v>
      </c>
      <c r="AG34">
        <v>0.46794871794871795</v>
      </c>
      <c r="AH34">
        <v>0.61250000000000004</v>
      </c>
      <c r="AI34">
        <v>0.49</v>
      </c>
      <c r="AJ34">
        <v>0.97368421052631582</v>
      </c>
      <c r="AK34">
        <v>0</v>
      </c>
      <c r="AL34">
        <v>0.3904109589041096</v>
      </c>
      <c r="AM34">
        <v>0.5</v>
      </c>
      <c r="AN34">
        <v>0.83050847457627119</v>
      </c>
      <c r="AO34">
        <v>0.75088967971530252</v>
      </c>
      <c r="AP34">
        <v>0</v>
      </c>
      <c r="AQ34">
        <v>0</v>
      </c>
      <c r="AR34">
        <v>0</v>
      </c>
      <c r="AS34">
        <v>0</v>
      </c>
      <c r="AT34">
        <v>0</v>
      </c>
      <c r="AU34" s="18">
        <v>0.3518237082066869</v>
      </c>
      <c r="AV34">
        <v>0.39478417266187049</v>
      </c>
      <c r="AW34">
        <v>0.34536585365853656</v>
      </c>
      <c r="AX34">
        <v>0.51552795031055898</v>
      </c>
      <c r="AY34">
        <v>0.35667396061269147</v>
      </c>
      <c r="AZ34">
        <v>0</v>
      </c>
      <c r="BA34">
        <v>0.39513677811550152</v>
      </c>
      <c r="BB34">
        <v>0.37579617834394907</v>
      </c>
      <c r="BC34">
        <v>0.40437158469945356</v>
      </c>
      <c r="BD34">
        <v>0.24399999999999999</v>
      </c>
      <c r="BE34">
        <v>0</v>
      </c>
      <c r="BF34">
        <v>0.34979423868312759</v>
      </c>
      <c r="BG34">
        <v>0.48407643312101911</v>
      </c>
      <c r="BH34">
        <v>0.5714285714285714</v>
      </c>
      <c r="BI34">
        <v>0.6330275229357798</v>
      </c>
      <c r="BJ34">
        <v>0</v>
      </c>
      <c r="BK34">
        <v>0.40277777777777779</v>
      </c>
      <c r="BL34">
        <v>0.28907922912205569</v>
      </c>
      <c r="BM34">
        <v>0.2857142857142857</v>
      </c>
      <c r="BN34">
        <v>0.26715686274509803</v>
      </c>
      <c r="BO34">
        <v>0</v>
      </c>
      <c r="BP34">
        <v>0.34020618556701032</v>
      </c>
      <c r="BQ34">
        <v>0.51063829787234039</v>
      </c>
      <c r="BR34">
        <v>0.54651162790697672</v>
      </c>
      <c r="BS34">
        <v>0.45054945054945056</v>
      </c>
      <c r="BT34">
        <v>0</v>
      </c>
      <c r="BU34">
        <v>0.54696132596685088</v>
      </c>
      <c r="BV34">
        <v>0.52616279069767447</v>
      </c>
      <c r="BW34">
        <v>0.70769230769230773</v>
      </c>
      <c r="BX34">
        <v>0.48717948717948717</v>
      </c>
      <c r="BY34">
        <v>0.55327868852459017</v>
      </c>
      <c r="BZ34">
        <v>0.51846590909090906</v>
      </c>
      <c r="CA34">
        <v>0.41135573580533025</v>
      </c>
      <c r="CB34">
        <v>0.42126789366053169</v>
      </c>
      <c r="CC34">
        <v>0.44648829431438125</v>
      </c>
      <c r="CD34">
        <v>0</v>
      </c>
      <c r="CE34">
        <v>0.39928057553956836</v>
      </c>
      <c r="CF34">
        <v>0.31978319783197834</v>
      </c>
      <c r="CG34">
        <v>0.57476635514018692</v>
      </c>
      <c r="CH34">
        <v>0.40482573726541554</v>
      </c>
      <c r="CI34">
        <v>0</v>
      </c>
      <c r="CJ34">
        <v>0.33673469387755101</v>
      </c>
      <c r="CK34">
        <v>0.50577367205542723</v>
      </c>
      <c r="CL34">
        <v>0.51702786377708976</v>
      </c>
      <c r="CM34">
        <v>0.50613496932515334</v>
      </c>
      <c r="CN34">
        <v>0</v>
      </c>
      <c r="CO34">
        <v>0.57758620689655171</v>
      </c>
      <c r="CP34">
        <v>0.39156626506024095</v>
      </c>
      <c r="CQ34">
        <v>0.47239263803680981</v>
      </c>
      <c r="CR34">
        <v>0.37083333333333335</v>
      </c>
      <c r="CS34">
        <v>0</v>
      </c>
      <c r="CT34">
        <v>0.39</v>
      </c>
      <c r="CU34">
        <v>0.26548672566371684</v>
      </c>
      <c r="CV34">
        <v>0.33333333333333331</v>
      </c>
      <c r="CW34">
        <v>0.65</v>
      </c>
      <c r="CX34">
        <v>0</v>
      </c>
      <c r="CY34">
        <v>0.59259259259259256</v>
      </c>
      <c r="CZ34">
        <v>0.8</v>
      </c>
      <c r="DA34">
        <v>0.54285714285714282</v>
      </c>
      <c r="DB34">
        <v>0.64999999999999991</v>
      </c>
      <c r="DC34">
        <v>0</v>
      </c>
      <c r="DD34">
        <v>0.52631578947368418</v>
      </c>
      <c r="DE34">
        <v>0.41176470588235292</v>
      </c>
      <c r="DF34">
        <v>0.71875</v>
      </c>
      <c r="DG34">
        <v>0.61111111111111116</v>
      </c>
    </row>
    <row r="35" spans="1:111" x14ac:dyDescent="0.3">
      <c r="A35" t="s">
        <v>139</v>
      </c>
      <c r="B35" s="18" t="e">
        <f t="shared" ref="B35:AT35" si="67">(B12+B15)/B11</f>
        <v>#DIV/0!</v>
      </c>
      <c r="C35" s="18">
        <f t="shared" si="67"/>
        <v>0.52777777777777779</v>
      </c>
      <c r="D35" s="18">
        <f t="shared" si="67"/>
        <v>0.46464646464646464</v>
      </c>
      <c r="E35" s="18">
        <f t="shared" si="67"/>
        <v>0.52826086956521745</v>
      </c>
      <c r="F35" s="18">
        <f t="shared" si="67"/>
        <v>0.83225806451612905</v>
      </c>
      <c r="G35" s="18" t="e">
        <f t="shared" si="67"/>
        <v>#DIV/0!</v>
      </c>
      <c r="H35" s="18">
        <f t="shared" si="67"/>
        <v>1.0337662337662337</v>
      </c>
      <c r="I35" s="18">
        <f t="shared" si="67"/>
        <v>0.75452716297786715</v>
      </c>
      <c r="J35" s="18">
        <f t="shared" si="67"/>
        <v>3.4503816793893129</v>
      </c>
      <c r="K35" s="18">
        <f t="shared" si="67"/>
        <v>0.73498233215547704</v>
      </c>
      <c r="L35" s="18" t="e">
        <f t="shared" si="67"/>
        <v>#DIV/0!</v>
      </c>
      <c r="M35" s="18">
        <f t="shared" si="67"/>
        <v>0.7822349570200573</v>
      </c>
      <c r="N35" s="18">
        <f t="shared" si="67"/>
        <v>0.77734375</v>
      </c>
      <c r="O35" s="18">
        <f t="shared" si="67"/>
        <v>0.39209726443769</v>
      </c>
      <c r="P35" s="18">
        <f t="shared" si="67"/>
        <v>0.44327176781002636</v>
      </c>
      <c r="Q35" s="18" t="e">
        <f t="shared" si="67"/>
        <v>#DIV/0!</v>
      </c>
      <c r="R35" s="18">
        <f t="shared" si="67"/>
        <v>0.72</v>
      </c>
      <c r="S35" s="18">
        <f t="shared" si="67"/>
        <v>0.54639175257731953</v>
      </c>
      <c r="T35" s="18">
        <f t="shared" si="67"/>
        <v>0.84166666666666667</v>
      </c>
      <c r="U35" s="18">
        <f t="shared" si="67"/>
        <v>0.72413793103448276</v>
      </c>
      <c r="V35" s="18" t="e">
        <f t="shared" si="67"/>
        <v>#DIV/0!</v>
      </c>
      <c r="W35" s="18" t="e">
        <f t="shared" si="67"/>
        <v>#DIV/0!</v>
      </c>
      <c r="X35" s="18" t="e">
        <f t="shared" si="67"/>
        <v>#DIV/0!</v>
      </c>
      <c r="Y35" s="18" t="e">
        <f t="shared" si="67"/>
        <v>#DIV/0!</v>
      </c>
      <c r="Z35" s="18" t="e">
        <f t="shared" si="67"/>
        <v>#DIV/0!</v>
      </c>
      <c r="AA35" s="18" t="e">
        <f t="shared" si="67"/>
        <v>#DIV/0!</v>
      </c>
      <c r="AB35" s="18">
        <f t="shared" si="67"/>
        <v>0.48466257668711654</v>
      </c>
      <c r="AC35" s="18">
        <f t="shared" si="67"/>
        <v>0.46651785714285715</v>
      </c>
      <c r="AD35" s="18">
        <f t="shared" si="67"/>
        <v>0.59058823529411764</v>
      </c>
      <c r="AE35" s="18">
        <f t="shared" si="67"/>
        <v>0.63513513513513509</v>
      </c>
      <c r="AF35" s="18" t="e">
        <f t="shared" si="67"/>
        <v>#DIV/0!</v>
      </c>
      <c r="AG35" s="18">
        <f t="shared" si="67"/>
        <v>0.51282051282051277</v>
      </c>
      <c r="AH35" s="18">
        <f t="shared" si="67"/>
        <v>0.64</v>
      </c>
      <c r="AI35" s="18">
        <f t="shared" si="67"/>
        <v>0.505</v>
      </c>
      <c r="AJ35" s="18">
        <f t="shared" si="67"/>
        <v>0.99736842105263157</v>
      </c>
      <c r="AK35" s="18" t="e">
        <f t="shared" si="67"/>
        <v>#DIV/0!</v>
      </c>
      <c r="AL35" s="18">
        <f t="shared" si="67"/>
        <v>0.3904109589041096</v>
      </c>
      <c r="AM35" s="18">
        <f t="shared" si="67"/>
        <v>0.5083333333333333</v>
      </c>
      <c r="AN35" s="18">
        <f t="shared" si="67"/>
        <v>0.98305084745762716</v>
      </c>
      <c r="AO35" s="18">
        <f t="shared" si="67"/>
        <v>0.95017793594306055</v>
      </c>
      <c r="AP35" s="18" t="e">
        <f t="shared" si="67"/>
        <v>#DIV/0!</v>
      </c>
      <c r="AQ35" s="18" t="e">
        <f t="shared" si="67"/>
        <v>#DIV/0!</v>
      </c>
      <c r="AR35" s="18" t="e">
        <f t="shared" si="67"/>
        <v>#DIV/0!</v>
      </c>
      <c r="AS35" s="18" t="e">
        <f t="shared" si="67"/>
        <v>#DIV/0!</v>
      </c>
      <c r="AT35" s="18" t="e">
        <f t="shared" si="67"/>
        <v>#DIV/0!</v>
      </c>
      <c r="AU35" s="18">
        <f>(AU12+AU15)/AU11</f>
        <v>0.55927051671732519</v>
      </c>
      <c r="AV35" s="18">
        <f t="shared" ref="AV35:CR35" si="68">(AV12+AV15)/AV11</f>
        <v>0.60251798561151082</v>
      </c>
      <c r="AW35" s="18">
        <f t="shared" si="68"/>
        <v>0.46243902439024392</v>
      </c>
      <c r="AX35" s="18">
        <f t="shared" si="68"/>
        <v>0.79192546583850931</v>
      </c>
      <c r="AY35" s="18">
        <f t="shared" si="68"/>
        <v>0.63019693654266962</v>
      </c>
      <c r="AZ35" s="18" t="e">
        <f t="shared" si="68"/>
        <v>#DIV/0!</v>
      </c>
      <c r="BA35" s="18">
        <f t="shared" si="68"/>
        <v>0.47720364741641336</v>
      </c>
      <c r="BB35" s="18">
        <f t="shared" si="68"/>
        <v>0.41719745222929938</v>
      </c>
      <c r="BC35" s="18">
        <f t="shared" si="68"/>
        <v>0.45027322404371589</v>
      </c>
      <c r="BD35" s="18">
        <f t="shared" si="68"/>
        <v>0.28799999999999998</v>
      </c>
      <c r="BE35" s="18" t="e">
        <f t="shared" si="68"/>
        <v>#DIV/0!</v>
      </c>
      <c r="BF35" s="18">
        <f t="shared" si="68"/>
        <v>0.53909465020576131</v>
      </c>
      <c r="BG35" s="18">
        <f t="shared" si="68"/>
        <v>0.59872611464968151</v>
      </c>
      <c r="BH35" s="18">
        <f t="shared" si="68"/>
        <v>0.66233766233766234</v>
      </c>
      <c r="BI35" s="18">
        <f t="shared" si="68"/>
        <v>0.68440366972477062</v>
      </c>
      <c r="BJ35" s="18" t="e">
        <f t="shared" si="68"/>
        <v>#DIV/0!</v>
      </c>
      <c r="BK35" s="18">
        <f t="shared" si="68"/>
        <v>0.63194444444444442</v>
      </c>
      <c r="BL35" s="18">
        <f t="shared" si="68"/>
        <v>0.42398286937901497</v>
      </c>
      <c r="BM35" s="18">
        <f t="shared" si="68"/>
        <v>0.41038961038961042</v>
      </c>
      <c r="BN35" s="18">
        <f t="shared" si="68"/>
        <v>0.38725490196078433</v>
      </c>
      <c r="BO35" s="18" t="e">
        <f t="shared" si="68"/>
        <v>#DIV/0!</v>
      </c>
      <c r="BP35" s="18">
        <f t="shared" si="68"/>
        <v>0.35876288659793809</v>
      </c>
      <c r="BQ35" s="18">
        <f t="shared" si="68"/>
        <v>0.51063829787234039</v>
      </c>
      <c r="BR35" s="18">
        <f t="shared" si="68"/>
        <v>0.62093023255813951</v>
      </c>
      <c r="BS35" s="18">
        <f t="shared" si="68"/>
        <v>0.51098901098901095</v>
      </c>
      <c r="BT35" s="18" t="e">
        <f t="shared" si="68"/>
        <v>#DIV/0!</v>
      </c>
      <c r="BU35" s="18">
        <f t="shared" si="68"/>
        <v>0.79005524861878451</v>
      </c>
      <c r="BV35" s="18">
        <f t="shared" si="68"/>
        <v>0.6191860465116279</v>
      </c>
      <c r="BW35" s="18">
        <f t="shared" si="68"/>
        <v>0.92307692307692313</v>
      </c>
      <c r="BX35" s="18">
        <f t="shared" si="68"/>
        <v>0.62051282051282053</v>
      </c>
      <c r="BY35" s="18">
        <f t="shared" si="68"/>
        <v>0.75819672131147542</v>
      </c>
      <c r="BZ35" s="18">
        <f t="shared" si="68"/>
        <v>0.66761363636363635</v>
      </c>
      <c r="CA35" s="18">
        <f t="shared" si="68"/>
        <v>0.50521436848203938</v>
      </c>
      <c r="CB35" s="18">
        <f t="shared" si="68"/>
        <v>0.67075664621676889</v>
      </c>
      <c r="CC35" s="18">
        <f t="shared" si="68"/>
        <v>0.62876254180602009</v>
      </c>
      <c r="CD35" s="18" t="e">
        <f t="shared" si="68"/>
        <v>#DIV/0!</v>
      </c>
      <c r="CE35" s="18">
        <f t="shared" si="68"/>
        <v>0.62230215827338131</v>
      </c>
      <c r="CF35" s="18">
        <f t="shared" si="68"/>
        <v>0.36856368563685638</v>
      </c>
      <c r="CG35" s="18">
        <f t="shared" si="68"/>
        <v>0.76635514018691586</v>
      </c>
      <c r="CH35" s="18">
        <f t="shared" si="68"/>
        <v>0.54691689008042899</v>
      </c>
      <c r="CI35" s="18" t="e">
        <f t="shared" si="68"/>
        <v>#DIV/0!</v>
      </c>
      <c r="CJ35" s="18">
        <f t="shared" si="68"/>
        <v>0.46598639455782315</v>
      </c>
      <c r="CK35" s="18">
        <f t="shared" si="68"/>
        <v>0.69976905311778292</v>
      </c>
      <c r="CL35" s="18">
        <f t="shared" si="68"/>
        <v>0.84210526315789469</v>
      </c>
      <c r="CM35" s="18">
        <f t="shared" si="68"/>
        <v>0.94785276073619629</v>
      </c>
      <c r="CN35" s="18" t="e">
        <f t="shared" si="68"/>
        <v>#DIV/0!</v>
      </c>
      <c r="CO35" s="18">
        <f t="shared" si="68"/>
        <v>0.80172413793103448</v>
      </c>
      <c r="CP35" s="18">
        <f t="shared" si="68"/>
        <v>0.40602409638554221</v>
      </c>
      <c r="CQ35" s="18">
        <f t="shared" si="68"/>
        <v>0.48159509202453987</v>
      </c>
      <c r="CR35" s="18">
        <f t="shared" si="68"/>
        <v>0.38500000000000001</v>
      </c>
    </row>
  </sheetData>
  <pageMargins left="0.511811024" right="0.511811024" top="0.78740157499999996" bottom="0.78740157499999996" header="0.31496062000000002" footer="0.31496062000000002"/>
  <ignoredErrors>
    <ignoredError sqref="G9 BJ9 BT9 CD9 CN9 AP9:AZ9 AK9 AF9 V9:AA9 Q9 L9 BE9 BO9 CI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5"/>
  <sheetViews>
    <sheetView workbookViewId="0">
      <pane xSplit="1" ySplit="2" topLeftCell="BU20" activePane="bottomRight" state="frozen"/>
      <selection pane="topRight" activeCell="B1" sqref="B1"/>
      <selection pane="bottomLeft" activeCell="A3" sqref="A3"/>
      <selection pane="bottomRight" activeCell="A36" sqref="A36"/>
    </sheetView>
  </sheetViews>
  <sheetFormatPr defaultRowHeight="14.4" x14ac:dyDescent="0.3"/>
  <cols>
    <col min="1" max="1" width="54.44140625" bestFit="1" customWidth="1"/>
    <col min="2" max="2" width="7.6640625" customWidth="1"/>
    <col min="3" max="4" width="5.5546875" bestFit="1" customWidth="1"/>
    <col min="5" max="6" width="5.44140625" bestFit="1" customWidth="1"/>
    <col min="7" max="7" width="7.33203125" customWidth="1"/>
    <col min="8" max="8" width="6.5546875" bestFit="1" customWidth="1"/>
    <col min="9" max="9" width="5.5546875" bestFit="1" customWidth="1"/>
    <col min="10" max="10" width="6.21875" bestFit="1" customWidth="1"/>
    <col min="11" max="11" width="5.5546875" bestFit="1" customWidth="1"/>
    <col min="12" max="12" width="8.44140625" bestFit="1" customWidth="1"/>
    <col min="13" max="16" width="5.5546875" bestFit="1" customWidth="1"/>
    <col min="17" max="17" width="6.109375" bestFit="1" customWidth="1"/>
    <col min="18" max="21" width="5.5546875" bestFit="1" customWidth="1"/>
    <col min="22" max="22" width="8.77734375" bestFit="1" customWidth="1"/>
    <col min="23" max="26" width="5.44140625" bestFit="1" customWidth="1"/>
    <col min="27" max="27" width="10.33203125" bestFit="1" customWidth="1"/>
    <col min="28" max="29" width="5.5546875" bestFit="1" customWidth="1"/>
    <col min="30" max="31" width="6.21875" bestFit="1" customWidth="1"/>
    <col min="32" max="32" width="7.44140625" customWidth="1"/>
    <col min="33" max="36" width="5.5546875" bestFit="1" customWidth="1"/>
    <col min="37" max="37" width="7.88671875" bestFit="1" customWidth="1"/>
    <col min="38" max="38" width="5.5546875" bestFit="1" customWidth="1"/>
    <col min="39" max="41" width="6.21875" bestFit="1" customWidth="1"/>
    <col min="42" max="42" width="6.6640625" bestFit="1" customWidth="1"/>
    <col min="43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4" width="5.5546875" bestFit="1" customWidth="1"/>
    <col min="55" max="55" width="6.21875" bestFit="1" customWidth="1"/>
    <col min="56" max="56" width="5.5546875" bestFit="1" customWidth="1"/>
    <col min="57" max="57" width="8.6640625" bestFit="1" customWidth="1"/>
    <col min="58" max="59" width="5.5546875" bestFit="1" customWidth="1"/>
    <col min="60" max="60" width="6.21875" bestFit="1" customWidth="1"/>
    <col min="61" max="61" width="5.5546875" bestFit="1" customWidth="1"/>
    <col min="62" max="62" width="7.109375" bestFit="1" customWidth="1"/>
    <col min="63" max="66" width="5.5546875" bestFit="1" customWidth="1"/>
    <col min="67" max="67" width="5.6640625" bestFit="1" customWidth="1"/>
    <col min="68" max="71" width="5.5546875" bestFit="1" customWidth="1"/>
    <col min="72" max="72" width="11.88671875" bestFit="1" customWidth="1"/>
    <col min="73" max="74" width="5.5546875" bestFit="1" customWidth="1"/>
    <col min="75" max="75" width="6.21875" bestFit="1" customWidth="1"/>
    <col min="76" max="76" width="5.5546875" bestFit="1" customWidth="1"/>
    <col min="77" max="77" width="9" bestFit="1" customWidth="1"/>
    <col min="78" max="78" width="5.5546875" bestFit="1" customWidth="1"/>
    <col min="79" max="79" width="6.5546875" bestFit="1" customWidth="1"/>
    <col min="80" max="80" width="6.21875" bestFit="1" customWidth="1"/>
    <col min="81" max="81" width="5.5546875" bestFit="1" customWidth="1"/>
    <col min="82" max="82" width="6.5546875" bestFit="1" customWidth="1"/>
    <col min="83" max="86" width="5.5546875" bestFit="1" customWidth="1"/>
    <col min="87" max="87" width="9.109375" bestFit="1" customWidth="1"/>
    <col min="88" max="88" width="5.5546875" bestFit="1" customWidth="1"/>
    <col min="89" max="91" width="6.21875" bestFit="1" customWidth="1"/>
    <col min="92" max="92" width="13.77734375" bestFit="1" customWidth="1"/>
    <col min="93" max="96" width="5.5546875" bestFit="1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80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117</v>
      </c>
      <c r="CX1" t="s">
        <v>118</v>
      </c>
      <c r="DC1" t="s">
        <v>119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100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/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14"/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/>
      <c r="X3" s="14"/>
      <c r="Y3" s="14"/>
      <c r="Z3" s="14"/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/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/>
      <c r="AQ3" s="14"/>
      <c r="AR3" s="14"/>
      <c r="AS3" s="14"/>
      <c r="AT3" s="14"/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/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346.584</v>
      </c>
      <c r="CA3" s="14">
        <f>Painel!CA3*IPC!H$3</f>
        <v>544.42931025000007</v>
      </c>
      <c r="CB3" s="14">
        <f>Painel!CB3*IPC!I$3</f>
        <v>217.04016758970002</v>
      </c>
      <c r="CC3" s="14">
        <f>Painel!CC3*IPC!J$3</f>
        <v>273.37377785748203</v>
      </c>
      <c r="CD3" s="14"/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/>
      <c r="CJ3" s="14">
        <f>Painel!CJ3*IPC!G$3</f>
        <v>211.45750000000001</v>
      </c>
      <c r="CK3" s="14">
        <f>Painel!CK3*IPC!H$3</f>
        <v>262.97783050000004</v>
      </c>
      <c r="CL3" s="14">
        <f>Painel!CL3*IPC!I$3</f>
        <v>152.64363434880002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/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14"/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/>
      <c r="X4" s="14"/>
      <c r="Y4" s="14"/>
      <c r="Z4" s="14"/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/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/>
      <c r="AQ4" s="14"/>
      <c r="AR4" s="14"/>
      <c r="AS4" s="14"/>
      <c r="AT4" s="14"/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/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/>
      <c r="CE4" s="14">
        <f>Painel!CE4*IPC!G$3</f>
        <v>55.701000000000008</v>
      </c>
      <c r="CF4" s="14">
        <f>Painel!CF4*IPC!H$3</f>
        <v>42.380724750000006</v>
      </c>
      <c r="CG4" s="14">
        <f>Painel!CG4*IPC!I$3</f>
        <v>17.887925900250004</v>
      </c>
      <c r="CH4" s="14">
        <f>Painel!CH4*IPC!J$3</f>
        <v>17.637017926289165</v>
      </c>
      <c r="CI4" s="14"/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90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/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14"/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/>
      <c r="X5" s="14"/>
      <c r="Y5" s="14"/>
      <c r="Z5" s="14"/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/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/>
      <c r="AQ5" s="14"/>
      <c r="AR5" s="14"/>
      <c r="AS5" s="14"/>
      <c r="AT5" s="14"/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/>
      <c r="BK5" s="14"/>
      <c r="BL5" s="14"/>
      <c r="BM5" s="14"/>
      <c r="BN5" s="14"/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/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/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/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14"/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/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/>
      <c r="AQ6" s="14"/>
      <c r="AR6" s="14"/>
      <c r="AS6" s="14"/>
      <c r="AT6" s="14"/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/>
      <c r="BK6" s="14"/>
      <c r="BL6" s="14"/>
      <c r="BM6" s="14"/>
      <c r="BN6" s="14"/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/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/>
      <c r="BK7" s="14"/>
      <c r="BL7" s="14"/>
      <c r="BM7" s="14"/>
      <c r="BN7" s="14"/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173.292</v>
      </c>
      <c r="CA7" s="14">
        <f>Painel!CA7*IPC!H$3</f>
        <v>264.06451575000006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/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/>
      <c r="AQ8" s="14"/>
      <c r="AR8" s="14"/>
      <c r="AS8" s="14"/>
      <c r="AT8" s="14"/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/>
      <c r="CE8" s="14"/>
      <c r="CF8" s="14"/>
      <c r="CG8" s="14"/>
      <c r="CH8" s="14"/>
      <c r="CI8" s="14"/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76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/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14"/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" si="9">SUM(U3:U8)-U7</f>
        <v>143.61571739978319</v>
      </c>
      <c r="V9" s="14"/>
      <c r="W9" s="14"/>
      <c r="X9" s="14"/>
      <c r="Y9" s="14"/>
      <c r="Z9" s="14"/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/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/>
      <c r="AQ9" s="14"/>
      <c r="AR9" s="14"/>
      <c r="AS9" s="14"/>
      <c r="AT9" s="14"/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/>
      <c r="BK9" s="14">
        <f>SUM(BK3:BK8)-BK7</f>
        <v>117.59100000000001</v>
      </c>
      <c r="BL9" s="14">
        <f t="shared" ref="BL9" si="26">SUM(BL3:BL8)-BL7</f>
        <v>256.45771900000005</v>
      </c>
      <c r="BM9" s="14">
        <f t="shared" ref="BM9" si="27">SUM(BM3:BM8)-BM7</f>
        <v>213.46258240965003</v>
      </c>
      <c r="BN9" s="14">
        <f t="shared" ref="BN9" si="28">SUM(BN3:BN8)-BN7</f>
        <v>254.47697293645791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618.90000000000009</v>
      </c>
      <c r="CA9" s="14">
        <f t="shared" ref="CA9" si="36">SUM(CA3:CA8)-CA7</f>
        <v>784.58675050000033</v>
      </c>
      <c r="CB9" s="14">
        <f t="shared" ref="CB9" si="37">SUM(CB3:CB8)-CB7</f>
        <v>401.88206855894998</v>
      </c>
      <c r="CC9" s="14">
        <f t="shared" ref="CC9:CE9" si="38">SUM(CC3:CC8)-CC7</f>
        <v>549.26712970443396</v>
      </c>
      <c r="CD9" s="14"/>
      <c r="CE9" s="14">
        <f t="shared" si="38"/>
        <v>209.39450000000002</v>
      </c>
      <c r="CF9" s="14">
        <f t="shared" ref="CF9" si="39">SUM(CF3:CF8)-CF7</f>
        <v>281.45147975000009</v>
      </c>
      <c r="CG9" s="14">
        <f t="shared" ref="CG9" si="40">SUM(CG3:CG8)-CG7</f>
        <v>140.71835041529999</v>
      </c>
      <c r="CH9" s="14">
        <f t="shared" ref="CH9" si="41">SUM(CH3:CH8)-CH7</f>
        <v>186.44847522077117</v>
      </c>
      <c r="CI9" s="14"/>
      <c r="CJ9" s="14">
        <f t="shared" ref="CJ9" si="42">SUM(CJ3:CJ8)-CJ7</f>
        <v>368.24550000000005</v>
      </c>
      <c r="CK9" s="14">
        <f t="shared" ref="CK9" si="43">SUM(CK3:CK8)-CK7</f>
        <v>335.78574225000006</v>
      </c>
      <c r="CL9" s="14">
        <f t="shared" ref="CL9" si="44">SUM(CL3:CL8)-CL7</f>
        <v>203.92235526285003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/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14"/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/>
      <c r="X10" s="14"/>
      <c r="Y10" s="14"/>
      <c r="Z10" s="14"/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/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/>
      <c r="AQ10" s="14"/>
      <c r="AR10" s="14"/>
      <c r="AS10" s="14"/>
      <c r="AT10" s="14"/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/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/>
      <c r="CE10" s="14">
        <f>Painel!CE10*IPC!G$3</f>
        <v>72.205000000000013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/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73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/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14"/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/>
      <c r="X11" s="14"/>
      <c r="Y11" s="14"/>
      <c r="Z11" s="14"/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/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/>
      <c r="AQ11" s="14"/>
      <c r="AR11" s="14"/>
      <c r="AS11" s="14"/>
      <c r="AT11" s="14"/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/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732</v>
      </c>
      <c r="BZ11" s="14">
        <f>Painel!BZ11*IPC!G$3</f>
        <v>726.17600000000004</v>
      </c>
      <c r="CA11" s="14">
        <f>Painel!CA11*IPC!H$3</f>
        <v>937.80937075000008</v>
      </c>
      <c r="CB11" s="14">
        <f>Painel!CB11*IPC!I$3</f>
        <v>583.14638434815004</v>
      </c>
      <c r="CC11" s="14">
        <f>Painel!CC11*IPC!J$3</f>
        <v>753.35262285149429</v>
      </c>
      <c r="CD11" s="14"/>
      <c r="CE11" s="14">
        <f>Painel!CE11*IPC!G$3</f>
        <v>286.75700000000001</v>
      </c>
      <c r="CF11" s="14">
        <f>Painel!CF11*IPC!H$3</f>
        <v>400.98685725000007</v>
      </c>
      <c r="CG11" s="14">
        <f>Painel!CG11*IPC!I$3</f>
        <v>255.20107617690005</v>
      </c>
      <c r="CH11" s="14">
        <f>Painel!CH11*IPC!J$3</f>
        <v>469.9005490361327</v>
      </c>
      <c r="CI11" s="14"/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/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14"/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/>
      <c r="X12" s="14"/>
      <c r="Y12" s="14"/>
      <c r="Z12" s="14"/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/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/>
      <c r="AQ12" s="14"/>
      <c r="AR12" s="14"/>
      <c r="AS12" s="14"/>
      <c r="AT12" s="14"/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/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336.36312759422907</v>
      </c>
      <c r="CD12" s="14"/>
      <c r="CE12" s="14">
        <f>Painel!CE12*IPC!G$3</f>
        <v>114.49650000000001</v>
      </c>
      <c r="CF12" s="14">
        <f>Painel!CF12*IPC!H$3</f>
        <v>128.22885950000003</v>
      </c>
      <c r="CG12" s="14">
        <f>Painel!CG12*IPC!I$3</f>
        <v>146.68099238205002</v>
      </c>
      <c r="CH12" s="14">
        <f>Painel!CH12*IPC!J$3</f>
        <v>190.22783620497597</v>
      </c>
      <c r="CI12" s="14"/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75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/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14"/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/>
      <c r="X13" s="14"/>
      <c r="Y13" s="14"/>
      <c r="Z13" s="14"/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/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/>
      <c r="AQ13" s="14"/>
      <c r="AR13" s="14"/>
      <c r="AS13" s="14"/>
      <c r="AT13" s="14"/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/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-16</v>
      </c>
      <c r="BZ13" s="14">
        <f>Painel!BZ13*IPC!G$3</f>
        <v>54.669500000000006</v>
      </c>
      <c r="CA13" s="14">
        <f>Painel!CA13*IPC!H$3</f>
        <v>195.60334500000002</v>
      </c>
      <c r="CB13" s="14">
        <f>Painel!CB13*IPC!I$3</f>
        <v>-104.94249861480002</v>
      </c>
      <c r="CC13" s="14">
        <f>Painel!CC13*IPC!J$3</f>
        <v>31.494674868373508</v>
      </c>
      <c r="CD13" s="14"/>
      <c r="CE13" s="14">
        <f>Painel!CE13*IPC!G$3</f>
        <v>110.37050000000001</v>
      </c>
      <c r="CF13" s="14">
        <f>Painel!CF13*IPC!H$3</f>
        <v>160.82941700000003</v>
      </c>
      <c r="CG13" s="14">
        <f>Painel!CG13*IPC!I$3</f>
        <v>-64.396533240900013</v>
      </c>
      <c r="CH13" s="14">
        <f>Painel!CH13*IPC!J$3</f>
        <v>166.29188330501211</v>
      </c>
      <c r="CI13" s="14"/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/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14"/>
      <c r="M14" s="14">
        <f>Painel!M14*IPC!G$3</f>
        <v>73.236500000000007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/>
      <c r="X14" s="14"/>
      <c r="Y14" s="14"/>
      <c r="Z14" s="14"/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/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/>
      <c r="AQ14" s="14"/>
      <c r="AR14" s="14"/>
      <c r="AS14" s="14"/>
      <c r="AT14" s="14"/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/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/>
      <c r="CE14" s="14">
        <f>Painel!CE14*IPC!G$3</f>
        <v>119.65400000000001</v>
      </c>
      <c r="CF14" s="14">
        <f>Painel!CF14*IPC!H$3</f>
        <v>180.38975150000002</v>
      </c>
      <c r="CG14" s="14">
        <f>Painel!CG14*IPC!I$3</f>
        <v>-26.235624653700004</v>
      </c>
      <c r="CH14" s="14">
        <f>Painel!CH14*IPC!J$3</f>
        <v>211.64421511546996</v>
      </c>
      <c r="CI14" s="14"/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/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14"/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/>
      <c r="X15" s="14"/>
      <c r="Y15" s="14"/>
      <c r="Z15" s="14"/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/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/>
      <c r="AQ15" s="14"/>
      <c r="AR15" s="14"/>
      <c r="AS15" s="14"/>
      <c r="AT15" s="14"/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/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/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/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88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/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14"/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/>
      <c r="X16" s="14"/>
      <c r="Y16" s="14"/>
      <c r="Z16" s="14"/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/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/>
      <c r="AQ16" s="14"/>
      <c r="AR16" s="14"/>
      <c r="AS16" s="14"/>
      <c r="AT16" s="14"/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/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/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/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/>
      <c r="AR17" s="14"/>
      <c r="AS17" s="14"/>
      <c r="AT17" s="14"/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77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/>
      <c r="AR18" s="14"/>
      <c r="AS18" s="14"/>
      <c r="AT18" s="14"/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91</v>
      </c>
      <c r="B19">
        <v>24</v>
      </c>
      <c r="C19">
        <v>53</v>
      </c>
      <c r="D19">
        <v>53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I19">
        <v>31</v>
      </c>
      <c r="AK19">
        <v>47</v>
      </c>
      <c r="AO19">
        <v>36</v>
      </c>
      <c r="AP19">
        <v>51</v>
      </c>
      <c r="AQ19">
        <v>41</v>
      </c>
      <c r="AR19">
        <v>47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L19">
        <v>43</v>
      </c>
      <c r="BM19">
        <v>59</v>
      </c>
      <c r="BN19">
        <v>65</v>
      </c>
      <c r="BO19">
        <v>38</v>
      </c>
      <c r="BP19">
        <v>46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92</v>
      </c>
      <c r="B20" s="6">
        <v>0</v>
      </c>
      <c r="C20" s="6">
        <v>0.24369580448359887</v>
      </c>
      <c r="D20" s="6">
        <v>0.31698925390914107</v>
      </c>
      <c r="E20" s="6"/>
      <c r="F20" s="6"/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/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/>
      <c r="AI20" s="6">
        <v>3.2873286567669809E-2</v>
      </c>
      <c r="AJ20" s="6"/>
      <c r="AK20" s="6">
        <v>0.63915119328546977</v>
      </c>
      <c r="AL20" s="6"/>
      <c r="AM20" s="6"/>
      <c r="AN20" s="6"/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/>
      <c r="AT20" s="6"/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/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/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/>
      <c r="CP20" s="6"/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78</v>
      </c>
      <c r="B21" s="14">
        <v>7.3</v>
      </c>
      <c r="C21" s="14"/>
      <c r="D21" s="14"/>
      <c r="E21" s="14"/>
      <c r="F21" s="14"/>
      <c r="G21" s="14">
        <v>31.2</v>
      </c>
      <c r="H21" s="14"/>
      <c r="I21" s="14"/>
      <c r="J21" s="14"/>
      <c r="K21" s="14"/>
      <c r="L21" s="14">
        <v>18.600000000000001</v>
      </c>
      <c r="M21" s="14"/>
      <c r="N21" s="14"/>
      <c r="O21" s="14"/>
      <c r="P21" s="14"/>
      <c r="Q21" s="14">
        <v>22.6</v>
      </c>
      <c r="R21" s="14"/>
      <c r="S21" s="14"/>
      <c r="T21" s="14"/>
      <c r="U21" s="14"/>
      <c r="V21" s="14">
        <v>24.1</v>
      </c>
      <c r="W21" s="14"/>
      <c r="X21" s="14"/>
      <c r="Y21" s="14"/>
      <c r="Z21" s="14"/>
      <c r="AA21" s="14">
        <v>42.9</v>
      </c>
      <c r="AB21" s="14"/>
      <c r="AC21" s="14"/>
      <c r="AD21" s="14"/>
      <c r="AE21" s="14"/>
      <c r="AF21" s="14">
        <v>12</v>
      </c>
      <c r="AG21" s="14"/>
      <c r="AH21" s="14"/>
      <c r="AI21" s="14"/>
      <c r="AJ21" s="14"/>
      <c r="AK21" s="14">
        <v>25.6</v>
      </c>
      <c r="AL21" s="14"/>
      <c r="AM21" s="14"/>
      <c r="AN21" s="14"/>
      <c r="AO21" s="14"/>
      <c r="AP21" s="14">
        <v>14.9</v>
      </c>
      <c r="AQ21" s="14"/>
      <c r="AR21" s="14"/>
      <c r="AS21" s="14"/>
      <c r="AT21" s="14"/>
      <c r="AU21" s="14">
        <v>69.599999999999994</v>
      </c>
      <c r="AV21" s="14"/>
      <c r="AW21" s="14"/>
      <c r="AX21" s="14"/>
      <c r="AY21" s="14"/>
      <c r="AZ21" s="14">
        <v>25.9</v>
      </c>
      <c r="BA21" s="14"/>
      <c r="BB21" s="14"/>
      <c r="BC21" s="14"/>
      <c r="BD21" s="14"/>
      <c r="BE21" s="14">
        <v>10.7</v>
      </c>
      <c r="BF21" s="14"/>
      <c r="BG21" s="14"/>
      <c r="BH21" s="14"/>
      <c r="BI21" s="14"/>
      <c r="BJ21" s="14">
        <v>38</v>
      </c>
      <c r="BK21" s="14"/>
      <c r="BL21" s="14"/>
      <c r="BM21" s="14"/>
      <c r="BN21" s="14"/>
      <c r="BO21" s="14">
        <v>5</v>
      </c>
      <c r="BP21" s="14"/>
      <c r="BQ21" s="14"/>
      <c r="BR21" s="14"/>
      <c r="BS21" s="14"/>
      <c r="BT21" s="14">
        <v>23.3</v>
      </c>
      <c r="BU21" s="14"/>
      <c r="BV21" s="14"/>
      <c r="BW21" s="14"/>
      <c r="BX21" s="14"/>
      <c r="BY21" s="14">
        <v>45.9</v>
      </c>
      <c r="BZ21" s="14"/>
      <c r="CA21" s="14"/>
      <c r="CB21" s="14"/>
      <c r="CC21" s="14"/>
      <c r="CD21" s="14">
        <v>8.4</v>
      </c>
      <c r="CE21" s="14"/>
      <c r="CF21" s="14"/>
      <c r="CG21" s="14"/>
      <c r="CH21" s="14"/>
      <c r="CI21" s="14">
        <v>47.8</v>
      </c>
      <c r="CJ21" s="14"/>
      <c r="CK21" s="14"/>
      <c r="CL21" s="14"/>
      <c r="CM21" s="14"/>
      <c r="CN21" s="14">
        <v>21.5</v>
      </c>
      <c r="CO21" s="14"/>
      <c r="CP21" s="14"/>
      <c r="CQ21" s="14"/>
      <c r="CR21" s="14"/>
    </row>
    <row r="22" spans="1:111" x14ac:dyDescent="0.3">
      <c r="A22" t="s">
        <v>62</v>
      </c>
      <c r="B22" s="6">
        <v>386</v>
      </c>
      <c r="C22" s="6"/>
      <c r="D22" s="6"/>
      <c r="E22" s="6"/>
      <c r="F22" s="6"/>
      <c r="G22" s="6">
        <v>1645</v>
      </c>
      <c r="H22" s="6"/>
      <c r="I22" s="6"/>
      <c r="J22" s="6"/>
      <c r="K22" s="6"/>
      <c r="L22" s="6">
        <v>977</v>
      </c>
      <c r="M22" s="6"/>
      <c r="N22" s="6"/>
      <c r="O22" s="6"/>
      <c r="P22" s="6"/>
      <c r="Q22" s="6">
        <v>1189</v>
      </c>
      <c r="R22" s="6"/>
      <c r="S22" s="6"/>
      <c r="T22" s="6"/>
      <c r="U22" s="6"/>
      <c r="V22" s="6">
        <v>1271</v>
      </c>
      <c r="W22" s="6"/>
      <c r="X22" s="6"/>
      <c r="Y22" s="6"/>
      <c r="Z22" s="6"/>
      <c r="AA22" s="6">
        <v>2384</v>
      </c>
      <c r="AB22" s="6"/>
      <c r="AC22" s="6"/>
      <c r="AD22" s="6"/>
      <c r="AE22" s="6"/>
      <c r="AF22" s="6">
        <v>704</v>
      </c>
      <c r="AG22" s="6"/>
      <c r="AH22" s="6"/>
      <c r="AI22" s="6"/>
      <c r="AJ22" s="6"/>
      <c r="AK22" s="6">
        <v>1436</v>
      </c>
      <c r="AL22" s="6"/>
      <c r="AM22" s="6"/>
      <c r="AN22" s="6"/>
      <c r="AO22" s="6"/>
      <c r="AP22" s="6">
        <v>782</v>
      </c>
      <c r="AQ22" s="6"/>
      <c r="AR22" s="6"/>
      <c r="AS22" s="6"/>
      <c r="AT22" s="6"/>
      <c r="AU22" s="6">
        <v>3661</v>
      </c>
      <c r="AV22" s="6"/>
      <c r="AW22" s="6"/>
      <c r="AX22" s="6"/>
      <c r="AY22" s="6"/>
      <c r="AZ22" s="6">
        <v>1363</v>
      </c>
      <c r="BA22" s="6"/>
      <c r="BB22" s="6"/>
      <c r="BC22" s="6"/>
      <c r="BD22" s="6"/>
      <c r="BE22" s="6">
        <v>564</v>
      </c>
      <c r="BF22" s="6"/>
      <c r="BG22" s="6"/>
      <c r="BH22" s="6"/>
      <c r="BI22" s="6"/>
      <c r="BJ22" s="6">
        <v>2001</v>
      </c>
      <c r="BK22" s="6"/>
      <c r="BL22" s="6"/>
      <c r="BM22" s="6"/>
      <c r="BN22" s="6"/>
      <c r="BO22" s="6">
        <v>266</v>
      </c>
      <c r="BP22" s="6"/>
      <c r="BQ22" s="6"/>
      <c r="BR22" s="6"/>
      <c r="BS22" s="6"/>
      <c r="BT22" s="6">
        <v>1226</v>
      </c>
      <c r="BU22" s="6"/>
      <c r="BV22" s="6"/>
      <c r="BW22" s="6"/>
      <c r="BX22" s="6"/>
      <c r="BY22" s="6">
        <v>2416</v>
      </c>
      <c r="BZ22" s="6"/>
      <c r="CA22" s="6"/>
      <c r="CB22" s="6"/>
      <c r="CC22" s="6"/>
      <c r="CD22" s="6">
        <v>558</v>
      </c>
      <c r="CE22" s="6"/>
      <c r="CF22" s="6"/>
      <c r="CG22" s="6"/>
      <c r="CH22" s="6"/>
      <c r="CI22" s="6">
        <v>2515</v>
      </c>
      <c r="CJ22" s="6"/>
      <c r="CK22" s="6"/>
      <c r="CL22" s="6"/>
      <c r="CM22" s="6"/>
      <c r="CN22" s="6">
        <v>1435</v>
      </c>
      <c r="CO22" s="14"/>
      <c r="CP22" s="14"/>
      <c r="CQ22" s="14"/>
      <c r="CR22" s="14"/>
    </row>
    <row r="23" spans="1:111" x14ac:dyDescent="0.3">
      <c r="A23" t="s">
        <v>63</v>
      </c>
      <c r="B23" s="6">
        <v>4910</v>
      </c>
      <c r="C23" s="6"/>
      <c r="D23" s="6"/>
      <c r="E23" s="6"/>
      <c r="F23" s="6"/>
      <c r="G23" s="6">
        <v>27989</v>
      </c>
      <c r="H23" s="6"/>
      <c r="I23" s="6"/>
      <c r="J23" s="6"/>
      <c r="K23" s="6"/>
      <c r="L23" s="6">
        <v>22283</v>
      </c>
      <c r="M23" s="6"/>
      <c r="N23" s="6"/>
      <c r="O23" s="6"/>
      <c r="P23" s="6"/>
      <c r="Q23" s="6">
        <v>36461</v>
      </c>
      <c r="R23" s="6"/>
      <c r="S23" s="6"/>
      <c r="T23" s="6"/>
      <c r="U23" s="6"/>
      <c r="V23" s="6">
        <v>26691</v>
      </c>
      <c r="W23" s="6"/>
      <c r="X23" s="6"/>
      <c r="Y23" s="6"/>
      <c r="Z23" s="6"/>
      <c r="AA23" s="6">
        <v>38433</v>
      </c>
      <c r="AB23" s="6"/>
      <c r="AC23" s="6"/>
      <c r="AD23" s="6"/>
      <c r="AE23" s="6"/>
      <c r="AF23" s="6">
        <v>21466</v>
      </c>
      <c r="AG23" s="6"/>
      <c r="AH23" s="6"/>
      <c r="AI23" s="6"/>
      <c r="AJ23" s="6"/>
      <c r="AK23" s="6">
        <v>29307</v>
      </c>
      <c r="AL23" s="6"/>
      <c r="AM23" s="6"/>
      <c r="AN23" s="6"/>
      <c r="AO23" s="6"/>
      <c r="AP23" s="6">
        <v>14701</v>
      </c>
      <c r="AQ23" s="6"/>
      <c r="AR23" s="6"/>
      <c r="AS23" s="6"/>
      <c r="AT23" s="6"/>
      <c r="AU23" s="6">
        <v>54499</v>
      </c>
      <c r="AV23" s="6"/>
      <c r="AW23" s="6"/>
      <c r="AX23" s="6"/>
      <c r="AY23" s="6"/>
      <c r="AZ23" s="6">
        <v>29783</v>
      </c>
      <c r="BA23" s="6"/>
      <c r="BB23" s="6"/>
      <c r="BC23" s="6"/>
      <c r="BD23" s="6"/>
      <c r="BE23" s="6">
        <v>32787</v>
      </c>
      <c r="BF23" s="6"/>
      <c r="BG23" s="6"/>
      <c r="BH23" s="6"/>
      <c r="BI23" s="6"/>
      <c r="BJ23" s="6">
        <v>31385</v>
      </c>
      <c r="BK23" s="6"/>
      <c r="BL23" s="6"/>
      <c r="BM23" s="6"/>
      <c r="BN23" s="6"/>
      <c r="BO23" s="6">
        <v>7698</v>
      </c>
      <c r="BP23" s="6"/>
      <c r="BQ23" s="6"/>
      <c r="BR23" s="6"/>
      <c r="BS23" s="6"/>
      <c r="BT23" s="6">
        <v>27325</v>
      </c>
      <c r="BU23" s="6"/>
      <c r="BV23" s="6"/>
      <c r="BW23" s="6"/>
      <c r="BX23" s="6"/>
      <c r="BY23" s="6">
        <v>33167</v>
      </c>
      <c r="BZ23" s="6"/>
      <c r="CA23" s="6"/>
      <c r="CB23" s="6"/>
      <c r="CC23" s="6"/>
      <c r="CD23" s="6">
        <v>12147</v>
      </c>
      <c r="CE23" s="6"/>
      <c r="CF23" s="6"/>
      <c r="CG23" s="6"/>
      <c r="CH23" s="6"/>
      <c r="CI23" s="6">
        <v>43780</v>
      </c>
      <c r="CJ23" s="6"/>
      <c r="CK23" s="6"/>
      <c r="CL23" s="6"/>
      <c r="CM23" s="6"/>
      <c r="CN23" s="6">
        <v>26347</v>
      </c>
      <c r="CO23" s="14"/>
      <c r="CP23" s="14"/>
      <c r="CQ23" s="14"/>
      <c r="CR23" s="14"/>
    </row>
    <row r="24" spans="1:111" x14ac:dyDescent="0.3">
      <c r="A24" t="s">
        <v>81</v>
      </c>
      <c r="B24" s="14">
        <f t="shared" ref="B24:AP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0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>K11/K18</f>
        <v>37.52839152736717</v>
      </c>
      <c r="L24" s="14">
        <f t="shared" si="62"/>
        <v>0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0</v>
      </c>
      <c r="X24" s="14">
        <f t="shared" si="62"/>
        <v>0</v>
      </c>
      <c r="Y24" s="14">
        <f t="shared" si="62"/>
        <v>0</v>
      </c>
      <c r="Z24" s="14">
        <f t="shared" si="62"/>
        <v>0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0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0</v>
      </c>
      <c r="AQ24" s="14"/>
      <c r="AR24" s="14"/>
      <c r="AS24" s="14"/>
      <c r="AT24" s="14"/>
      <c r="AU24" s="14">
        <f>AU11/AU18</f>
        <v>27.359667359667359</v>
      </c>
      <c r="AV24" s="14">
        <f t="shared" ref="AV24:CR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si="63"/>
        <v>0</v>
      </c>
      <c r="BA24" s="14">
        <f>BA11/BA18</f>
        <v>45.248466666666673</v>
      </c>
      <c r="BB24" s="14">
        <f t="shared" si="63"/>
        <v>45.495889133333336</v>
      </c>
      <c r="BC24" s="14">
        <f t="shared" si="63"/>
        <v>29.097692797740006</v>
      </c>
      <c r="BD24" s="14">
        <f t="shared" si="63"/>
        <v>41.992899824498004</v>
      </c>
      <c r="BE24" s="14">
        <f t="shared" si="63"/>
        <v>0</v>
      </c>
      <c r="BF24" s="14">
        <f t="shared" si="63"/>
        <v>96.405576923076922</v>
      </c>
      <c r="BG24" s="14">
        <f t="shared" si="63"/>
        <v>65.619070865384614</v>
      </c>
      <c r="BH24" s="14">
        <f t="shared" si="63"/>
        <v>35.317187033826926</v>
      </c>
      <c r="BI24" s="14">
        <f t="shared" si="63"/>
        <v>52.814147086964802</v>
      </c>
      <c r="BJ24" s="14">
        <f t="shared" si="63"/>
        <v>0</v>
      </c>
      <c r="BK24" s="14">
        <f t="shared" si="63"/>
        <v>29.413069306930694</v>
      </c>
      <c r="BL24" s="14">
        <f t="shared" si="63"/>
        <v>50.245743737623769</v>
      </c>
      <c r="BM24" s="14">
        <f t="shared" si="63"/>
        <v>45.457765489084167</v>
      </c>
      <c r="BN24" s="14">
        <f t="shared" si="63"/>
        <v>50.890405331866894</v>
      </c>
      <c r="BO24" s="14">
        <f t="shared" si="63"/>
        <v>0</v>
      </c>
      <c r="BP24" s="14">
        <f t="shared" si="63"/>
        <v>250.13875000000002</v>
      </c>
      <c r="BQ24" s="14">
        <f t="shared" si="63"/>
        <v>127.68551687500002</v>
      </c>
      <c r="BR24" s="14">
        <f t="shared" si="63"/>
        <v>256.39360457025003</v>
      </c>
      <c r="BS24" s="14">
        <f>BS11/BS18</f>
        <v>286.60154130219888</v>
      </c>
      <c r="BT24" s="14">
        <f t="shared" si="63"/>
        <v>0</v>
      </c>
      <c r="BU24" s="14">
        <f t="shared" si="63"/>
        <v>48.493896103896105</v>
      </c>
      <c r="BV24" s="14">
        <f t="shared" si="63"/>
        <v>48.548016363636371</v>
      </c>
      <c r="BW24" s="14">
        <f t="shared" si="63"/>
        <v>40.267192502727276</v>
      </c>
      <c r="BX24" s="14">
        <f t="shared" si="63"/>
        <v>63.80739323982165</v>
      </c>
      <c r="BY24" s="14">
        <f t="shared" si="63"/>
        <v>43.313609467455628</v>
      </c>
      <c r="BZ24" s="14">
        <f t="shared" si="63"/>
        <v>42.96899408284024</v>
      </c>
      <c r="CA24" s="14">
        <f t="shared" si="63"/>
        <v>55.491678742603561</v>
      </c>
      <c r="CB24" s="14">
        <f t="shared" si="63"/>
        <v>34.505703215866866</v>
      </c>
      <c r="CC24" s="14">
        <f t="shared" si="63"/>
        <v>44.577078275236353</v>
      </c>
      <c r="CD24" s="14">
        <f t="shared" si="63"/>
        <v>0</v>
      </c>
      <c r="CE24" s="14">
        <f t="shared" si="63"/>
        <v>42.170147058823531</v>
      </c>
      <c r="CF24" s="14">
        <f t="shared" si="63"/>
        <v>58.968655477941191</v>
      </c>
      <c r="CG24" s="14">
        <f t="shared" si="63"/>
        <v>37.52957002601471</v>
      </c>
      <c r="CH24" s="14">
        <f t="shared" si="63"/>
        <v>69.103021917078337</v>
      </c>
      <c r="CI24" s="14">
        <f t="shared" si="63"/>
        <v>0</v>
      </c>
      <c r="CJ24" s="14">
        <f t="shared" si="63"/>
        <v>27.82211009174312</v>
      </c>
      <c r="CK24" s="14">
        <f t="shared" si="63"/>
        <v>21.584161158256883</v>
      </c>
      <c r="CL24" s="14">
        <f t="shared" si="63"/>
        <v>17.669113351011468</v>
      </c>
      <c r="CM24" s="14">
        <f t="shared" si="63"/>
        <v>18.839016526770205</v>
      </c>
      <c r="CN24" s="14">
        <f t="shared" si="63"/>
        <v>0</v>
      </c>
      <c r="CO24" s="14">
        <f t="shared" si="63"/>
        <v>8.7980882352941183</v>
      </c>
      <c r="CP24" s="14">
        <f t="shared" si="63"/>
        <v>13.263952316176471</v>
      </c>
      <c r="CQ24" s="14">
        <f t="shared" si="63"/>
        <v>14.292803537944854</v>
      </c>
      <c r="CR24" s="14">
        <f t="shared" si="63"/>
        <v>22.231535201204828</v>
      </c>
    </row>
    <row r="25" spans="1:111" x14ac:dyDescent="0.3">
      <c r="A25" t="s">
        <v>89</v>
      </c>
      <c r="B25" s="14"/>
      <c r="C25" s="14">
        <v>2</v>
      </c>
      <c r="D25" s="14"/>
      <c r="E25" s="14">
        <v>1.2702702702702704</v>
      </c>
      <c r="F25" s="14">
        <v>3.8181818181818179</v>
      </c>
      <c r="G25" s="14"/>
      <c r="H25" s="14">
        <v>4.8888888888888893</v>
      </c>
      <c r="I25" s="14">
        <v>5.5</v>
      </c>
      <c r="J25" s="14">
        <v>2.333333333333333</v>
      </c>
      <c r="K25" s="14">
        <v>7.5714285714285703</v>
      </c>
      <c r="L25" s="14"/>
      <c r="M25" s="14">
        <v>7.2142857142857153</v>
      </c>
      <c r="N25" s="14">
        <v>3.3684210526315792</v>
      </c>
      <c r="O25" s="14">
        <v>26.44736842105263</v>
      </c>
      <c r="P25" s="14">
        <v>6.045454545454545</v>
      </c>
      <c r="Q25" s="14"/>
      <c r="R25" s="14">
        <v>1.6153846153846152</v>
      </c>
      <c r="S25" s="14">
        <v>2.6923076923076925</v>
      </c>
      <c r="T25" s="14">
        <v>2.75</v>
      </c>
      <c r="U25" s="14">
        <v>3.214285714285714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>
        <v>3.3009708737864076</v>
      </c>
      <c r="AH25" s="14">
        <v>0.44943820224719105</v>
      </c>
      <c r="AI25" s="14">
        <v>3.9449541284403664</v>
      </c>
      <c r="AJ25" s="14">
        <v>0.18354430379746836</v>
      </c>
      <c r="AK25" s="14"/>
      <c r="AL25" s="14"/>
      <c r="AM25" s="14">
        <v>4.7619047619047619</v>
      </c>
      <c r="AN25" s="14">
        <v>2.875</v>
      </c>
      <c r="AO25" s="14">
        <v>5.6842105263157885</v>
      </c>
      <c r="AP25" s="14"/>
      <c r="AQ25" s="14"/>
      <c r="AR25" s="14"/>
      <c r="AS25" s="14"/>
      <c r="AT25" s="14"/>
      <c r="AU25" s="14">
        <v>18.9375</v>
      </c>
      <c r="AV25" s="14">
        <v>4.75</v>
      </c>
      <c r="AW25" s="14">
        <v>5.6734693877551026</v>
      </c>
      <c r="AX25" s="14">
        <v>8.5384615384615383</v>
      </c>
      <c r="AY25" s="14">
        <v>9.375</v>
      </c>
      <c r="AZ25" s="14"/>
      <c r="BA25" s="14"/>
      <c r="BB25" s="14">
        <v>5.5</v>
      </c>
      <c r="BC25" s="14">
        <v>4.5866476667307703</v>
      </c>
      <c r="BD25" s="14">
        <v>16.534704305896092</v>
      </c>
      <c r="BE25" s="14"/>
      <c r="BF25" s="14"/>
      <c r="BG25" s="14">
        <v>0.96</v>
      </c>
      <c r="BH25" s="14">
        <v>5.7894736842105265</v>
      </c>
      <c r="BI25" s="14">
        <v>4.0625</v>
      </c>
      <c r="BJ25" s="14"/>
      <c r="BK25" s="14">
        <v>4.08</v>
      </c>
      <c r="BL25" s="14">
        <v>5.4827586206896548</v>
      </c>
      <c r="BM25" s="14">
        <v>6.0000000000000009</v>
      </c>
      <c r="BN25" s="14">
        <v>4.695652173913043</v>
      </c>
      <c r="BO25" s="14"/>
      <c r="BP25" s="14"/>
      <c r="BQ25" s="14">
        <v>1.8478260869565217</v>
      </c>
      <c r="BR25" s="14">
        <v>13.235294117647062</v>
      </c>
      <c r="BS25" s="14">
        <v>0.22916666666666669</v>
      </c>
      <c r="BT25" s="14"/>
      <c r="BU25" s="14">
        <v>7.8636363636363633</v>
      </c>
      <c r="BV25" s="14">
        <v>4</v>
      </c>
      <c r="BW25" s="14">
        <v>4.5333333333333332</v>
      </c>
      <c r="BX25" s="14">
        <v>6.2962962962962967</v>
      </c>
      <c r="BY25" s="14">
        <v>6.4482758620689653</v>
      </c>
      <c r="BZ25" s="14">
        <v>5.8</v>
      </c>
      <c r="CA25" s="14">
        <v>4.7931034482758621</v>
      </c>
      <c r="CB25" s="14">
        <v>7.8421052631578947</v>
      </c>
      <c r="CC25" s="14">
        <v>4.1538461538461533</v>
      </c>
      <c r="CD25" s="14"/>
      <c r="CE25" s="14">
        <v>7</v>
      </c>
      <c r="CF25" s="14">
        <v>11.382978723404255</v>
      </c>
      <c r="CG25" s="14">
        <v>10.76923076923077</v>
      </c>
      <c r="CH25" s="14">
        <v>24</v>
      </c>
      <c r="CI25" s="14"/>
      <c r="CJ25" s="14">
        <v>14.3125</v>
      </c>
      <c r="CK25" s="14">
        <v>4.3214285714285712</v>
      </c>
      <c r="CL25" s="14">
        <v>4.1944444444444446</v>
      </c>
      <c r="CM25" s="14">
        <v>2.6250000000000004</v>
      </c>
      <c r="CN25" s="14"/>
      <c r="CO25" s="14">
        <v>3.0459770114942533</v>
      </c>
      <c r="CP25" s="14">
        <v>16.944444444444443</v>
      </c>
      <c r="CQ25" s="14">
        <v>3.6666666666666665</v>
      </c>
      <c r="CR25" s="14">
        <v>1.0769230769230771</v>
      </c>
    </row>
    <row r="26" spans="1:111" x14ac:dyDescent="0.3">
      <c r="A26" t="s">
        <v>82</v>
      </c>
      <c r="B26" s="14">
        <v>0</v>
      </c>
      <c r="C26" s="14">
        <v>0.19462264150943398</v>
      </c>
      <c r="D26" s="14">
        <v>4.9208388679245291E-2</v>
      </c>
      <c r="E26" s="14"/>
      <c r="F26" s="14"/>
      <c r="G26" s="14">
        <v>0</v>
      </c>
      <c r="H26" s="14">
        <v>1.5650344827586209</v>
      </c>
      <c r="I26" s="14">
        <v>1.2807361875000001</v>
      </c>
      <c r="J26" s="14">
        <v>0.4910411031441177</v>
      </c>
      <c r="K26" s="14">
        <v>2.7820296133729929</v>
      </c>
      <c r="L26" s="14">
        <v>0</v>
      </c>
      <c r="M26" s="14">
        <v>1.7962327586206899</v>
      </c>
      <c r="N26" s="14">
        <v>0.73987080851063836</v>
      </c>
      <c r="O26" s="14">
        <v>4.5226076804405668</v>
      </c>
      <c r="P26" s="14">
        <v>2.6179948484335478</v>
      </c>
      <c r="Q26" s="14">
        <v>0</v>
      </c>
      <c r="R26" s="14"/>
      <c r="S26" s="14">
        <v>0.88451125000000008</v>
      </c>
      <c r="T26" s="14">
        <v>0.59626419667500008</v>
      </c>
      <c r="U26" s="14">
        <v>1.1569472400627003</v>
      </c>
      <c r="V26" s="14">
        <v>0</v>
      </c>
      <c r="W26" s="14">
        <v>0</v>
      </c>
      <c r="X26" s="14"/>
      <c r="Y26" s="14">
        <v>0</v>
      </c>
      <c r="Z26" s="14">
        <v>0</v>
      </c>
      <c r="AA26" s="14">
        <v>0</v>
      </c>
      <c r="AB26" s="14">
        <v>2.3169076923076926</v>
      </c>
      <c r="AC26" s="14">
        <v>0.5338102982456141</v>
      </c>
      <c r="AD26" s="14">
        <v>4.4193699282970593</v>
      </c>
      <c r="AE26" s="14">
        <v>0.76487067537478526</v>
      </c>
      <c r="AF26" s="14">
        <v>0</v>
      </c>
      <c r="AG26" s="14">
        <v>0.83502380952380961</v>
      </c>
      <c r="AH26" s="14"/>
      <c r="AI26" s="14">
        <v>1.6541522875500001</v>
      </c>
      <c r="AJ26" s="14"/>
      <c r="AK26" s="14">
        <v>0</v>
      </c>
      <c r="AL26" s="14"/>
      <c r="AM26" s="14"/>
      <c r="AN26" s="14"/>
      <c r="AO26" s="14">
        <v>3.7793609842048204</v>
      </c>
      <c r="AP26" s="14">
        <v>0</v>
      </c>
      <c r="AQ26" s="14">
        <v>0</v>
      </c>
      <c r="AR26" s="14">
        <v>0</v>
      </c>
      <c r="AS26" s="14"/>
      <c r="AT26" s="14"/>
      <c r="AU26" s="14">
        <v>4.5909090909090908</v>
      </c>
      <c r="AV26" s="14">
        <v>2.212733870967742</v>
      </c>
      <c r="AW26" s="14">
        <v>4.2549084436619724</v>
      </c>
      <c r="AX26" s="14">
        <v>3.7287507510380289</v>
      </c>
      <c r="AY26" s="14">
        <v>4.1992899824498009</v>
      </c>
      <c r="AZ26" s="14">
        <v>0</v>
      </c>
      <c r="BA26" s="14">
        <v>1.385157142857143</v>
      </c>
      <c r="BB26" s="14">
        <v>2.2136181018518521</v>
      </c>
      <c r="BC26" s="14">
        <v>0.93166280730468765</v>
      </c>
      <c r="BD26" s="14">
        <v>2.8756007488514941</v>
      </c>
      <c r="BE26" s="14">
        <v>0</v>
      </c>
      <c r="BF26" s="14">
        <v>0.37509090909090914</v>
      </c>
      <c r="BG26" s="14">
        <v>4.4966286206896557E-2</v>
      </c>
      <c r="BH26" s="14">
        <v>0.31994664211829271</v>
      </c>
      <c r="BI26" s="14">
        <v>0.15450217859956814</v>
      </c>
      <c r="BJ26" s="14">
        <v>0</v>
      </c>
      <c r="BK26" s="14"/>
      <c r="BL26" s="14">
        <v>4.0182082500000007</v>
      </c>
      <c r="BM26" s="14">
        <v>2.4254814780000005</v>
      </c>
      <c r="BN26" s="14">
        <v>2.0931845450980546</v>
      </c>
      <c r="BO26" s="14">
        <v>0</v>
      </c>
      <c r="BP26" s="14">
        <v>6.7271739130434785E-2</v>
      </c>
      <c r="BQ26" s="14"/>
      <c r="BR26" s="14">
        <v>1.4503723702905409</v>
      </c>
      <c r="BS26" s="14">
        <v>2.6649340273239123E-2</v>
      </c>
      <c r="BT26" s="14">
        <v>0</v>
      </c>
      <c r="BU26" s="14">
        <v>2.444513698630137</v>
      </c>
      <c r="BV26" s="14">
        <v>1.9922562916666671</v>
      </c>
      <c r="BW26" s="14">
        <v>1.1584561535400002</v>
      </c>
      <c r="BX26" s="14">
        <v>3.0058075663851209</v>
      </c>
      <c r="BY26" s="14">
        <v>2.6714285714285713</v>
      </c>
      <c r="BZ26" s="14">
        <v>2.2158148148148151</v>
      </c>
      <c r="CA26" s="14">
        <v>2.2886249962121217</v>
      </c>
      <c r="CB26" s="14">
        <v>3.0635643208474144</v>
      </c>
      <c r="CC26" s="14">
        <v>1.8386080463699126</v>
      </c>
      <c r="CD26" s="14">
        <v>0</v>
      </c>
      <c r="CE26" s="14">
        <v>1.5362765957446811</v>
      </c>
      <c r="CF26" s="14">
        <v>2.3255064350000003</v>
      </c>
      <c r="CG26" s="14">
        <v>1.8550441674333338</v>
      </c>
      <c r="CH26" s="14">
        <v>3.6772160927398252</v>
      </c>
      <c r="CI26" s="14">
        <v>0</v>
      </c>
      <c r="CJ26" s="14">
        <v>4.3743240740740745</v>
      </c>
      <c r="CK26" s="14">
        <v>2.7393524010416672</v>
      </c>
      <c r="CL26" s="14">
        <v>2.7283604150886371</v>
      </c>
      <c r="CM26" s="14">
        <v>2.0996449912249004</v>
      </c>
      <c r="CN26" s="14">
        <v>0</v>
      </c>
      <c r="CO26" s="14"/>
      <c r="CP26" s="14"/>
      <c r="CQ26" s="14">
        <v>0.95983992635487825</v>
      </c>
      <c r="CR26" s="14">
        <v>0.35993914135284011</v>
      </c>
    </row>
    <row r="27" spans="1:111" x14ac:dyDescent="0.3">
      <c r="A27" t="s">
        <v>83</v>
      </c>
      <c r="B27" s="5"/>
      <c r="C27" s="5">
        <v>0</v>
      </c>
      <c r="D27" s="5">
        <v>0</v>
      </c>
      <c r="E27" s="5">
        <v>0</v>
      </c>
      <c r="F27" s="5">
        <v>0</v>
      </c>
      <c r="G27" s="5"/>
      <c r="H27" s="5">
        <v>0</v>
      </c>
      <c r="I27" s="5">
        <v>0</v>
      </c>
      <c r="J27" s="5">
        <v>0</v>
      </c>
      <c r="K27" s="5">
        <v>0</v>
      </c>
      <c r="L27" s="5"/>
      <c r="M27" s="5">
        <v>0</v>
      </c>
      <c r="N27" s="5">
        <v>0</v>
      </c>
      <c r="O27" s="5">
        <v>0</v>
      </c>
      <c r="P27" s="5">
        <v>0</v>
      </c>
      <c r="Q27" s="5"/>
      <c r="R27" s="5">
        <v>0</v>
      </c>
      <c r="S27" s="5">
        <v>0</v>
      </c>
      <c r="T27" s="5">
        <v>0</v>
      </c>
      <c r="U27" s="5">
        <v>0</v>
      </c>
      <c r="V27" s="5"/>
      <c r="W27" s="5"/>
      <c r="X27" s="5"/>
      <c r="Y27" s="5"/>
      <c r="Z27" s="5"/>
      <c r="AA27" s="5"/>
      <c r="AB27" s="5">
        <v>0</v>
      </c>
      <c r="AC27" s="5">
        <v>0</v>
      </c>
      <c r="AD27" s="5">
        <v>0</v>
      </c>
      <c r="AE27" s="5">
        <v>0</v>
      </c>
      <c r="AF27" s="5"/>
      <c r="AG27" s="5">
        <v>0</v>
      </c>
      <c r="AH27" s="5">
        <v>0</v>
      </c>
      <c r="AI27" s="5">
        <v>0</v>
      </c>
      <c r="AJ27" s="5">
        <v>0</v>
      </c>
      <c r="AK27" s="5"/>
      <c r="AL27" s="5">
        <v>0</v>
      </c>
      <c r="AM27" s="5">
        <v>0</v>
      </c>
      <c r="AN27" s="5">
        <v>0</v>
      </c>
      <c r="AO27" s="5">
        <v>0</v>
      </c>
      <c r="AP27" s="5"/>
      <c r="AQ27" s="5"/>
      <c r="AR27" s="5"/>
      <c r="AS27" s="5"/>
      <c r="AT27" s="5"/>
      <c r="AU27" s="5">
        <v>0.29589632829373652</v>
      </c>
      <c r="AV27" s="5">
        <v>0.56947608200455579</v>
      </c>
      <c r="AW27" s="5">
        <v>0.4096045197740113</v>
      </c>
      <c r="AX27" s="5">
        <v>0.27409638554216864</v>
      </c>
      <c r="AY27" s="5">
        <v>0.53680981595092025</v>
      </c>
      <c r="AZ27" s="5"/>
      <c r="BA27" s="5">
        <v>0</v>
      </c>
      <c r="BB27" s="5">
        <v>0</v>
      </c>
      <c r="BC27" s="5">
        <v>0</v>
      </c>
      <c r="BD27" s="5">
        <v>0</v>
      </c>
      <c r="BE27" s="5"/>
      <c r="BF27" s="5">
        <v>0.42352941176470582</v>
      </c>
      <c r="BG27" s="5">
        <v>0.46052631578947367</v>
      </c>
      <c r="BH27" s="5">
        <v>0</v>
      </c>
      <c r="BI27" s="5">
        <v>0.17391304347826086</v>
      </c>
      <c r="BJ27" s="5"/>
      <c r="BK27" s="5">
        <v>0</v>
      </c>
      <c r="BL27" s="5">
        <v>0</v>
      </c>
      <c r="BM27" s="5">
        <v>0</v>
      </c>
      <c r="BN27" s="5">
        <v>0</v>
      </c>
      <c r="BO27" s="5"/>
      <c r="BP27" s="5">
        <v>0.2181818181818182</v>
      </c>
      <c r="BQ27" s="5">
        <v>3.3333333333333333E-2</v>
      </c>
      <c r="BR27" s="5">
        <v>8.5106382978723402E-2</v>
      </c>
      <c r="BS27" s="5">
        <v>4.878048780487805E-2</v>
      </c>
      <c r="BT27" s="5"/>
      <c r="BU27" s="5">
        <v>7.0707070707070704E-2</v>
      </c>
      <c r="BV27" s="5">
        <v>0.32596685082872928</v>
      </c>
      <c r="BW27" s="5">
        <v>0.17934782608695654</v>
      </c>
      <c r="BX27" s="5">
        <v>0.37894736842105259</v>
      </c>
      <c r="BY27" s="5">
        <v>0.16877637130801687</v>
      </c>
      <c r="BZ27" s="5">
        <v>0.50755287009063443</v>
      </c>
      <c r="CA27" s="5">
        <v>0.69627507163323787</v>
      </c>
      <c r="CB27" s="5">
        <v>0.14285714285714285</v>
      </c>
      <c r="CC27" s="5">
        <v>8.1300813008130079E-2</v>
      </c>
      <c r="CD27" s="5"/>
      <c r="CE27" s="5">
        <v>0</v>
      </c>
      <c r="CF27" s="5">
        <v>0</v>
      </c>
      <c r="CG27" s="5">
        <v>0</v>
      </c>
      <c r="CH27" s="5">
        <v>0</v>
      </c>
      <c r="CI27" s="5"/>
      <c r="CJ27" s="5">
        <v>0.14646464646464646</v>
      </c>
      <c r="CK27" s="5">
        <v>0.21917808219178081</v>
      </c>
      <c r="CL27" s="5">
        <v>2.9940119760479044E-3</v>
      </c>
      <c r="CM27" s="5">
        <v>0.16363636363636364</v>
      </c>
      <c r="CN27" s="5"/>
      <c r="CO27" s="5">
        <v>2.9850746268656719E-2</v>
      </c>
      <c r="CP27" s="5">
        <v>0.10769230769230768</v>
      </c>
      <c r="CQ27" s="5">
        <v>0.15584415584415584</v>
      </c>
      <c r="CR27" s="5">
        <v>0.24719101123595505</v>
      </c>
    </row>
    <row r="28" spans="1:111" x14ac:dyDescent="0.3">
      <c r="A28" t="s">
        <v>86</v>
      </c>
      <c r="B28" s="14">
        <v>0</v>
      </c>
      <c r="C28" s="14">
        <v>1.1677358490566039</v>
      </c>
      <c r="D28" s="14">
        <v>0.94316078301886808</v>
      </c>
      <c r="E28" s="14"/>
      <c r="F28" s="14"/>
      <c r="G28" s="14">
        <v>0</v>
      </c>
      <c r="H28" s="14">
        <v>4.4461206896551726</v>
      </c>
      <c r="I28" s="14">
        <v>3.4023597708333337</v>
      </c>
      <c r="J28" s="14">
        <v>3.5074364510294123</v>
      </c>
      <c r="K28" s="14">
        <v>4.0943077328885558</v>
      </c>
      <c r="L28" s="14">
        <v>0</v>
      </c>
      <c r="M28" s="14">
        <v>3.1656379310344831</v>
      </c>
      <c r="N28" s="14">
        <v>3.35253960106383</v>
      </c>
      <c r="O28" s="14">
        <v>2.0475487508462265</v>
      </c>
      <c r="P28" s="14">
        <v>2.7164157073972151</v>
      </c>
      <c r="Q28" s="14">
        <v>0</v>
      </c>
      <c r="R28" s="14"/>
      <c r="S28" s="14">
        <v>2.6788055000000002</v>
      </c>
      <c r="T28" s="14">
        <v>2.4663655407920455</v>
      </c>
      <c r="U28" s="14">
        <v>2.3910242961295807</v>
      </c>
      <c r="V28" s="14">
        <v>0</v>
      </c>
      <c r="W28" s="14">
        <v>0</v>
      </c>
      <c r="X28" s="14"/>
      <c r="Y28" s="14">
        <v>0</v>
      </c>
      <c r="Z28" s="14">
        <v>0</v>
      </c>
      <c r="AA28" s="14">
        <v>0</v>
      </c>
      <c r="AB28" s="14">
        <v>4.3481692307692308</v>
      </c>
      <c r="AC28" s="14">
        <v>3.965447929824562</v>
      </c>
      <c r="AD28" s="14">
        <v>4.3959870186235301</v>
      </c>
      <c r="AE28" s="14">
        <v>5.0391479789397611</v>
      </c>
      <c r="AF28" s="14">
        <v>0</v>
      </c>
      <c r="AG28" s="14">
        <v>1.7928452380952382</v>
      </c>
      <c r="AH28" s="14"/>
      <c r="AI28" s="14">
        <v>1.8849642346500002</v>
      </c>
      <c r="AJ28" s="14"/>
      <c r="AK28" s="14">
        <v>0</v>
      </c>
      <c r="AL28" s="14"/>
      <c r="AM28" s="14"/>
      <c r="AN28" s="14"/>
      <c r="AO28" s="14">
        <v>7.3837515524742328</v>
      </c>
      <c r="AP28" s="14">
        <v>0</v>
      </c>
      <c r="AQ28" s="14">
        <v>0</v>
      </c>
      <c r="AR28" s="14">
        <v>0</v>
      </c>
      <c r="AS28" s="14"/>
      <c r="AT28" s="14"/>
      <c r="AU28" s="14">
        <v>7.0151515151515156</v>
      </c>
      <c r="AV28" s="14">
        <v>7.3036854838709679</v>
      </c>
      <c r="AW28" s="14">
        <v>5.4181208239436627</v>
      </c>
      <c r="AX28" s="14">
        <v>5.5763299520028182</v>
      </c>
      <c r="AY28" s="14">
        <v>4.5632284475954501</v>
      </c>
      <c r="AZ28" s="14">
        <v>0</v>
      </c>
      <c r="BA28" s="14">
        <v>1.9156428571428572</v>
      </c>
      <c r="BB28" s="14">
        <v>2.3746085092592599</v>
      </c>
      <c r="BC28" s="14">
        <v>1.3788609548109376</v>
      </c>
      <c r="BD28" s="14">
        <v>1.6705871017137253</v>
      </c>
      <c r="BE28" s="14">
        <v>0</v>
      </c>
      <c r="BF28" s="14">
        <v>1.5941363636363639</v>
      </c>
      <c r="BG28" s="14">
        <v>1.4239323965517243</v>
      </c>
      <c r="BH28" s="14">
        <v>1.2797865684731708</v>
      </c>
      <c r="BI28" s="14">
        <v>1.6401000497492619</v>
      </c>
      <c r="BJ28" s="14">
        <v>0</v>
      </c>
      <c r="BK28" s="14"/>
      <c r="BL28" s="14">
        <v>3.4116862500000007</v>
      </c>
      <c r="BM28" s="14">
        <v>2.2233580215000006</v>
      </c>
      <c r="BN28" s="14">
        <v>2.1125658834785921</v>
      </c>
      <c r="BO28" s="14">
        <v>0</v>
      </c>
      <c r="BP28" s="14">
        <v>0.73998913043478265</v>
      </c>
      <c r="BQ28" s="14"/>
      <c r="BR28" s="14">
        <v>1.514833364525676</v>
      </c>
      <c r="BS28" s="14">
        <v>0.99329359200254908</v>
      </c>
      <c r="BT28" s="14">
        <v>0</v>
      </c>
      <c r="BU28" s="14">
        <v>2.7977671232876715</v>
      </c>
      <c r="BV28" s="14">
        <v>4.0977089635416677</v>
      </c>
      <c r="BW28" s="14">
        <v>3.1346460625200003</v>
      </c>
      <c r="BX28" s="14">
        <v>4.1992899824498009</v>
      </c>
      <c r="BY28" s="14">
        <v>6.7714285714285714</v>
      </c>
      <c r="BZ28" s="14">
        <v>4.2151419753086428</v>
      </c>
      <c r="CA28" s="14">
        <v>5.7462598825757576</v>
      </c>
      <c r="CB28" s="14">
        <v>4.1738493767250002</v>
      </c>
      <c r="CC28" s="14">
        <v>4.187940550064801</v>
      </c>
      <c r="CD28" s="14">
        <v>0</v>
      </c>
      <c r="CE28" s="14">
        <v>2.4360957446808511</v>
      </c>
      <c r="CF28" s="14">
        <v>2.5645771900000005</v>
      </c>
      <c r="CG28" s="14">
        <v>2.716314673741667</v>
      </c>
      <c r="CH28" s="14">
        <v>2.5706464352023781</v>
      </c>
      <c r="CI28" s="14">
        <v>0</v>
      </c>
      <c r="CJ28" s="14">
        <v>3.7821666666666669</v>
      </c>
      <c r="CK28" s="14">
        <v>4.958001453125001</v>
      </c>
      <c r="CL28" s="14">
        <v>3.0174582074159093</v>
      </c>
      <c r="CM28" s="14">
        <v>3.2994421290677005</v>
      </c>
      <c r="CN28" s="14">
        <v>0</v>
      </c>
      <c r="CO28" s="14"/>
      <c r="CP28" s="14"/>
      <c r="CQ28" s="14">
        <v>2.2396264948280491</v>
      </c>
      <c r="CR28" s="14">
        <v>2.2881845414573405</v>
      </c>
    </row>
    <row r="29" spans="1:111" x14ac:dyDescent="0.3">
      <c r="A29" t="s">
        <v>116</v>
      </c>
      <c r="B29" s="14">
        <v>0</v>
      </c>
      <c r="C29" s="14">
        <v>2.8025660377358492</v>
      </c>
      <c r="D29" s="14">
        <v>2.0298460330188681</v>
      </c>
      <c r="E29" s="14"/>
      <c r="F29" s="14"/>
      <c r="G29" s="14">
        <v>0</v>
      </c>
      <c r="H29" s="14">
        <v>6.8470258620689668</v>
      </c>
      <c r="I29" s="14">
        <v>6.4295543958333345</v>
      </c>
      <c r="J29" s="14">
        <v>2.297370875424265</v>
      </c>
      <c r="K29" s="14">
        <v>7.427494156458085</v>
      </c>
      <c r="L29" s="14">
        <v>0</v>
      </c>
      <c r="M29" s="14">
        <v>6.2067844827586214</v>
      </c>
      <c r="N29" s="14">
        <v>5.9189664680851068</v>
      </c>
      <c r="O29" s="14">
        <v>7.4026762530594352</v>
      </c>
      <c r="P29" s="14">
        <v>7.4603011094459744</v>
      </c>
      <c r="Q29" s="14">
        <v>0</v>
      </c>
      <c r="R29" s="14"/>
      <c r="S29" s="14">
        <v>4.9027195000000008</v>
      </c>
      <c r="T29" s="14">
        <v>3.2523501636818186</v>
      </c>
      <c r="U29" s="14">
        <v>4.4735293282424413</v>
      </c>
      <c r="V29" s="14">
        <v>0</v>
      </c>
      <c r="W29" s="14">
        <v>0</v>
      </c>
      <c r="X29" s="14"/>
      <c r="Y29" s="14">
        <v>0</v>
      </c>
      <c r="Z29" s="14">
        <v>0</v>
      </c>
      <c r="AA29" s="14">
        <v>0</v>
      </c>
      <c r="AB29" s="14">
        <v>10.346738461538461</v>
      </c>
      <c r="AC29" s="14">
        <v>8.5409647719298256</v>
      </c>
      <c r="AD29" s="14">
        <v>9.937736611250001</v>
      </c>
      <c r="AE29" s="14">
        <v>8.3235926437844263</v>
      </c>
      <c r="AF29" s="14">
        <v>0</v>
      </c>
      <c r="AG29" s="14">
        <v>3.8312857142857148</v>
      </c>
      <c r="AH29" s="14"/>
      <c r="AI29" s="14">
        <v>3.8468657850000008</v>
      </c>
      <c r="AJ29" s="14"/>
      <c r="AK29" s="14">
        <v>0</v>
      </c>
      <c r="AL29" s="14"/>
      <c r="AM29" s="14"/>
      <c r="AN29" s="14"/>
      <c r="AO29" s="14">
        <v>9.8333373755699505</v>
      </c>
      <c r="AP29" s="14">
        <v>0</v>
      </c>
      <c r="AQ29" s="14">
        <v>0</v>
      </c>
      <c r="AR29" s="14">
        <v>0</v>
      </c>
      <c r="AS29" s="14"/>
      <c r="AT29" s="14"/>
      <c r="AU29" s="14">
        <v>18.863636363636363</v>
      </c>
      <c r="AV29" s="14">
        <v>18.500451612903227</v>
      </c>
      <c r="AW29" s="14">
        <v>15.688061707746483</v>
      </c>
      <c r="AX29" s="14">
        <v>10.816736412921129</v>
      </c>
      <c r="AY29" s="14">
        <v>12.793836813197059</v>
      </c>
      <c r="AZ29" s="14">
        <v>0</v>
      </c>
      <c r="BA29" s="14">
        <v>4.8480500000000006</v>
      </c>
      <c r="BB29" s="14">
        <v>6.3188734907407413</v>
      </c>
      <c r="BC29" s="14">
        <v>3.4098858747351568</v>
      </c>
      <c r="BD29" s="14">
        <v>6.8466684496464145</v>
      </c>
      <c r="BE29" s="14">
        <v>0</v>
      </c>
      <c r="BF29" s="14">
        <v>4.5573545454545457</v>
      </c>
      <c r="BG29" s="14">
        <v>2.9415445560344828</v>
      </c>
      <c r="BH29" s="14">
        <v>2.2396264948280491</v>
      </c>
      <c r="BI29" s="14">
        <v>2.5908826872850659</v>
      </c>
      <c r="BJ29" s="14">
        <v>0</v>
      </c>
      <c r="BK29" s="14"/>
      <c r="BL29" s="14">
        <v>11.801907250000001</v>
      </c>
      <c r="BM29" s="14">
        <v>7.781753075250001</v>
      </c>
      <c r="BN29" s="14">
        <v>7.9075860592593177</v>
      </c>
      <c r="BO29" s="14">
        <v>0</v>
      </c>
      <c r="BP29" s="14">
        <v>2.1751195652173916</v>
      </c>
      <c r="BQ29" s="14"/>
      <c r="BR29" s="14">
        <v>2.7718227521108112</v>
      </c>
      <c r="BS29" s="14">
        <v>2.2046272407861456</v>
      </c>
      <c r="BT29" s="14">
        <v>0</v>
      </c>
      <c r="BU29" s="14">
        <v>5.1151095890410962</v>
      </c>
      <c r="BV29" s="14">
        <v>7.7879109583333346</v>
      </c>
      <c r="BW29" s="14">
        <v>4.429391175300001</v>
      </c>
      <c r="BX29" s="14">
        <v>8.6195952271338019</v>
      </c>
      <c r="BY29" s="14">
        <v>10.457142857142857</v>
      </c>
      <c r="BZ29" s="14">
        <v>8.9651358024691366</v>
      </c>
      <c r="CA29" s="14">
        <v>14.209232890151517</v>
      </c>
      <c r="CB29" s="14">
        <v>10.054248006002586</v>
      </c>
      <c r="CC29" s="14">
        <v>10.180440849344517</v>
      </c>
      <c r="CD29" s="14">
        <v>0</v>
      </c>
      <c r="CE29" s="14">
        <v>6.1012127659574471</v>
      </c>
      <c r="CF29" s="14">
        <v>8.0197371450000006</v>
      </c>
      <c r="CG29" s="14">
        <v>4.7259458551277786</v>
      </c>
      <c r="CH29" s="14">
        <v>6.3500074194071985</v>
      </c>
      <c r="CI29" s="14">
        <v>0</v>
      </c>
      <c r="CJ29" s="14">
        <v>11.231888888888889</v>
      </c>
      <c r="CK29" s="14">
        <v>9.8028065260416692</v>
      </c>
      <c r="CL29" s="14">
        <v>5.8361616826068188</v>
      </c>
      <c r="CM29" s="14">
        <v>6.5188977822792147</v>
      </c>
      <c r="CN29" s="14">
        <v>0</v>
      </c>
      <c r="CO29" s="14"/>
      <c r="CP29" s="14"/>
      <c r="CQ29" s="14">
        <v>4.7410275150256105</v>
      </c>
      <c r="CR29" s="14">
        <v>6.1703852803344006</v>
      </c>
    </row>
    <row r="30" spans="1:111" x14ac:dyDescent="0.3">
      <c r="A30" t="s">
        <v>98</v>
      </c>
      <c r="C30" s="14" t="s">
        <v>112</v>
      </c>
      <c r="D30" s="14" t="s">
        <v>112</v>
      </c>
      <c r="E30" s="14" t="s">
        <v>112</v>
      </c>
      <c r="F30" s="14" t="s">
        <v>112</v>
      </c>
      <c r="G30" s="14" t="s">
        <v>112</v>
      </c>
      <c r="H30" s="14" t="s">
        <v>112</v>
      </c>
      <c r="I30" s="14" t="s">
        <v>112</v>
      </c>
      <c r="J30" s="14" t="s">
        <v>112</v>
      </c>
      <c r="K30" s="14" t="s">
        <v>112</v>
      </c>
      <c r="L30" s="14" t="s">
        <v>112</v>
      </c>
      <c r="M30" s="14" t="s">
        <v>112</v>
      </c>
      <c r="N30" s="14" t="s">
        <v>112</v>
      </c>
      <c r="O30" s="14" t="s">
        <v>112</v>
      </c>
      <c r="P30" s="14" t="s">
        <v>112</v>
      </c>
      <c r="Q30" s="14" t="s">
        <v>112</v>
      </c>
      <c r="R30" s="14" t="s">
        <v>112</v>
      </c>
      <c r="S30" s="14" t="s">
        <v>112</v>
      </c>
      <c r="T30" s="14" t="s">
        <v>112</v>
      </c>
      <c r="U30" s="14" t="s">
        <v>112</v>
      </c>
      <c r="V30" s="14" t="s">
        <v>112</v>
      </c>
      <c r="W30" s="14" t="s">
        <v>112</v>
      </c>
      <c r="X30" s="14" t="s">
        <v>112</v>
      </c>
      <c r="Y30" s="14" t="s">
        <v>112</v>
      </c>
      <c r="Z30" s="14" t="s">
        <v>112</v>
      </c>
      <c r="AA30" s="14" t="s">
        <v>112</v>
      </c>
      <c r="AB30" s="14" t="s">
        <v>112</v>
      </c>
      <c r="AC30" s="14" t="s">
        <v>112</v>
      </c>
      <c r="AD30" s="14" t="s">
        <v>112</v>
      </c>
      <c r="AE30" s="14" t="s">
        <v>112</v>
      </c>
      <c r="AF30" s="14" t="s">
        <v>112</v>
      </c>
      <c r="AG30" s="14" t="s">
        <v>112</v>
      </c>
      <c r="AH30" s="14" t="s">
        <v>112</v>
      </c>
      <c r="AI30" s="14" t="s">
        <v>112</v>
      </c>
      <c r="AJ30" s="14" t="s">
        <v>112</v>
      </c>
      <c r="AK30" s="14" t="s">
        <v>112</v>
      </c>
      <c r="AL30" s="14" t="s">
        <v>112</v>
      </c>
      <c r="AM30" s="14" t="s">
        <v>112</v>
      </c>
      <c r="AN30" s="14" t="s">
        <v>112</v>
      </c>
      <c r="AO30" s="14" t="s">
        <v>112</v>
      </c>
      <c r="AP30" s="14" t="s">
        <v>112</v>
      </c>
      <c r="AQ30" s="14" t="s">
        <v>112</v>
      </c>
      <c r="AR30" s="14" t="s">
        <v>112</v>
      </c>
      <c r="AS30" s="14" t="s">
        <v>112</v>
      </c>
      <c r="AT30" s="14" t="s">
        <v>112</v>
      </c>
      <c r="AU30" s="14">
        <v>288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112</v>
      </c>
      <c r="BA30" s="14" t="s">
        <v>112</v>
      </c>
      <c r="BB30" s="14" t="s">
        <v>112</v>
      </c>
      <c r="BC30" s="14" t="s">
        <v>112</v>
      </c>
      <c r="BD30" s="14" t="s">
        <v>112</v>
      </c>
      <c r="BE30" s="14" t="s">
        <v>112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 t="s">
        <v>112</v>
      </c>
      <c r="BK30" s="14" t="s">
        <v>112</v>
      </c>
      <c r="BL30" s="14" t="s">
        <v>112</v>
      </c>
      <c r="BM30" s="14" t="s">
        <v>112</v>
      </c>
      <c r="BN30" s="14" t="s">
        <v>112</v>
      </c>
      <c r="BO30" s="14" t="s">
        <v>112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112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v>173.292</v>
      </c>
      <c r="CA30" s="14">
        <v>280.36479450000002</v>
      </c>
      <c r="CB30" s="14">
        <v>182.45684418255001</v>
      </c>
      <c r="CC30" s="14">
        <v>248.17803796278321</v>
      </c>
      <c r="CD30" s="14" t="s">
        <v>112</v>
      </c>
      <c r="CE30" s="14" t="s">
        <v>112</v>
      </c>
      <c r="CF30" s="14" t="s">
        <v>112</v>
      </c>
      <c r="CG30" s="14" t="s">
        <v>112</v>
      </c>
      <c r="CH30" s="14" t="s">
        <v>112</v>
      </c>
      <c r="CI30" s="14" t="s">
        <v>112</v>
      </c>
      <c r="CJ30" s="14">
        <v>181.54400000000001</v>
      </c>
      <c r="CK30" s="14">
        <v>210.81693850000005</v>
      </c>
      <c r="CL30" s="14">
        <v>152.04737015212501</v>
      </c>
      <c r="CM30" s="14">
        <v>138.57656942084344</v>
      </c>
      <c r="CN30" s="14" t="s">
        <v>112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/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14"/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/>
      <c r="AG31" s="14">
        <v>172.26050000000001</v>
      </c>
      <c r="AH31" s="14">
        <v>212.99030900000002</v>
      </c>
      <c r="AI31" s="14">
        <v>273.08900207715004</v>
      </c>
      <c r="AJ31" s="14">
        <v>224.24208506281937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/>
      <c r="AQ31" s="14"/>
      <c r="AR31" s="14"/>
      <c r="AS31" s="14"/>
      <c r="AT31" s="14"/>
      <c r="AU31">
        <v>167</v>
      </c>
      <c r="AV31" s="14">
        <v>256.84350000000001</v>
      </c>
      <c r="AW31" s="14">
        <v>315.13872250000003</v>
      </c>
      <c r="AX31" s="14">
        <v>383.99414265870007</v>
      </c>
      <c r="AY31" s="14">
        <v>428.32757820987968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/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/>
      <c r="CE31" s="14">
        <f>Painel!CE31*IPC!G$3</f>
        <v>428.07250000000005</v>
      </c>
      <c r="CF31" s="14">
        <f>Painel!CF31*IPC!H$3</f>
        <v>367.29961450000008</v>
      </c>
      <c r="CG31" s="14">
        <f>Painel!CG31*IPC!I$3</f>
        <v>418.57746606585005</v>
      </c>
      <c r="CH31" s="14">
        <f>Painel!CH31*IPC!J$3</f>
        <v>425.80800422040983</v>
      </c>
      <c r="CI31" s="14"/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114</v>
      </c>
      <c r="B32" s="14"/>
      <c r="C32" s="14">
        <v>31</v>
      </c>
      <c r="D32" s="14">
        <v>3.8181818181818179</v>
      </c>
      <c r="E32" s="14">
        <v>19.333333333333332</v>
      </c>
      <c r="F32" s="14">
        <v>-6.5555555555555554</v>
      </c>
      <c r="G32" s="14"/>
      <c r="H32" s="14">
        <v>28.358974358974361</v>
      </c>
      <c r="I32" s="14">
        <v>7.9449541284403669</v>
      </c>
      <c r="J32" s="14">
        <v>-4.8645161290322587</v>
      </c>
      <c r="K32" s="14">
        <v>4.4640000000000004</v>
      </c>
      <c r="L32" s="14"/>
      <c r="M32" s="14">
        <v>4.563380281690141</v>
      </c>
      <c r="N32" s="14">
        <v>4.6769230769230763</v>
      </c>
      <c r="O32" s="14">
        <v>2.2686567164179108</v>
      </c>
      <c r="P32" s="14">
        <v>2.5765765765765769</v>
      </c>
      <c r="Q32" s="14"/>
      <c r="R32" s="14">
        <v>200</v>
      </c>
      <c r="S32" s="14">
        <v>3.486486486486486</v>
      </c>
      <c r="T32" s="14">
        <v>-12.076923076923077</v>
      </c>
      <c r="U32" s="14">
        <v>3.641025641025641</v>
      </c>
      <c r="V32" s="14"/>
      <c r="W32" s="14"/>
      <c r="X32" s="14"/>
      <c r="Y32" s="14"/>
      <c r="Z32" s="14"/>
      <c r="AA32" s="14"/>
      <c r="AB32" s="14">
        <v>3.6707317073170729</v>
      </c>
      <c r="AC32" s="14">
        <v>2.915730337078652</v>
      </c>
      <c r="AD32" s="14">
        <v>10.75</v>
      </c>
      <c r="AE32" s="14">
        <v>-17.777777777777779</v>
      </c>
      <c r="AF32" s="14"/>
      <c r="AG32" s="14">
        <v>2.609375</v>
      </c>
      <c r="AH32" s="14">
        <v>8.9090909090909083</v>
      </c>
      <c r="AI32" s="14">
        <v>9.5416666666666661</v>
      </c>
      <c r="AJ32" s="14">
        <v>-16.18181818181818</v>
      </c>
      <c r="AK32" s="14"/>
      <c r="AL32" s="14">
        <v>4.5273972602739718</v>
      </c>
      <c r="AM32" s="14">
        <v>-8.4938271604938276</v>
      </c>
      <c r="AN32" s="14">
        <v>-2.7277777777777774</v>
      </c>
      <c r="AO32" s="14">
        <v>2.8367346938775513</v>
      </c>
      <c r="AP32" s="14"/>
      <c r="AQ32" s="14"/>
      <c r="AR32" s="14"/>
      <c r="AS32" s="14"/>
      <c r="AT32" s="14"/>
      <c r="AU32" s="20">
        <f>AU31/AU14</f>
        <v>0.34432989690721649</v>
      </c>
      <c r="AV32" s="14">
        <v>0.75100438596491226</v>
      </c>
      <c r="AW32" s="14">
        <v>0.9696576076923078</v>
      </c>
      <c r="AX32" s="14">
        <v>2.2587890744629417</v>
      </c>
      <c r="AY32" s="14">
        <v>1.7271273314914504</v>
      </c>
      <c r="AZ32" s="14"/>
      <c r="BA32" s="14">
        <v>0</v>
      </c>
      <c r="BB32" s="14">
        <v>-4.5679012345679002</v>
      </c>
      <c r="BC32" s="14">
        <v>-6.0562266378696959E-2</v>
      </c>
      <c r="BD32" s="14">
        <v>9.0718283934785385E-2</v>
      </c>
      <c r="BE32" s="14"/>
      <c r="BF32" s="14">
        <v>0</v>
      </c>
      <c r="BG32" s="14">
        <v>-0.12716049382716049</v>
      </c>
      <c r="BH32" s="14">
        <v>-8.8888888888888878E-2</v>
      </c>
      <c r="BI32" s="14">
        <v>1.5555555555555558</v>
      </c>
      <c r="BJ32" s="14"/>
      <c r="BK32" s="14">
        <v>9.1818181818181817</v>
      </c>
      <c r="BL32" s="14">
        <v>1.8612716763005781</v>
      </c>
      <c r="BM32" s="14">
        <v>2.453846153846154</v>
      </c>
      <c r="BN32" s="14">
        <v>0</v>
      </c>
      <c r="BO32" s="14"/>
      <c r="BP32" s="14">
        <v>0</v>
      </c>
      <c r="BQ32" s="14">
        <v>1.42</v>
      </c>
      <c r="BR32" s="14">
        <v>0.91034482758620705</v>
      </c>
      <c r="BS32" s="14">
        <v>0</v>
      </c>
      <c r="BT32" s="14"/>
      <c r="BU32" s="14">
        <v>2.763157894736842</v>
      </c>
      <c r="BV32" s="14">
        <v>2.8686868686868685</v>
      </c>
      <c r="BW32" s="14">
        <v>84.5</v>
      </c>
      <c r="BX32" s="14">
        <v>1.4382022471910112</v>
      </c>
      <c r="BY32" s="20">
        <f>BY31/BY14</f>
        <v>0.68817204301075274</v>
      </c>
      <c r="BZ32" s="14">
        <v>0.92349726775956287</v>
      </c>
      <c r="CA32" s="14">
        <v>0.70245398773006129</v>
      </c>
      <c r="CB32" s="14">
        <v>1.5298013245033111</v>
      </c>
      <c r="CC32" s="14">
        <v>1.22</v>
      </c>
      <c r="CD32" s="14"/>
      <c r="CE32" s="14">
        <v>2.2413793103448274</v>
      </c>
      <c r="CF32" s="14">
        <v>1.4337349397590362</v>
      </c>
      <c r="CG32" s="14">
        <v>-10.636363636363635</v>
      </c>
      <c r="CH32" s="14">
        <v>0</v>
      </c>
      <c r="CI32" s="14"/>
      <c r="CJ32" s="14">
        <v>2.0043859649122808</v>
      </c>
      <c r="CK32" s="14">
        <v>12.6</v>
      </c>
      <c r="CL32" s="14">
        <v>0.69053117782909923</v>
      </c>
      <c r="CM32" s="14">
        <v>0</v>
      </c>
      <c r="CN32" s="14"/>
      <c r="CO32" s="14">
        <v>27.625</v>
      </c>
      <c r="CP32" s="14">
        <v>8.5238095238095237</v>
      </c>
      <c r="CQ32" s="14">
        <v>6.732394366197183</v>
      </c>
      <c r="CR32" s="14">
        <v>0</v>
      </c>
    </row>
    <row r="33" spans="1:96" x14ac:dyDescent="0.3">
      <c r="A33" t="s">
        <v>115</v>
      </c>
      <c r="B33" s="1"/>
      <c r="C33" s="1">
        <v>0.64583333333333337</v>
      </c>
      <c r="D33" s="1">
        <v>0.84848484848484851</v>
      </c>
      <c r="E33" s="1">
        <v>1.2608695652173914</v>
      </c>
      <c r="F33" s="1">
        <v>1.9032258064516128</v>
      </c>
      <c r="G33" s="1"/>
      <c r="H33" s="1">
        <v>2.8727272727272726</v>
      </c>
      <c r="I33" s="1">
        <v>1.7424547283702212</v>
      </c>
      <c r="J33" s="1">
        <v>5.7557251908396951</v>
      </c>
      <c r="K33" s="1">
        <v>1.9717314487632509</v>
      </c>
      <c r="L33" s="1"/>
      <c r="M33" s="1">
        <v>0.92836676217765035</v>
      </c>
      <c r="N33" s="1">
        <v>1.1875</v>
      </c>
      <c r="O33" s="1">
        <v>0.92401215805471115</v>
      </c>
      <c r="P33" s="1">
        <v>0.7546174142480212</v>
      </c>
      <c r="Q33" s="1"/>
      <c r="R33" s="1">
        <v>2</v>
      </c>
      <c r="S33" s="1">
        <v>0.66494845360824739</v>
      </c>
      <c r="T33" s="1">
        <v>1.3083333333333333</v>
      </c>
      <c r="U33" s="1">
        <v>0.8160919540229884</v>
      </c>
      <c r="V33" s="1"/>
      <c r="W33" s="1"/>
      <c r="X33" s="1"/>
      <c r="Y33" s="1"/>
      <c r="Z33" s="1"/>
      <c r="AA33" s="1"/>
      <c r="AB33" s="1">
        <v>0.92331288343558293</v>
      </c>
      <c r="AC33" s="1">
        <v>1.158482142857143</v>
      </c>
      <c r="AD33" s="1">
        <v>1.0117647058823529</v>
      </c>
      <c r="AE33" s="1">
        <v>0.8648648648648648</v>
      </c>
      <c r="AF33" s="1"/>
      <c r="AG33" s="1">
        <v>1.0705128205128205</v>
      </c>
      <c r="AH33" s="1">
        <v>2.4499999999999997</v>
      </c>
      <c r="AI33" s="1">
        <v>2.29</v>
      </c>
      <c r="AJ33" s="1">
        <v>4.6842105263157894</v>
      </c>
      <c r="AK33" s="1"/>
      <c r="AL33" s="1">
        <v>4.5273972602739718</v>
      </c>
      <c r="AM33" s="1">
        <v>5.7333333333333325</v>
      </c>
      <c r="AN33" s="1">
        <v>4.1610169491525424</v>
      </c>
      <c r="AO33" s="1">
        <v>1.4839857651245552</v>
      </c>
      <c r="AP33" s="1"/>
      <c r="AQ33" s="1"/>
      <c r="AR33" s="1"/>
      <c r="AS33" s="1"/>
      <c r="AT33" s="1"/>
      <c r="AU33" s="20">
        <f>AU31/AU11</f>
        <v>0.12689969604863222</v>
      </c>
      <c r="AV33" s="20">
        <v>0.22392086330935251</v>
      </c>
      <c r="AW33" s="20">
        <v>0.28292682926829266</v>
      </c>
      <c r="AX33" s="20">
        <v>0.5</v>
      </c>
      <c r="AY33" s="20">
        <v>0.37199124726477023</v>
      </c>
      <c r="AZ33" s="1"/>
      <c r="BA33" s="1">
        <v>0</v>
      </c>
      <c r="BB33" s="1">
        <v>1.1783439490445859</v>
      </c>
      <c r="BC33" s="1">
        <v>5.9569442339701927E-2</v>
      </c>
      <c r="BD33" s="1">
        <v>2.5401119501739906E-2</v>
      </c>
      <c r="BE33" s="1"/>
      <c r="BF33" s="1">
        <v>0</v>
      </c>
      <c r="BG33" s="1">
        <v>6.5605095541401287E-2</v>
      </c>
      <c r="BH33" s="1">
        <v>0.20779220779220778</v>
      </c>
      <c r="BI33" s="1">
        <v>0.12844036697247707</v>
      </c>
      <c r="BJ33" s="1"/>
      <c r="BK33" s="1">
        <v>1.0520833333333335</v>
      </c>
      <c r="BL33" s="1">
        <v>0.68950749464668093</v>
      </c>
      <c r="BM33" s="1">
        <v>0.82857142857142863</v>
      </c>
      <c r="BN33" s="1">
        <v>0</v>
      </c>
      <c r="BO33" s="1"/>
      <c r="BP33" s="1">
        <v>0</v>
      </c>
      <c r="BQ33" s="1">
        <v>0.60425531914893615</v>
      </c>
      <c r="BR33" s="1">
        <v>0.30697674418604654</v>
      </c>
      <c r="BS33" s="1">
        <v>0</v>
      </c>
      <c r="BT33" s="1"/>
      <c r="BU33" s="1">
        <v>0.87016574585635353</v>
      </c>
      <c r="BV33" s="1">
        <v>0.82558139534883723</v>
      </c>
      <c r="BW33" s="1">
        <v>0.65</v>
      </c>
      <c r="BX33" s="1">
        <v>0.3282051282051282</v>
      </c>
      <c r="BY33" s="20">
        <v>0.17486338797814208</v>
      </c>
      <c r="BZ33" s="20">
        <v>0.19602272727272727</v>
      </c>
      <c r="CA33" s="20">
        <v>0.19582850521436851</v>
      </c>
      <c r="CB33" s="20">
        <v>0.4683026584867076</v>
      </c>
      <c r="CC33" s="20">
        <v>0.38628762541806017</v>
      </c>
      <c r="CD33" s="1"/>
      <c r="CE33" s="1">
        <v>0.93525179856115104</v>
      </c>
      <c r="CF33" s="1">
        <v>0.6449864498644986</v>
      </c>
      <c r="CG33" s="1">
        <v>1.0934579439252334</v>
      </c>
      <c r="CH33" s="1">
        <v>0</v>
      </c>
      <c r="CI33" s="1"/>
      <c r="CJ33" s="1">
        <v>0.77721088435374153</v>
      </c>
      <c r="CK33" s="1">
        <v>0.72748267898383367</v>
      </c>
      <c r="CL33" s="1">
        <v>0.92569659442724461</v>
      </c>
      <c r="CM33" s="1">
        <v>0</v>
      </c>
      <c r="CN33" s="1"/>
      <c r="CO33" s="1">
        <v>5.7155172413793096</v>
      </c>
      <c r="CP33" s="1">
        <v>4.3132530120481931</v>
      </c>
      <c r="CQ33" s="1">
        <v>2.9325153374233133</v>
      </c>
      <c r="CR33" s="1">
        <v>0</v>
      </c>
    </row>
    <row r="34" spans="1:96" x14ac:dyDescent="0.3">
      <c r="A34" t="s">
        <v>134</v>
      </c>
      <c r="B34" s="18">
        <v>0</v>
      </c>
      <c r="C34" s="18">
        <v>0.41666666666666674</v>
      </c>
      <c r="D34" s="18">
        <v>0.46464646464646464</v>
      </c>
      <c r="E34" s="18">
        <v>0.52173913043478271</v>
      </c>
      <c r="F34" s="18">
        <v>0.80645161290322576</v>
      </c>
      <c r="G34" s="18">
        <v>0</v>
      </c>
      <c r="H34" s="18">
        <v>0.64935064935064923</v>
      </c>
      <c r="I34" s="18">
        <v>0.52917505030181078</v>
      </c>
      <c r="J34" s="18">
        <v>1.5267175572519085</v>
      </c>
      <c r="K34" s="18">
        <v>0.5512367491166078</v>
      </c>
      <c r="L34" s="18">
        <v>0</v>
      </c>
      <c r="M34" s="18">
        <v>0.51002865329512892</v>
      </c>
      <c r="N34" s="18">
        <v>0.56640625</v>
      </c>
      <c r="O34" s="18">
        <v>0.27659574468085102</v>
      </c>
      <c r="P34" s="18">
        <v>0.36411609498680741</v>
      </c>
      <c r="Q34" s="18">
        <v>0</v>
      </c>
      <c r="R34" s="18">
        <v>0.72</v>
      </c>
      <c r="S34" s="18">
        <v>0.54639175257731964</v>
      </c>
      <c r="T34" s="18">
        <v>0.7583333333333333</v>
      </c>
      <c r="U34" s="18"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0.42024539877300615</v>
      </c>
      <c r="AC34" s="18">
        <v>0.4642857142857143</v>
      </c>
      <c r="AD34" s="18">
        <v>0.44235294117647062</v>
      </c>
      <c r="AE34" s="18">
        <v>0.60540540540540544</v>
      </c>
      <c r="AF34" s="18">
        <v>0</v>
      </c>
      <c r="AG34" s="18">
        <v>0.46794871794871795</v>
      </c>
      <c r="AH34" s="18">
        <v>0.61249999999999993</v>
      </c>
      <c r="AI34" s="18">
        <v>0.49</v>
      </c>
      <c r="AJ34" s="18">
        <v>0.97368421052631582</v>
      </c>
      <c r="AK34" s="18">
        <v>0</v>
      </c>
      <c r="AL34" s="18">
        <v>0.3904109589041096</v>
      </c>
      <c r="AM34" s="18">
        <v>0.5</v>
      </c>
      <c r="AN34" s="18">
        <v>0.83050847457627119</v>
      </c>
      <c r="AO34" s="18">
        <v>0.7508896797153024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0.3518237082066869</v>
      </c>
      <c r="AV34" s="18">
        <v>0.39478417266187049</v>
      </c>
      <c r="AW34" s="18">
        <v>0.34536585365853656</v>
      </c>
      <c r="AX34" s="18">
        <v>0.51552795031055898</v>
      </c>
      <c r="AY34" s="18">
        <v>0.35667396061269147</v>
      </c>
      <c r="AZ34" s="18">
        <v>0</v>
      </c>
      <c r="BA34" s="18">
        <v>0.39513677811550146</v>
      </c>
      <c r="BB34" s="18">
        <v>0.37579617834394907</v>
      </c>
      <c r="BC34" s="18">
        <v>0.4043715846994535</v>
      </c>
      <c r="BD34" s="18">
        <v>0.24400000000000002</v>
      </c>
      <c r="BE34" s="18">
        <v>0</v>
      </c>
      <c r="BF34" s="18">
        <v>0.34979423868312759</v>
      </c>
      <c r="BG34" s="18">
        <v>0.48407643312101911</v>
      </c>
      <c r="BH34" s="18">
        <v>0.5714285714285714</v>
      </c>
      <c r="BI34" s="18">
        <v>0.6330275229357798</v>
      </c>
      <c r="BJ34" s="18">
        <v>0</v>
      </c>
      <c r="BK34" s="18">
        <v>0.40277777777777779</v>
      </c>
      <c r="BL34" s="18">
        <v>0.28907922912205569</v>
      </c>
      <c r="BM34" s="18">
        <v>0.28571428571428575</v>
      </c>
      <c r="BN34" s="18">
        <v>0.26715686274509803</v>
      </c>
      <c r="BO34" s="18">
        <v>0</v>
      </c>
      <c r="BP34" s="18">
        <v>0.34020618556701032</v>
      </c>
      <c r="BQ34" s="18">
        <v>0.51063829787234039</v>
      </c>
      <c r="BR34" s="18">
        <v>0.54651162790697683</v>
      </c>
      <c r="BS34" s="18">
        <v>0.45054945054945056</v>
      </c>
      <c r="BT34" s="18">
        <v>0</v>
      </c>
      <c r="BU34" s="18">
        <v>0.54696132596685088</v>
      </c>
      <c r="BV34" s="18">
        <v>0.52616279069767447</v>
      </c>
      <c r="BW34" s="18">
        <v>0.70769230769230762</v>
      </c>
      <c r="BX34" s="18">
        <v>0.48717948717948717</v>
      </c>
      <c r="BY34" s="18">
        <v>0.55327868852459017</v>
      </c>
      <c r="BZ34" s="18">
        <v>0.51846590909090906</v>
      </c>
      <c r="CA34" s="18">
        <v>0.4113557358053303</v>
      </c>
      <c r="CB34" s="18">
        <v>0.42126789366053169</v>
      </c>
      <c r="CC34" s="18">
        <v>0.44648829431438131</v>
      </c>
      <c r="CD34" s="18">
        <v>0</v>
      </c>
      <c r="CE34" s="18">
        <v>0.39928057553956836</v>
      </c>
      <c r="CF34" s="18">
        <v>0.31978319783197834</v>
      </c>
      <c r="CG34" s="18">
        <v>0.57476635514018692</v>
      </c>
      <c r="CH34" s="18">
        <v>0.40482573726541554</v>
      </c>
      <c r="CI34" s="18">
        <v>0</v>
      </c>
      <c r="CJ34" s="18">
        <v>0.33673469387755101</v>
      </c>
      <c r="CK34" s="18">
        <v>0.50577367205542723</v>
      </c>
      <c r="CL34" s="18">
        <v>0.51702786377708976</v>
      </c>
      <c r="CM34" s="18">
        <v>0.50613496932515334</v>
      </c>
      <c r="CN34" s="18">
        <v>0</v>
      </c>
      <c r="CO34" s="18">
        <v>0.57758620689655171</v>
      </c>
      <c r="CP34" s="18">
        <v>0.391566265060241</v>
      </c>
      <c r="CQ34" s="18">
        <v>0.47239263803680986</v>
      </c>
      <c r="CR34" s="18">
        <v>0.37083333333333335</v>
      </c>
    </row>
    <row r="35" spans="1:96" x14ac:dyDescent="0.3">
      <c r="A35" t="s">
        <v>139</v>
      </c>
      <c r="B35" s="18">
        <v>0</v>
      </c>
      <c r="C35" s="18">
        <v>0.52777777777777779</v>
      </c>
      <c r="D35" s="18">
        <v>0.46464646464646464</v>
      </c>
      <c r="E35" s="18">
        <v>0.52826086956521745</v>
      </c>
      <c r="F35" s="18">
        <v>0.83225806451612905</v>
      </c>
      <c r="G35" s="18">
        <v>0</v>
      </c>
      <c r="H35" s="18">
        <v>1.0337662337662337</v>
      </c>
      <c r="I35" s="18">
        <v>0.75452716297786715</v>
      </c>
      <c r="J35" s="18">
        <v>3.4503816793893134</v>
      </c>
      <c r="K35" s="18">
        <v>0.73498233215547704</v>
      </c>
      <c r="L35" s="18">
        <v>0</v>
      </c>
      <c r="M35" s="18">
        <v>0.7822349570200573</v>
      </c>
      <c r="N35" s="18">
        <v>0.77734375</v>
      </c>
      <c r="O35" s="18">
        <v>0.39209726443768994</v>
      </c>
      <c r="P35" s="18">
        <v>0.44327176781002636</v>
      </c>
      <c r="Q35" s="18">
        <v>0</v>
      </c>
      <c r="R35" s="18">
        <v>0.72</v>
      </c>
      <c r="S35" s="18">
        <v>0.54639175257731964</v>
      </c>
      <c r="T35" s="18">
        <v>0.84166666666666656</v>
      </c>
      <c r="U35" s="18"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0.48466257668711654</v>
      </c>
      <c r="AC35" s="18">
        <v>0.4665178571428571</v>
      </c>
      <c r="AD35" s="18">
        <v>0.59058823529411764</v>
      </c>
      <c r="AE35" s="18">
        <v>0.6351351351351352</v>
      </c>
      <c r="AF35" s="18">
        <v>0</v>
      </c>
      <c r="AG35" s="18">
        <v>0.51282051282051289</v>
      </c>
      <c r="AH35" s="18">
        <v>0.64</v>
      </c>
      <c r="AI35" s="18">
        <v>0.505</v>
      </c>
      <c r="AJ35" s="18">
        <v>0.99736842105263157</v>
      </c>
      <c r="AK35" s="18">
        <v>0</v>
      </c>
      <c r="AL35" s="18">
        <v>0.3904109589041096</v>
      </c>
      <c r="AM35" s="18">
        <v>0.5083333333333333</v>
      </c>
      <c r="AN35" s="18">
        <v>0.98305084745762705</v>
      </c>
      <c r="AO35" s="18">
        <v>0.95017793594306033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0.55927051671732519</v>
      </c>
      <c r="AV35" s="18">
        <v>0.60251798561151082</v>
      </c>
      <c r="AW35" s="18">
        <v>0.46243902439024392</v>
      </c>
      <c r="AX35" s="18">
        <v>0.79192546583850942</v>
      </c>
      <c r="AY35" s="18">
        <v>0.63019693654266962</v>
      </c>
      <c r="AZ35" s="18">
        <v>0</v>
      </c>
      <c r="BA35" s="18">
        <v>0.47720364741641336</v>
      </c>
      <c r="BB35" s="18">
        <v>0.41719745222929944</v>
      </c>
      <c r="BC35" s="18">
        <v>0.45027322404371578</v>
      </c>
      <c r="BD35" s="18">
        <v>0.28800000000000003</v>
      </c>
      <c r="BE35" s="18">
        <v>0</v>
      </c>
      <c r="BF35" s="18">
        <v>0.53909465020576142</v>
      </c>
      <c r="BG35" s="18">
        <v>0.59872611464968151</v>
      </c>
      <c r="BH35" s="18">
        <v>0.66233766233766223</v>
      </c>
      <c r="BI35" s="18">
        <v>0.68440366972477062</v>
      </c>
      <c r="BJ35" s="18">
        <v>0</v>
      </c>
      <c r="BK35" s="18">
        <v>0.63194444444444442</v>
      </c>
      <c r="BL35" s="18">
        <v>0.42398286937901497</v>
      </c>
      <c r="BM35" s="18">
        <v>0.41038961038961042</v>
      </c>
      <c r="BN35" s="18">
        <v>0.38725490196078427</v>
      </c>
      <c r="BO35" s="18">
        <v>0</v>
      </c>
      <c r="BP35" s="18">
        <v>0.3587628865979382</v>
      </c>
      <c r="BQ35" s="18">
        <v>0.51063829787234039</v>
      </c>
      <c r="BR35" s="18">
        <v>0.62093023255813962</v>
      </c>
      <c r="BS35" s="18">
        <v>0.51098901098901106</v>
      </c>
      <c r="BT35" s="18">
        <v>0</v>
      </c>
      <c r="BU35" s="18">
        <v>0.79005524861878451</v>
      </c>
      <c r="BV35" s="18">
        <v>0.6191860465116279</v>
      </c>
      <c r="BW35" s="18">
        <v>0.92307692307692313</v>
      </c>
      <c r="BX35" s="18">
        <v>0.62051282051282053</v>
      </c>
      <c r="BY35" s="18">
        <v>0.75819672131147542</v>
      </c>
      <c r="BZ35" s="18">
        <v>0.66761363636363635</v>
      </c>
      <c r="CA35" s="18">
        <v>0.50521436848203949</v>
      </c>
      <c r="CB35" s="18">
        <v>0.670756646216769</v>
      </c>
      <c r="CC35" s="18">
        <v>0.62876254180602009</v>
      </c>
      <c r="CD35" s="18">
        <v>0</v>
      </c>
      <c r="CE35" s="18">
        <v>0.62230215827338131</v>
      </c>
      <c r="CF35" s="18">
        <v>0.36856368563685638</v>
      </c>
      <c r="CG35" s="18">
        <v>0.76635514018691586</v>
      </c>
      <c r="CH35" s="18">
        <v>0.54691689008042899</v>
      </c>
      <c r="CI35" s="18">
        <v>0</v>
      </c>
      <c r="CJ35" s="18">
        <v>0.46598639455782315</v>
      </c>
      <c r="CK35" s="18">
        <v>0.69976905311778281</v>
      </c>
      <c r="CL35" s="18">
        <v>0.84210526315789469</v>
      </c>
      <c r="CM35" s="18">
        <v>0.9478527607361964</v>
      </c>
      <c r="CN35" s="18">
        <v>0</v>
      </c>
      <c r="CO35" s="18">
        <v>0.80172413793103448</v>
      </c>
      <c r="CP35" s="18">
        <v>0.40602409638554221</v>
      </c>
      <c r="CQ35" s="18">
        <v>0.48159509202453993</v>
      </c>
      <c r="CR35" s="18">
        <v>0.38500000000000001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BV9" activePane="bottomRight" state="frozen"/>
      <selection pane="topRight" activeCell="B1" sqref="B1"/>
      <selection pane="bottomLeft" activeCell="A2" sqref="A2"/>
      <selection pane="bottomRight" activeCell="BY21" sqref="BY21:CC21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80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117</v>
      </c>
      <c r="CX1" t="s">
        <v>118</v>
      </c>
      <c r="DC1" t="s">
        <v>119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106</v>
      </c>
      <c r="C3">
        <v>36</v>
      </c>
      <c r="D3">
        <v>28</v>
      </c>
      <c r="E3">
        <v>21</v>
      </c>
      <c r="F3">
        <v>22</v>
      </c>
      <c r="H3">
        <v>843</v>
      </c>
      <c r="I3">
        <v>580</v>
      </c>
      <c r="J3">
        <v>478</v>
      </c>
      <c r="K3">
        <v>312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AB3">
        <v>97</v>
      </c>
      <c r="AC3">
        <v>117</v>
      </c>
      <c r="AD3">
        <v>104</v>
      </c>
      <c r="AE3">
        <v>97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E3">
        <v>97</v>
      </c>
      <c r="CF3">
        <v>59</v>
      </c>
      <c r="CG3">
        <v>39</v>
      </c>
      <c r="CH3">
        <v>49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103</v>
      </c>
      <c r="C4">
        <v>57</v>
      </c>
      <c r="D4">
        <v>56</v>
      </c>
      <c r="E4">
        <v>37</v>
      </c>
      <c r="F4">
        <v>37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E4">
        <v>58</v>
      </c>
      <c r="CF4">
        <v>50</v>
      </c>
      <c r="CG4">
        <v>46</v>
      </c>
      <c r="CH4">
        <v>20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107</v>
      </c>
      <c r="H5">
        <v>116</v>
      </c>
      <c r="I5">
        <v>238</v>
      </c>
      <c r="J5">
        <v>228</v>
      </c>
      <c r="K5">
        <v>216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BU5">
        <v>10</v>
      </c>
      <c r="BV5">
        <v>76</v>
      </c>
      <c r="BW5">
        <v>79</v>
      </c>
      <c r="BX5">
        <v>68</v>
      </c>
      <c r="CE5">
        <v>142</v>
      </c>
      <c r="CF5">
        <v>133</v>
      </c>
      <c r="CG5">
        <v>136</v>
      </c>
      <c r="CH5">
        <v>165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105</v>
      </c>
      <c r="R6">
        <v>69</v>
      </c>
      <c r="S6">
        <v>15</v>
      </c>
      <c r="T6">
        <v>17</v>
      </c>
      <c r="U6">
        <v>17</v>
      </c>
      <c r="AL6">
        <v>33</v>
      </c>
      <c r="BA6">
        <v>80</v>
      </c>
      <c r="BB6">
        <v>87</v>
      </c>
      <c r="BC6">
        <v>45</v>
      </c>
      <c r="BD6">
        <v>39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E6">
        <v>22</v>
      </c>
      <c r="CF6">
        <v>18</v>
      </c>
      <c r="CG6">
        <v>17</v>
      </c>
      <c r="CH6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124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E7">
        <v>96</v>
      </c>
      <c r="CF7">
        <v>78</v>
      </c>
      <c r="CG7">
        <v>113</v>
      </c>
      <c r="CH7">
        <v>104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</row>
    <row r="8" spans="1:111" x14ac:dyDescent="0.3">
      <c r="A8" s="17" t="s">
        <v>104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f>SUM(G3:G7)</f>
        <v>0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0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0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U8">
        <f>SUM(AU3:AU7)</f>
        <v>255</v>
      </c>
      <c r="AV8">
        <f t="shared" ref="AV8" si="25">SUM(AV3:AV7)</f>
        <v>349</v>
      </c>
      <c r="AW8">
        <f t="shared" ref="AW8" si="26">SUM(AW3:AW7)</f>
        <v>408</v>
      </c>
      <c r="AX8">
        <f t="shared" ref="AX8" si="27">SUM(AX3:AX7)</f>
        <v>438</v>
      </c>
      <c r="AY8">
        <f t="shared" ref="AY8" si="28">SUM(AY3:AY7)</f>
        <v>427</v>
      </c>
      <c r="AZ8">
        <f>SUM(AZ3:AZ7)</f>
        <v>0</v>
      </c>
      <c r="BA8">
        <f t="shared" ref="BA8" si="29">SUM(BA3:BA7)</f>
        <v>583</v>
      </c>
      <c r="BB8">
        <f t="shared" ref="BB8" si="30">SUM(BB3:BB7)</f>
        <v>552</v>
      </c>
      <c r="BC8">
        <f t="shared" ref="BC8" si="31">SUM(BC3:BC7)</f>
        <v>597</v>
      </c>
      <c r="BD8">
        <f t="shared" ref="BD8" si="32">SUM(BD3:BD7)</f>
        <v>534</v>
      </c>
      <c r="BE8">
        <f>SUM(BE3:BE7)</f>
        <v>0</v>
      </c>
      <c r="BF8">
        <f t="shared" ref="BF8" si="33">SUM(BF3:BF7)</f>
        <v>10.100000000000001</v>
      </c>
      <c r="BG8">
        <f t="shared" ref="BG8" si="34">SUM(BG3:BG7)</f>
        <v>12.3</v>
      </c>
      <c r="BH8">
        <f t="shared" ref="BH8" si="35">SUM(BH3:BH7)</f>
        <v>17.399999999999999</v>
      </c>
      <c r="BI8">
        <f t="shared" ref="BI8" si="36">SUM(BI3:BI7)</f>
        <v>15.4</v>
      </c>
      <c r="BJ8">
        <f>SUM(BJ3:BJ7)</f>
        <v>0</v>
      </c>
      <c r="BK8">
        <f t="shared" ref="BK8" si="37">SUM(BK3:BK7)</f>
        <v>456</v>
      </c>
      <c r="BL8">
        <f t="shared" ref="BL8" si="38">SUM(BL3:BL7)</f>
        <v>347</v>
      </c>
      <c r="BM8">
        <f t="shared" ref="BM8" si="39">SUM(BM3:BM7)</f>
        <v>332</v>
      </c>
      <c r="BN8">
        <f t="shared" ref="BN8" si="40">SUM(BN3:BN7)</f>
        <v>349</v>
      </c>
      <c r="BO8">
        <f>SUM(BO3:BO7)</f>
        <v>0</v>
      </c>
      <c r="BP8">
        <f t="shared" ref="BP8" si="41">SUM(BP3:BP7)</f>
        <v>65.2</v>
      </c>
      <c r="BQ8">
        <f t="shared" ref="BQ8" si="42">SUM(BQ3:BQ7)</f>
        <v>72.400000000000006</v>
      </c>
      <c r="BR8">
        <f t="shared" ref="BR8" si="43">SUM(BR3:BR7)</f>
        <v>58.4</v>
      </c>
      <c r="BS8">
        <f t="shared" ref="BS8" si="44">SUM(BS3:BS7)</f>
        <v>41.400000000000006</v>
      </c>
      <c r="BT8">
        <f>SUM(BT3:BT7)</f>
        <v>0</v>
      </c>
      <c r="BU8">
        <f t="shared" ref="BU8" si="45">SUM(BU3:BU7)</f>
        <v>326</v>
      </c>
      <c r="BV8">
        <f t="shared" ref="BV8" si="46">SUM(BV3:BV7)</f>
        <v>346</v>
      </c>
      <c r="BW8">
        <f t="shared" ref="BW8" si="47">SUM(BW3:BW7)</f>
        <v>332</v>
      </c>
      <c r="BX8">
        <f t="shared" ref="BX8" si="48">SUM(BX3:BX7)</f>
        <v>196</v>
      </c>
      <c r="BY8">
        <f>SUM(BY3:BY7)</f>
        <v>151</v>
      </c>
      <c r="BZ8">
        <f t="shared" ref="BZ8" si="49">SUM(BZ3:BZ7)</f>
        <v>160</v>
      </c>
      <c r="CA8">
        <f t="shared" ref="CA8" si="50">SUM(CA3:CA7)</f>
        <v>181</v>
      </c>
      <c r="CB8">
        <f t="shared" ref="CB8" si="51">SUM(CB3:CB7)</f>
        <v>272</v>
      </c>
      <c r="CC8">
        <f t="shared" ref="CC8" si="52">SUM(CC3:CC7)</f>
        <v>242</v>
      </c>
      <c r="CD8">
        <f>SUM(CD3:CD7)</f>
        <v>0</v>
      </c>
      <c r="CE8">
        <f t="shared" ref="CE8" si="53">SUM(CE3:CE7)</f>
        <v>415</v>
      </c>
      <c r="CF8">
        <f t="shared" ref="CF8" si="54">SUM(CF3:CF7)</f>
        <v>338</v>
      </c>
      <c r="CG8">
        <f t="shared" ref="CG8" si="55">SUM(CG3:CG7)</f>
        <v>351</v>
      </c>
      <c r="CH8">
        <f t="shared" ref="CH8" si="56">SUM(CH3:CH7)</f>
        <v>338</v>
      </c>
      <c r="CI8">
        <f>SUM(CI3:CI7)</f>
        <v>0</v>
      </c>
      <c r="CJ8">
        <f t="shared" ref="CJ8" si="57">SUM(CJ3:CJ7)</f>
        <v>517</v>
      </c>
      <c r="CK8">
        <f t="shared" ref="CK8" si="58">SUM(CK3:CK7)</f>
        <v>479</v>
      </c>
      <c r="CL8">
        <f t="shared" ref="CL8" si="59">SUM(CL3:CL7)</f>
        <v>361</v>
      </c>
      <c r="CM8">
        <f t="shared" ref="CM8" si="60">SUM(CM3:CM7)</f>
        <v>355</v>
      </c>
      <c r="CN8">
        <f>SUM(CN3:CN7)</f>
        <v>0</v>
      </c>
      <c r="CO8">
        <f t="shared" ref="CO8" si="61">SUM(CO3:CO7)</f>
        <v>627</v>
      </c>
      <c r="CP8">
        <f t="shared" ref="CP8" si="62">SUM(CP3:CP7)</f>
        <v>681</v>
      </c>
      <c r="CQ8">
        <f t="shared" ref="CQ8" si="63">SUM(CQ3:CQ7)</f>
        <v>824</v>
      </c>
      <c r="CR8">
        <f t="shared" ref="CR8" si="64">SUM(CR3:CR7)</f>
        <v>557</v>
      </c>
      <c r="CS8">
        <f>SUM(CS3:CS7)</f>
        <v>0</v>
      </c>
      <c r="CT8">
        <f t="shared" ref="CT8" si="65">SUM(CT3:CT7)</f>
        <v>16.3</v>
      </c>
      <c r="CU8">
        <f t="shared" ref="CU8" si="66">SUM(CU3:CU7)</f>
        <v>18.5</v>
      </c>
      <c r="CV8">
        <f t="shared" ref="CV8" si="67">SUM(CV3:CV7)</f>
        <v>18.399999999999999</v>
      </c>
      <c r="CW8">
        <f t="shared" ref="CW8" si="68">SUM(CW3:CW7)</f>
        <v>12.7</v>
      </c>
      <c r="CX8">
        <f>SUM(CX3:CX7)</f>
        <v>0</v>
      </c>
      <c r="CY8">
        <f t="shared" ref="CY8" si="69">SUM(CY3:CY7)</f>
        <v>3</v>
      </c>
      <c r="CZ8">
        <f t="shared" ref="CZ8" si="70">SUM(CZ3:CZ7)</f>
        <v>12.3</v>
      </c>
      <c r="DA8">
        <f t="shared" ref="DA8" si="71">SUM(DA3:DA7)</f>
        <v>8.1999999999999993</v>
      </c>
      <c r="DB8">
        <f t="shared" ref="DB8" si="72">SUM(DB3:DB7)</f>
        <v>9.1999999999999993</v>
      </c>
      <c r="DC8">
        <f>SUM(DC3:DC7)</f>
        <v>0</v>
      </c>
      <c r="DD8">
        <f t="shared" ref="DD8" si="73">SUM(DD3:DD7)</f>
        <v>17.799999999999997</v>
      </c>
      <c r="DE8">
        <f t="shared" ref="DE8" si="74">SUM(DE3:DE7)</f>
        <v>20.6</v>
      </c>
      <c r="DF8">
        <f t="shared" ref="DF8" si="75">SUM(DF3:DF7)</f>
        <v>21.7</v>
      </c>
      <c r="DG8">
        <f t="shared" ref="DG8" si="76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7">D11-D12+D13</f>
        <v>22</v>
      </c>
      <c r="E10">
        <f t="shared" si="77"/>
        <v>3</v>
      </c>
      <c r="F10">
        <f t="shared" si="77"/>
        <v>-9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8">N11-N12+N13</f>
        <v>65</v>
      </c>
      <c r="O10">
        <f t="shared" si="78"/>
        <v>134</v>
      </c>
      <c r="P10">
        <f t="shared" si="78"/>
        <v>111</v>
      </c>
      <c r="R10">
        <f>R11-R12+R13</f>
        <v>1</v>
      </c>
      <c r="S10">
        <f t="shared" ref="S10" si="79">S11-S12+S13</f>
        <v>37</v>
      </c>
      <c r="T10">
        <f t="shared" ref="T10" si="80">T11-T12+T13</f>
        <v>-13</v>
      </c>
      <c r="U10">
        <f t="shared" ref="U10" si="81">U11-U12+U13</f>
        <v>39</v>
      </c>
      <c r="AB10">
        <f>AB11-AB12+AB13</f>
        <v>164</v>
      </c>
      <c r="AC10">
        <f t="shared" ref="AC10" si="82">AC11-AC12+AC13</f>
        <v>178</v>
      </c>
      <c r="AD10">
        <f t="shared" ref="AD10" si="83">AD11-AD12+AD13</f>
        <v>40</v>
      </c>
      <c r="AE10">
        <f t="shared" ref="AE10" si="84">AE11-AE12+AE13</f>
        <v>-18</v>
      </c>
      <c r="AG10">
        <f>AG11-AG12+AG13</f>
        <v>64</v>
      </c>
      <c r="AH10">
        <f t="shared" ref="AH10" si="85">AH11-AH12+AH13</f>
        <v>22</v>
      </c>
      <c r="AI10">
        <f t="shared" ref="AI10" si="86">AI11-AI12+AI13</f>
        <v>24</v>
      </c>
      <c r="AJ10">
        <f t="shared" ref="AJ10" si="87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>BI11-BI12+BI13</f>
        <v>9</v>
      </c>
      <c r="BK10">
        <f>BK11-BK12+BK13</f>
        <v>33</v>
      </c>
      <c r="BL10">
        <f>BL11-BL12+BL13</f>
        <v>173</v>
      </c>
      <c r="BM10">
        <f>BM11-BM12+BM13</f>
        <v>130</v>
      </c>
      <c r="BN10">
        <f>BN11-BN12+BN13</f>
        <v>158</v>
      </c>
      <c r="BP10">
        <f>BP11-BP12+BP13</f>
        <v>49.3</v>
      </c>
      <c r="BQ10">
        <f t="shared" ref="BQ10:BS10" si="88">BQ11-BQ12+BQ13</f>
        <v>20</v>
      </c>
      <c r="BR10">
        <f t="shared" si="88"/>
        <v>29</v>
      </c>
      <c r="BS10">
        <f t="shared" si="88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E10">
        <f>CE11-CE12+CE13</f>
        <v>116</v>
      </c>
      <c r="CF10">
        <f t="shared" ref="CF10" si="89">CF11-CF12+CF13</f>
        <v>166</v>
      </c>
      <c r="CG10">
        <f t="shared" ref="CG10" si="90">CG11-CG12+CG13</f>
        <v>-22</v>
      </c>
      <c r="CH10">
        <f t="shared" ref="CH10" si="91">CH11-CH12+CH13</f>
        <v>168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2">CP11-CP12+CP13</f>
        <v>84</v>
      </c>
      <c r="CQ10">
        <f t="shared" ref="CQ10" si="93">CQ11-CQ12+CQ13</f>
        <v>71</v>
      </c>
      <c r="CR10">
        <f t="shared" ref="CR10" si="94">CR11-CR12+CR13</f>
        <v>119</v>
      </c>
      <c r="CT10">
        <f>CT11-CT12+CT13</f>
        <v>14.000000000000005</v>
      </c>
      <c r="CU10">
        <f>CU11-CU12+CU13</f>
        <v>32.6</v>
      </c>
      <c r="CV10">
        <f>CV11-CV12+CV13</f>
        <v>4.26</v>
      </c>
      <c r="CW10">
        <f>CW11-CW12+CW13</f>
        <v>3.5</v>
      </c>
      <c r="CY10">
        <f>CY11-CY12+CY13</f>
        <v>3.3000000000000007</v>
      </c>
      <c r="CZ10">
        <f t="shared" ref="CZ10:DD10" si="95">CZ11-CZ12+CZ13</f>
        <v>-2.6999999999999993</v>
      </c>
      <c r="DA10">
        <f t="shared" si="95"/>
        <v>1.2000000000000011</v>
      </c>
      <c r="DB10">
        <f t="shared" si="95"/>
        <v>1</v>
      </c>
      <c r="DD10">
        <f t="shared" si="95"/>
        <v>14</v>
      </c>
      <c r="DE10">
        <f t="shared" ref="DE10" si="96">DE11-DE12+DE13</f>
        <v>17</v>
      </c>
      <c r="DF10">
        <f t="shared" ref="DF10" si="97">DF11-DF12+DF13</f>
        <v>5</v>
      </c>
      <c r="DG10">
        <f t="shared" ref="DG10" si="98">DG11-DG12+DG13</f>
        <v>4</v>
      </c>
    </row>
    <row r="11" spans="1:111" x14ac:dyDescent="0.3">
      <c r="A11" t="s">
        <v>108</v>
      </c>
      <c r="C11">
        <v>125</v>
      </c>
      <c r="D11">
        <v>102</v>
      </c>
      <c r="E11">
        <v>47</v>
      </c>
      <c r="F11">
        <v>32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AB11">
        <v>652</v>
      </c>
      <c r="AC11">
        <v>448</v>
      </c>
      <c r="AD11">
        <v>425</v>
      </c>
      <c r="AE11">
        <v>370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E11">
        <v>278</v>
      </c>
      <c r="CF11">
        <v>370</v>
      </c>
      <c r="CG11">
        <v>214</v>
      </c>
      <c r="CH11">
        <v>373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109</v>
      </c>
      <c r="C12">
        <v>128</v>
      </c>
      <c r="D12">
        <v>95</v>
      </c>
      <c r="E12">
        <v>51</v>
      </c>
      <c r="F12">
        <v>43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AB12">
        <v>565</v>
      </c>
      <c r="AC12">
        <v>332</v>
      </c>
      <c r="AD12">
        <v>462</v>
      </c>
      <c r="AE12">
        <v>454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110</v>
      </c>
      <c r="C13">
        <v>6</v>
      </c>
      <c r="D13">
        <v>15</v>
      </c>
      <c r="E13">
        <v>7</v>
      </c>
      <c r="F13">
        <v>2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E13">
        <v>9</v>
      </c>
      <c r="CF13">
        <v>14</v>
      </c>
      <c r="CG13">
        <v>27</v>
      </c>
      <c r="CH13">
        <v>30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80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117</v>
      </c>
      <c r="CX14" t="s">
        <v>118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125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601</v>
      </c>
      <c r="BZ16">
        <f>BZ18-BZ19+BZ20+BZ21+BZ22</f>
        <v>552</v>
      </c>
      <c r="CA16">
        <f>CA18-CA19+CA20+CA21+CA22</f>
        <v>793</v>
      </c>
      <c r="CB16">
        <f>CB18-CB19+CB20+CB21+CB22</f>
        <v>437</v>
      </c>
      <c r="CC16">
        <f>CC18-CC19+CC20+CC21+CC22</f>
        <v>553</v>
      </c>
    </row>
    <row r="17" spans="1:111" x14ac:dyDescent="0.3">
      <c r="A17" t="s">
        <v>126</v>
      </c>
      <c r="AU17">
        <f>+AU25</f>
        <v>0</v>
      </c>
      <c r="AV17">
        <f t="shared" ref="AV17:AY17" si="99">+AV25</f>
        <v>0</v>
      </c>
      <c r="AW17">
        <f t="shared" si="99"/>
        <v>0</v>
      </c>
      <c r="AX17">
        <f t="shared" si="99"/>
        <v>0</v>
      </c>
      <c r="AY17">
        <f t="shared" si="99"/>
        <v>0</v>
      </c>
      <c r="BY17">
        <f>+BY25</f>
        <v>0</v>
      </c>
      <c r="BZ17">
        <f>+BZ25</f>
        <v>0</v>
      </c>
      <c r="CA17">
        <f t="shared" ref="CA17:CB17" si="100">+CA25</f>
        <v>0</v>
      </c>
      <c r="CB17">
        <f t="shared" si="100"/>
        <v>0</v>
      </c>
      <c r="CC17">
        <f t="shared" ref="CC17" si="101">+CC25</f>
        <v>0</v>
      </c>
    </row>
    <row r="18" spans="1:111" x14ac:dyDescent="0.3">
      <c r="A18" t="s">
        <v>73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0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0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0</v>
      </c>
      <c r="X18">
        <f>Painel!X11</f>
        <v>0</v>
      </c>
      <c r="Y18">
        <f>Painel!Y11</f>
        <v>0</v>
      </c>
      <c r="Z18">
        <f>Painel!Z11</f>
        <v>0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0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0</v>
      </c>
      <c r="AQ18">
        <f>Painel!AQ11</f>
        <v>0</v>
      </c>
      <c r="AR18">
        <f>Painel!AR11</f>
        <v>0</v>
      </c>
      <c r="AS18">
        <f>Painel!AS11</f>
        <v>0</v>
      </c>
      <c r="AT18">
        <f>Painel!AT11</f>
        <v>0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0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732</v>
      </c>
      <c r="BZ18">
        <f>Painel!BZ11</f>
        <v>704</v>
      </c>
      <c r="CA18">
        <f>Painel!CA11</f>
        <v>863</v>
      </c>
      <c r="CB18">
        <f>Painel!CB11</f>
        <v>489</v>
      </c>
      <c r="CC18">
        <f>Painel!CC11</f>
        <v>598</v>
      </c>
      <c r="CD18">
        <f>Painel!CD11</f>
        <v>0</v>
      </c>
      <c r="CE18">
        <f>Painel!CE11</f>
        <v>278</v>
      </c>
      <c r="CF18">
        <f>Painel!CF11</f>
        <v>369</v>
      </c>
      <c r="CG18">
        <f>Painel!CG11</f>
        <v>214</v>
      </c>
      <c r="CH18">
        <f>Painel!CH11</f>
        <v>373</v>
      </c>
      <c r="CI18">
        <f>Painel!CI11</f>
        <v>0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0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127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128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0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0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0</v>
      </c>
      <c r="Y20">
        <f>Painel!Y12</f>
        <v>0</v>
      </c>
      <c r="Z20">
        <f>Painel!Z12</f>
        <v>0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0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0</v>
      </c>
      <c r="AQ20">
        <f>Painel!AQ12</f>
        <v>0</v>
      </c>
      <c r="AR20">
        <f>Painel!AR12</f>
        <v>0</v>
      </c>
      <c r="AS20">
        <f>Painel!AS12</f>
        <v>0</v>
      </c>
      <c r="AT20">
        <f>Painel!AT12</f>
        <v>0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0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0</v>
      </c>
      <c r="CE20">
        <f>Painel!CE12</f>
        <v>111</v>
      </c>
      <c r="CF20">
        <f>Painel!CF12</f>
        <v>118</v>
      </c>
      <c r="CG20">
        <f>Painel!CG12</f>
        <v>123</v>
      </c>
      <c r="CH20">
        <f>Painel!CH12</f>
        <v>151</v>
      </c>
      <c r="CI20">
        <f>Painel!CI12</f>
        <v>0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0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129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133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132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130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137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0.78036605657237934</v>
      </c>
      <c r="BZ27" s="25">
        <f>(BZ20+BZ21)/BZ16</f>
        <v>0.73550724637681164</v>
      </c>
      <c r="CA27" s="25">
        <f>(CA20+CA21)/CA16</f>
        <v>0.54981084489281207</v>
      </c>
      <c r="CB27" s="25">
        <f>(CB20+CB21)/CB16</f>
        <v>0.75057208237986273</v>
      </c>
      <c r="CC27" s="25">
        <f>(CC20+CC21)/CC16</f>
        <v>0.67992766726943943</v>
      </c>
    </row>
    <row r="28" spans="1:111" x14ac:dyDescent="0.3">
      <c r="A28" s="26" t="s">
        <v>136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0.64071038251366119</v>
      </c>
      <c r="BZ28" s="25">
        <f>(BZ20+BZ21)/BZ18</f>
        <v>0.57670454545454541</v>
      </c>
      <c r="CA28" s="25">
        <f>(CA20+CA21)/CA18</f>
        <v>0.50521436848203938</v>
      </c>
      <c r="CB28" s="25">
        <f>(CB20+CB21)/CB18</f>
        <v>0.67075664621676889</v>
      </c>
      <c r="CC28" s="25">
        <f>(CC20+CC21)/CC18</f>
        <v>0.62876254180602009</v>
      </c>
    </row>
    <row r="29" spans="1:111" x14ac:dyDescent="0.3">
      <c r="A29" s="26" t="s">
        <v>138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0.82103825136612019</v>
      </c>
      <c r="BZ29" s="25">
        <f>BZ16/BZ18</f>
        <v>0.78409090909090906</v>
      </c>
      <c r="CA29" s="25">
        <f>CA16/CA18</f>
        <v>0.9188876013904983</v>
      </c>
      <c r="CB29" s="25">
        <f>CB16/CB18</f>
        <v>0.8936605316973415</v>
      </c>
      <c r="CC29" s="25">
        <f>CC16/CC18</f>
        <v>0.92474916387959871</v>
      </c>
    </row>
    <row r="30" spans="1:111" x14ac:dyDescent="0.3">
      <c r="A30" t="s">
        <v>131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135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2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3">(LN(21)-LN(B45))/LN(21)</f>
        <v>0.36084880671453018</v>
      </c>
      <c r="H45" s="19">
        <f t="shared" si="102"/>
        <v>1</v>
      </c>
      <c r="I45" s="19">
        <f t="shared" ref="I45" si="104">(LN(21)-LN(D45))/LN(21)</f>
        <v>0.63915119328546977</v>
      </c>
      <c r="J45" s="19">
        <f t="shared" ref="J45" si="105">(LN(21)-LN(E45))/LN(21)</f>
        <v>0.15751996908273488</v>
      </c>
    </row>
    <row r="46" spans="1:77" x14ac:dyDescent="0.3">
      <c r="A46" t="s">
        <v>80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117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06">(LN(21)-LN(C63))/LN(21)</f>
        <v>0.27830238657093959</v>
      </c>
      <c r="I63">
        <f t="shared" si="106"/>
        <v>0.15751996908273488</v>
      </c>
    </row>
    <row r="64" spans="1:10" x14ac:dyDescent="0.3">
      <c r="A64" t="s">
        <v>118</v>
      </c>
    </row>
    <row r="65" spans="1:8" x14ac:dyDescent="0.3">
      <c r="A65" t="s">
        <v>119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DG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dimension ref="A1:W1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80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121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122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123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120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95</v>
      </c>
      <c r="B1" s="13" t="s">
        <v>97</v>
      </c>
      <c r="C1" t="s">
        <v>96</v>
      </c>
      <c r="E1" t="s">
        <v>95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97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96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Resultado</vt:lpstr>
      <vt:lpstr>Caixa</vt:lpstr>
      <vt:lpstr>Índices</vt:lpstr>
      <vt:lpstr>Painel</vt:lpstr>
      <vt:lpstr>Painel_Cte</vt:lpstr>
      <vt:lpstr>Planilha1</vt:lpstr>
      <vt:lpstr>Transparência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2024-04-18T17:20:41Z</dcterms:modified>
</cp:coreProperties>
</file>