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20"/>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6618328B-63E8-6942-AF11-0DAEF133BDE6}" xr6:coauthVersionLast="47" xr6:coauthVersionMax="47" xr10:uidLastSave="{00000000-0000-0000-0000-000000000000}"/>
  <bookViews>
    <workbookView xWindow="0" yWindow="760" windowWidth="30240" windowHeight="17300" firstSheet="8" activeTab="11"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computation_tree" sheetId="31" r:id="rId8"/>
    <sheet name="1-way SA" sheetId="36" r:id="rId9"/>
    <sheet name="costs" sheetId="24" r:id="rId10"/>
    <sheet name="markov_transition" sheetId="30" r:id="rId11"/>
    <sheet name="age_sex_dependant_mortality" sheetId="23" r:id="rId12"/>
    <sheet name="age_sex_dependant_utility" sheetId="26" r:id="rId13"/>
    <sheet name="Parameters.NSTEMI" sheetId="19" r:id="rId14"/>
    <sheet name="Data from Pufulete 2022" sheetId="29" r:id="rId15"/>
    <sheet name="Sheet2" sheetId="35" r:id="rId16"/>
    <sheet name="timeline" sheetId="22" r:id="rId17"/>
    <sheet name="DT_estimation" sheetId="32" r:id="rId18"/>
  </sheets>
  <definedNames>
    <definedName name="an_u_dec_maj_bleed">Parameters.STEMI!$D$45</definedName>
    <definedName name="an_u_dec_min_bleed">Parameters.STEMI!$D$44</definedName>
    <definedName name="c_bleed_ac">Parameters.STEMI!$D$85</definedName>
    <definedName name="c_bleed_ap">Parameters.STEMI!$D$87</definedName>
    <definedName name="c_bleed_at">Parameters.STEMI!$D$86</definedName>
    <definedName name="c_dead_tree">costs!$Y$13</definedName>
    <definedName name="c_drug_ac_dead_poc">computation_tree!$I$32</definedName>
    <definedName name="c_drug_ac_dead_st">computation_tree!$I$7</definedName>
    <definedName name="c_drug_ac_mi_poc">computation_tree!$I$30</definedName>
    <definedName name="c_drug_ac_mi_st">computation_tree!$I$5</definedName>
    <definedName name="c_drug_ac_noevent_poc">computation_tree!$I$29</definedName>
    <definedName name="c_drug_ac_noevent_st">computation_tree!$I$4</definedName>
    <definedName name="c_drug_ac_stk_poc">computation_tree!$I$31</definedName>
    <definedName name="c_drug_ac_stk_st">computation_tree!$I$6</definedName>
    <definedName name="c_drug_ap_dead_poc">computation_tree!$I$27</definedName>
    <definedName name="c_drug_ap_dead_st">computation_tree!$I$17</definedName>
    <definedName name="c_drug_ap_mi_poc">computation_tree!$I$25</definedName>
    <definedName name="c_drug_ap_mi_st">computation_tree!$I$15</definedName>
    <definedName name="c_drug_ap_noevent_pc">computation_tree!$I$24</definedName>
    <definedName name="c_drug_ap_noevent_st">computation_tree!$I$14</definedName>
    <definedName name="c_drug_ap_stk_poc">computation_tree!$I$26</definedName>
    <definedName name="c_drug_ap_stk_st">computation_tree!$I$16</definedName>
    <definedName name="c_drug_at_dead_poc">computation_tree!$I$22</definedName>
    <definedName name="c_drug_at_dead_st">computation_tree!$I$12</definedName>
    <definedName name="c_drug_at_mi_poc">computation_tree!$I$20</definedName>
    <definedName name="c_drug_at_mi_st">computation_tree!$I$10</definedName>
    <definedName name="c_drug_at_noevent_pc">computation_tree!$I$19</definedName>
    <definedName name="c_drug_at_noevent_st">computation_tree!$I$9</definedName>
    <definedName name="c_drug_at_stk_poc">computation_tree!$I$21</definedName>
    <definedName name="c_drug_at_stk_st">computation_tree!$I$11</definedName>
    <definedName name="c_dys_ac">Parameters.STEMI!$D$123</definedName>
    <definedName name="c_dys_ap">Parameters.STEMI!$D$125</definedName>
    <definedName name="c_dys_at">Parameters.STEMI!$D$124</definedName>
    <definedName name="c_dys_pp">Parameters.STEMI!$D$122</definedName>
    <definedName name="c_maj_bleed">costs!$AH$13</definedName>
    <definedName name="c_mi_tree">costs!$W$13</definedName>
    <definedName name="c_min_bleed">'1-way SA'!$G$49</definedName>
    <definedName name="c_noevent_markov">costs!$AC$13</definedName>
    <definedName name="c_noevent_tree">costs!$V$13</definedName>
    <definedName name="c_pci">costs!$P$23</definedName>
    <definedName name="c_poc_test">Parameters.STEMI!$D$61</definedName>
    <definedName name="c_post_rinfar_markov">costs!$AE$13</definedName>
    <definedName name="c_post_stk_markov">costs!$AB$13</definedName>
    <definedName name="c_rinfar_markov">costs!$AD$13</definedName>
    <definedName name="c_stk_markov">costs!$AA$13</definedName>
    <definedName name="c_stk_tree">costs!$X$13</definedName>
    <definedName name="cost_diff">computation_tree!$AB$4</definedName>
    <definedName name="cost_poc">computation_tree!$V$4</definedName>
    <definedName name="cost_st">computation_tree!$T$4</definedName>
    <definedName name="day_cost_asa">costs!$B$14</definedName>
    <definedName name="day_cost_clop">costs!$B$15</definedName>
    <definedName name="day_cost_pras">Parameters.STEMI!$D$75</definedName>
    <definedName name="day_cost_pras_10mg">costs!$B$17</definedName>
    <definedName name="day_cost_pras_5mg">costs!$B$16</definedName>
    <definedName name="day_cost_tica">costs!$B$18</definedName>
    <definedName name="duration_dys">Parameters.STEMI!$D$128</definedName>
    <definedName name="duration_maj_bleed">Parameters.STEMI!$D$47</definedName>
    <definedName name="duration_min_bleed">Parameters.STEMI!$D$46</definedName>
    <definedName name="hr_dead_ac_lof">'Intitial-Calculations'!$AZ$6</definedName>
    <definedName name="hr_dead_ac_nlof">Parameters.STEMI!$D$111</definedName>
    <definedName name="hr_maj_bleed_ac_nlof">Parameters.STEMI!$D$114</definedName>
    <definedName name="hr_mi_ac_lof">'Intitial-Calculations'!$AZ$7</definedName>
    <definedName name="hr_mi_ac_nlof">Parameters.STEMI!$D$112</definedName>
    <definedName name="hr_min_bleed_ac_nlof">Parameters.STEMI!$D$115</definedName>
    <definedName name="hr_stk_ac_lof">'Intitial-Calculations'!$AZ$8</definedName>
    <definedName name="hr_stk_ac_nlof">Parameters.STEMI!$D$113</definedName>
    <definedName name="ICER">computation_tree!$AF$4</definedName>
    <definedName name="ld_clop_300">costs!$B$19</definedName>
    <definedName name="ld_clop_600">costs!$B$20</definedName>
    <definedName name="ld_pras_60">costs!$B$21</definedName>
    <definedName name="ld_tica_180">costs!$B$22</definedName>
    <definedName name="male_proportion_STEMI">age_sex_dependant_mortality!$B$9</definedName>
    <definedName name="md_328_day">Parameters.STEMI!$D$65</definedName>
    <definedName name="md_360_day">Parameters.STEMI!$D$64</definedName>
    <definedName name="md_365_day">Parameters.STEMI!$D$63</definedName>
    <definedName name="md_5_day">Parameters.STEMI!$D$67</definedName>
    <definedName name="md_halfway">Parameters.STEMI!$D$66</definedName>
    <definedName name="or_dead_pras_clop">'Intitial-Calculations'!$AK$6</definedName>
    <definedName name="or_dead_tica_clop">'Intitial-Calculations'!$AF$6</definedName>
    <definedName name="or_dys_at_ac">Parameters.STEMI!$D$120</definedName>
    <definedName name="or_maj_bleed__tica_clop">'Intitial-Calculations'!$AF$9</definedName>
    <definedName name="or_maj_bleed_pras_clop">'Intitial-Calculations'!$AK$9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Parameters.STEMI!$D$119</definedName>
    <definedName name="prev_lof_base">'1-way SA'!$G$27</definedName>
    <definedName name="prev_lof_sa">'Intitial-Calculations'!$AU$15</definedName>
    <definedName name="prob_dead_ac">'Intitial-Calculations'!$R$9</definedName>
    <definedName name="prob_dead_ac_nlof">Parameters.STEMI!$D$35</definedName>
    <definedName name="prob_dead_ap">'Intitial-Calculations'!$AN$6</definedName>
    <definedName name="prob_dead_at">'Intitial-Calculations'!$AI$6</definedName>
    <definedName name="prob_dys_ac">Parameters.STEMI!$D$117</definedName>
    <definedName name="prob_dys_ap">Parameters.STEMI!$D$119</definedName>
    <definedName name="prob_dys_at">Parameters.STEMI!$D$118</definedName>
    <definedName name="prob_maj_bleed_ac">'Intitial-Calculations'!$Y$8</definedName>
    <definedName name="prob_maj_bleed_ap">'Intitial-Calculations'!$AN$9</definedName>
    <definedName name="prob_maj_bleed_at">'Intitial-Calculations'!$AI$9</definedName>
    <definedName name="prob_mi_ac">'1-way SA'!$G$37</definedName>
    <definedName name="prob_mi_ac_nlof">Parameters.STEMI!$D$36</definedName>
    <definedName name="prob_mi_ap">'Intitial-Calculations'!$AN$7</definedName>
    <definedName name="prob_mi_at">'Intitial-Calculations'!$AI$7</definedName>
    <definedName name="prob_min_bleed_ac">'Intitial-Calculations'!$Z$8</definedName>
    <definedName name="prob_min_bleed_ap">'Intitial-Calculations'!$AN$10</definedName>
    <definedName name="prob_min_bleed_at">'Intitial-Calculations'!$AI$10</definedName>
    <definedName name="prob_stk_ac">'1-way SA'!$G$32</definedName>
    <definedName name="prob_stk_ac_nlof">Parameters.STEMI!$D$37</definedName>
    <definedName name="prob_stk_ap">'Intitial-Calculations'!$AN$8</definedName>
    <definedName name="prob_stk_at">'Intitial-Calculations'!$AI$8</definedName>
    <definedName name="prob_test_follow">'1-way SA'!$G$13</definedName>
    <definedName name="prob_test_order">'1-way SA'!$G$8</definedName>
    <definedName name="proportion_ac_st">'1-way SA'!$E$19</definedName>
    <definedName name="proportion_ap_lof">Parameters.STEMI!$D$33</definedName>
    <definedName name="proportion_ap_st">'1-way SA'!$G$19</definedName>
    <definedName name="proportion_at_lof">Parameters.STEMI!$D$32</definedName>
    <definedName name="proportion_at_st">'1-way SA'!$F$19</definedName>
    <definedName name="proportion_pras_5mg">Parameters.STEMI!$D$74</definedName>
    <definedName name="qaly_diff">computation_tree!$AD$4</definedName>
    <definedName name="qaly_poc">computation_tree!$Z$4</definedName>
    <definedName name="qaly_st">computation_tree!$X$4</definedName>
    <definedName name="rate_maj_bleed_ac_nlof">Parameters.STEMI!$D$38</definedName>
    <definedName name="rate_min_bleed_ac_nlof">Parameters.STEMI!$D$39</definedName>
    <definedName name="smr_noevent">'1-way SA'!$D$43</definedName>
    <definedName name="smr_post_rinfar">'1-way SA'!$F$43</definedName>
    <definedName name="smr_post_stk">age_sex_dependant_mortality!$B$8</definedName>
    <definedName name="smr_rinfar">'1-way SA'!$E$43</definedName>
    <definedName name="smr_stk">age_sex_dependant_mortality!$B$7</definedName>
    <definedName name="start_age_f">Parameters.STEMI!$D$3</definedName>
    <definedName name="start_age_m">Parameters.STEMI!$D$2</definedName>
    <definedName name="stemi_size">Parameters.STEMI!$D$4</definedName>
    <definedName name="u_dec_bleed_ac">Parameters.STEMI!$D$50</definedName>
    <definedName name="u_dec_bleed_ap">Parameters.STEMI!$D$52</definedName>
    <definedName name="u_dec_bleed_at">Parameters.STEMI!$D$51</definedName>
    <definedName name="u_dec_dys">Parameters.STEMI!$D$127</definedName>
    <definedName name="u_dec_dys_ac">Parameters.STEMI!$D$129</definedName>
    <definedName name="u_dec_dys_ap">Parameters.STEMI!$D$131</definedName>
    <definedName name="u_dec_dys_at">Parameters.STEMI!$D$130</definedName>
    <definedName name="u_dec_maj_bleed">Parameters.STEMI!$D$49</definedName>
    <definedName name="u_dec_min_bleed">Parameters.STEMI!$D$48</definedName>
    <definedName name="u_noevent">age_sex_dependant_utility!$B$3</definedName>
    <definedName name="u_noevent_tree">age_sex_dependant_utility!$G$13</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einfarction_tree">age_sex_dependant_utility!$L$13</definedName>
    <definedName name="u_rinfar">age_sex_dependant_utility!$B$4</definedName>
    <definedName name="u_stk">age_sex_dependant_utility!$B$6</definedName>
    <definedName name="u_stk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3" i="16" l="1"/>
  <c r="D42" i="16"/>
  <c r="D41" i="16"/>
  <c r="G19" i="31"/>
  <c r="AD6" i="17"/>
  <c r="AE6" i="17"/>
  <c r="AI6" i="17"/>
  <c r="AJ6" i="17"/>
  <c r="AN6" i="17"/>
  <c r="AO6" i="17"/>
  <c r="AE7" i="17"/>
  <c r="AI7" i="17"/>
  <c r="AJ7" i="17"/>
  <c r="AN7" i="17"/>
  <c r="AO7" i="17"/>
  <c r="AE8" i="17"/>
  <c r="AI8" i="17"/>
  <c r="AJ8" i="17"/>
  <c r="AN8" i="17"/>
  <c r="AO8" i="17"/>
  <c r="AE9" i="17"/>
  <c r="AI9" i="17"/>
  <c r="AJ9" i="17"/>
  <c r="AN9" i="17"/>
  <c r="AO9" i="17"/>
  <c r="AE10" i="17"/>
  <c r="AI10" i="17" s="1"/>
  <c r="AJ10" i="17"/>
  <c r="AO10" i="17"/>
  <c r="D35" i="16"/>
  <c r="D39" i="16"/>
  <c r="D38" i="16"/>
  <c r="D37" i="16"/>
  <c r="D36" i="16"/>
  <c r="AN10" i="17" l="1"/>
  <c r="D20" i="16" l="1"/>
  <c r="D141" i="16"/>
  <c r="G4" i="31" l="1"/>
  <c r="I4" i="31"/>
  <c r="D145" i="16" l="1"/>
  <c r="D144" i="16"/>
  <c r="D143" i="16"/>
  <c r="D142" i="16"/>
  <c r="AP13" i="24"/>
  <c r="AO13" i="24"/>
  <c r="AN13" i="24"/>
  <c r="AM13" i="24"/>
  <c r="AL7" i="24"/>
  <c r="AL8" i="24" s="1"/>
  <c r="AL9" i="24" s="1"/>
  <c r="AL10" i="24" s="1"/>
  <c r="AL11" i="24" s="1"/>
  <c r="AL12" i="24" s="1"/>
  <c r="AL13" i="24" s="1"/>
  <c r="AJ8" i="24"/>
  <c r="AJ9" i="24"/>
  <c r="AJ10" i="24"/>
  <c r="AJ11" i="24" s="1"/>
  <c r="AJ12" i="24" s="1"/>
  <c r="AJ13" i="24" s="1"/>
  <c r="AJ7" i="24"/>
  <c r="G6" i="31"/>
  <c r="E4" i="31"/>
  <c r="D123" i="16"/>
  <c r="D131" i="16"/>
  <c r="D129" i="16"/>
  <c r="D125" i="16"/>
  <c r="F119" i="16"/>
  <c r="G119" i="16" s="1"/>
  <c r="H119" i="16" s="1"/>
  <c r="H118" i="16"/>
  <c r="D118" i="16"/>
  <c r="D124" i="16" s="1"/>
  <c r="F117" i="16"/>
  <c r="G117" i="16" s="1"/>
  <c r="H117" i="16" s="1"/>
  <c r="G118" i="16"/>
  <c r="BM16" i="17"/>
  <c r="BM15" i="17"/>
  <c r="BM14" i="17"/>
  <c r="BM13" i="17"/>
  <c r="BQ7" i="17"/>
  <c r="G36" i="31"/>
  <c r="R36" i="31" s="1"/>
  <c r="G34" i="31"/>
  <c r="R34" i="31" s="1"/>
  <c r="G5" i="31"/>
  <c r="I5" i="31"/>
  <c r="D32" i="16"/>
  <c r="D33" i="16" s="1"/>
  <c r="D48" i="16"/>
  <c r="D49" i="16"/>
  <c r="D113" i="16"/>
  <c r="G31" i="31" s="1"/>
  <c r="D112" i="16"/>
  <c r="D111" i="16"/>
  <c r="E34" i="31"/>
  <c r="E36" i="31"/>
  <c r="D130" i="16" l="1"/>
  <c r="F118" i="16"/>
  <c r="D50" i="16"/>
  <c r="P5" i="31" s="1"/>
  <c r="D53" i="16"/>
  <c r="G30" i="31"/>
  <c r="E31" i="31"/>
  <c r="I31" i="31"/>
  <c r="I30" i="31"/>
  <c r="I29" i="31"/>
  <c r="I21" i="31"/>
  <c r="I20" i="31"/>
  <c r="I19" i="31"/>
  <c r="E5" i="31"/>
  <c r="E6" i="31"/>
  <c r="I11" i="31"/>
  <c r="I10" i="31"/>
  <c r="I9" i="31"/>
  <c r="D75" i="16"/>
  <c r="I15" i="31" s="1"/>
  <c r="I6" i="31"/>
  <c r="D85" i="16"/>
  <c r="K4" i="31" s="1"/>
  <c r="N4" i="31" s="1"/>
  <c r="D76" i="16"/>
  <c r="D73" i="16"/>
  <c r="D71" i="16"/>
  <c r="D70" i="16"/>
  <c r="D69" i="16"/>
  <c r="D68" i="16"/>
  <c r="H13" i="23"/>
  <c r="D72" i="16"/>
  <c r="D66" i="16"/>
  <c r="K13" i="26"/>
  <c r="J13" i="26"/>
  <c r="D93" i="16"/>
  <c r="D92" i="16"/>
  <c r="D91" i="16"/>
  <c r="D90" i="16"/>
  <c r="D89" i="16"/>
  <c r="D84" i="16"/>
  <c r="D83" i="16"/>
  <c r="D82" i="16"/>
  <c r="D81" i="16"/>
  <c r="D80" i="16"/>
  <c r="D79" i="16"/>
  <c r="D78" i="16"/>
  <c r="D59" i="16"/>
  <c r="D58" i="16"/>
  <c r="H7" i="17"/>
  <c r="D109" i="16"/>
  <c r="D108" i="16"/>
  <c r="D107" i="16"/>
  <c r="D106" i="16"/>
  <c r="D105" i="16"/>
  <c r="D103" i="16"/>
  <c r="D102" i="16"/>
  <c r="D101" i="16"/>
  <c r="D100" i="16"/>
  <c r="D99" i="16"/>
  <c r="D16" i="16"/>
  <c r="D15" i="16"/>
  <c r="D14" i="16"/>
  <c r="K29" i="31" l="1"/>
  <c r="K5" i="31"/>
  <c r="P7" i="31"/>
  <c r="P6" i="31"/>
  <c r="R6" i="31" s="1"/>
  <c r="R5" i="31"/>
  <c r="P32" i="31"/>
  <c r="P29" i="31"/>
  <c r="P30" i="31"/>
  <c r="R30" i="31" s="1"/>
  <c r="P31" i="31"/>
  <c r="R31" i="31" s="1"/>
  <c r="K30" i="31"/>
  <c r="N30" i="31" s="1"/>
  <c r="K6" i="31"/>
  <c r="K31" i="31"/>
  <c r="N31" i="31" s="1"/>
  <c r="P4" i="31"/>
  <c r="E30" i="31"/>
  <c r="I32" i="31"/>
  <c r="K32" i="31" s="1"/>
  <c r="I7" i="31"/>
  <c r="K7" i="31" s="1"/>
  <c r="I14" i="31"/>
  <c r="I24" i="31"/>
  <c r="I16" i="31"/>
  <c r="I25" i="31"/>
  <c r="I26" i="31"/>
  <c r="I12" i="31"/>
  <c r="I17" i="31"/>
  <c r="I27" i="31"/>
  <c r="I22" i="31"/>
  <c r="Z51" i="26"/>
  <c r="Z52" i="26"/>
  <c r="Y51" i="26"/>
  <c r="Y52" i="26"/>
  <c r="U51" i="26"/>
  <c r="U52" i="26"/>
  <c r="T51" i="26"/>
  <c r="T52" i="26"/>
  <c r="P51" i="26"/>
  <c r="P52" i="26"/>
  <c r="O51" i="26"/>
  <c r="O52" i="26"/>
  <c r="K51" i="26"/>
  <c r="K52" i="26"/>
  <c r="J51" i="26"/>
  <c r="J52" i="26"/>
  <c r="F51" i="26"/>
  <c r="F52" i="26"/>
  <c r="E51" i="26"/>
  <c r="E52"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N5" i="31" l="1"/>
  <c r="N6" i="31"/>
  <c r="E26" i="31"/>
  <c r="AA51" i="26"/>
  <c r="J52" i="23"/>
  <c r="Y52" i="23"/>
  <c r="AD52" i="23"/>
  <c r="AD51" i="23"/>
  <c r="V51" i="26"/>
  <c r="G51" i="26"/>
  <c r="AA52" i="26"/>
  <c r="Q52" i="26"/>
  <c r="V52" i="26"/>
  <c r="L51" i="26"/>
  <c r="Q51" i="26"/>
  <c r="L52" i="26"/>
  <c r="G52" i="26"/>
  <c r="Y51" i="23"/>
  <c r="T52" i="23"/>
  <c r="T51" i="23"/>
  <c r="O52" i="23"/>
  <c r="O51" i="23"/>
  <c r="J51" i="23"/>
  <c r="D28" i="16"/>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D21" i="16" l="1"/>
  <c r="G16" i="31"/>
  <c r="D26" i="16"/>
  <c r="E16" i="31"/>
  <c r="G26" i="31"/>
  <c r="D22" i="16"/>
  <c r="D52" i="16"/>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P15" i="31" l="1"/>
  <c r="P25" i="31"/>
  <c r="P17" i="31"/>
  <c r="P16" i="31"/>
  <c r="P14" i="31"/>
  <c r="P26" i="31"/>
  <c r="P24" i="31"/>
  <c r="P27" i="31"/>
  <c r="G11" i="31"/>
  <c r="G21" i="31"/>
  <c r="E11" i="31"/>
  <c r="E21" i="31"/>
  <c r="D51" i="16"/>
  <c r="P19" i="31" s="1"/>
  <c r="D27" i="16"/>
  <c r="D87" i="16"/>
  <c r="D86" i="16"/>
  <c r="O23" i="24"/>
  <c r="K11" i="31" l="1"/>
  <c r="N11" i="31" s="1"/>
  <c r="K9" i="31"/>
  <c r="K21" i="31"/>
  <c r="N21" i="31" s="1"/>
  <c r="K10" i="31"/>
  <c r="K19" i="31"/>
  <c r="K20" i="31"/>
  <c r="K12" i="31"/>
  <c r="K22" i="31"/>
  <c r="K15" i="31"/>
  <c r="K27" i="31"/>
  <c r="K17" i="31"/>
  <c r="K14" i="31"/>
  <c r="K26" i="31"/>
  <c r="N26" i="31" s="1"/>
  <c r="K25" i="31"/>
  <c r="K16" i="31"/>
  <c r="N16" i="31" s="1"/>
  <c r="K24" i="31"/>
  <c r="P10" i="31"/>
  <c r="P9" i="31"/>
  <c r="P20" i="31"/>
  <c r="P12" i="31"/>
  <c r="P11" i="31"/>
  <c r="R11" i="31" s="1"/>
  <c r="P21" i="31"/>
  <c r="R21" i="31" s="1"/>
  <c r="P22" i="31"/>
  <c r="R26" i="31"/>
  <c r="R16" i="31"/>
  <c r="I10" i="24"/>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AA25" i="26" s="1"/>
  <c r="Y26" i="26"/>
  <c r="Y27" i="26"/>
  <c r="Y28" i="26"/>
  <c r="Y29" i="26"/>
  <c r="Y30" i="26"/>
  <c r="Y31" i="26"/>
  <c r="Y32" i="26"/>
  <c r="Y33" i="26"/>
  <c r="Y34" i="26"/>
  <c r="Y35" i="26"/>
  <c r="Y36" i="26"/>
  <c r="Y37" i="26"/>
  <c r="AA37" i="26" s="1"/>
  <c r="Y38" i="26"/>
  <c r="Y39" i="26"/>
  <c r="Y40" i="26"/>
  <c r="Y41" i="26"/>
  <c r="Y42" i="26"/>
  <c r="Y43" i="26"/>
  <c r="Y44" i="26"/>
  <c r="Y45" i="26"/>
  <c r="Y46" i="26"/>
  <c r="Y47" i="26"/>
  <c r="Y48" i="26"/>
  <c r="Y49" i="26"/>
  <c r="AA49" i="26" s="1"/>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W20" i="23"/>
  <c r="Y20" i="23" s="1"/>
  <c r="W21" i="23"/>
  <c r="W22" i="23"/>
  <c r="Y22" i="23" s="1"/>
  <c r="W23" i="23"/>
  <c r="Y23" i="23" s="1"/>
  <c r="W24" i="23"/>
  <c r="W25" i="23"/>
  <c r="W26" i="23"/>
  <c r="W27" i="23"/>
  <c r="W28" i="23"/>
  <c r="W29" i="23"/>
  <c r="W30" i="23"/>
  <c r="W31" i="23"/>
  <c r="Y31" i="23" s="1"/>
  <c r="W32" i="23"/>
  <c r="Y32" i="23" s="1"/>
  <c r="W33" i="23"/>
  <c r="W34" i="23"/>
  <c r="Y34" i="23" s="1"/>
  <c r="W35" i="23"/>
  <c r="Y35" i="23" s="1"/>
  <c r="W36" i="23"/>
  <c r="W37" i="23"/>
  <c r="W38" i="23"/>
  <c r="W39" i="23"/>
  <c r="W40" i="23"/>
  <c r="W41" i="23"/>
  <c r="W42" i="23"/>
  <c r="W43" i="23"/>
  <c r="Y43" i="23" s="1"/>
  <c r="W44" i="23"/>
  <c r="Y44" i="23" s="1"/>
  <c r="W45" i="23"/>
  <c r="W46" i="23"/>
  <c r="Y46" i="23" s="1"/>
  <c r="W47" i="23"/>
  <c r="Y47" i="23"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O44" i="23" s="1"/>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AB15" i="23"/>
  <c r="AB16" i="23"/>
  <c r="AB17" i="23"/>
  <c r="AB18" i="23"/>
  <c r="AB19" i="23"/>
  <c r="AB20" i="23"/>
  <c r="AB21" i="23"/>
  <c r="AB22" i="23"/>
  <c r="AB23" i="23"/>
  <c r="AB24" i="23"/>
  <c r="AB25" i="23"/>
  <c r="AB26" i="23"/>
  <c r="AD26" i="23" s="1"/>
  <c r="AB27" i="23"/>
  <c r="AB28" i="23"/>
  <c r="AB29" i="23"/>
  <c r="AB30" i="23"/>
  <c r="AB31" i="23"/>
  <c r="AB32" i="23"/>
  <c r="AB33" i="23"/>
  <c r="AD33" i="23" s="1"/>
  <c r="AB34" i="23"/>
  <c r="AB35" i="23"/>
  <c r="AB36" i="23"/>
  <c r="AB37" i="23"/>
  <c r="AB38" i="23"/>
  <c r="AD38" i="23" s="1"/>
  <c r="AB39" i="23"/>
  <c r="AB40" i="23"/>
  <c r="AB41" i="23"/>
  <c r="AB42" i="23"/>
  <c r="AB43" i="23"/>
  <c r="AB44" i="23"/>
  <c r="AB45" i="23"/>
  <c r="AD45" i="23" s="1"/>
  <c r="AB46" i="23"/>
  <c r="AB47" i="23"/>
  <c r="AB48" i="23"/>
  <c r="AB49" i="23"/>
  <c r="AB50" i="23"/>
  <c r="AD50" i="23" s="1"/>
  <c r="X13" i="23"/>
  <c r="W13" i="23"/>
  <c r="Y13" i="23"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1" i="23" l="1"/>
  <c r="O29" i="23"/>
  <c r="O17" i="23"/>
  <c r="O42" i="23"/>
  <c r="O30" i="23"/>
  <c r="O18" i="23"/>
  <c r="L17" i="26"/>
  <c r="Q43" i="26"/>
  <c r="Q31" i="26"/>
  <c r="Q19" i="26"/>
  <c r="Q30" i="26"/>
  <c r="Q42" i="26"/>
  <c r="Q18" i="26"/>
  <c r="Q25" i="26"/>
  <c r="L45" i="26"/>
  <c r="L33" i="26"/>
  <c r="L21" i="26"/>
  <c r="G41" i="26"/>
  <c r="G29" i="26"/>
  <c r="L44" i="26"/>
  <c r="L32" i="26"/>
  <c r="L20" i="26"/>
  <c r="Q40" i="26"/>
  <c r="Q16" i="26"/>
  <c r="Q37" i="26"/>
  <c r="G38" i="26"/>
  <c r="L41" i="26"/>
  <c r="V50" i="26"/>
  <c r="AA44" i="26"/>
  <c r="AA32" i="26"/>
  <c r="AA20" i="26"/>
  <c r="Q28" i="26"/>
  <c r="G50" i="26"/>
  <c r="G26" i="26"/>
  <c r="L29" i="26"/>
  <c r="AA15" i="26"/>
  <c r="Q38" i="26"/>
  <c r="Q49" i="26"/>
  <c r="Q48" i="26"/>
  <c r="Q36" i="26"/>
  <c r="Q24" i="26"/>
  <c r="AA46" i="26"/>
  <c r="AA34" i="26"/>
  <c r="AA22" i="26"/>
  <c r="Q26" i="26"/>
  <c r="Q50" i="26"/>
  <c r="Q14" i="26"/>
  <c r="V32" i="26"/>
  <c r="AA14" i="26"/>
  <c r="Q39" i="26"/>
  <c r="Q47" i="26"/>
  <c r="Q35" i="26"/>
  <c r="Q23" i="26"/>
  <c r="AA45" i="26"/>
  <c r="AA33" i="26"/>
  <c r="AA21" i="26"/>
  <c r="Q27" i="26"/>
  <c r="G48" i="26"/>
  <c r="Q46" i="26"/>
  <c r="Q34" i="26"/>
  <c r="Q22" i="26"/>
  <c r="Q13" i="26"/>
  <c r="Q15" i="26"/>
  <c r="Q45" i="26"/>
  <c r="Q33" i="26"/>
  <c r="Q21" i="26"/>
  <c r="Q41" i="26"/>
  <c r="Q29" i="26"/>
  <c r="Q17" i="26"/>
  <c r="G22" i="26"/>
  <c r="Q44" i="26"/>
  <c r="Q32" i="26"/>
  <c r="Q20" i="26"/>
  <c r="G14" i="26"/>
  <c r="V13" i="26" s="1"/>
  <c r="L43" i="26"/>
  <c r="L31" i="26"/>
  <c r="L19" i="26"/>
  <c r="AA48" i="26"/>
  <c r="AA36" i="26"/>
  <c r="AA24" i="26"/>
  <c r="G17" i="26"/>
  <c r="L42" i="26"/>
  <c r="L30" i="26"/>
  <c r="L18" i="26"/>
  <c r="G47" i="26"/>
  <c r="L48" i="26"/>
  <c r="L36" i="26"/>
  <c r="L24" i="26"/>
  <c r="AA41" i="26"/>
  <c r="AA29" i="26"/>
  <c r="AA17" i="26"/>
  <c r="G46" i="26"/>
  <c r="G34" i="26"/>
  <c r="AA40" i="26"/>
  <c r="AA28" i="26"/>
  <c r="AA16" i="26"/>
  <c r="L46" i="26"/>
  <c r="L34" i="26"/>
  <c r="L22" i="26"/>
  <c r="AA13" i="26"/>
  <c r="AA39" i="26"/>
  <c r="AA27" i="26"/>
  <c r="AD49" i="23"/>
  <c r="AD37" i="23"/>
  <c r="AD25" i="23"/>
  <c r="O40" i="23"/>
  <c r="O28" i="23"/>
  <c r="O16" i="23"/>
  <c r="AD21" i="23"/>
  <c r="J34" i="23"/>
  <c r="O49" i="23"/>
  <c r="O37" i="23"/>
  <c r="O25" i="23"/>
  <c r="Y39" i="23"/>
  <c r="Y27" i="23"/>
  <c r="Y15" i="23"/>
  <c r="T36" i="23"/>
  <c r="AD27" i="23"/>
  <c r="AD15" i="23"/>
  <c r="O43" i="23"/>
  <c r="Y45" i="23"/>
  <c r="Y33" i="23"/>
  <c r="Y21" i="23"/>
  <c r="Y40" i="23"/>
  <c r="Y28" i="23"/>
  <c r="Y16" i="23"/>
  <c r="AD48" i="23"/>
  <c r="AD36" i="23"/>
  <c r="O39" i="23"/>
  <c r="O27" i="23"/>
  <c r="O15" i="23"/>
  <c r="O48" i="23"/>
  <c r="O36" i="23"/>
  <c r="O24" i="23"/>
  <c r="Y50" i="23"/>
  <c r="Y38" i="23"/>
  <c r="Y26" i="23"/>
  <c r="Y14" i="23"/>
  <c r="T35" i="23"/>
  <c r="O46" i="23"/>
  <c r="O34" i="23"/>
  <c r="O22" i="23"/>
  <c r="T50" i="23"/>
  <c r="T38" i="23"/>
  <c r="T26" i="23"/>
  <c r="T14" i="23"/>
  <c r="AD42" i="23"/>
  <c r="AD30" i="23"/>
  <c r="AD18" i="23"/>
  <c r="T47" i="23"/>
  <c r="T49" i="23"/>
  <c r="T37" i="23"/>
  <c r="T25" i="23"/>
  <c r="T13" i="23"/>
  <c r="AD41" i="23"/>
  <c r="AD29" i="23"/>
  <c r="AD17" i="23"/>
  <c r="O45" i="23"/>
  <c r="O33" i="23"/>
  <c r="O21" i="23"/>
  <c r="T48" i="23"/>
  <c r="O19" i="23"/>
  <c r="Y49" i="23"/>
  <c r="Y37" i="23"/>
  <c r="Y25" i="23"/>
  <c r="T45" i="23"/>
  <c r="T33" i="23"/>
  <c r="T21" i="23"/>
  <c r="AD39" i="23"/>
  <c r="AD13" i="23"/>
  <c r="T29" i="23"/>
  <c r="T40" i="23"/>
  <c r="T28" i="23"/>
  <c r="AD44" i="23"/>
  <c r="AD32" i="23"/>
  <c r="AD20" i="23"/>
  <c r="T24" i="23"/>
  <c r="T23" i="23"/>
  <c r="T41" i="23"/>
  <c r="T39" i="23"/>
  <c r="T27" i="23"/>
  <c r="T15" i="23"/>
  <c r="AD43" i="23"/>
  <c r="AD31" i="23"/>
  <c r="AD19" i="23"/>
  <c r="O47" i="23"/>
  <c r="O35" i="23"/>
  <c r="O23" i="23"/>
  <c r="Y41" i="23"/>
  <c r="Y29" i="23"/>
  <c r="Y17" i="23"/>
  <c r="AD40" i="23"/>
  <c r="AD28" i="23"/>
  <c r="AD16" i="23"/>
  <c r="O31" i="23"/>
  <c r="O32" i="23"/>
  <c r="O20" i="23"/>
  <c r="Y42" i="23"/>
  <c r="Y30" i="23"/>
  <c r="Y18" i="23"/>
  <c r="Y24" i="23"/>
  <c r="T46" i="23"/>
  <c r="T22" i="23"/>
  <c r="T17" i="23"/>
  <c r="AD47" i="23"/>
  <c r="AD35" i="23"/>
  <c r="AD23" i="23"/>
  <c r="Y48" i="23"/>
  <c r="Y36" i="23"/>
  <c r="T34" i="23"/>
  <c r="O13" i="23"/>
  <c r="T16" i="23"/>
  <c r="AD46" i="23"/>
  <c r="AD34" i="23"/>
  <c r="AD22" i="23"/>
  <c r="O50" i="23"/>
  <c r="O38" i="23"/>
  <c r="O26" i="23"/>
  <c r="O14" i="23"/>
  <c r="I9" i="24"/>
  <c r="I7" i="24"/>
  <c r="I8" i="24"/>
  <c r="I11" i="24"/>
  <c r="K7" i="24"/>
  <c r="B15" i="24" s="1"/>
  <c r="G35" i="26"/>
  <c r="G23" i="26"/>
  <c r="L47" i="26"/>
  <c r="L35" i="26"/>
  <c r="L23" i="26"/>
  <c r="AA50" i="26"/>
  <c r="AA38" i="26"/>
  <c r="AA26" i="26"/>
  <c r="G44" i="26"/>
  <c r="G32" i="26"/>
  <c r="G20" i="26"/>
  <c r="G43" i="26"/>
  <c r="G31" i="26"/>
  <c r="G19" i="26"/>
  <c r="G42" i="26"/>
  <c r="G30" i="26"/>
  <c r="G18" i="26"/>
  <c r="AA47" i="26"/>
  <c r="AA35" i="26"/>
  <c r="AA23" i="26"/>
  <c r="G49" i="26"/>
  <c r="G37" i="26"/>
  <c r="G25" i="26"/>
  <c r="L50" i="26"/>
  <c r="L38" i="26"/>
  <c r="L26" i="26"/>
  <c r="L14" i="26"/>
  <c r="L40" i="26"/>
  <c r="L28" i="26"/>
  <c r="L16" i="26"/>
  <c r="AA43" i="26"/>
  <c r="AA31" i="26"/>
  <c r="AA19" i="26"/>
  <c r="G13" i="26"/>
  <c r="G15" i="26"/>
  <c r="G36" i="26"/>
  <c r="G24" i="26"/>
  <c r="L49" i="26"/>
  <c r="L37" i="26"/>
  <c r="L25" i="26"/>
  <c r="L13" i="26"/>
  <c r="L39" i="26"/>
  <c r="L27" i="26"/>
  <c r="L15" i="26"/>
  <c r="AA42" i="26"/>
  <c r="AA30" i="26"/>
  <c r="AA18" i="26"/>
  <c r="G45" i="26"/>
  <c r="G33" i="26"/>
  <c r="G21" i="26"/>
  <c r="G40" i="26"/>
  <c r="G28" i="26"/>
  <c r="G16" i="26"/>
  <c r="G39" i="26"/>
  <c r="G27" i="26"/>
  <c r="V38" i="26"/>
  <c r="V26" i="26"/>
  <c r="V14" i="26"/>
  <c r="V22" i="26"/>
  <c r="V35" i="26"/>
  <c r="V34" i="26"/>
  <c r="V23" i="26"/>
  <c r="V49" i="26"/>
  <c r="V47" i="26"/>
  <c r="V46" i="26"/>
  <c r="V48" i="26"/>
  <c r="V28" i="26"/>
  <c r="V40" i="26"/>
  <c r="V31" i="26"/>
  <c r="V20" i="26"/>
  <c r="V43" i="26"/>
  <c r="V42" i="26"/>
  <c r="V41" i="26"/>
  <c r="V29" i="26"/>
  <c r="V44" i="26"/>
  <c r="V30" i="26"/>
  <c r="V45" i="26"/>
  <c r="V33" i="26"/>
  <c r="V21" i="26"/>
  <c r="V19" i="26"/>
  <c r="V17" i="26"/>
  <c r="V39" i="26"/>
  <c r="V27" i="26"/>
  <c r="V37" i="26"/>
  <c r="V25" i="26"/>
  <c r="V36" i="26"/>
  <c r="V24" i="26"/>
  <c r="V18" i="26"/>
  <c r="V16" i="26"/>
  <c r="V15" i="26"/>
  <c r="J22" i="23"/>
  <c r="J27" i="23"/>
  <c r="J15" i="23"/>
  <c r="J50" i="23"/>
  <c r="J38" i="23"/>
  <c r="J26" i="23"/>
  <c r="J14" i="23"/>
  <c r="T44" i="23"/>
  <c r="T32" i="23"/>
  <c r="T20" i="23"/>
  <c r="T43" i="23"/>
  <c r="T31" i="23"/>
  <c r="T19" i="23"/>
  <c r="T42" i="23"/>
  <c r="T30" i="23"/>
  <c r="T18" i="23"/>
  <c r="J28" i="23"/>
  <c r="J29" i="23"/>
  <c r="J35" i="23"/>
  <c r="J23" i="23"/>
  <c r="J41" i="23"/>
  <c r="J17" i="23"/>
  <c r="J33" i="23"/>
  <c r="J44" i="23"/>
  <c r="J32" i="23"/>
  <c r="J45" i="23"/>
  <c r="J40" i="23"/>
  <c r="J16" i="23"/>
  <c r="J13" i="23"/>
  <c r="J39" i="23"/>
  <c r="J21" i="23"/>
  <c r="J20" i="23"/>
  <c r="J48" i="23"/>
  <c r="J47" i="23"/>
  <c r="J46" i="23"/>
  <c r="J49" i="23"/>
  <c r="J37" i="23"/>
  <c r="J25" i="23"/>
  <c r="J36" i="23"/>
  <c r="J24" i="23"/>
  <c r="J43" i="23"/>
  <c r="J19" i="23"/>
  <c r="J18" i="23"/>
  <c r="J31" i="23"/>
  <c r="J42" i="23"/>
  <c r="J30" i="23"/>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V37" i="17" l="1"/>
  <c r="BE7" i="17"/>
  <c r="BF7" i="17" s="1"/>
  <c r="BG7" i="17" s="1"/>
  <c r="BE8" i="17"/>
  <c r="BF8" i="17" s="1"/>
  <c r="BG8" i="17" s="1"/>
  <c r="BE6" i="17"/>
  <c r="BF6" i="17" s="1"/>
  <c r="BG6" i="17" s="1"/>
  <c r="AG23" i="17"/>
  <c r="AG26" i="17"/>
  <c r="AG25" i="17"/>
  <c r="AG24" i="17"/>
  <c r="AH27" i="17"/>
  <c r="AH18" i="17"/>
  <c r="AG15" i="17"/>
  <c r="AG19" i="17"/>
  <c r="AG17" i="17"/>
  <c r="AG16" i="17"/>
  <c r="Q20" i="17"/>
  <c r="P19" i="17"/>
  <c r="G20" i="31" l="1"/>
  <c r="G15" i="31"/>
  <c r="G25" i="31"/>
  <c r="D25" i="16"/>
  <c r="E15" i="31"/>
  <c r="E25" i="31"/>
  <c r="G10" i="31"/>
  <c r="E10" i="31"/>
  <c r="D19" i="16"/>
  <c r="E20" i="31"/>
  <c r="R7" i="17"/>
  <c r="S7" i="17"/>
  <c r="T7" i="17"/>
  <c r="R8" i="17"/>
  <c r="S8" i="17"/>
  <c r="T8" i="17"/>
  <c r="M9" i="17"/>
  <c r="N7" i="17" s="1"/>
  <c r="N10" i="31" l="1"/>
  <c r="R10" i="31"/>
  <c r="R9" i="17"/>
  <c r="R25" i="31"/>
  <c r="N25" i="31"/>
  <c r="N20" i="31"/>
  <c r="R20" i="31"/>
  <c r="N15" i="31"/>
  <c r="R15" i="31"/>
  <c r="N8" i="17"/>
  <c r="D12" i="16" l="1"/>
  <c r="G7" i="31"/>
  <c r="E7" i="31"/>
  <c r="N9" i="17"/>
  <c r="S9" i="17"/>
  <c r="Q9" i="17"/>
  <c r="P9" i="17"/>
  <c r="T9" i="17"/>
  <c r="O9" i="17"/>
  <c r="G14" i="31" l="1"/>
  <c r="G32" i="31"/>
  <c r="E29" i="31"/>
  <c r="G29" i="31"/>
  <c r="E32" i="31"/>
  <c r="R4" i="31"/>
  <c r="R7" i="31"/>
  <c r="N7" i="31"/>
  <c r="R29" i="31" l="1"/>
  <c r="N29" i="31"/>
  <c r="R32" i="31"/>
  <c r="N32" i="31"/>
  <c r="G27" i="31"/>
  <c r="D24" i="16"/>
  <c r="E27" i="31"/>
  <c r="E17" i="31"/>
  <c r="G17" i="31"/>
  <c r="G24" i="31"/>
  <c r="E14" i="31"/>
  <c r="E24" i="31"/>
  <c r="G12" i="31"/>
  <c r="G22" i="31"/>
  <c r="D18" i="16"/>
  <c r="E22" i="31"/>
  <c r="E12" i="31"/>
  <c r="E9" i="31"/>
  <c r="E19" i="31"/>
  <c r="G9" i="31"/>
  <c r="R17" i="31" l="1"/>
  <c r="N17" i="31"/>
  <c r="R14" i="31"/>
  <c r="N14" i="31"/>
  <c r="N24" i="31"/>
  <c r="R24" i="31"/>
  <c r="R22" i="31"/>
  <c r="N22" i="31"/>
  <c r="R9" i="31"/>
  <c r="N9" i="31"/>
  <c r="N27" i="31"/>
  <c r="R27" i="31"/>
  <c r="R12" i="31"/>
  <c r="N12" i="31"/>
  <c r="R19" i="31"/>
  <c r="N19" i="31"/>
  <c r="X4" i="31" l="1"/>
  <c r="O4" i="36" s="1"/>
  <c r="T4" i="31"/>
  <c r="Z4" i="31"/>
  <c r="Q4" i="36" s="1"/>
  <c r="I4" i="36" l="1"/>
  <c r="K36" i="31"/>
  <c r="N36" i="31" s="1"/>
  <c r="K34" i="31"/>
  <c r="N34" i="31" s="1"/>
  <c r="AD4" i="31"/>
  <c r="S4" i="36" s="1"/>
  <c r="V4" i="31" l="1"/>
  <c r="AB4" i="31" l="1"/>
  <c r="M4" i="36" s="1"/>
  <c r="K4" i="36"/>
  <c r="AF4" i="31" l="1"/>
  <c r="U4" i="36" l="1"/>
  <c r="A1" i="1" l="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<sst xmlns="http://schemas.openxmlformats.org/spreadsheetml/2006/main" count="2228" uniqueCount="1235">
  <si>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</si>
  <si>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</si>
  <si>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</si>
  <si>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</si>
  <si>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</si>
  <si>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</si>
  <si>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</si>
  <si>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</si>
  <si>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</si>
  <si>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</si>
  <si>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</si>
  <si>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</si>
  <si>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</si>
  <si>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</si>
  <si>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</si>
  <si>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</si>
  <si>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</si>
  <si>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</si>
  <si>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</si>
  <si>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</si>
  <si>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</si>
  <si>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</si>
  <si>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</si>
  <si>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</si>
  <si>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</si>
  <si>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</si>
  <si>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</si>
  <si>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</si>
  <si>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</si>
  <si>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</si>
  <si>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</si>
  <si>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</si>
  <si>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</si>
  <si>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</si>
  <si>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</si>
  <si>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</si>
  <si>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</si>
  <si>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</si>
  <si>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</si>
  <si>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</si>
  <si>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</si>
  <si>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</si>
  <si>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</si>
  <si>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</si>
  <si>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</si>
  <si>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</si>
  <si>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</si>
  <si>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</si>
  <si>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</si>
  <si>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</si>
  <si>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</si>
  <si>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</si>
  <si>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</si>
  <si>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</si>
  <si>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</si>
  <si>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</si>
  <si>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</si>
  <si>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</si>
  <si>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</si>
  <si>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</si>
  <si>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</si>
  <si>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</si>
  <si>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</si>
  <si>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</si>
  <si>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</si>
  <si>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</si>
  <si>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</si>
  <si>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</si>
  <si>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</si>
  <si>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</si>
  <si>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</si>
  <si>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</si>
  <si>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</si>
  <si>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</si>
  <si>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</si>
  <si>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</si>
  <si>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</si>
  <si>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</si>
  <si>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</si>
  <si>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</si>
  <si>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</si>
  <si>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</si>
  <si>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</si>
  <si>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</si>
  <si>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</si>
  <si>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</si>
  <si>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</si>
  <si>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</si>
  <si>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</si>
  <si>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</si>
  <si>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</si>
  <si>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</si>
  <si>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</si>
  <si>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</si>
  <si>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</si>
  <si>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</si>
  <si>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</si>
  <si>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</si>
  <si>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</si>
  <si>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</si>
  <si>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</si>
  <si>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</si>
  <si>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</si>
  <si>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</si>
  <si>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</si>
  <si>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</si>
  <si>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</si>
  <si>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</si>
  <si>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</si>
  <si>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</si>
  <si>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</si>
  <si>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</si>
  <si>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</si>
  <si>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</si>
  <si>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</si>
  <si>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</si>
  <si>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</si>
  <si>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</si>
  <si>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</si>
  <si>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</si>
  <si>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</si>
  <si>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</si>
  <si>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</si>
  <si>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</si>
  <si>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</si>
  <si>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</si>
  <si>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</si>
  <si>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</si>
  <si>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</si>
  <si>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</si>
  <si>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</si>
  <si>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</si>
  <si>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</si>
  <si>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</si>
  <si>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</si>
  <si>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</si>
  <si>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</si>
  <si>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</si>
  <si>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</si>
  <si>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</si>
  <si>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</si>
  <si>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</si>
  <si>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</si>
  <si>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</si>
  <si>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</si>
  <si>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</si>
  <si>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</si>
  <si>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</si>
  <si>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</si>
  <si>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</si>
  <si>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</si>
  <si>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</si>
  <si>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</si>
  <si>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</si>
  <si>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</si>
  <si>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</si>
  <si>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</si>
  <si>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</si>
  <si>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</si>
  <si>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</si>
  <si>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</si>
  <si>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</si>
  <si>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</si>
  <si>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</si>
  <si>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</si>
  <si>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</si>
  <si>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</si>
  <si>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</si>
  <si>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</si>
  <si>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</si>
  <si>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</si>
  <si>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</si>
  <si>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</si>
  <si>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</si>
  <si>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</si>
  <si>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</si>
  <si>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</si>
  <si>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</si>
  <si>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</si>
  <si>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</si>
  <si>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</si>
  <si>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</si>
  <si>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</si>
  <si>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</si>
  <si>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</si>
  <si>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</si>
  <si>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</si>
  <si>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</si>
  <si>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</si>
  <si>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</si>
  <si>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</si>
  <si>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</si>
  <si>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</si>
  <si>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</si>
  <si>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</si>
  <si>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</si>
  <si>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</si>
  <si>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</si>
  <si>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</si>
  <si>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</si>
  <si>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</si>
  <si>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</si>
  <si>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</si>
  <si>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</si>
  <si>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</si>
  <si>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</si>
  <si>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</si>
  <si>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</si>
  <si>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</si>
  <si>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</si>
  <si>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</si>
  <si>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</si>
  <si>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</si>
  <si>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</si>
  <si>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</si>
  <si>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</si>
  <si>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</si>
  <si>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</si>
  <si>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</si>
  <si>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</si>
  <si>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</si>
  <si>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</si>
  <si>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</si>
  <si>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</si>
  <si>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</si>
  <si>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</si>
  <si>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</si>
  <si>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</si>
  <si>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</si>
  <si>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</si>
  <si>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</si>
  <si>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</si>
  <si>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</si>
  <si>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</si>
  <si>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</si>
  <si>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</si>
  <si>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</si>
  <si>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</si>
  <si>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</si>
  <si>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</si>
  <si>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</si>
  <si>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</si>
  <si>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</si>
  <si>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</si>
  <si>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</si>
  <si>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</si>
  <si>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</si>
  <si>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</si>
  <si>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</si>
  <si>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</si>
  <si>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</si>
  <si>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</si>
  <si>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</si>
  <si>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</si>
  <si>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</si>
  <si>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</si>
  <si>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</si>
  <si>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</si>
  <si>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</si>
  <si>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</si>
  <si>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</si>
  <si>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</si>
  <si>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</si>
  <si>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</si>
  <si>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</si>
  <si>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</si>
  <si>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</si>
  <si>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</si>
  <si>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</si>
  <si>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</si>
  <si>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</si>
  <si>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</si>
  <si>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</si>
  <si>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</si>
  <si>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</si>
  <si>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</si>
  <si>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</si>
  <si>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</si>
  <si>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</si>
  <si>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</si>
  <si>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</si>
  <si>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</si>
  <si>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</si>
  <si>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</si>
  <si>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</si>
  <si>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</si>
  <si>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</si>
  <si>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</si>
  <si>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</si>
  <si>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</si>
  <si>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</si>
  <si>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</si>
  <si>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</si>
  <si>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</si>
  <si>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</si>
  <si>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</si>
  <si>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</si>
  <si>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</si>
  <si>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</si>
  <si>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</si>
  <si>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</si>
  <si>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</si>
  <si>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</si>
  <si>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</si>
  <si>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</si>
  <si>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</si>
  <si>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</si>
  <si>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</si>
  <si>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</si>
  <si>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</si>
  <si>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</si>
  <si>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</si>
  <si>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</si>
  <si>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</si>
  <si>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</si>
  <si>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</si>
  <si>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</si>
  <si>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</si>
  <si>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</si>
  <si>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</si>
  <si>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</si>
  <si>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</si>
  <si>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</si>
  <si>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</si>
  <si>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</si>
  <si>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</si>
  <si>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</si>
  <si>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</si>
  <si>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</si>
  <si>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</si>
  <si>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</si>
  <si>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</si>
  <si>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</si>
  <si>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</si>
  <si>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</si>
  <si>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</si>
  <si>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</si>
  <si>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</si>
  <si>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</si>
  <si>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</si>
  <si>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</si>
  <si>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</si>
  <si>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</si>
  <si>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</si>
  <si>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</si>
  <si>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</si>
  <si>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</si>
  <si>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</si>
  <si>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</si>
  <si>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</si>
  <si>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</si>
  <si>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</si>
  <si>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</si>
  <si>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</si>
  <si>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</si>
  <si>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</si>
  <si>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</si>
  <si>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</si>
  <si>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</si>
  <si>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</si>
  <si>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</si>
  <si>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</si>
  <si>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</si>
  <si>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</si>
  <si>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</si>
  <si>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</si>
  <si>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</si>
  <si>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</si>
  <si>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</si>
  <si>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</si>
  <si>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</si>
  <si>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</si>
  <si>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</si>
  <si>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</si>
  <si>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</si>
  <si>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</si>
  <si>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</si>
  <si>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</si>
  <si>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</si>
  <si>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</si>
  <si>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</si>
  <si>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</si>
  <si>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</si>
  <si>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</si>
  <si>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</si>
  <si>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</si>
  <si>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</si>
  <si>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</si>
  <si>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</si>
  <si>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</si>
  <si>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</si>
  <si>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</si>
  <si>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</si>
  <si>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</si>
  <si>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</si>
  <si>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</si>
  <si>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</si>
  <si>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</si>
  <si>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</si>
  <si>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</si>
  <si>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</si>
  <si>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</si>
  <si>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</si>
  <si>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</si>
  <si>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</si>
  <si>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</si>
  <si>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</si>
  <si>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</si>
  <si>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</si>
  <si>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</si>
  <si>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</si>
  <si>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</si>
  <si>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</si>
  <si>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</si>
  <si>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</si>
  <si>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</si>
  <si>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</si>
  <si>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</si>
  <si>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</si>
  <si>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</si>
  <si>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</si>
  <si>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</si>
  <si>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</si>
  <si>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</si>
  <si>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</si>
  <si>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</si>
  <si>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</si>
  <si>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</si>
  <si>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</si>
  <si>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</si>
  <si>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</si>
  <si>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</si>
  <si>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</si>
  <si>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</si>
  <si>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</si>
  <si>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</si>
  <si>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</si>
  <si>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</si>
  <si>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</si>
  <si>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</si>
  <si>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</si>
  <si>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</si>
  <si>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</si>
  <si>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</si>
  <si>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</si>
  <si>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</si>
  <si>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</si>
  <si>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</si>
  <si>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</si>
  <si>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</si>
  <si>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</si>
  <si>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</si>
  <si>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</si>
  <si>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</si>
  <si>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</si>
  <si>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</si>
  <si>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</si>
  <si>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</si>
  <si>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</si>
  <si>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</si>
  <si>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</si>
  <si>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</si>
  <si>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</si>
  <si>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</si>
  <si>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</si>
  <si>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</si>
  <si>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</si>
  <si>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</si>
  <si>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Biswas et al</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</si>
  <si>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</si>
  <si>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</si>
  <si>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</si>
  <si>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</si>
  <si>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</si>
  <si>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</si>
  <si>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</si>
  <si>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</si>
  <si>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</si>
  <si>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</si>
  <si>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</si>
  <si>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</si>
  <si>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</si>
  <si>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</si>
  <si>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</si>
  <si>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</si>
  <si>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</si>
  <si>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</si>
  <si>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</si>
  <si>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</si>
  <si>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</si>
  <si>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</si>
  <si>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</si>
  <si>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</si>
  <si>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</si>
  <si>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</si>
  <si>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</si>
  <si>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</si>
  <si>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</si>
  <si>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</si>
  <si>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</si>
  <si>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</si>
  <si>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</si>
  <si>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</si>
  <si>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</si>
  <si>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</si>
  <si>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</si>
  <si>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</si>
  <si>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</si>
  <si>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</si>
  <si>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</si>
  <si>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</si>
  <si>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</si>
  <si>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</si>
  <si>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</si>
  <si>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</si>
  <si>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</si>
  <si>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</si>
  <si>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</si>
  <si>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</si>
  <si>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</si>
  <si>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</si>
  <si>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</si>
  <si>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</si>
  <si>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</si>
  <si>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</si>
  <si>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</si>
  <si>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</si>
  <si>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</si>
  <si>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</si>
  <si>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</si>
  <si>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</si>
  <si>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</si>
  <si>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</si>
  <si>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</si>
  <si>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</si>
  <si>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</si>
  <si>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</si>
  <si>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</si>
  <si>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</si>
  <si>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</si>
  <si>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</si>
  <si>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</si>
  <si>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</si>
  <si>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</si>
  <si>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</si>
  <si>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</si>
  <si>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</si>
  <si>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</si>
  <si>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</si>
  <si>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</si>
  <si>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</si>
  <si>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</si>
  <si>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</si>
  <si>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</si>
  <si>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</si>
  <si>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</si>
  <si>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</si>
  <si>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</si>
  <si>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</si>
  <si>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</si>
  <si>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</si>
  <si>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</si>
  <si>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</si>
  <si>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</si>
  <si>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</si>
  <si>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</si>
  <si>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</si>
  <si>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</si>
  <si>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</si>
  <si>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</si>
  <si>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</si>
  <si>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</si>
  <si>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</si>
  <si>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</si>
  <si>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</si>
  <si>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</si>
  <si>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</si>
  <si>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</si>
  <si>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</si>
  <si>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</si>
  <si>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</si>
  <si>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</si>
  <si>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</si>
  <si>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</si>
  <si>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</si>
  <si>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</si>
  <si>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</si>
  <si>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</si>
  <si>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</si>
  <si>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</si>
  <si>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</si>
  <si>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</si>
  <si>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</si>
  <si>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</si>
  <si>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</si>
  <si>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</si>
  <si>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</si>
  <si>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</si>
  <si>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</si>
  <si>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</si>
  <si>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</si>
  <si>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</si>
  <si>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</si>
  <si>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</si>
  <si>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</si>
  <si>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</si>
  <si>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</si>
  <si>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</si>
  <si>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</si>
  <si>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</si>
  <si>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</si>
  <si>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</si>
  <si>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</si>
  <si>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</si>
  <si>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</si>
  <si>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</si>
  <si>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</si>
  <si>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</si>
  <si>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</si>
  <si>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</si>
  <si>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</si>
  <si>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</si>
  <si>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</si>
  <si>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</si>
  <si>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</si>
  <si>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</si>
  <si>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</si>
  <si>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</si>
  <si>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</si>
  <si>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</si>
  <si>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</si>
  <si>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</si>
  <si>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</si>
  <si>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</si>
  <si>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</si>
  <si>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</si>
  <si>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</si>
  <si>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</si>
  <si>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</si>
  <si>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</si>
  <si>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</si>
  <si>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</si>
  <si>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</si>
  <si>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</si>
  <si>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</si>
  <si>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</si>
  <si>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</si>
  <si>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</si>
  <si>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</si>
  <si>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</si>
  <si>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</si>
  <si>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</si>
  <si>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</si>
  <si>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</si>
  <si>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</si>
  <si>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</si>
  <si>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</si>
  <si>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</si>
  <si>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10.2217/pgs-2021-0098</t>
  </si>
  <si>
    <t xml:space="preserve">Biswal et al </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</si>
  <si>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</si>
  <si>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</si>
  <si>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</si>
  <si>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</si>
  <si>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</si>
  <si>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</si>
  <si>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</si>
  <si>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</si>
  <si>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</si>
  <si>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</si>
  <si>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</si>
  <si>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</si>
  <si>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</si>
  <si>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</si>
  <si>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</si>
  <si>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</si>
  <si>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</si>
  <si>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</si>
  <si>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</si>
  <si>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</si>
  <si>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</si>
  <si>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</si>
  <si>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</si>
  <si>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</si>
  <si>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</si>
  <si>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</si>
  <si>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</si>
  <si>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</si>
  <si>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</si>
  <si>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</si>
  <si>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</si>
  <si>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</si>
  <si>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</si>
  <si>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</si>
  <si>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</si>
  <si>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</si>
  <si>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</si>
  <si>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</si>
  <si>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</si>
  <si>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</si>
  <si>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</si>
  <si>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10.2217/pgs-2021-0099</t>
  </si>
  <si>
    <t>10.2217/pgs-2021-0100</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</si>
  <si>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</si>
  <si>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</si>
  <si>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</si>
  <si>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</si>
  <si>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</si>
  <si>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</si>
  <si>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</si>
  <si>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</si>
  <si>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</si>
  <si>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</si>
  <si>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</si>
  <si>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</si>
  <si>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</si>
  <si>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</si>
  <si>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</si>
  <si>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</si>
  <si>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</si>
  <si>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</si>
  <si>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</si>
  <si>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</si>
  <si>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</si>
  <si>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</si>
  <si>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</si>
  <si>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</si>
  <si>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20000-30000</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</si>
  <si>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</si>
  <si>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</si>
  <si>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</si>
  <si>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</si>
  <si>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</si>
  <si>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 xml:space="preserve">cohort age assumed 63 for male and 70 female. </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</si>
  <si>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</si>
  <si>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</si>
  <si>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</si>
  <si>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</si>
  <si>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</si>
  <si>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</si>
  <si>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</si>
  <si>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</si>
  <si>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</si>
  <si>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</si>
  <si>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</si>
  <si>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</si>
  <si>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</si>
  <si>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</si>
  <si>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</si>
  <si>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</si>
  <si>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</si>
  <si>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</si>
  <si>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</si>
  <si>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</si>
  <si>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</si>
  <si>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</si>
  <si>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</si>
  <si>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</si>
  <si>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</si>
  <si>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</si>
  <si>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</si>
  <si>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</si>
  <si>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</si>
  <si>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</si>
  <si>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</si>
  <si>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</si>
  <si>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</si>
  <si>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</si>
  <si>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</si>
  <si>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</si>
  <si>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</si>
  <si>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</si>
  <si>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</si>
  <si>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</si>
  <si>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</si>
  <si>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</si>
  <si>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</si>
  <si>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</si>
  <si>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</si>
  <si>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</si>
  <si>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</si>
  <si>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</si>
  <si>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</si>
  <si>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</si>
  <si>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</si>
  <si>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</si>
  <si>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</si>
  <si>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</si>
  <si>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</si>
  <si>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</si>
  <si>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</si>
  <si>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</si>
  <si>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</si>
  <si>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</si>
  <si>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</si>
  <si>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</si>
  <si>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</si>
  <si>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</si>
  <si>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</si>
  <si>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</si>
  <si>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</si>
  <si>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</si>
  <si>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</si>
  <si>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</si>
  <si>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</si>
  <si>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</si>
  <si>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</si>
  <si>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</si>
  <si>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</si>
  <si>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</si>
  <si>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</si>
  <si>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</si>
  <si>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</si>
  <si>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</si>
  <si>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</si>
  <si>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</si>
  <si>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</si>
  <si>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</si>
  <si>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</si>
  <si>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</si>
  <si>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</si>
  <si>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</si>
  <si>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</si>
  <si>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</si>
  <si>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</si>
  <si>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</si>
  <si>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</si>
  <si>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</si>
  <si>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</si>
  <si>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</si>
  <si>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</si>
  <si>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hazard_ratio_all-cause mortality_ AC_no-LOF</t>
  </si>
  <si>
    <t>hazard_ratio_MI_ AC_no-LOF</t>
  </si>
  <si>
    <t>hazard_ratio_stroke_ AC_no-LOF</t>
  </si>
  <si>
    <t>hazard_ratio_major_bleeding_ AC_no-LOF</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</si>
  <si>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</si>
  <si>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</si>
  <si>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</si>
  <si>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</si>
  <si>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</si>
  <si>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</si>
  <si>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</si>
  <si>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</si>
  <si>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</si>
  <si>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</si>
  <si>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</si>
  <si>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</si>
  <si>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</si>
  <si>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</si>
  <si>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</si>
  <si>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</si>
  <si>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</si>
  <si>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</si>
  <si>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</si>
  <si>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</si>
  <si>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</si>
  <si>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</si>
  <si>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</si>
  <si>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</si>
  <si>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</si>
  <si>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</si>
  <si>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</si>
  <si>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</si>
  <si>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</si>
  <si>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</si>
  <si>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</si>
  <si>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</si>
  <si>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</si>
  <si>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</si>
  <si>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</si>
  <si>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</si>
  <si>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</si>
  <si>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</si>
  <si>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</si>
  <si>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</si>
  <si>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</si>
  <si>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</si>
  <si>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</si>
  <si>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</si>
  <si>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</si>
  <si>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</si>
  <si>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</si>
  <si>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</si>
  <si>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</si>
  <si>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</si>
  <si>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</si>
  <si>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</si>
  <si>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</si>
  <si>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</si>
  <si>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</si>
  <si>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</si>
  <si>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</si>
  <si>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</si>
  <si>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</si>
  <si>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</si>
  <si>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</si>
  <si>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</si>
  <si>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</si>
  <si>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</si>
  <si>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</si>
  <si>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</si>
  <si>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</si>
  <si>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</si>
  <si>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</si>
  <si>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</si>
  <si>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</si>
  <si>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</si>
  <si>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</si>
  <si>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</si>
  <si>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</si>
  <si>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</si>
  <si>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</si>
  <si>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</si>
  <si>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</si>
  <si>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</si>
  <si>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</si>
  <si>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OR_death_pras_vs_clop</t>
  </si>
  <si>
    <t>OR_MI_pras_vs_clop</t>
  </si>
  <si>
    <t>OR_stroke_pras_vs_clop</t>
  </si>
  <si>
    <t>OR_maj_bleed_pras_vs_clop</t>
  </si>
  <si>
    <t>OR_min_bleed_pras_vs_clop</t>
  </si>
  <si>
    <t>HR_death_AC_no_LOF</t>
  </si>
  <si>
    <t>HR_MI_AC_no_LOF</t>
  </si>
  <si>
    <t>HR_stroke_AC_no_LOF</t>
  </si>
  <si>
    <t xml:space="preserve">variable name </t>
  </si>
  <si>
    <t>prob_test_order</t>
  </si>
  <si>
    <t>prob_test_followed</t>
  </si>
  <si>
    <t>prevalence_LOF_base_case</t>
  </si>
  <si>
    <t>prevalence_LOF_sensitivity</t>
  </si>
  <si>
    <t>rate</t>
  </si>
  <si>
    <t xml:space="preserve">rate </t>
  </si>
  <si>
    <t>duration_maj_bleed</t>
  </si>
  <si>
    <t>duration_min_bleed</t>
  </si>
  <si>
    <t>PoCT_cost</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</si>
  <si>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</si>
  <si>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</si>
  <si>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</si>
  <si>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</si>
  <si>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</si>
  <si>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</si>
  <si>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</si>
  <si>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</si>
  <si>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</si>
  <si>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</si>
  <si>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</si>
  <si>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</si>
  <si>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</si>
  <si>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</si>
  <si>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</si>
  <si>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</si>
  <si>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</si>
  <si>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</si>
  <si>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</si>
  <si>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</si>
  <si>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</si>
  <si>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</si>
  <si>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</si>
  <si>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</si>
  <si>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</si>
  <si>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</si>
  <si>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</si>
  <si>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</si>
  <si>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tree states</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</si>
  <si>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</si>
  <si>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</si>
  <si>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</si>
  <si>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</si>
  <si>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</si>
  <si>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</si>
  <si>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</si>
  <si>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</si>
  <si>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</si>
  <si>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</si>
  <si>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</si>
  <si>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</si>
  <si>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</si>
  <si>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</si>
  <si>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</si>
  <si>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</si>
  <si>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</si>
  <si>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</si>
  <si>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</si>
  <si>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</si>
  <si>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</si>
  <si>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</si>
  <si>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</si>
  <si>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</si>
  <si>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</si>
  <si>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</si>
  <si>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</si>
  <si>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</si>
  <si>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</si>
  <si>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</si>
  <si>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</si>
  <si>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</si>
  <si>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</si>
  <si>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</si>
  <si>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</si>
  <si>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</si>
  <si>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</si>
  <si>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</si>
  <si>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</si>
  <si>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</si>
  <si>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</si>
  <si>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</si>
  <si>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</si>
  <si>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</si>
  <si>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</si>
  <si>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</si>
  <si>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</si>
  <si>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</si>
  <si>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</si>
  <si>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</si>
  <si>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</si>
  <si>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</si>
  <si>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</si>
  <si>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</si>
  <si>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</si>
  <si>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</si>
  <si>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</si>
  <si>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</si>
  <si>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</si>
  <si>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</si>
  <si>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</si>
  <si>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</si>
  <si>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</si>
  <si>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</si>
  <si>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</si>
  <si>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</si>
  <si>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</si>
  <si>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</si>
  <si>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</si>
  <si>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</si>
  <si>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</si>
  <si>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</si>
  <si>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</si>
  <si>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</si>
  <si>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</si>
  <si>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</si>
  <si>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</si>
  <si>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</si>
  <si>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</si>
  <si>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</si>
  <si>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</si>
  <si>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</si>
  <si>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</si>
  <si>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</si>
  <si>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</si>
  <si>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</si>
  <si>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</si>
  <si>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</si>
  <si>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</si>
  <si>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</si>
  <si>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</si>
  <si>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</si>
  <si>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</si>
  <si>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</si>
  <si>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</si>
  <si>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</si>
  <si>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</si>
  <si>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</si>
  <si>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</si>
  <si>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</si>
  <si>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</si>
  <si>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</si>
  <si>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</si>
  <si>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</si>
  <si>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</si>
  <si>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</si>
  <si>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</si>
  <si>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</si>
  <si>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</si>
  <si>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</si>
  <si>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</si>
  <si>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OR_dyspnoea_AT</t>
  </si>
  <si>
    <t>cost_dyspnoea_pp</t>
  </si>
  <si>
    <t>cost_dysponea_AC</t>
  </si>
  <si>
    <t>cost_dyspnoea_AT</t>
  </si>
  <si>
    <t>cost_dyspnoea_AP</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</si>
  <si>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</si>
  <si>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</si>
  <si>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</si>
  <si>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</si>
  <si>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</si>
  <si>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</si>
  <si>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</si>
  <si>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</si>
  <si>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</si>
  <si>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</si>
  <si>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</si>
  <si>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</si>
  <si>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</si>
  <si>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</si>
  <si>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</si>
  <si>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https://doi.org/10.1093/qjmed/hcaf035</t>
  </si>
  <si>
    <t>A 12-gene pharmacogenetic panel to prevent adverse drug reactions: an open-label, multicentre, controlled, cluster-randomised crossover implementation study - ScienceDirect</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</si>
  <si>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</si>
  <si>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</si>
  <si>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</si>
  <si>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</si>
  <si>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</si>
  <si>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</si>
  <si>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</si>
  <si>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</si>
  <si>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</si>
  <si>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</si>
  <si>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</si>
  <si>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</si>
  <si>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</si>
  <si>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</si>
  <si>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</si>
  <si>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</si>
  <si>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NG 186</t>
  </si>
  <si>
    <t>NG 187</t>
  </si>
  <si>
    <t>NG 188</t>
  </si>
  <si>
    <t>NG 189</t>
  </si>
  <si>
    <t>NG 190</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</si>
  <si>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</si>
  <si>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</si>
  <si>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</si>
  <si>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</si>
  <si>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</si>
  <si>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</si>
  <si>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</si>
  <si>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</si>
  <si>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</si>
  <si>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</si>
  <si>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</si>
  <si>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</si>
  <si>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</si>
  <si>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</si>
  <si>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</si>
  <si>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</si>
  <si>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</si>
  <si>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</si>
  <si>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</si>
  <si>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</si>
  <si>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</si>
  <si>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</si>
  <si>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</si>
  <si>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NG 191</t>
  </si>
  <si>
    <t>NG 192</t>
  </si>
  <si>
    <t xml:space="preserve">cost of minor bleeding scenario analysis </t>
  </si>
  <si>
    <t xml:space="preserve">cost of major bleeding with 10% proportion of castronintestinal bleeding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</si>
  <si>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</si>
  <si>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</si>
  <si>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</si>
  <si>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</si>
  <si>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</si>
  <si>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</si>
  <si>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</si>
  <si>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</si>
  <si>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</si>
  <si>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</si>
  <si>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</si>
  <si>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</si>
  <si>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</si>
  <si>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</si>
  <si>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</si>
  <si>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</si>
  <si>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</si>
  <si>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</si>
  <si>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</si>
  <si>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</si>
  <si>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</si>
  <si>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</si>
  <si>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</si>
  <si>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</si>
  <si>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</si>
  <si>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</si>
  <si>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</si>
  <si>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</si>
  <si>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</si>
  <si>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</si>
  <si>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prob_stroke_AC_sa2</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</si>
  <si>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</si>
  <si>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</si>
  <si>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</si>
  <si>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</si>
  <si>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</si>
  <si>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</si>
  <si>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</si>
  <si>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</si>
  <si>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</si>
  <si>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</si>
  <si>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</si>
  <si>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</si>
  <si>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NG 193</t>
  </si>
  <si>
    <t>NG 194</t>
  </si>
  <si>
    <t>NG 195</t>
  </si>
  <si>
    <t>NG 196</t>
  </si>
  <si>
    <t>utility</t>
  </si>
  <si>
    <t>base</t>
  </si>
  <si>
    <t xml:space="preserve">cost standard </t>
  </si>
  <si>
    <t xml:space="preserve">cost pgx-guided </t>
  </si>
  <si>
    <t>QALY standard</t>
  </si>
  <si>
    <t>QALY pgx guided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</si>
  <si>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</si>
  <si>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</si>
  <si>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</si>
  <si>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</si>
  <si>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</si>
  <si>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</si>
  <si>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</si>
  <si>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</si>
  <si>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</si>
  <si>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</si>
  <si>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</si>
  <si>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</si>
  <si>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</si>
  <si>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</si>
  <si>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</si>
  <si>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</si>
  <si>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</si>
  <si>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start_age_female</t>
  </si>
  <si>
    <t>start_age_male</t>
  </si>
  <si>
    <t>proportion_male</t>
  </si>
  <si>
    <t>utility_dec_min_bleed</t>
  </si>
  <si>
    <t>utility_dec_maj_bleed</t>
  </si>
  <si>
    <t>md_mi_stroke_sc</t>
  </si>
  <si>
    <t>md_mi_stroke_pc</t>
  </si>
  <si>
    <t>md_no_event</t>
  </si>
  <si>
    <t>cost_discount_rate</t>
  </si>
  <si>
    <t>qaly_discount_rate</t>
  </si>
  <si>
    <t>utility_dec_dyspnoea</t>
  </si>
  <si>
    <t>prob_death_AC_no_LOF</t>
  </si>
  <si>
    <t>prob_MI_AC_no_LOF</t>
  </si>
  <si>
    <t>prob_stroke_AC_no_LOF</t>
  </si>
  <si>
    <t>prob_maj_bleed_AC_no_LOF</t>
  </si>
  <si>
    <t>prob_min_bleed_AC_no_LOF</t>
  </si>
  <si>
    <t>prob_dyspnoea_AP</t>
  </si>
  <si>
    <t>hazard_ratio_major_bleeding_AC_no-LOF</t>
  </si>
  <si>
    <t>hazard_ratio_minor_bleeding_AC_no-LOF</t>
  </si>
  <si>
    <t>OR_maj_bleed_tica_vs_clop</t>
  </si>
  <si>
    <t>OR_min_bleed_tica_vs_clop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</si>
</sst>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0.0000000"/>
    <numFmt numFmtId="176" formatCode="&quot;£&quot;#,##0.00"/>
  </numFmts>
  <fonts count="24"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s>
  <fills count="27">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0" tint="-0.149998474074526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474">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7" fontId="0" fillId="0" borderId="0" xfId="0" applyNumberForma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0" fontId="16" fillId="17"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0" fontId="19" fillId="15" borderId="0" xfId="0" applyFont="1" applyFill="1" applyAlignment="1">
      <alignment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0" fontId="0" fillId="3"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 fontId="0" fillId="7" borderId="0" xfId="0" applyNumberFormat="1" applyFill="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32" xfId="0" applyFont="1" applyFill="1" applyBorder="1"/>
    <xf numFmtId="0" fontId="21" fillId="19" borderId="33" xfId="0" applyFont="1" applyFill="1" applyBorder="1" applyAlignment="1">
      <alignment horizontal="center"/>
    </xf>
    <xf numFmtId="0" fontId="21" fillId="19" borderId="34" xfId="0" applyFont="1" applyFill="1" applyBorder="1" applyAlignment="1">
      <alignment horizontal="center"/>
    </xf>
    <xf numFmtId="0" fontId="0" fillId="10" borderId="32" xfId="0" applyFill="1" applyBorder="1"/>
    <xf numFmtId="166" fontId="0" fillId="10" borderId="33" xfId="0" applyNumberFormat="1" applyFill="1" applyBorder="1" applyAlignment="1">
      <alignment horizontal="center"/>
    </xf>
    <xf numFmtId="166" fontId="0" fillId="10" borderId="34" xfId="0" applyNumberFormat="1" applyFill="1" applyBorder="1" applyAlignment="1">
      <alignment horizontal="center"/>
    </xf>
    <xf numFmtId="0" fontId="0" fillId="10" borderId="29" xfId="0" applyFill="1" applyBorder="1"/>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vertical="center" wrapText="1"/>
    </xf>
    <xf numFmtId="0" fontId="19" fillId="18" borderId="0" xfId="0" applyFont="1" applyFill="1" applyAlignment="1">
      <alignment horizontal="center" vertical="center" wrapText="1"/>
    </xf>
    <xf numFmtId="1" fontId="0" fillId="11" borderId="0" xfId="0" applyNumberFormat="1" applyFill="1" applyAlignment="1">
      <alignment horizontal="center"/>
    </xf>
    <xf numFmtId="1" fontId="0" fillId="11" borderId="0" xfId="0" applyNumberFormat="1" applyFill="1" applyAlignment="1">
      <alignment horizontal="center" vertical="center"/>
    </xf>
    <xf numFmtId="0" fontId="0" fillId="7" borderId="0" xfId="0" applyFill="1" applyAlignment="1">
      <alignment wrapText="1"/>
    </xf>
    <xf numFmtId="1" fontId="0" fillId="7" borderId="0" xfId="0" applyNumberFormat="1" applyFill="1" applyAlignment="1">
      <alignment horizontal="center" vertical="center"/>
    </xf>
    <xf numFmtId="0" fontId="0" fillId="7" borderId="0" xfId="0" applyFill="1"/>
    <xf numFmtId="0" fontId="0" fillId="20" borderId="0" xfId="0" applyFill="1"/>
    <xf numFmtId="0" fontId="0" fillId="21" borderId="0" xfId="0" applyFill="1" applyAlignment="1">
      <alignment vertical="center"/>
    </xf>
    <xf numFmtId="0" fontId="0" fillId="21" borderId="0" xfId="0" applyFill="1"/>
    <xf numFmtId="0" fontId="0" fillId="22" borderId="0" xfId="0" applyFill="1"/>
    <xf numFmtId="1" fontId="0" fillId="24"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166" fontId="0" fillId="24" borderId="0" xfId="0" applyNumberFormat="1" applyFill="1" applyAlignment="1">
      <alignment horizontal="center" vertical="center" wrapText="1"/>
    </xf>
    <xf numFmtId="9" fontId="0" fillId="0" borderId="0" xfId="0" applyNumberFormat="1" applyAlignment="1">
      <alignment horizontal="center" vertical="center"/>
    </xf>
    <xf numFmtId="167" fontId="0" fillId="24" borderId="0" xfId="0" applyNumberFormat="1" applyFill="1" applyAlignment="1">
      <alignment horizontal="center" vertical="center" wrapText="1"/>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17" fillId="18" borderId="0" xfId="0" applyFont="1" applyFill="1" applyAlignment="1">
      <alignment horizontal="center" vertical="center" wrapText="1"/>
    </xf>
    <xf numFmtId="1" fontId="0" fillId="11" borderId="0" xfId="0" applyNumberFormat="1" applyFill="1" applyAlignment="1">
      <alignment horizontal="left"/>
    </xf>
    <xf numFmtId="0" fontId="17" fillId="0" borderId="0" xfId="0" applyFont="1" applyAlignment="1">
      <alignment horizontal="center" vertical="center" wrapText="1"/>
    </xf>
    <xf numFmtId="0" fontId="23" fillId="18" borderId="0" xfId="0" applyFont="1" applyFill="1" applyAlignment="1">
      <alignment horizontal="center" vertical="center" wrapText="1"/>
    </xf>
    <xf numFmtId="1" fontId="0" fillId="7" borderId="0" xfId="0" applyNumberFormat="1" applyFill="1" applyAlignment="1">
      <alignment horizontal="left" vertical="center"/>
    </xf>
    <xf numFmtId="1" fontId="0" fillId="7" borderId="0" xfId="0" applyNumberForma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3"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166" fontId="0" fillId="7" borderId="0" xfId="0" applyNumberFormat="1" applyFill="1" applyAlignment="1">
      <alignment horizontal="center" vertical="center"/>
    </xf>
    <xf numFmtId="0" fontId="19" fillId="18" borderId="0" xfId="0" applyFont="1" applyFill="1"/>
    <xf numFmtId="168" fontId="0" fillId="0" borderId="0" xfId="0" applyNumberFormat="1" applyAlignment="1">
      <alignment horizontal="center"/>
    </xf>
    <xf numFmtId="9" fontId="0" fillId="0" borderId="0" xfId="0" applyNumberFormat="1"/>
    <xf numFmtId="0" fontId="0" fillId="18" borderId="0" xfId="0" applyFill="1" applyAlignment="1">
      <alignment horizontal="left"/>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0" fontId="0" fillId="13" borderId="0" xfId="0" applyFill="1" applyAlignment="1">
      <alignment horizontal="left"/>
    </xf>
    <xf numFmtId="171" fontId="0" fillId="13" borderId="0" xfId="0" applyNumberFormat="1" applyFill="1" applyAlignment="1">
      <alignment horizontal="center"/>
    </xf>
    <xf numFmtId="2" fontId="0" fillId="13" borderId="0" xfId="0" applyNumberFormat="1" applyFill="1" applyAlignment="1">
      <alignment horizontal="center"/>
    </xf>
    <xf numFmtId="171" fontId="0" fillId="13" borderId="0" xfId="0" applyNumberFormat="1" applyFill="1" applyAlignment="1">
      <alignment horizontal="left" vertical="center"/>
    </xf>
    <xf numFmtId="171" fontId="0" fillId="13" borderId="0" xfId="0" applyNumberFormat="1" applyFill="1" applyAlignment="1">
      <alignment horizontal="center"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9" fontId="0" fillId="13" borderId="0" xfId="0" applyNumberFormat="1" applyFill="1" applyAlignment="1">
      <alignment horizontal="center"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69" fontId="0" fillId="13" borderId="0" xfId="0" applyNumberFormat="1" applyFill="1" applyAlignment="1">
      <alignment horizontal="center" vertical="center"/>
    </xf>
    <xf numFmtId="170" fontId="0" fillId="13" borderId="0" xfId="0" applyNumberFormat="1" applyFill="1" applyAlignment="1">
      <alignment horizontal="center" vertical="center"/>
    </xf>
    <xf numFmtId="175" fontId="0" fillId="13" borderId="0" xfId="0" applyNumberFormat="1" applyFill="1" applyAlignment="1">
      <alignment horizontal="center" vertical="center"/>
    </xf>
    <xf numFmtId="172" fontId="0" fillId="13" borderId="0" xfId="0" applyNumberFormat="1" applyFill="1" applyAlignment="1">
      <alignment horizontal="left"/>
    </xf>
    <xf numFmtId="172" fontId="0" fillId="13" borderId="0" xfId="0" applyNumberFormat="1" applyFill="1" applyAlignment="1">
      <alignment horizontal="center"/>
    </xf>
    <xf numFmtId="3" fontId="0" fillId="13" borderId="0" xfId="0" applyNumberFormat="1" applyFill="1" applyAlignment="1">
      <alignment horizontal="left"/>
    </xf>
    <xf numFmtId="3" fontId="0" fillId="13" borderId="0" xfId="0" applyNumberFormat="1" applyFill="1" applyAlignment="1">
      <alignment horizontal="center"/>
    </xf>
    <xf numFmtId="174" fontId="0" fillId="13" borderId="0" xfId="0" applyNumberFormat="1" applyFill="1" applyAlignment="1">
      <alignment horizontal="left"/>
    </xf>
    <xf numFmtId="174" fontId="0" fillId="13" borderId="0" xfId="0" applyNumberFormat="1" applyFill="1" applyAlignment="1">
      <alignment horizontal="center"/>
    </xf>
    <xf numFmtId="9" fontId="0" fillId="13" borderId="0" xfId="0" applyNumberFormat="1" applyFill="1" applyAlignment="1">
      <alignment horizontal="left"/>
    </xf>
    <xf numFmtId="9" fontId="0" fillId="13" borderId="0" xfId="0" applyNumberFormat="1" applyFill="1" applyAlignment="1">
      <alignment horizontal="center"/>
    </xf>
    <xf numFmtId="10" fontId="0" fillId="13" borderId="0" xfId="0" applyNumberFormat="1" applyFill="1" applyAlignment="1">
      <alignment horizontal="center"/>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6" xfId="0" applyNumberFormat="1" applyBorder="1" applyAlignment="1">
      <alignment horizontal="center"/>
    </xf>
    <xf numFmtId="164" fontId="0" fillId="0" borderId="37" xfId="0" applyNumberFormat="1" applyBorder="1" applyAlignment="1">
      <alignment horizontal="center"/>
    </xf>
    <xf numFmtId="0" fontId="14" fillId="3" borderId="35" xfId="0" applyFont="1" applyFill="1" applyBorder="1" applyAlignment="1">
      <alignment horizontal="left" vertical="center" wrapText="1"/>
    </xf>
    <xf numFmtId="0" fontId="0" fillId="0" borderId="36" xfId="0" applyBorder="1" applyAlignment="1">
      <alignment horizontal="center" vertical="center" wrapText="1"/>
    </xf>
    <xf numFmtId="165" fontId="0" fillId="0" borderId="17" xfId="0" applyNumberFormat="1" applyBorder="1"/>
    <xf numFmtId="165" fontId="0" fillId="0" borderId="28" xfId="0" applyNumberFormat="1" applyBorder="1"/>
    <xf numFmtId="176"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5" borderId="0" xfId="0" applyNumberFormat="1" applyFill="1" applyAlignment="1">
      <alignment horizontal="left"/>
    </xf>
    <xf numFmtId="0" fontId="0" fillId="25" borderId="0" xfId="0" applyFill="1" applyAlignment="1">
      <alignment horizontal="left"/>
    </xf>
    <xf numFmtId="0" fontId="0" fillId="25" borderId="0" xfId="0" applyFill="1" applyAlignment="1">
      <alignment horizontal="center"/>
    </xf>
    <xf numFmtId="172" fontId="0" fillId="25" borderId="0" xfId="0" applyNumberFormat="1" applyFill="1" applyAlignment="1">
      <alignment horizontal="center"/>
    </xf>
    <xf numFmtId="0" fontId="0" fillId="25" borderId="0" xfId="0" applyFill="1"/>
    <xf numFmtId="10" fontId="0" fillId="25" borderId="0" xfId="0" applyNumberFormat="1" applyFill="1" applyAlignment="1">
      <alignment horizontal="left"/>
    </xf>
    <xf numFmtId="10" fontId="0" fillId="25" borderId="0" xfId="0" applyNumberFormat="1" applyFill="1" applyAlignment="1">
      <alignment horizontal="center" vertical="center"/>
    </xf>
    <xf numFmtId="171" fontId="0" fillId="25" borderId="0" xfId="0" applyNumberFormat="1" applyFill="1" applyAlignment="1">
      <alignment horizontal="left" vertical="center"/>
    </xf>
    <xf numFmtId="171" fontId="0" fillId="25" borderId="0" xfId="0" applyNumberFormat="1" applyFill="1" applyAlignment="1">
      <alignment horizontal="center" vertical="center"/>
    </xf>
    <xf numFmtId="10" fontId="0" fillId="25" borderId="0" xfId="0" applyNumberFormat="1" applyFill="1" applyAlignment="1">
      <alignment horizontal="center"/>
    </xf>
    <xf numFmtId="171" fontId="0" fillId="0" borderId="0" xfId="0" applyNumberFormat="1" applyAlignment="1">
      <alignment horizontal="left" vertical="center"/>
    </xf>
    <xf numFmtId="166" fontId="0" fillId="25" borderId="0" xfId="0" applyNumberFormat="1" applyFill="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10" fontId="0" fillId="0" borderId="25" xfId="0" applyNumberFormat="1" applyBorder="1" applyAlignment="1">
      <alignment horizontal="center"/>
    </xf>
    <xf numFmtId="10" fontId="0" fillId="0" borderId="17" xfId="0" applyNumberFormat="1" applyBorder="1" applyAlignment="1">
      <alignment horizontal="center"/>
    </xf>
    <xf numFmtId="0" fontId="0" fillId="3" borderId="25" xfId="0" applyFill="1" applyBorder="1" applyAlignment="1">
      <alignment horizontal="left"/>
    </xf>
    <xf numFmtId="0" fontId="0" fillId="3" borderId="26" xfId="0" applyFill="1" applyBorder="1" applyAlignment="1">
      <alignment horizontal="center"/>
    </xf>
    <xf numFmtId="9" fontId="0" fillId="18" borderId="26" xfId="0" applyNumberFormat="1" applyFill="1" applyBorder="1" applyAlignment="1">
      <alignment horizontal="center"/>
    </xf>
    <xf numFmtId="0" fontId="19" fillId="18" borderId="2" xfId="0" applyFont="1" applyFill="1" applyBorder="1" applyAlignment="1">
      <alignment horizontal="center" vertical="center" wrapText="1"/>
    </xf>
    <xf numFmtId="0" fontId="19" fillId="0" borderId="3" xfId="0" applyFont="1" applyBorder="1" applyAlignment="1">
      <alignment horizontal="center" vertical="center" wrapText="1"/>
    </xf>
    <xf numFmtId="0" fontId="19" fillId="18" borderId="3" xfId="0" applyFont="1" applyFill="1" applyBorder="1" applyAlignment="1">
      <alignment vertical="center" wrapText="1"/>
    </xf>
    <xf numFmtId="0" fontId="19" fillId="0" borderId="3" xfId="0" applyFont="1" applyBorder="1" applyAlignment="1">
      <alignment vertical="center" wrapText="1"/>
    </xf>
    <xf numFmtId="0" fontId="19" fillId="18" borderId="3" xfId="0" applyFont="1" applyFill="1" applyBorder="1" applyAlignment="1">
      <alignment horizontal="center" vertical="center" wrapText="1"/>
    </xf>
    <xf numFmtId="0" fontId="17" fillId="18" borderId="4" xfId="0" applyFont="1" applyFill="1" applyBorder="1" applyAlignment="1">
      <alignment horizontal="center" vertical="center" wrapText="1"/>
    </xf>
    <xf numFmtId="172" fontId="0" fillId="0" borderId="7" xfId="0" applyNumberFormat="1" applyBorder="1" applyAlignment="1">
      <alignment horizontal="center"/>
    </xf>
    <xf numFmtId="166" fontId="0" fillId="0" borderId="8" xfId="0" applyNumberFormat="1" applyBorder="1" applyAlignment="1">
      <alignment horizontal="center"/>
    </xf>
    <xf numFmtId="172" fontId="0" fillId="0" borderId="8" xfId="0" applyNumberFormat="1" applyBorder="1" applyAlignment="1">
      <alignment horizontal="center"/>
    </xf>
    <xf numFmtId="172" fontId="0" fillId="0" borderId="9" xfId="0" applyNumberFormat="1" applyBorder="1" applyAlignment="1">
      <alignment horizontal="center"/>
    </xf>
    <xf numFmtId="0" fontId="0" fillId="18" borderId="26" xfId="0" applyFill="1" applyBorder="1" applyAlignment="1">
      <alignment horizontal="center"/>
    </xf>
    <xf numFmtId="0" fontId="0" fillId="0" borderId="28" xfId="0" applyBorder="1" applyAlignment="1">
      <alignment horizontal="center"/>
    </xf>
    <xf numFmtId="166" fontId="0" fillId="18" borderId="26" xfId="0" applyNumberFormat="1" applyFill="1" applyBorder="1" applyAlignment="1">
      <alignment horizontal="center"/>
    </xf>
    <xf numFmtId="172" fontId="0" fillId="0" borderId="17" xfId="0" applyNumberFormat="1" applyBorder="1" applyAlignment="1">
      <alignment horizontal="center"/>
    </xf>
    <xf numFmtId="172" fontId="0" fillId="0" borderId="28" xfId="0" applyNumberFormat="1" applyBorder="1" applyAlignment="1">
      <alignment horizontal="center"/>
    </xf>
    <xf numFmtId="172" fontId="0" fillId="18" borderId="26" xfId="0" applyNumberFormat="1" applyFill="1" applyBorder="1" applyAlignment="1">
      <alignment horizontal="center"/>
    </xf>
    <xf numFmtId="9" fontId="0" fillId="18" borderId="0" xfId="0" applyNumberFormat="1" applyFill="1" applyAlignment="1">
      <alignment horizontal="center"/>
    </xf>
    <xf numFmtId="9" fontId="0" fillId="0" borderId="17" xfId="0" applyNumberFormat="1" applyBorder="1" applyAlignment="1">
      <alignment horizontal="center"/>
    </xf>
    <xf numFmtId="10" fontId="0" fillId="0" borderId="28" xfId="0" applyNumberFormat="1" applyBorder="1" applyAlignment="1">
      <alignment horizontal="center"/>
    </xf>
    <xf numFmtId="169" fontId="0" fillId="0" borderId="8" xfId="0" applyNumberFormat="1" applyBorder="1" applyAlignment="1">
      <alignment horizontal="center"/>
    </xf>
    <xf numFmtId="2" fontId="0" fillId="2" borderId="0" xfId="0" applyNumberFormat="1" applyFill="1" applyAlignment="1">
      <alignment horizontal="left" vertical="center" wrapText="1"/>
    </xf>
    <xf numFmtId="171" fontId="0" fillId="2" borderId="0" xfId="0" applyNumberFormat="1" applyFill="1" applyAlignment="1">
      <alignment horizontal="left"/>
    </xf>
    <xf numFmtId="3" fontId="0" fillId="26" borderId="0" xfId="0" applyNumberFormat="1" applyFill="1" applyAlignment="1">
      <alignment horizontal="left"/>
    </xf>
    <xf numFmtId="10" fontId="0" fillId="2" borderId="0" xfId="0" applyNumberFormat="1" applyFill="1" applyAlignment="1">
      <alignment horizontal="left"/>
    </xf>
    <xf numFmtId="166" fontId="0" fillId="2" borderId="0" xfId="0" applyNumberFormat="1" applyFill="1" applyAlignment="1">
      <alignment horizontal="left" vertic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22" xfId="0" applyFill="1" applyBorder="1" applyAlignment="1">
      <alignment horizontal="center"/>
    </xf>
    <xf numFmtId="0" fontId="0" fillId="3" borderId="23" xfId="0" applyFill="1" applyBorder="1" applyAlignment="1">
      <alignment horizontal="center"/>
    </xf>
    <xf numFmtId="0" fontId="0" fillId="3" borderId="24" xfId="0" applyFill="1" applyBorder="1" applyAlignment="1">
      <alignment horizontal="center"/>
    </xf>
    <xf numFmtId="0" fontId="0" fillId="0" borderId="8" xfId="0" applyBorder="1" applyAlignment="1">
      <alignment horizontal="center"/>
    </xf>
    <xf numFmtId="0" fontId="0" fillId="3" borderId="2"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5"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0459358" y="90714"/>
          <a:ext cx="5460999" cy="362857"/>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3019366" y="4243608"/>
          <a:ext cx="1639718" cy="102448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20642" y="2874116"/>
          <a:ext cx="1442358" cy="192025"/>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604972" y="92279"/>
          <a:ext cx="9754599" cy="360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197030" y="899655"/>
          <a:ext cx="2912310" cy="1784916"/>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69828" y="5100966"/>
          <a:ext cx="4097437" cy="1246768"/>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17902" y="1963250"/>
          <a:ext cx="501927" cy="237592"/>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42874" y="2859506"/>
          <a:ext cx="438427" cy="219449"/>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07016" y="1399007"/>
          <a:ext cx="501927" cy="219448"/>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20325" y="3666991"/>
          <a:ext cx="783344" cy="192646"/>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15</xdr:col>
      <xdr:colOff>237458</xdr:colOff>
      <xdr:row>24</xdr:row>
      <xdr:rowOff>78975</xdr:rowOff>
    </xdr:from>
    <xdr:to>
      <xdr:col>19</xdr:col>
      <xdr:colOff>473696</xdr:colOff>
      <xdr:row>33</xdr:row>
      <xdr:rowOff>67748</xdr:rowOff>
    </xdr:to>
    <xdr:grpSp>
      <xdr:nvGrpSpPr>
        <xdr:cNvPr id="2" name="Group 1">
          <a:extLst>
            <a:ext uri="{FF2B5EF4-FFF2-40B4-BE49-F238E27FC236}">
              <a16:creationId xmlns:a16="http://schemas.microsoft.com/office/drawing/2014/main" id="{9404C183-F1F2-4F6B-90DE-F3B5440CD080}"/>
            </a:ext>
          </a:extLst>
        </xdr:cNvPr>
        <xdr:cNvGrpSpPr/>
      </xdr:nvGrpSpPr>
      <xdr:grpSpPr>
        <a:xfrm>
          <a:off x="10306744" y="4868689"/>
          <a:ext cx="2921381" cy="1784916"/>
          <a:chOff x="6935612" y="418869"/>
          <a:chExt cx="2658310" cy="1621630"/>
        </a:xfrm>
      </xdr:grpSpPr>
      <xdr:sp macro="" textlink="">
        <xdr:nvSpPr>
          <xdr:cNvPr id="12" name="Rectangle 11">
            <a:extLst>
              <a:ext uri="{FF2B5EF4-FFF2-40B4-BE49-F238E27FC236}">
                <a16:creationId xmlns:a16="http://schemas.microsoft.com/office/drawing/2014/main" id="{0B6E7CF5-5610-2712-35A3-216C4350E700}"/>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5" name="Straight Connector 14">
            <a:extLst>
              <a:ext uri="{FF2B5EF4-FFF2-40B4-BE49-F238E27FC236}">
                <a16:creationId xmlns:a16="http://schemas.microsoft.com/office/drawing/2014/main" id="{59F8AF98-F02C-239D-7D11-753B91DF8776}"/>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44F5FA98-AAA6-2D79-99DB-AAFD1AD70B52}"/>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7" name="TextBox 12">
            <a:extLst>
              <a:ext uri="{FF2B5EF4-FFF2-40B4-BE49-F238E27FC236}">
                <a16:creationId xmlns:a16="http://schemas.microsoft.com/office/drawing/2014/main" id="{B90D63FB-2940-8CBE-1A7F-B09A09D9E5E8}"/>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39" name="TextBox 12">
            <a:extLst>
              <a:ext uri="{FF2B5EF4-FFF2-40B4-BE49-F238E27FC236}">
                <a16:creationId xmlns:a16="http://schemas.microsoft.com/office/drawing/2014/main" id="{DC25B939-5302-C873-A1EC-51B087B0713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41" name="TextBox 12">
            <a:extLst>
              <a:ext uri="{FF2B5EF4-FFF2-40B4-BE49-F238E27FC236}">
                <a16:creationId xmlns:a16="http://schemas.microsoft.com/office/drawing/2014/main" id="{9A66DABE-BB87-53BE-B984-914B6A0B1987}"/>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3" name="Straight Connector 52">
            <a:extLst>
              <a:ext uri="{FF2B5EF4-FFF2-40B4-BE49-F238E27FC236}">
                <a16:creationId xmlns:a16="http://schemas.microsoft.com/office/drawing/2014/main" id="{678747F3-BD2A-46EA-54FA-5584560A935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8" name="Oval 17">
            <a:extLst>
              <a:ext uri="{FF2B5EF4-FFF2-40B4-BE49-F238E27FC236}">
                <a16:creationId xmlns:a16="http://schemas.microsoft.com/office/drawing/2014/main" id="{716EB463-CA91-8DEB-6BA8-0F514175E1BA}"/>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421BDA51-889E-9166-E374-D5F22B1845A3}"/>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412E33BC-158A-9704-B853-84488240F275}"/>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06B5A388-BE94-7311-7478-E9BA62E0B6A8}"/>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06A04590-2593-4328-1B12-82E8BBB44016}"/>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FC940226-435E-A8BA-6F7E-C9451BE3EDAB}"/>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D01FF1C8-A66A-DB54-4E8B-39FBE35B2D2B}"/>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3" name="TextBox 12">
              <a:extLst>
                <a:ext uri="{FF2B5EF4-FFF2-40B4-BE49-F238E27FC236}">
                  <a16:creationId xmlns:a16="http://schemas.microsoft.com/office/drawing/2014/main" id="{8AFF72B9-0BF5-3939-AA8A-7E8C4CD58B05}"/>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74" name="Straight Connector 73">
              <a:extLst>
                <a:ext uri="{FF2B5EF4-FFF2-40B4-BE49-F238E27FC236}">
                  <a16:creationId xmlns:a16="http://schemas.microsoft.com/office/drawing/2014/main" id="{5E6B5E44-6BC6-BFF4-CCD2-AEF07BCE656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9" name="TextBox 12">
              <a:extLst>
                <a:ext uri="{FF2B5EF4-FFF2-40B4-BE49-F238E27FC236}">
                  <a16:creationId xmlns:a16="http://schemas.microsoft.com/office/drawing/2014/main" id="{5E263E8F-2A92-F902-ADBA-F4FB5F6FBFC0}"/>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17" name="TextBox 12">
              <a:extLst>
                <a:ext uri="{FF2B5EF4-FFF2-40B4-BE49-F238E27FC236}">
                  <a16:creationId xmlns:a16="http://schemas.microsoft.com/office/drawing/2014/main" id="{98C8ED6E-742A-9CD6-ECAE-09B8E5567835}"/>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21" name="TextBox 12">
              <a:extLst>
                <a:ext uri="{FF2B5EF4-FFF2-40B4-BE49-F238E27FC236}">
                  <a16:creationId xmlns:a16="http://schemas.microsoft.com/office/drawing/2014/main" id="{4EA00E4A-2993-62F3-B9D7-55BBDD41C248}"/>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1" name="Straight Connector 13">
              <a:extLst>
                <a:ext uri="{FF2B5EF4-FFF2-40B4-BE49-F238E27FC236}">
                  <a16:creationId xmlns:a16="http://schemas.microsoft.com/office/drawing/2014/main" id="{7EC190CD-441A-9677-1033-1CCF4693A54F}"/>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99786</xdr:colOff>
      <xdr:row>24</xdr:row>
      <xdr:rowOff>154212</xdr:rowOff>
    </xdr:from>
    <xdr:to>
      <xdr:col>15</xdr:col>
      <xdr:colOff>370116</xdr:colOff>
      <xdr:row>26</xdr:row>
      <xdr:rowOff>25398</xdr:rowOff>
    </xdr:to>
    <xdr:sp macro="" textlink="">
      <xdr:nvSpPr>
        <xdr:cNvPr id="134" name="Oval 133">
          <a:extLst>
            <a:ext uri="{FF2B5EF4-FFF2-40B4-BE49-F238E27FC236}">
              <a16:creationId xmlns:a16="http://schemas.microsoft.com/office/drawing/2014/main" id="{62062A73-73D2-407A-BFAF-C57FB84D4D1E}"/>
            </a:ext>
          </a:extLst>
        </xdr:cNvPr>
        <xdr:cNvSpPr/>
      </xdr:nvSpPr>
      <xdr:spPr>
        <a:xfrm>
          <a:off x="9243786" y="4508498"/>
          <a:ext cx="270330"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304800</xdr:colOff>
      <xdr:row>0</xdr:row>
      <xdr:rowOff>85040</xdr:rowOff>
    </xdr:from>
    <xdr:to>
      <xdr:col>10</xdr:col>
      <xdr:colOff>520700</xdr:colOff>
      <xdr:row>5</xdr:row>
      <xdr:rowOff>82550</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679700" y="85040"/>
          <a:ext cx="4921250" cy="918260"/>
        </a:xfrm>
        <a:prstGeom prst="rect">
          <a:avLst/>
        </a:prstGeom>
      </xdr:spPr>
    </xdr:pic>
    <xdr:clientData/>
  </xdr:twoCellAnchor>
  <xdr:twoCellAnchor>
    <xdr:from>
      <xdr:col>3</xdr:col>
      <xdr:colOff>218440</xdr:colOff>
      <xdr:row>52</xdr:row>
      <xdr:rowOff>95250</xdr:rowOff>
    </xdr:from>
    <xdr:to>
      <xdr:col>15</xdr:col>
      <xdr:colOff>579120</xdr:colOff>
      <xdr:row>74</xdr:row>
      <xdr:rowOff>0</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550160" y="9605010"/>
          <a:ext cx="8300720" cy="392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2" name="Straight Connector 13">
          <a:extLst>
            <a:ext uri="{FF2B5EF4-FFF2-40B4-BE49-F238E27FC236}">
              <a16:creationId xmlns:a16="http://schemas.microsoft.com/office/drawing/2014/main" id="{DCF4C76D-9C54-4902-A7FD-1E8C2DC5CC49}"/>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3" name="Straight Connector 2">
          <a:extLst>
            <a:ext uri="{FF2B5EF4-FFF2-40B4-BE49-F238E27FC236}">
              <a16:creationId xmlns:a16="http://schemas.microsoft.com/office/drawing/2014/main" id="{8701AC2B-6895-4DCC-B828-C82AB9D0A470}"/>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4" name="Straight Connector 3">
          <a:extLst>
            <a:ext uri="{FF2B5EF4-FFF2-40B4-BE49-F238E27FC236}">
              <a16:creationId xmlns:a16="http://schemas.microsoft.com/office/drawing/2014/main" id="{D7555DF4-507D-4E25-A2CC-B1337D5EA3B6}"/>
            </a:ext>
          </a:extLst>
        </xdr:cNvPr>
        <xdr:cNvCxnSpPr/>
      </xdr:nvCxnSpPr>
      <xdr:spPr>
        <a:xfrm>
          <a:off x="9142498" y="1715285"/>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5" name="Straight Connector 4">
          <a:extLst>
            <a:ext uri="{FF2B5EF4-FFF2-40B4-BE49-F238E27FC236}">
              <a16:creationId xmlns:a16="http://schemas.microsoft.com/office/drawing/2014/main" id="{01A9DBD8-8C1A-4A01-BE20-D1DD1D92814A}"/>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6" name="Oval 5">
          <a:extLst>
            <a:ext uri="{FF2B5EF4-FFF2-40B4-BE49-F238E27FC236}">
              <a16:creationId xmlns:a16="http://schemas.microsoft.com/office/drawing/2014/main" id="{81542B44-84BD-42D0-88F0-C6ABF9640D9B}"/>
            </a:ext>
          </a:extLst>
        </xdr:cNvPr>
        <xdr:cNvSpPr/>
      </xdr:nvSpPr>
      <xdr:spPr>
        <a:xfrm>
          <a:off x="16236803" y="15004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7" name="Oval 6">
          <a:extLst>
            <a:ext uri="{FF2B5EF4-FFF2-40B4-BE49-F238E27FC236}">
              <a16:creationId xmlns:a16="http://schemas.microsoft.com/office/drawing/2014/main" id="{FD62A77D-5D68-4539-A762-E7A940AA515C}"/>
            </a:ext>
          </a:extLst>
        </xdr:cNvPr>
        <xdr:cNvSpPr/>
      </xdr:nvSpPr>
      <xdr:spPr>
        <a:xfrm>
          <a:off x="16311575" y="46291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8" name="Oval 7">
          <a:extLst>
            <a:ext uri="{FF2B5EF4-FFF2-40B4-BE49-F238E27FC236}">
              <a16:creationId xmlns:a16="http://schemas.microsoft.com/office/drawing/2014/main" id="{DD8952D1-5C17-4713-99C1-CF9F2E1FEEE1}"/>
            </a:ext>
          </a:extLst>
        </xdr:cNvPr>
        <xdr:cNvSpPr/>
      </xdr:nvSpPr>
      <xdr:spPr>
        <a:xfrm>
          <a:off x="17690580" y="25934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9" name="Oval 8">
          <a:extLst>
            <a:ext uri="{FF2B5EF4-FFF2-40B4-BE49-F238E27FC236}">
              <a16:creationId xmlns:a16="http://schemas.microsoft.com/office/drawing/2014/main" id="{850A3111-1C2B-48FE-8092-1AB73DFD9388}"/>
            </a:ext>
          </a:extLst>
        </xdr:cNvPr>
        <xdr:cNvSpPr/>
      </xdr:nvSpPr>
      <xdr:spPr>
        <a:xfrm>
          <a:off x="14660511" y="25766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10" name="Oval 9">
          <a:extLst>
            <a:ext uri="{FF2B5EF4-FFF2-40B4-BE49-F238E27FC236}">
              <a16:creationId xmlns:a16="http://schemas.microsoft.com/office/drawing/2014/main" id="{21A549BB-F850-457E-910E-DF656FDEC7FD}"/>
            </a:ext>
          </a:extLst>
        </xdr:cNvPr>
        <xdr:cNvSpPr/>
      </xdr:nvSpPr>
      <xdr:spPr>
        <a:xfrm>
          <a:off x="17701038" y="37386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11" name="Oval 10">
          <a:extLst>
            <a:ext uri="{FF2B5EF4-FFF2-40B4-BE49-F238E27FC236}">
              <a16:creationId xmlns:a16="http://schemas.microsoft.com/office/drawing/2014/main" id="{C09D6587-F122-41FD-B5BE-DC2EBB5148D2}"/>
            </a:ext>
          </a:extLst>
        </xdr:cNvPr>
        <xdr:cNvSpPr/>
      </xdr:nvSpPr>
      <xdr:spPr>
        <a:xfrm>
          <a:off x="14738204" y="3734186"/>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12" name="Freeform: Shape 11">
          <a:extLst>
            <a:ext uri="{FF2B5EF4-FFF2-40B4-BE49-F238E27FC236}">
              <a16:creationId xmlns:a16="http://schemas.microsoft.com/office/drawing/2014/main" id="{D3C1CA73-3F83-41D5-BBB4-B4AD4CF35657}"/>
            </a:ext>
          </a:extLst>
        </xdr:cNvPr>
        <xdr:cNvSpPr/>
      </xdr:nvSpPr>
      <xdr:spPr>
        <a:xfrm>
          <a:off x="14782874" y="17544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13" name="Freeform: Shape 12">
          <a:extLst>
            <a:ext uri="{FF2B5EF4-FFF2-40B4-BE49-F238E27FC236}">
              <a16:creationId xmlns:a16="http://schemas.microsoft.com/office/drawing/2014/main" id="{6129BCF8-549D-43C8-946E-018FDA06428F}"/>
            </a:ext>
          </a:extLst>
        </xdr:cNvPr>
        <xdr:cNvSpPr/>
      </xdr:nvSpPr>
      <xdr:spPr>
        <a:xfrm>
          <a:off x="17440089" y="17469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14" name="Straight Arrow Connector 13">
          <a:extLst>
            <a:ext uri="{FF2B5EF4-FFF2-40B4-BE49-F238E27FC236}">
              <a16:creationId xmlns:a16="http://schemas.microsoft.com/office/drawing/2014/main" id="{92A2465A-D400-478B-AD60-016010102745}"/>
            </a:ext>
          </a:extLst>
        </xdr:cNvPr>
        <xdr:cNvCxnSpPr/>
      </xdr:nvCxnSpPr>
      <xdr:spPr>
        <a:xfrm>
          <a:off x="18299367" y="31367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15" name="Straight Arrow Connector 14">
          <a:extLst>
            <a:ext uri="{FF2B5EF4-FFF2-40B4-BE49-F238E27FC236}">
              <a16:creationId xmlns:a16="http://schemas.microsoft.com/office/drawing/2014/main" id="{22900A09-5901-451B-BF9E-0499EEA98932}"/>
            </a:ext>
          </a:extLst>
        </xdr:cNvPr>
        <xdr:cNvCxnSpPr/>
      </xdr:nvCxnSpPr>
      <xdr:spPr>
        <a:xfrm>
          <a:off x="15276768" y="31274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16" name="Freeform: Shape 15">
          <a:extLst>
            <a:ext uri="{FF2B5EF4-FFF2-40B4-BE49-F238E27FC236}">
              <a16:creationId xmlns:a16="http://schemas.microsoft.com/office/drawing/2014/main" id="{47CE181E-2253-4256-A3F2-D89E218FFC65}"/>
            </a:ext>
          </a:extLst>
        </xdr:cNvPr>
        <xdr:cNvSpPr/>
      </xdr:nvSpPr>
      <xdr:spPr>
        <a:xfrm>
          <a:off x="15024100" y="42728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17" name="Freeform: Shape 16">
          <a:extLst>
            <a:ext uri="{FF2B5EF4-FFF2-40B4-BE49-F238E27FC236}">
              <a16:creationId xmlns:a16="http://schemas.microsoft.com/office/drawing/2014/main" id="{6D855E08-CDBC-4996-8CA5-8090D9030DBF}"/>
            </a:ext>
          </a:extLst>
        </xdr:cNvPr>
        <xdr:cNvSpPr/>
      </xdr:nvSpPr>
      <xdr:spPr>
        <a:xfrm>
          <a:off x="17537206" y="42728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18" name="Freeform: Shape 17">
          <a:extLst>
            <a:ext uri="{FF2B5EF4-FFF2-40B4-BE49-F238E27FC236}">
              <a16:creationId xmlns:a16="http://schemas.microsoft.com/office/drawing/2014/main" id="{134719A2-D9FA-4410-91D2-94F596997B90}"/>
            </a:ext>
          </a:extLst>
        </xdr:cNvPr>
        <xdr:cNvSpPr/>
      </xdr:nvSpPr>
      <xdr:spPr>
        <a:xfrm>
          <a:off x="16845429" y="13113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19" name="Freeform: Shape 18">
          <a:extLst>
            <a:ext uri="{FF2B5EF4-FFF2-40B4-BE49-F238E27FC236}">
              <a16:creationId xmlns:a16="http://schemas.microsoft.com/office/drawing/2014/main" id="{EA08C2A7-9E00-4A53-8EDE-6E43031F4AD2}"/>
            </a:ext>
          </a:extLst>
        </xdr:cNvPr>
        <xdr:cNvSpPr/>
      </xdr:nvSpPr>
      <xdr:spPr>
        <a:xfrm>
          <a:off x="18860994" y="40389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20" name="Freeform: Shape 19">
          <a:extLst>
            <a:ext uri="{FF2B5EF4-FFF2-40B4-BE49-F238E27FC236}">
              <a16:creationId xmlns:a16="http://schemas.microsoft.com/office/drawing/2014/main" id="{E9FED6E3-5F83-4711-B435-E4A423C5EA9C}"/>
            </a:ext>
          </a:extLst>
        </xdr:cNvPr>
        <xdr:cNvSpPr/>
      </xdr:nvSpPr>
      <xdr:spPr>
        <a:xfrm>
          <a:off x="14637320" y="36693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21" name="Freeform: Shape 20">
          <a:extLst>
            <a:ext uri="{FF2B5EF4-FFF2-40B4-BE49-F238E27FC236}">
              <a16:creationId xmlns:a16="http://schemas.microsoft.com/office/drawing/2014/main" id="{CCE9C466-3647-4224-9EED-3897D7ED4145}"/>
            </a:ext>
          </a:extLst>
        </xdr:cNvPr>
        <xdr:cNvSpPr/>
      </xdr:nvSpPr>
      <xdr:spPr>
        <a:xfrm>
          <a:off x="16447140" y="51636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22" name="Freeform: Shape 21">
          <a:extLst>
            <a:ext uri="{FF2B5EF4-FFF2-40B4-BE49-F238E27FC236}">
              <a16:creationId xmlns:a16="http://schemas.microsoft.com/office/drawing/2014/main" id="{8578E818-4DF5-4B03-AE1E-EF9A92FFCBFC}"/>
            </a:ext>
          </a:extLst>
        </xdr:cNvPr>
        <xdr:cNvSpPr/>
      </xdr:nvSpPr>
      <xdr:spPr>
        <a:xfrm>
          <a:off x="16852901" y="20480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23" name="Freeform: Shape 22">
          <a:extLst>
            <a:ext uri="{FF2B5EF4-FFF2-40B4-BE49-F238E27FC236}">
              <a16:creationId xmlns:a16="http://schemas.microsoft.com/office/drawing/2014/main" id="{55D09365-2808-418E-A2D2-35E3DBE53285}"/>
            </a:ext>
          </a:extLst>
        </xdr:cNvPr>
        <xdr:cNvSpPr/>
      </xdr:nvSpPr>
      <xdr:spPr>
        <a:xfrm>
          <a:off x="16958556" y="31380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24" name="Freeform: Shape 23">
          <a:extLst>
            <a:ext uri="{FF2B5EF4-FFF2-40B4-BE49-F238E27FC236}">
              <a16:creationId xmlns:a16="http://schemas.microsoft.com/office/drawing/2014/main" id="{85FDACC4-0C5D-418E-9982-B5D923782572}"/>
            </a:ext>
          </a:extLst>
        </xdr:cNvPr>
        <xdr:cNvSpPr/>
      </xdr:nvSpPr>
      <xdr:spPr>
        <a:xfrm>
          <a:off x="15293042" y="31256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25" name="TextBox 12">
          <a:extLst>
            <a:ext uri="{FF2B5EF4-FFF2-40B4-BE49-F238E27FC236}">
              <a16:creationId xmlns:a16="http://schemas.microsoft.com/office/drawing/2014/main" id="{789BBDDC-01BD-4C10-A6BB-77C50F51245D}"/>
            </a:ext>
          </a:extLst>
        </xdr:cNvPr>
        <xdr:cNvSpPr txBox="1"/>
      </xdr:nvSpPr>
      <xdr:spPr>
        <a:xfrm>
          <a:off x="4262572" y="92280"/>
          <a:ext cx="9779999" cy="34859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26" name="TextBox 12">
          <a:extLst>
            <a:ext uri="{FF2B5EF4-FFF2-40B4-BE49-F238E27FC236}">
              <a16:creationId xmlns:a16="http://schemas.microsoft.com/office/drawing/2014/main" id="{0DEA5828-2255-496B-8B37-5064F1062589}"/>
            </a:ext>
          </a:extLst>
        </xdr:cNvPr>
        <xdr:cNvSpPr txBox="1"/>
      </xdr:nvSpPr>
      <xdr:spPr>
        <a:xfrm>
          <a:off x="14142358" y="90714"/>
          <a:ext cx="5475513" cy="3683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27" name="TextBox 12">
          <a:extLst>
            <a:ext uri="{FF2B5EF4-FFF2-40B4-BE49-F238E27FC236}">
              <a16:creationId xmlns:a16="http://schemas.microsoft.com/office/drawing/2014/main" id="{EE1FC5E7-9034-4C93-95F4-D0A2DAE4E76C}"/>
            </a:ext>
          </a:extLst>
        </xdr:cNvPr>
        <xdr:cNvSpPr txBox="1"/>
      </xdr:nvSpPr>
      <xdr:spPr>
        <a:xfrm>
          <a:off x="12969313" y="4186084"/>
          <a:ext cx="1633742" cy="100879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28" name="TextBox 12">
          <a:extLst>
            <a:ext uri="{FF2B5EF4-FFF2-40B4-BE49-F238E27FC236}">
              <a16:creationId xmlns:a16="http://schemas.microsoft.com/office/drawing/2014/main" id="{8BF43EDA-8BEF-4124-8F3C-FA622C751764}"/>
            </a:ext>
          </a:extLst>
        </xdr:cNvPr>
        <xdr:cNvSpPr txBox="1"/>
      </xdr:nvSpPr>
      <xdr:spPr>
        <a:xfrm>
          <a:off x="7941573" y="20760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615949</xdr:colOff>
      <xdr:row>14</xdr:row>
      <xdr:rowOff>80117</xdr:rowOff>
    </xdr:from>
    <xdr:to>
      <xdr:col>13</xdr:col>
      <xdr:colOff>48173</xdr:colOff>
      <xdr:row>15</xdr:row>
      <xdr:rowOff>57322</xdr:rowOff>
    </xdr:to>
    <xdr:grpSp>
      <xdr:nvGrpSpPr>
        <xdr:cNvPr id="29" name="Group 28">
          <a:extLst>
            <a:ext uri="{FF2B5EF4-FFF2-40B4-BE49-F238E27FC236}">
              <a16:creationId xmlns:a16="http://schemas.microsoft.com/office/drawing/2014/main" id="{2DF8236A-2CB4-4AD7-9945-C637F56D0BE9}"/>
            </a:ext>
          </a:extLst>
        </xdr:cNvPr>
        <xdr:cNvGrpSpPr/>
      </xdr:nvGrpSpPr>
      <xdr:grpSpPr>
        <a:xfrm>
          <a:off x="7339478" y="2869137"/>
          <a:ext cx="1399479" cy="176420"/>
          <a:chOff x="2196350" y="2409473"/>
          <a:chExt cx="1517524" cy="107732"/>
        </a:xfrm>
      </xdr:grpSpPr>
      <xdr:cxnSp macro="">
        <xdr:nvCxnSpPr>
          <xdr:cNvPr id="30" name="Straight Connector 13">
            <a:extLst>
              <a:ext uri="{FF2B5EF4-FFF2-40B4-BE49-F238E27FC236}">
                <a16:creationId xmlns:a16="http://schemas.microsoft.com/office/drawing/2014/main" id="{EB8C1FA1-385C-36C8-D755-3E86D4220771}"/>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31" name="Oval 16">
            <a:extLst>
              <a:ext uri="{FF2B5EF4-FFF2-40B4-BE49-F238E27FC236}">
                <a16:creationId xmlns:a16="http://schemas.microsoft.com/office/drawing/2014/main" id="{1F358761-3377-F902-86BA-5DD47C06E1C7}"/>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32" name="TextBox 12">
          <a:extLst>
            <a:ext uri="{FF2B5EF4-FFF2-40B4-BE49-F238E27FC236}">
              <a16:creationId xmlns:a16="http://schemas.microsoft.com/office/drawing/2014/main" id="{997AE824-F06D-4DBF-ABA4-AB0A9FA706C8}"/>
            </a:ext>
          </a:extLst>
        </xdr:cNvPr>
        <xdr:cNvSpPr txBox="1"/>
      </xdr:nvSpPr>
      <xdr:spPr>
        <a:xfrm>
          <a:off x="7943273" y="31342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33" name="Straight Connector 32">
          <a:extLst>
            <a:ext uri="{FF2B5EF4-FFF2-40B4-BE49-F238E27FC236}">
              <a16:creationId xmlns:a16="http://schemas.microsoft.com/office/drawing/2014/main" id="{8319403C-A13E-47EE-96EE-7B715A75ECC0}"/>
            </a:ext>
          </a:extLst>
        </xdr:cNvPr>
        <xdr:cNvCxnSpPr/>
      </xdr:nvCxnSpPr>
      <xdr:spPr>
        <a:xfrm flipH="1">
          <a:off x="7932003" y="24330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34" name="Straight Connector 13">
          <a:extLst>
            <a:ext uri="{FF2B5EF4-FFF2-40B4-BE49-F238E27FC236}">
              <a16:creationId xmlns:a16="http://schemas.microsoft.com/office/drawing/2014/main" id="{35907A7D-96F8-4372-A4C3-BA46335AA4AF}"/>
            </a:ext>
          </a:extLst>
        </xdr:cNvPr>
        <xdr:cNvCxnSpPr/>
      </xdr:nvCxnSpPr>
      <xdr:spPr>
        <a:xfrm>
          <a:off x="6718300" y="4235450"/>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35" name="Straight Connector 3">
          <a:extLst>
            <a:ext uri="{FF2B5EF4-FFF2-40B4-BE49-F238E27FC236}">
              <a16:creationId xmlns:a16="http://schemas.microsoft.com/office/drawing/2014/main" id="{D797BFB5-4842-4B62-A6BC-4573B521AE81}"/>
            </a:ext>
          </a:extLst>
        </xdr:cNvPr>
        <xdr:cNvCxnSpPr/>
      </xdr:nvCxnSpPr>
      <xdr:spPr>
        <a:xfrm flipV="1">
          <a:off x="3750684" y="4242921"/>
          <a:ext cx="606163"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36" name="Rectangle 35">
          <a:extLst>
            <a:ext uri="{FF2B5EF4-FFF2-40B4-BE49-F238E27FC236}">
              <a16:creationId xmlns:a16="http://schemas.microsoft.com/office/drawing/2014/main" id="{552D5E8A-9F38-4504-A27F-B7EABBCD5059}"/>
            </a:ext>
          </a:extLst>
        </xdr:cNvPr>
        <xdr:cNvSpPr/>
      </xdr:nvSpPr>
      <xdr:spPr>
        <a:xfrm>
          <a:off x="4163571" y="4146284"/>
          <a:ext cx="214086" cy="21089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37" name="Straight Connector 36">
          <a:extLst>
            <a:ext uri="{FF2B5EF4-FFF2-40B4-BE49-F238E27FC236}">
              <a16:creationId xmlns:a16="http://schemas.microsoft.com/office/drawing/2014/main" id="{B599BF89-08EC-443A-A615-91F4A07747A7}"/>
            </a:ext>
          </a:extLst>
        </xdr:cNvPr>
        <xdr:cNvCxnSpPr/>
      </xdr:nvCxnSpPr>
      <xdr:spPr>
        <a:xfrm>
          <a:off x="4267200" y="3498850"/>
          <a:ext cx="0" cy="18415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38" name="Straight Connector 13">
          <a:extLst>
            <a:ext uri="{FF2B5EF4-FFF2-40B4-BE49-F238E27FC236}">
              <a16:creationId xmlns:a16="http://schemas.microsoft.com/office/drawing/2014/main" id="{3788B9F2-E844-4050-816B-EE040727C2D3}"/>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39" name="TextBox 12">
          <a:extLst>
            <a:ext uri="{FF2B5EF4-FFF2-40B4-BE49-F238E27FC236}">
              <a16:creationId xmlns:a16="http://schemas.microsoft.com/office/drawing/2014/main" id="{9F544E2A-1A76-4E10-A721-AF47B2019FF2}"/>
            </a:ext>
          </a:extLst>
        </xdr:cNvPr>
        <xdr:cNvSpPr txBox="1"/>
      </xdr:nvSpPr>
      <xdr:spPr>
        <a:xfrm>
          <a:off x="4612973" y="3309844"/>
          <a:ext cx="1496847" cy="36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40" name="Straight Connector 39">
          <a:extLst>
            <a:ext uri="{FF2B5EF4-FFF2-40B4-BE49-F238E27FC236}">
              <a16:creationId xmlns:a16="http://schemas.microsoft.com/office/drawing/2014/main" id="{53107853-CD1F-419A-B5D8-60FCA17AF817}"/>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41" name="TextBox 12">
          <a:extLst>
            <a:ext uri="{FF2B5EF4-FFF2-40B4-BE49-F238E27FC236}">
              <a16:creationId xmlns:a16="http://schemas.microsoft.com/office/drawing/2014/main" id="{A72EFA14-0008-4B81-8438-69860CD860E3}"/>
            </a:ext>
          </a:extLst>
        </xdr:cNvPr>
        <xdr:cNvSpPr txBox="1"/>
      </xdr:nvSpPr>
      <xdr:spPr>
        <a:xfrm>
          <a:off x="9640521" y="1113972"/>
          <a:ext cx="688209" cy="449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42" name="Straight Connector 41">
          <a:extLst>
            <a:ext uri="{FF2B5EF4-FFF2-40B4-BE49-F238E27FC236}">
              <a16:creationId xmlns:a16="http://schemas.microsoft.com/office/drawing/2014/main" id="{042E862B-A40B-40C2-B9AE-21C28D358590}"/>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43" name="Straight Connector 82">
          <a:extLst>
            <a:ext uri="{FF2B5EF4-FFF2-40B4-BE49-F238E27FC236}">
              <a16:creationId xmlns:a16="http://schemas.microsoft.com/office/drawing/2014/main" id="{8CCBDA76-16A5-48A2-8BA2-4F20CDC8AA91}"/>
            </a:ext>
          </a:extLst>
        </xdr:cNvPr>
        <xdr:cNvCxnSpPr/>
      </xdr:nvCxnSpPr>
      <xdr:spPr>
        <a:xfrm>
          <a:off x="4276180" y="3505476"/>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44" name="TextBox 12">
          <a:extLst>
            <a:ext uri="{FF2B5EF4-FFF2-40B4-BE49-F238E27FC236}">
              <a16:creationId xmlns:a16="http://schemas.microsoft.com/office/drawing/2014/main" id="{7F7A5BEA-6D2E-43F4-B6F8-F0FECAD04085}"/>
            </a:ext>
          </a:extLst>
        </xdr:cNvPr>
        <xdr:cNvSpPr txBox="1"/>
      </xdr:nvSpPr>
      <xdr:spPr>
        <a:xfrm>
          <a:off x="4262572" y="92279"/>
          <a:ext cx="9779999" cy="36544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45" name="TextBox 12">
          <a:extLst>
            <a:ext uri="{FF2B5EF4-FFF2-40B4-BE49-F238E27FC236}">
              <a16:creationId xmlns:a16="http://schemas.microsoft.com/office/drawing/2014/main" id="{B3324163-0B55-4756-B77F-958EAB1CA4D6}"/>
            </a:ext>
          </a:extLst>
        </xdr:cNvPr>
        <xdr:cNvSpPr txBox="1"/>
      </xdr:nvSpPr>
      <xdr:spPr>
        <a:xfrm>
          <a:off x="1962748" y="3766244"/>
          <a:ext cx="1800720" cy="1002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46" name="TextBox 12">
          <a:extLst>
            <a:ext uri="{FF2B5EF4-FFF2-40B4-BE49-F238E27FC236}">
              <a16:creationId xmlns:a16="http://schemas.microsoft.com/office/drawing/2014/main" id="{32028F28-67B1-40CE-B0B9-D32A2360EC97}"/>
            </a:ext>
          </a:extLst>
        </xdr:cNvPr>
        <xdr:cNvSpPr txBox="1"/>
      </xdr:nvSpPr>
      <xdr:spPr>
        <a:xfrm>
          <a:off x="7941573" y="20760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47" name="TextBox 12">
          <a:extLst>
            <a:ext uri="{FF2B5EF4-FFF2-40B4-BE49-F238E27FC236}">
              <a16:creationId xmlns:a16="http://schemas.microsoft.com/office/drawing/2014/main" id="{423D0BAB-0033-4ADF-ADCB-56B94719ACDD}"/>
            </a:ext>
          </a:extLst>
        </xdr:cNvPr>
        <xdr:cNvSpPr txBox="1"/>
      </xdr:nvSpPr>
      <xdr:spPr>
        <a:xfrm>
          <a:off x="7943274" y="31342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48" name="TextBox 12">
          <a:extLst>
            <a:ext uri="{FF2B5EF4-FFF2-40B4-BE49-F238E27FC236}">
              <a16:creationId xmlns:a16="http://schemas.microsoft.com/office/drawing/2014/main" id="{5D94D38B-EA87-485F-8446-B79A0BC3FECD}"/>
            </a:ext>
          </a:extLst>
        </xdr:cNvPr>
        <xdr:cNvSpPr txBox="1"/>
      </xdr:nvSpPr>
      <xdr:spPr>
        <a:xfrm>
          <a:off x="8955322" y="1438948"/>
          <a:ext cx="566974" cy="211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49" name="TextBox 12">
          <a:extLst>
            <a:ext uri="{FF2B5EF4-FFF2-40B4-BE49-F238E27FC236}">
              <a16:creationId xmlns:a16="http://schemas.microsoft.com/office/drawing/2014/main" id="{D4BBC3C5-93F6-47C3-8209-6EF1C088AFA9}"/>
            </a:ext>
          </a:extLst>
        </xdr:cNvPr>
        <xdr:cNvSpPr txBox="1"/>
      </xdr:nvSpPr>
      <xdr:spPr>
        <a:xfrm>
          <a:off x="8800566" y="2718079"/>
          <a:ext cx="776242" cy="231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50" name="Straight Connector 49">
          <a:extLst>
            <a:ext uri="{FF2B5EF4-FFF2-40B4-BE49-F238E27FC236}">
              <a16:creationId xmlns:a16="http://schemas.microsoft.com/office/drawing/2014/main" id="{B5A46691-FDAC-4706-ABB0-F346C3153E02}"/>
            </a:ext>
          </a:extLst>
        </xdr:cNvPr>
        <xdr:cNvCxnSpPr/>
      </xdr:nvCxnSpPr>
      <xdr:spPr>
        <a:xfrm>
          <a:off x="9356272" y="1379764"/>
          <a:ext cx="9072" cy="57966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51" name="Group 50">
          <a:extLst>
            <a:ext uri="{FF2B5EF4-FFF2-40B4-BE49-F238E27FC236}">
              <a16:creationId xmlns:a16="http://schemas.microsoft.com/office/drawing/2014/main" id="{681B600E-6731-4B28-A8AF-BC0DC4FC6169}"/>
            </a:ext>
          </a:extLst>
        </xdr:cNvPr>
        <xdr:cNvGrpSpPr/>
      </xdr:nvGrpSpPr>
      <xdr:grpSpPr>
        <a:xfrm>
          <a:off x="12166436" y="898232"/>
          <a:ext cx="2916579" cy="1781714"/>
          <a:chOff x="6935612" y="418869"/>
          <a:chExt cx="2658310" cy="1621630"/>
        </a:xfrm>
      </xdr:grpSpPr>
      <xdr:sp macro="" textlink="">
        <xdr:nvSpPr>
          <xdr:cNvPr id="52" name="Rectangle 51">
            <a:extLst>
              <a:ext uri="{FF2B5EF4-FFF2-40B4-BE49-F238E27FC236}">
                <a16:creationId xmlns:a16="http://schemas.microsoft.com/office/drawing/2014/main" id="{1D10A828-B6EC-9A3E-0195-22814ECB8A7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53" name="Straight Connector 52">
            <a:extLst>
              <a:ext uri="{FF2B5EF4-FFF2-40B4-BE49-F238E27FC236}">
                <a16:creationId xmlns:a16="http://schemas.microsoft.com/office/drawing/2014/main" id="{B13D2C1B-2B2E-0284-9D0B-149228EB7663}"/>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52F06C91-02D4-63EB-3509-36F63515D39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5" name="TextBox 12">
            <a:extLst>
              <a:ext uri="{FF2B5EF4-FFF2-40B4-BE49-F238E27FC236}">
                <a16:creationId xmlns:a16="http://schemas.microsoft.com/office/drawing/2014/main" id="{B7DB637D-65DB-6063-2E76-AC15B0ECB46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56" name="TextBox 12">
            <a:extLst>
              <a:ext uri="{FF2B5EF4-FFF2-40B4-BE49-F238E27FC236}">
                <a16:creationId xmlns:a16="http://schemas.microsoft.com/office/drawing/2014/main" id="{2139BD5A-BD4A-DD23-CCC4-4DE8278EC89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57" name="TextBox 12">
            <a:extLst>
              <a:ext uri="{FF2B5EF4-FFF2-40B4-BE49-F238E27FC236}">
                <a16:creationId xmlns:a16="http://schemas.microsoft.com/office/drawing/2014/main" id="{21849C29-C873-10D1-30F3-1F9173AE159F}"/>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8" name="Straight Connector 57">
            <a:extLst>
              <a:ext uri="{FF2B5EF4-FFF2-40B4-BE49-F238E27FC236}">
                <a16:creationId xmlns:a16="http://schemas.microsoft.com/office/drawing/2014/main" id="{00C747F7-36F1-0C3F-CBDE-E2DB107ECEE9}"/>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9" name="Oval 17">
            <a:extLst>
              <a:ext uri="{FF2B5EF4-FFF2-40B4-BE49-F238E27FC236}">
                <a16:creationId xmlns:a16="http://schemas.microsoft.com/office/drawing/2014/main" id="{0989458D-5BAA-A8C4-105F-BD15694D538D}"/>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B53DDF71-A40E-BB6B-8B0E-7C76CC9AD116}"/>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8F8869CC-2388-7015-C402-50216725B9DC}"/>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4914DEB0-5D82-11C7-AEC3-2A7CB568E03D}"/>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41774685-261A-4144-62E7-80DF75AC1268}"/>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AC72DE84-28FC-59F5-8906-068D0BDF9A7A}"/>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5B02D640-CBE0-FB1D-2860-8D3B5C44D470}"/>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6" name="TextBox 12">
              <a:extLst>
                <a:ext uri="{FF2B5EF4-FFF2-40B4-BE49-F238E27FC236}">
                  <a16:creationId xmlns:a16="http://schemas.microsoft.com/office/drawing/2014/main" id="{28808B53-36C7-1914-1007-6CE8D9911552}"/>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67" name="Straight Connector 66">
              <a:extLst>
                <a:ext uri="{FF2B5EF4-FFF2-40B4-BE49-F238E27FC236}">
                  <a16:creationId xmlns:a16="http://schemas.microsoft.com/office/drawing/2014/main" id="{FD852A49-9BA5-CFAB-0C8A-161CEE4D2D33}"/>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TextBox 12">
              <a:extLst>
                <a:ext uri="{FF2B5EF4-FFF2-40B4-BE49-F238E27FC236}">
                  <a16:creationId xmlns:a16="http://schemas.microsoft.com/office/drawing/2014/main" id="{49DD6C61-FC0A-BA24-A78A-525BBCBD4843}"/>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69" name="TextBox 12">
              <a:extLst>
                <a:ext uri="{FF2B5EF4-FFF2-40B4-BE49-F238E27FC236}">
                  <a16:creationId xmlns:a16="http://schemas.microsoft.com/office/drawing/2014/main" id="{CE98F42D-CAF9-FAE1-06EF-3842BD45E399}"/>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70" name="TextBox 12">
              <a:extLst>
                <a:ext uri="{FF2B5EF4-FFF2-40B4-BE49-F238E27FC236}">
                  <a16:creationId xmlns:a16="http://schemas.microsoft.com/office/drawing/2014/main" id="{1A261B17-C794-B786-A71A-A3905D9339A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71" name="Straight Connector 13">
              <a:extLst>
                <a:ext uri="{FF2B5EF4-FFF2-40B4-BE49-F238E27FC236}">
                  <a16:creationId xmlns:a16="http://schemas.microsoft.com/office/drawing/2014/main" id="{9C73027D-5E19-F58F-74DC-6E88AACD4CFE}"/>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166108</xdr:rowOff>
    </xdr:from>
    <xdr:to>
      <xdr:col>12</xdr:col>
      <xdr:colOff>141194</xdr:colOff>
      <xdr:row>32</xdr:row>
      <xdr:rowOff>34020</xdr:rowOff>
    </xdr:to>
    <xdr:grpSp>
      <xdr:nvGrpSpPr>
        <xdr:cNvPr id="72" name="Group 71">
          <a:extLst>
            <a:ext uri="{FF2B5EF4-FFF2-40B4-BE49-F238E27FC236}">
              <a16:creationId xmlns:a16="http://schemas.microsoft.com/office/drawing/2014/main" id="{99E2146E-3B95-4A24-BEB3-9FB85EE867DD}"/>
            </a:ext>
          </a:extLst>
        </xdr:cNvPr>
        <xdr:cNvGrpSpPr/>
      </xdr:nvGrpSpPr>
      <xdr:grpSpPr>
        <a:xfrm>
          <a:off x="5077299" y="5146500"/>
          <a:ext cx="3082326" cy="1262422"/>
          <a:chOff x="4464844" y="3149355"/>
          <a:chExt cx="3134380" cy="1232661"/>
        </a:xfrm>
      </xdr:grpSpPr>
      <xdr:sp macro="" textlink="">
        <xdr:nvSpPr>
          <xdr:cNvPr id="73" name="TextBox 12">
            <a:extLst>
              <a:ext uri="{FF2B5EF4-FFF2-40B4-BE49-F238E27FC236}">
                <a16:creationId xmlns:a16="http://schemas.microsoft.com/office/drawing/2014/main" id="{BE0B7F7B-EF10-0D4D-750A-49D984868D9A}"/>
              </a:ext>
            </a:extLst>
          </xdr:cNvPr>
          <xdr:cNvSpPr txBox="1"/>
        </xdr:nvSpPr>
        <xdr:spPr>
          <a:xfrm>
            <a:off x="4464844" y="3547121"/>
            <a:ext cx="1108595" cy="45445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74" name="Group 73">
            <a:extLst>
              <a:ext uri="{FF2B5EF4-FFF2-40B4-BE49-F238E27FC236}">
                <a16:creationId xmlns:a16="http://schemas.microsoft.com/office/drawing/2014/main" id="{2160BFA8-11E3-7DB2-8841-4DBB22ACC4C5}"/>
              </a:ext>
            </a:extLst>
          </xdr:cNvPr>
          <xdr:cNvGrpSpPr/>
        </xdr:nvGrpSpPr>
        <xdr:grpSpPr>
          <a:xfrm>
            <a:off x="5573439" y="3149355"/>
            <a:ext cx="2025785" cy="1232661"/>
            <a:chOff x="5573439" y="3149355"/>
            <a:chExt cx="2025785" cy="1232661"/>
          </a:xfrm>
        </xdr:grpSpPr>
        <xdr:sp macro="" textlink="">
          <xdr:nvSpPr>
            <xdr:cNvPr id="75" name="Oval 18">
              <a:extLst>
                <a:ext uri="{FF2B5EF4-FFF2-40B4-BE49-F238E27FC236}">
                  <a16:creationId xmlns:a16="http://schemas.microsoft.com/office/drawing/2014/main" id="{307DDBF8-8C6C-63A1-01D1-F74203B1B893}"/>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76" name="Group 75">
              <a:extLst>
                <a:ext uri="{FF2B5EF4-FFF2-40B4-BE49-F238E27FC236}">
                  <a16:creationId xmlns:a16="http://schemas.microsoft.com/office/drawing/2014/main" id="{0967ADA4-8DAB-754F-EEC0-056F083397E5}"/>
                </a:ext>
              </a:extLst>
            </xdr:cNvPr>
            <xdr:cNvGrpSpPr/>
          </xdr:nvGrpSpPr>
          <xdr:grpSpPr>
            <a:xfrm>
              <a:off x="5573439" y="3149355"/>
              <a:ext cx="2025785" cy="1232661"/>
              <a:chOff x="3962126" y="2827886"/>
              <a:chExt cx="2025785" cy="1232661"/>
            </a:xfrm>
          </xdr:grpSpPr>
          <xdr:cxnSp macro="">
            <xdr:nvCxnSpPr>
              <xdr:cNvPr id="77" name="Straight Connector 13">
                <a:extLst>
                  <a:ext uri="{FF2B5EF4-FFF2-40B4-BE49-F238E27FC236}">
                    <a16:creationId xmlns:a16="http://schemas.microsoft.com/office/drawing/2014/main" id="{A847FA16-6A7C-DBC6-9FBD-BEF176871E26}"/>
                  </a:ext>
                </a:extLst>
              </xdr:cNvPr>
              <xdr:cNvCxnSpPr>
                <a:stCxn id="73" idx="3"/>
              </xdr:cNvCxnSpPr>
            </xdr:nvCxnSpPr>
            <xdr:spPr>
              <a:xfrm>
                <a:off x="3962126" y="3452879"/>
                <a:ext cx="154952" cy="22160"/>
              </a:xfrm>
              <a:prstGeom prst="line">
                <a:avLst/>
              </a:prstGeom>
              <a:noFill/>
              <a:ln w="19050" cap="flat" cmpd="sng" algn="ctr">
                <a:solidFill>
                  <a:srgbClr val="5B9BD5"/>
                </a:solidFill>
                <a:prstDash val="solid"/>
                <a:miter lim="800000"/>
              </a:ln>
              <a:effectLst/>
            </xdr:spPr>
          </xdr:cxnSp>
          <xdr:cxnSp macro="">
            <xdr:nvCxnSpPr>
              <xdr:cNvPr id="78" name="Straight Connector 77">
                <a:extLst>
                  <a:ext uri="{FF2B5EF4-FFF2-40B4-BE49-F238E27FC236}">
                    <a16:creationId xmlns:a16="http://schemas.microsoft.com/office/drawing/2014/main" id="{E02F2A89-8525-0417-7034-927D105C319E}"/>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79" name="Straight Connector 78">
                <a:extLst>
                  <a:ext uri="{FF2B5EF4-FFF2-40B4-BE49-F238E27FC236}">
                    <a16:creationId xmlns:a16="http://schemas.microsoft.com/office/drawing/2014/main" id="{F95FC43D-F84E-1B96-FBF6-CC85C1B8A0DF}"/>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80" name="Straight Connector 79">
                <a:extLst>
                  <a:ext uri="{FF2B5EF4-FFF2-40B4-BE49-F238E27FC236}">
                    <a16:creationId xmlns:a16="http://schemas.microsoft.com/office/drawing/2014/main" id="{8DD30F76-F908-C218-9B1E-912102D24BAC}"/>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81" name="Straight Connector 80">
                <a:extLst>
                  <a:ext uri="{FF2B5EF4-FFF2-40B4-BE49-F238E27FC236}">
                    <a16:creationId xmlns:a16="http://schemas.microsoft.com/office/drawing/2014/main" id="{E4D35D08-D44B-0514-8BEF-064A8E0BED6A}"/>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82" name="TextBox 12">
                <a:extLst>
                  <a:ext uri="{FF2B5EF4-FFF2-40B4-BE49-F238E27FC236}">
                    <a16:creationId xmlns:a16="http://schemas.microsoft.com/office/drawing/2014/main" id="{359E3893-3A3A-40A8-DF5D-1FA43B9371AB}"/>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83" name="TextBox 12">
                <a:extLst>
                  <a:ext uri="{FF2B5EF4-FFF2-40B4-BE49-F238E27FC236}">
                    <a16:creationId xmlns:a16="http://schemas.microsoft.com/office/drawing/2014/main" id="{EF50A9EB-A2C6-33CF-9A55-DDA23A298CD7}"/>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84" name="TextBox 12">
                <a:extLst>
                  <a:ext uri="{FF2B5EF4-FFF2-40B4-BE49-F238E27FC236}">
                    <a16:creationId xmlns:a16="http://schemas.microsoft.com/office/drawing/2014/main" id="{0B4BEFB7-6E64-01B4-9C7E-CC3A2B2FBBB0}"/>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85" name="Straight Connector 84">
                <a:extLst>
                  <a:ext uri="{FF2B5EF4-FFF2-40B4-BE49-F238E27FC236}">
                    <a16:creationId xmlns:a16="http://schemas.microsoft.com/office/drawing/2014/main" id="{E8C1515F-33E0-41AC-A515-C1124C086885}"/>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86" name="Oval 17">
                <a:extLst>
                  <a:ext uri="{FF2B5EF4-FFF2-40B4-BE49-F238E27FC236}">
                    <a16:creationId xmlns:a16="http://schemas.microsoft.com/office/drawing/2014/main" id="{96C42367-3527-6849-1A1F-711C1A87410C}"/>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7" name="Straight Connector 86">
                <a:extLst>
                  <a:ext uri="{FF2B5EF4-FFF2-40B4-BE49-F238E27FC236}">
                    <a16:creationId xmlns:a16="http://schemas.microsoft.com/office/drawing/2014/main" id="{6C4688A2-7FC4-0E94-4E3B-6D0757465719}"/>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88" name="Oval 17">
                <a:extLst>
                  <a:ext uri="{FF2B5EF4-FFF2-40B4-BE49-F238E27FC236}">
                    <a16:creationId xmlns:a16="http://schemas.microsoft.com/office/drawing/2014/main" id="{E7A94FF3-84DF-59A3-AF0C-29DF41AFE72B}"/>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9" name="Straight Connector 88">
                <a:extLst>
                  <a:ext uri="{FF2B5EF4-FFF2-40B4-BE49-F238E27FC236}">
                    <a16:creationId xmlns:a16="http://schemas.microsoft.com/office/drawing/2014/main" id="{405CE348-36A0-D654-98AE-26FB96ABC3AE}"/>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90" name="Oval 17">
                <a:extLst>
                  <a:ext uri="{FF2B5EF4-FFF2-40B4-BE49-F238E27FC236}">
                    <a16:creationId xmlns:a16="http://schemas.microsoft.com/office/drawing/2014/main" id="{91BFDB5C-FD14-3F16-E0EB-B0FEAB12D1B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91" name="Group 90">
          <a:extLst>
            <a:ext uri="{FF2B5EF4-FFF2-40B4-BE49-F238E27FC236}">
              <a16:creationId xmlns:a16="http://schemas.microsoft.com/office/drawing/2014/main" id="{C5E32DFD-1417-41D5-92AB-F66C0F0262F3}"/>
            </a:ext>
          </a:extLst>
        </xdr:cNvPr>
        <xdr:cNvGrpSpPr/>
      </xdr:nvGrpSpPr>
      <xdr:grpSpPr>
        <a:xfrm>
          <a:off x="11285174" y="1960048"/>
          <a:ext cx="502994" cy="236881"/>
          <a:chOff x="5547528" y="2332836"/>
          <a:chExt cx="438427" cy="206643"/>
        </a:xfrm>
      </xdr:grpSpPr>
      <xdr:cxnSp macro="">
        <xdr:nvCxnSpPr>
          <xdr:cNvPr id="92" name="Straight Connector 91">
            <a:extLst>
              <a:ext uri="{FF2B5EF4-FFF2-40B4-BE49-F238E27FC236}">
                <a16:creationId xmlns:a16="http://schemas.microsoft.com/office/drawing/2014/main" id="{5B5AB6B7-E105-4409-E3CF-516FBBBE6B5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3" name="Oval 17">
            <a:extLst>
              <a:ext uri="{FF2B5EF4-FFF2-40B4-BE49-F238E27FC236}">
                <a16:creationId xmlns:a16="http://schemas.microsoft.com/office/drawing/2014/main" id="{6D111D42-FE1C-5E69-00D0-69C058A4290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94" name="Group 93">
          <a:extLst>
            <a:ext uri="{FF2B5EF4-FFF2-40B4-BE49-F238E27FC236}">
              <a16:creationId xmlns:a16="http://schemas.microsoft.com/office/drawing/2014/main" id="{BECBA2FA-FC7E-4A14-B317-2C9151EAB9C4}"/>
            </a:ext>
          </a:extLst>
        </xdr:cNvPr>
        <xdr:cNvGrpSpPr/>
      </xdr:nvGrpSpPr>
      <xdr:grpSpPr>
        <a:xfrm>
          <a:off x="11511213" y="2854526"/>
          <a:ext cx="438427" cy="219093"/>
          <a:chOff x="5547528" y="2332836"/>
          <a:chExt cx="438427" cy="206643"/>
        </a:xfrm>
      </xdr:grpSpPr>
      <xdr:cxnSp macro="">
        <xdr:nvCxnSpPr>
          <xdr:cNvPr id="95" name="Straight Connector 94">
            <a:extLst>
              <a:ext uri="{FF2B5EF4-FFF2-40B4-BE49-F238E27FC236}">
                <a16:creationId xmlns:a16="http://schemas.microsoft.com/office/drawing/2014/main" id="{9184D7BB-0AD3-6480-2A93-DE1825E01774}"/>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6" name="Oval 17">
            <a:extLst>
              <a:ext uri="{FF2B5EF4-FFF2-40B4-BE49-F238E27FC236}">
                <a16:creationId xmlns:a16="http://schemas.microsoft.com/office/drawing/2014/main" id="{E44299C7-CB1B-4E99-7944-A6A5F4647FC6}"/>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97" name="TextBox 12">
          <a:extLst>
            <a:ext uri="{FF2B5EF4-FFF2-40B4-BE49-F238E27FC236}">
              <a16:creationId xmlns:a16="http://schemas.microsoft.com/office/drawing/2014/main" id="{D16ACCBD-7B1E-4E77-ACDE-25A323001B2F}"/>
            </a:ext>
          </a:extLst>
        </xdr:cNvPr>
        <xdr:cNvSpPr txBox="1"/>
      </xdr:nvSpPr>
      <xdr:spPr>
        <a:xfrm>
          <a:off x="9647777" y="1784350"/>
          <a:ext cx="690023" cy="45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98" name="TextBox 12">
          <a:extLst>
            <a:ext uri="{FF2B5EF4-FFF2-40B4-BE49-F238E27FC236}">
              <a16:creationId xmlns:a16="http://schemas.microsoft.com/office/drawing/2014/main" id="{69C3CCEB-2A0B-4062-9D92-FD243F729D11}"/>
            </a:ext>
          </a:extLst>
        </xdr:cNvPr>
        <xdr:cNvSpPr txBox="1"/>
      </xdr:nvSpPr>
      <xdr:spPr>
        <a:xfrm>
          <a:off x="9346606" y="2592613"/>
          <a:ext cx="1159720" cy="274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99" name="Straight Connector 7">
          <a:extLst>
            <a:ext uri="{FF2B5EF4-FFF2-40B4-BE49-F238E27FC236}">
              <a16:creationId xmlns:a16="http://schemas.microsoft.com/office/drawing/2014/main" id="{C34F772C-74C5-44B9-BB76-493F8339CF55}"/>
            </a:ext>
          </a:extLst>
        </xdr:cNvPr>
        <xdr:cNvCxnSpPr/>
      </xdr:nvCxnSpPr>
      <xdr:spPr>
        <a:xfrm>
          <a:off x="4274672" y="5340350"/>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498929</xdr:colOff>
      <xdr:row>4</xdr:row>
      <xdr:rowOff>18144</xdr:rowOff>
    </xdr:from>
    <xdr:to>
      <xdr:col>22</xdr:col>
      <xdr:colOff>462643</xdr:colOff>
      <xdr:row>20</xdr:row>
      <xdr:rowOff>163287</xdr:rowOff>
    </xdr:to>
    <xdr:sp macro="" textlink="">
      <xdr:nvSpPr>
        <xdr:cNvPr id="100" name="Rectangle 99">
          <a:extLst>
            <a:ext uri="{FF2B5EF4-FFF2-40B4-BE49-F238E27FC236}">
              <a16:creationId xmlns:a16="http://schemas.microsoft.com/office/drawing/2014/main" id="{E541B071-64D1-44E0-8628-4D9480D64989}"/>
            </a:ext>
          </a:extLst>
        </xdr:cNvPr>
        <xdr:cNvSpPr/>
      </xdr:nvSpPr>
      <xdr:spPr>
        <a:xfrm>
          <a:off x="7826829" y="754744"/>
          <a:ext cx="6059714" cy="3091543"/>
        </a:xfrm>
        <a:prstGeom prst="rect">
          <a:avLst/>
        </a:prstGeom>
        <a:noFill/>
        <a:ln w="19050">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351117</xdr:colOff>
      <xdr:row>5</xdr:row>
      <xdr:rowOff>0</xdr:rowOff>
    </xdr:from>
    <xdr:to>
      <xdr:col>13</xdr:col>
      <xdr:colOff>36286</xdr:colOff>
      <xdr:row>6</xdr:row>
      <xdr:rowOff>136072</xdr:rowOff>
    </xdr:to>
    <xdr:sp macro="" textlink="">
      <xdr:nvSpPr>
        <xdr:cNvPr id="101" name="Oval 100">
          <a:extLst>
            <a:ext uri="{FF2B5EF4-FFF2-40B4-BE49-F238E27FC236}">
              <a16:creationId xmlns:a16="http://schemas.microsoft.com/office/drawing/2014/main" id="{703F5E88-0FEB-4DDB-8352-A3E22114A19F}"/>
            </a:ext>
          </a:extLst>
        </xdr:cNvPr>
        <xdr:cNvSpPr/>
      </xdr:nvSpPr>
      <xdr:spPr>
        <a:xfrm>
          <a:off x="7679017" y="920750"/>
          <a:ext cx="294769" cy="320222"/>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GB" sz="1100" kern="1200"/>
            <a:t>A</a:t>
          </a:r>
        </a:p>
      </xdr:txBody>
    </xdr:sp>
    <xdr:clientData/>
  </xdr:twoCellAnchor>
  <xdr:twoCellAnchor>
    <xdr:from>
      <xdr:col>17</xdr:col>
      <xdr:colOff>571500</xdr:colOff>
      <xdr:row>4</xdr:row>
      <xdr:rowOff>154213</xdr:rowOff>
    </xdr:from>
    <xdr:to>
      <xdr:col>18</xdr:col>
      <xdr:colOff>234044</xdr:colOff>
      <xdr:row>6</xdr:row>
      <xdr:rowOff>25399</xdr:rowOff>
    </xdr:to>
    <xdr:sp macro="" textlink="">
      <xdr:nvSpPr>
        <xdr:cNvPr id="102" name="Oval 101">
          <a:extLst>
            <a:ext uri="{FF2B5EF4-FFF2-40B4-BE49-F238E27FC236}">
              <a16:creationId xmlns:a16="http://schemas.microsoft.com/office/drawing/2014/main" id="{64CEC9FA-25AF-433A-B125-EB059D9975E4}"/>
            </a:ext>
          </a:extLst>
        </xdr:cNvPr>
        <xdr:cNvSpPr/>
      </xdr:nvSpPr>
      <xdr:spPr>
        <a:xfrm>
          <a:off x="10947400" y="890813"/>
          <a:ext cx="272144" cy="239486"/>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103" name="Straight Connector 13">
          <a:extLst>
            <a:ext uri="{FF2B5EF4-FFF2-40B4-BE49-F238E27FC236}">
              <a16:creationId xmlns:a16="http://schemas.microsoft.com/office/drawing/2014/main" id="{629A83A7-4C14-44D4-BB79-FA1609D02A41}"/>
            </a:ext>
          </a:extLst>
        </xdr:cNvPr>
        <xdr:cNvCxnSpPr/>
      </xdr:nvCxnSpPr>
      <xdr:spPr>
        <a:xfrm>
          <a:off x="9347606" y="138987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104" name="Straight Connector 13">
          <a:extLst>
            <a:ext uri="{FF2B5EF4-FFF2-40B4-BE49-F238E27FC236}">
              <a16:creationId xmlns:a16="http://schemas.microsoft.com/office/drawing/2014/main" id="{A3C0BBA1-4CE2-4DB3-9295-A677591BD9D7}"/>
            </a:ext>
          </a:extLst>
        </xdr:cNvPr>
        <xdr:cNvCxnSpPr/>
      </xdr:nvCxnSpPr>
      <xdr:spPr>
        <a:xfrm>
          <a:off x="9359307" y="1950355"/>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105" name="Group 104">
          <a:extLst>
            <a:ext uri="{FF2B5EF4-FFF2-40B4-BE49-F238E27FC236}">
              <a16:creationId xmlns:a16="http://schemas.microsoft.com/office/drawing/2014/main" id="{91F6DA6D-3171-45C7-91B8-ABB5AECE38E1}"/>
            </a:ext>
          </a:extLst>
        </xdr:cNvPr>
        <xdr:cNvGrpSpPr/>
      </xdr:nvGrpSpPr>
      <xdr:grpSpPr>
        <a:xfrm>
          <a:off x="11274288" y="1396517"/>
          <a:ext cx="502994" cy="219092"/>
          <a:chOff x="5547528" y="2332836"/>
          <a:chExt cx="438427" cy="206643"/>
        </a:xfrm>
      </xdr:grpSpPr>
      <xdr:cxnSp macro="">
        <xdr:nvCxnSpPr>
          <xdr:cNvPr id="106" name="Straight Connector 105">
            <a:extLst>
              <a:ext uri="{FF2B5EF4-FFF2-40B4-BE49-F238E27FC236}">
                <a16:creationId xmlns:a16="http://schemas.microsoft.com/office/drawing/2014/main" id="{B58AA6AE-492F-D1EB-F3B5-B46290C14E3F}"/>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07" name="Oval 17">
            <a:extLst>
              <a:ext uri="{FF2B5EF4-FFF2-40B4-BE49-F238E27FC236}">
                <a16:creationId xmlns:a16="http://schemas.microsoft.com/office/drawing/2014/main" id="{1498E4A3-E6E8-765E-B5D2-83E9887508CE}"/>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108" name="Group 107">
          <a:extLst>
            <a:ext uri="{FF2B5EF4-FFF2-40B4-BE49-F238E27FC236}">
              <a16:creationId xmlns:a16="http://schemas.microsoft.com/office/drawing/2014/main" id="{A16CCFA4-5D97-4548-806F-5212CB444777}"/>
            </a:ext>
          </a:extLst>
        </xdr:cNvPr>
        <xdr:cNvGrpSpPr/>
      </xdr:nvGrpSpPr>
      <xdr:grpSpPr>
        <a:xfrm>
          <a:off x="6730997" y="3660587"/>
          <a:ext cx="734607" cy="192291"/>
          <a:chOff x="3378943" y="2409473"/>
          <a:chExt cx="334931" cy="107732"/>
        </a:xfrm>
      </xdr:grpSpPr>
      <xdr:cxnSp macro="">
        <xdr:nvCxnSpPr>
          <xdr:cNvPr id="109" name="Straight Connector 13">
            <a:extLst>
              <a:ext uri="{FF2B5EF4-FFF2-40B4-BE49-F238E27FC236}">
                <a16:creationId xmlns:a16="http://schemas.microsoft.com/office/drawing/2014/main" id="{58C2168E-9050-3805-0667-D137B0DA95A9}"/>
              </a:ext>
            </a:extLst>
          </xdr:cNvPr>
          <xdr:cNvCxnSpPr>
            <a:stCxn id="39"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0" name="Oval 16">
            <a:extLst>
              <a:ext uri="{FF2B5EF4-FFF2-40B4-BE49-F238E27FC236}">
                <a16:creationId xmlns:a16="http://schemas.microsoft.com/office/drawing/2014/main" id="{74C8E6E4-B3BC-F854-E1D0-D87BE6822646}"/>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11" name="Straight Connector 110">
          <a:extLst>
            <a:ext uri="{FF2B5EF4-FFF2-40B4-BE49-F238E27FC236}">
              <a16:creationId xmlns:a16="http://schemas.microsoft.com/office/drawing/2014/main" id="{B4BA4CD7-DB9B-40AC-BA17-0C3A4DB5DEDA}"/>
            </a:ext>
          </a:extLst>
        </xdr:cNvPr>
        <xdr:cNvCxnSpPr/>
      </xdr:nvCxnSpPr>
      <xdr:spPr>
        <a:xfrm>
          <a:off x="6704766" y="2744200"/>
          <a:ext cx="13534" cy="1491250"/>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2" name="TextBox 12">
          <a:extLst>
            <a:ext uri="{FF2B5EF4-FFF2-40B4-BE49-F238E27FC236}">
              <a16:creationId xmlns:a16="http://schemas.microsoft.com/office/drawing/2014/main" id="{539A9C55-D872-4CCB-8E79-D03386ADEA28}"/>
            </a:ext>
          </a:extLst>
        </xdr:cNvPr>
        <xdr:cNvSpPr txBox="1"/>
      </xdr:nvSpPr>
      <xdr:spPr>
        <a:xfrm>
          <a:off x="6659984" y="2446244"/>
          <a:ext cx="573324" cy="257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3" name="TextBox 12">
          <a:extLst>
            <a:ext uri="{FF2B5EF4-FFF2-40B4-BE49-F238E27FC236}">
              <a16:creationId xmlns:a16="http://schemas.microsoft.com/office/drawing/2014/main" id="{C50D25AF-7B53-498F-9403-68203A5F3B15}"/>
            </a:ext>
          </a:extLst>
        </xdr:cNvPr>
        <xdr:cNvSpPr txBox="1"/>
      </xdr:nvSpPr>
      <xdr:spPr>
        <a:xfrm>
          <a:off x="6718627" y="4004608"/>
          <a:ext cx="569963" cy="25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14" name="Straight Connector 13">
          <a:extLst>
            <a:ext uri="{FF2B5EF4-FFF2-40B4-BE49-F238E27FC236}">
              <a16:creationId xmlns:a16="http://schemas.microsoft.com/office/drawing/2014/main" id="{F04D3B87-066F-4439-A731-4524EA432DF5}"/>
            </a:ext>
          </a:extLst>
        </xdr:cNvPr>
        <xdr:cNvCxnSpPr/>
      </xdr:nvCxnSpPr>
      <xdr:spPr>
        <a:xfrm>
          <a:off x="8910364" y="3398978"/>
          <a:ext cx="282761"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15" name="TextBox 12">
          <a:extLst>
            <a:ext uri="{FF2B5EF4-FFF2-40B4-BE49-F238E27FC236}">
              <a16:creationId xmlns:a16="http://schemas.microsoft.com/office/drawing/2014/main" id="{20C85AED-BA11-43B7-8E7F-F47A956D73B1}"/>
            </a:ext>
          </a:extLst>
        </xdr:cNvPr>
        <xdr:cNvSpPr txBox="1"/>
      </xdr:nvSpPr>
      <xdr:spPr>
        <a:xfrm>
          <a:off x="9198822" y="3184599"/>
          <a:ext cx="999121" cy="42806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16" name="TextBox 12">
          <a:extLst>
            <a:ext uri="{FF2B5EF4-FFF2-40B4-BE49-F238E27FC236}">
              <a16:creationId xmlns:a16="http://schemas.microsoft.com/office/drawing/2014/main" id="{265A1D4E-7A2D-409B-8B32-D8B6FCC8BE20}"/>
            </a:ext>
          </a:extLst>
        </xdr:cNvPr>
        <xdr:cNvSpPr txBox="1"/>
      </xdr:nvSpPr>
      <xdr:spPr>
        <a:xfrm>
          <a:off x="7328187" y="4006363"/>
          <a:ext cx="999121" cy="4254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13</xdr:col>
      <xdr:colOff>373530</xdr:colOff>
      <xdr:row>24</xdr:row>
      <xdr:rowOff>97118</xdr:rowOff>
    </xdr:from>
    <xdr:to>
      <xdr:col>17</xdr:col>
      <xdr:colOff>600697</xdr:colOff>
      <xdr:row>33</xdr:row>
      <xdr:rowOff>85891</xdr:rowOff>
    </xdr:to>
    <xdr:grpSp>
      <xdr:nvGrpSpPr>
        <xdr:cNvPr id="117" name="Group 116">
          <a:extLst>
            <a:ext uri="{FF2B5EF4-FFF2-40B4-BE49-F238E27FC236}">
              <a16:creationId xmlns:a16="http://schemas.microsoft.com/office/drawing/2014/main" id="{E8618670-6E08-4AA1-B929-18F802A1BBE4}"/>
            </a:ext>
          </a:extLst>
        </xdr:cNvPr>
        <xdr:cNvGrpSpPr/>
      </xdr:nvGrpSpPr>
      <xdr:grpSpPr>
        <a:xfrm>
          <a:off x="9064314" y="4878294"/>
          <a:ext cx="2916579" cy="1781715"/>
          <a:chOff x="6935612" y="418869"/>
          <a:chExt cx="2658310" cy="1621630"/>
        </a:xfrm>
      </xdr:grpSpPr>
      <xdr:sp macro="" textlink="">
        <xdr:nvSpPr>
          <xdr:cNvPr id="118" name="Rectangle 117">
            <a:extLst>
              <a:ext uri="{FF2B5EF4-FFF2-40B4-BE49-F238E27FC236}">
                <a16:creationId xmlns:a16="http://schemas.microsoft.com/office/drawing/2014/main" id="{96AD4D0F-380E-28EC-73AD-7C79147DA8E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19" name="Straight Connector 118">
            <a:extLst>
              <a:ext uri="{FF2B5EF4-FFF2-40B4-BE49-F238E27FC236}">
                <a16:creationId xmlns:a16="http://schemas.microsoft.com/office/drawing/2014/main" id="{206638B7-A646-B532-16E6-094BFF1CF852}"/>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0" name="Straight Connector 119">
            <a:extLst>
              <a:ext uri="{FF2B5EF4-FFF2-40B4-BE49-F238E27FC236}">
                <a16:creationId xmlns:a16="http://schemas.microsoft.com/office/drawing/2014/main" id="{748DB207-9B9D-BD72-DBE1-C3BB664F79B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1" name="TextBox 12">
            <a:extLst>
              <a:ext uri="{FF2B5EF4-FFF2-40B4-BE49-F238E27FC236}">
                <a16:creationId xmlns:a16="http://schemas.microsoft.com/office/drawing/2014/main" id="{33EA808C-9632-72B6-DBCA-C24DF91C5492}"/>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122" name="TextBox 12">
            <a:extLst>
              <a:ext uri="{FF2B5EF4-FFF2-40B4-BE49-F238E27FC236}">
                <a16:creationId xmlns:a16="http://schemas.microsoft.com/office/drawing/2014/main" id="{F9ADDE10-4DAA-D8EA-8D3E-4CC7FD10180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123" name="TextBox 12">
            <a:extLst>
              <a:ext uri="{FF2B5EF4-FFF2-40B4-BE49-F238E27FC236}">
                <a16:creationId xmlns:a16="http://schemas.microsoft.com/office/drawing/2014/main" id="{BAA82610-33ED-4CA3-BA1D-316CD21F31AA}"/>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124" name="Straight Connector 123">
            <a:extLst>
              <a:ext uri="{FF2B5EF4-FFF2-40B4-BE49-F238E27FC236}">
                <a16:creationId xmlns:a16="http://schemas.microsoft.com/office/drawing/2014/main" id="{13BB419E-185B-FE4B-C043-79474B55FE7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5" name="Oval 17">
            <a:extLst>
              <a:ext uri="{FF2B5EF4-FFF2-40B4-BE49-F238E27FC236}">
                <a16:creationId xmlns:a16="http://schemas.microsoft.com/office/drawing/2014/main" id="{54840D63-7B64-47A6-45A0-5C78A4531EB3}"/>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6" name="Right Brace 125">
            <a:extLst>
              <a:ext uri="{FF2B5EF4-FFF2-40B4-BE49-F238E27FC236}">
                <a16:creationId xmlns:a16="http://schemas.microsoft.com/office/drawing/2014/main" id="{88326646-8632-A18C-D6D0-688C2AEBC8D8}"/>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127" name="Group 126">
            <a:extLst>
              <a:ext uri="{FF2B5EF4-FFF2-40B4-BE49-F238E27FC236}">
                <a16:creationId xmlns:a16="http://schemas.microsoft.com/office/drawing/2014/main" id="{E49F6478-A77C-1202-E933-2EC41A79DFCF}"/>
              </a:ext>
            </a:extLst>
          </xdr:cNvPr>
          <xdr:cNvGrpSpPr/>
        </xdr:nvGrpSpPr>
        <xdr:grpSpPr>
          <a:xfrm>
            <a:off x="8335635" y="823261"/>
            <a:ext cx="1020997" cy="1017825"/>
            <a:chOff x="8389055" y="824269"/>
            <a:chExt cx="1018981" cy="1029919"/>
          </a:xfrm>
        </xdr:grpSpPr>
        <xdr:cxnSp macro="">
          <xdr:nvCxnSpPr>
            <xdr:cNvPr id="128" name="Straight Connector 127">
              <a:extLst>
                <a:ext uri="{FF2B5EF4-FFF2-40B4-BE49-F238E27FC236}">
                  <a16:creationId xmlns:a16="http://schemas.microsoft.com/office/drawing/2014/main" id="{4FF1F035-7768-DCD9-ADFF-624C6BF252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9" name="Straight Connector 128">
              <a:extLst>
                <a:ext uri="{FF2B5EF4-FFF2-40B4-BE49-F238E27FC236}">
                  <a16:creationId xmlns:a16="http://schemas.microsoft.com/office/drawing/2014/main" id="{745E007E-1FF3-6FA2-10E0-CA64F29B0FDB}"/>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B5EC25B-8164-BF14-1EB8-31C21234ED80}"/>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1" name="Straight Connector 130">
              <a:extLst>
                <a:ext uri="{FF2B5EF4-FFF2-40B4-BE49-F238E27FC236}">
                  <a16:creationId xmlns:a16="http://schemas.microsoft.com/office/drawing/2014/main" id="{E1857361-6DE0-5508-574B-26DCEE11C133}"/>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2" name="TextBox 12">
              <a:extLst>
                <a:ext uri="{FF2B5EF4-FFF2-40B4-BE49-F238E27FC236}">
                  <a16:creationId xmlns:a16="http://schemas.microsoft.com/office/drawing/2014/main" id="{4830A5EC-FB1C-53DE-976C-8253007588CC}"/>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133" name="Straight Connector 132">
              <a:extLst>
                <a:ext uri="{FF2B5EF4-FFF2-40B4-BE49-F238E27FC236}">
                  <a16:creationId xmlns:a16="http://schemas.microsoft.com/office/drawing/2014/main" id="{6FEB6A26-59AA-3763-EAE9-3D797A92C34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4" name="TextBox 12">
              <a:extLst>
                <a:ext uri="{FF2B5EF4-FFF2-40B4-BE49-F238E27FC236}">
                  <a16:creationId xmlns:a16="http://schemas.microsoft.com/office/drawing/2014/main" id="{8265D18B-89C9-8D7B-B6F9-C242230B57DD}"/>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35" name="TextBox 12">
              <a:extLst>
                <a:ext uri="{FF2B5EF4-FFF2-40B4-BE49-F238E27FC236}">
                  <a16:creationId xmlns:a16="http://schemas.microsoft.com/office/drawing/2014/main" id="{809E0209-3F4C-4FD9-58B1-89FC8EEA7252}"/>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36" name="TextBox 12">
              <a:extLst>
                <a:ext uri="{FF2B5EF4-FFF2-40B4-BE49-F238E27FC236}">
                  <a16:creationId xmlns:a16="http://schemas.microsoft.com/office/drawing/2014/main" id="{FD962C1D-20EB-4518-3C76-7F400CC8BB3B}"/>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7" name="Straight Connector 13">
              <a:extLst>
                <a:ext uri="{FF2B5EF4-FFF2-40B4-BE49-F238E27FC236}">
                  <a16:creationId xmlns:a16="http://schemas.microsoft.com/office/drawing/2014/main" id="{60CB93B9-2668-8F08-DE2A-963CE7F50D33}"/>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cbi.nlm.nih.gov/books/NBK565353/"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hqlo.biomedcentral.com/articles/10.1186/s12955-018-1019-3" TargetMode="External"/><Relationship Id="rId47" Type="http://schemas.openxmlformats.org/officeDocument/2006/relationships/hyperlink" Target="https://doi.org/10.1161/jaha.124.034414"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www.nice.org.uk/process/pmg36/chapter/economic-evaluation-2" TargetMode="External"/><Relationship Id="rId45" Type="http://schemas.openxmlformats.org/officeDocument/2006/relationships/hyperlink" Target="https://www.sciencedirect.com/science/article/pii/S0140673622018414"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www.ncbi.nlm.nih.gov/books/NBK565353/" TargetMode="External"/><Relationship Id="rId49" Type="http://schemas.openxmlformats.org/officeDocument/2006/relationships/printerSettings" Target="../printerSettings/printerSettings2.bin"/><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www.ncbi.nlm.nih.gov/books/NBK565353/"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www.ncbi.nlm.nih.gov/books/NBK565353/" TargetMode="External"/><Relationship Id="rId48" Type="http://schemas.openxmlformats.org/officeDocument/2006/relationships/hyperlink" Target="https://www.nice.org.uk/guidance/TA236" TargetMode="External"/><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doi.org/10.1161/jaha.124.034414" TargetMode="External"/><Relationship Id="rId46" Type="http://schemas.openxmlformats.org/officeDocument/2006/relationships/hyperlink" Target="https://doi.org/10.1161/jaha.124.034414"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427" t="s">
        <v>1</v>
      </c>
      <c r="C1" s="427"/>
      <c r="D1" s="427"/>
      <c r="E1" s="427"/>
      <c r="F1" s="428" t="s">
        <v>2</v>
      </c>
      <c r="G1" s="428"/>
      <c r="H1" s="428"/>
      <c r="I1" s="428"/>
      <c r="J1" s="429" t="s">
        <v>3</v>
      </c>
      <c r="K1" s="429"/>
      <c r="L1" s="429"/>
      <c r="M1" s="430"/>
      <c r="N1" s="431" t="s">
        <v>316</v>
      </c>
      <c r="O1" s="432"/>
      <c r="P1" s="432"/>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Z57"/>
  <sheetViews>
    <sheetView zoomScaleNormal="100" workbookViewId="0">
      <pane xSplit="4" ySplit="1" topLeftCell="S3" activePane="bottomRight" state="frozen"/>
      <selection pane="topRight" activeCell="E1" sqref="E1"/>
      <selection pane="bottomLeft" activeCell="A2" sqref="A2"/>
      <selection pane="bottomRight" activeCell="T4" sqref="T4"/>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9"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8" t="s">
        <v>77</v>
      </c>
      <c r="U3" s="90"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1"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9" t="s">
        <v>112</v>
      </c>
      <c r="U5" s="92"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3"/>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4" t="s">
        <v>148</v>
      </c>
    </row>
    <row r="8" spans="1:26" ht="210.75" customHeight="1" x14ac:dyDescent="0.2">
      <c r="A8" s="18" t="s">
        <v>42</v>
      </c>
      <c r="B8" s="20" t="s">
        <v>149</v>
      </c>
      <c r="C8" s="20">
        <v>2019</v>
      </c>
      <c r="D8" s="20" t="s">
        <v>150</v>
      </c>
      <c r="E8" s="20" t="s">
        <v>64</v>
      </c>
      <c r="F8" s="20" t="s">
        <v>151</v>
      </c>
      <c r="G8" s="20" t="s">
        <v>152</v>
      </c>
      <c r="H8" s="20" t="s">
        <v>153</v>
      </c>
      <c r="I8" s="20" t="s">
        <v>154</v>
      </c>
      <c r="J8" s="100" t="s">
        <v>155</v>
      </c>
      <c r="K8" s="100" t="s">
        <v>156</v>
      </c>
      <c r="L8" s="20" t="s">
        <v>70</v>
      </c>
      <c r="M8" s="20" t="s">
        <v>157</v>
      </c>
      <c r="N8" s="20" t="s">
        <v>158</v>
      </c>
      <c r="O8" s="20" t="s">
        <v>159</v>
      </c>
      <c r="P8" s="20" t="s">
        <v>74</v>
      </c>
      <c r="Q8" s="20" t="s">
        <v>74</v>
      </c>
      <c r="R8" s="20" t="s">
        <v>160</v>
      </c>
      <c r="S8" s="20" t="s">
        <v>161</v>
      </c>
      <c r="T8" s="98" t="s">
        <v>162</v>
      </c>
      <c r="U8" s="91"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5"/>
      <c r="W9" s="34" t="s">
        <v>180</v>
      </c>
    </row>
    <row r="10" spans="1:26" ht="304.5" customHeight="1" x14ac:dyDescent="0.2">
      <c r="A10" s="18" t="s">
        <v>181</v>
      </c>
      <c r="B10" s="27" t="s">
        <v>182</v>
      </c>
      <c r="C10" s="19">
        <v>2016</v>
      </c>
      <c r="D10" s="19" t="s">
        <v>165</v>
      </c>
      <c r="E10" s="19" t="s">
        <v>64</v>
      </c>
      <c r="F10" s="101" t="s">
        <v>183</v>
      </c>
      <c r="G10" s="100" t="s">
        <v>99</v>
      </c>
      <c r="H10" s="101" t="s">
        <v>184</v>
      </c>
      <c r="I10" s="20" t="s">
        <v>185</v>
      </c>
      <c r="J10" s="20" t="s">
        <v>186</v>
      </c>
      <c r="K10" s="20" t="s">
        <v>187</v>
      </c>
      <c r="L10" s="101" t="s">
        <v>188</v>
      </c>
      <c r="M10" s="101" t="s">
        <v>189</v>
      </c>
      <c r="N10" s="20" t="s">
        <v>190</v>
      </c>
      <c r="O10" s="20"/>
      <c r="P10" s="20" t="s">
        <v>191</v>
      </c>
      <c r="Q10" s="20" t="s">
        <v>192</v>
      </c>
      <c r="R10" s="20" t="s">
        <v>193</v>
      </c>
      <c r="S10" s="20" t="s">
        <v>194</v>
      </c>
      <c r="T10" s="27" t="s">
        <v>195</v>
      </c>
      <c r="U10" s="91" t="s">
        <v>196</v>
      </c>
      <c r="V10" s="42" t="s">
        <v>197</v>
      </c>
      <c r="W10" s="18" t="e" vm="1">
        <v>#VALUE!</v>
      </c>
      <c r="X10" s="18" t="e" vm="2">
        <v>#VALUE!</v>
      </c>
      <c r="Y10" s="18" t="e" vm="3">
        <v>#VALUE!</v>
      </c>
    </row>
    <row r="11" spans="1:26" s="31" customFormat="1" ht="409.6"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6"/>
      <c r="V11" s="23" t="s">
        <v>212</v>
      </c>
      <c r="W11" s="31" t="e" vm="4">
        <v>#VALUE!</v>
      </c>
      <c r="X11" s="31" t="e" vm="5">
        <v>#VALUE!</v>
      </c>
      <c r="Y11" s="31" t="e" vm="6">
        <v>#VALUE!</v>
      </c>
    </row>
    <row r="12" spans="1:26" ht="404"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3"/>
      <c r="V12" s="20" t="s">
        <v>227</v>
      </c>
      <c r="Y12" s="18" t="e" vm="7">
        <v>#VALUE!</v>
      </c>
      <c r="Z12" s="18" t="e" vm="8">
        <v>#VALUE!</v>
      </c>
    </row>
    <row r="13" spans="1:26" s="31" customFormat="1" ht="136"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6"/>
      <c r="V13" s="31" t="s">
        <v>241</v>
      </c>
    </row>
    <row r="14" spans="1:26" ht="409.6" x14ac:dyDescent="0.2">
      <c r="A14" s="18" t="s">
        <v>181</v>
      </c>
      <c r="B14" s="27" t="s">
        <v>242</v>
      </c>
      <c r="C14" s="19">
        <v>2019</v>
      </c>
      <c r="D14" s="19" t="s">
        <v>229</v>
      </c>
      <c r="E14" s="19" t="s">
        <v>64</v>
      </c>
      <c r="F14" s="27" t="s">
        <v>243</v>
      </c>
      <c r="G14" s="100" t="s">
        <v>99</v>
      </c>
      <c r="H14" s="20" t="s">
        <v>244</v>
      </c>
      <c r="I14" s="20" t="s">
        <v>201</v>
      </c>
      <c r="J14" s="100" t="s">
        <v>218</v>
      </c>
      <c r="K14" s="20" t="s">
        <v>245</v>
      </c>
      <c r="L14" s="20" t="s">
        <v>246</v>
      </c>
      <c r="M14" s="20" t="s">
        <v>247</v>
      </c>
      <c r="N14" s="43" t="s">
        <v>248</v>
      </c>
      <c r="O14" s="20"/>
      <c r="P14" s="20" t="s">
        <v>249</v>
      </c>
      <c r="Q14" s="20" t="s">
        <v>250</v>
      </c>
      <c r="R14" s="20" t="s">
        <v>251</v>
      </c>
      <c r="S14" s="20" t="s">
        <v>252</v>
      </c>
      <c r="T14" s="46" t="s">
        <v>253</v>
      </c>
      <c r="U14" s="93"/>
      <c r="V14" s="20" t="s">
        <v>254</v>
      </c>
      <c r="W14" s="18" t="e" vm="9">
        <v>#VALUE!</v>
      </c>
      <c r="X14" s="18" t="e" vm="10">
        <v>#VALUE!</v>
      </c>
    </row>
    <row r="15" spans="1:26" s="31" customFormat="1" ht="356"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6"/>
      <c r="V15" s="23" t="s">
        <v>268</v>
      </c>
      <c r="W15" s="31" t="e" vm="11">
        <v>#VALUE!</v>
      </c>
      <c r="X15" s="31" t="e" vm="12">
        <v>#VALUE!</v>
      </c>
      <c r="Y15" s="31" t="e" vm="13">
        <v>#VALUE!</v>
      </c>
      <c r="Z15" s="31" t="e" vm="14">
        <v>#VALUE!</v>
      </c>
    </row>
    <row r="16" spans="1:26" s="20" customFormat="1" ht="306" x14ac:dyDescent="0.2">
      <c r="A16" s="20" t="s">
        <v>181</v>
      </c>
      <c r="B16" s="27" t="s">
        <v>269</v>
      </c>
      <c r="C16" s="48">
        <v>2014</v>
      </c>
      <c r="D16" s="48" t="s">
        <v>270</v>
      </c>
      <c r="E16" s="48" t="s">
        <v>64</v>
      </c>
      <c r="F16" s="27"/>
      <c r="G16" s="20" t="s">
        <v>99</v>
      </c>
      <c r="H16" s="20" t="s">
        <v>271</v>
      </c>
      <c r="I16" s="101" t="s">
        <v>272</v>
      </c>
      <c r="J16" s="20" t="s">
        <v>155</v>
      </c>
      <c r="K16" s="20" t="s">
        <v>273</v>
      </c>
      <c r="L16" s="20" t="s">
        <v>274</v>
      </c>
      <c r="S16" s="20" t="s">
        <v>275</v>
      </c>
      <c r="T16" s="27" t="s">
        <v>276</v>
      </c>
      <c r="U16" s="91" t="s">
        <v>277</v>
      </c>
      <c r="V16" s="20" t="s">
        <v>278</v>
      </c>
    </row>
    <row r="17" spans="1:24" s="31" customFormat="1" ht="340" x14ac:dyDescent="0.2">
      <c r="A17" s="31" t="s">
        <v>181</v>
      </c>
      <c r="B17" s="32" t="s">
        <v>279</v>
      </c>
      <c r="C17" s="33">
        <v>2018</v>
      </c>
      <c r="D17" s="33" t="s">
        <v>280</v>
      </c>
      <c r="E17" s="33" t="s">
        <v>281</v>
      </c>
      <c r="F17" s="32" t="s">
        <v>282</v>
      </c>
      <c r="G17" s="100"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7"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3"/>
    </row>
    <row r="19" spans="1:24" ht="409.6"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3"/>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433"/>
      <c r="I27" s="434"/>
      <c r="J27" s="44"/>
      <c r="K27" s="44"/>
      <c r="L27" s="20"/>
      <c r="M27" s="20"/>
      <c r="N27" s="20"/>
      <c r="O27" s="20"/>
      <c r="P27" s="20"/>
      <c r="Q27" s="20"/>
      <c r="R27" s="20"/>
      <c r="S27" s="20"/>
    </row>
    <row r="28" spans="1:24" x14ac:dyDescent="0.2">
      <c r="C28" s="20"/>
      <c r="D28" s="20"/>
      <c r="E28" s="20"/>
      <c r="F28" s="20"/>
      <c r="G28" s="20"/>
      <c r="H28" s="433"/>
      <c r="I28" s="434"/>
      <c r="J28" s="44"/>
      <c r="K28" s="44"/>
      <c r="L28" s="20"/>
      <c r="M28" s="20"/>
      <c r="N28" s="20"/>
      <c r="O28" s="20"/>
      <c r="P28" s="20"/>
      <c r="Q28" s="20"/>
      <c r="R28" s="45"/>
      <c r="S28" s="45"/>
    </row>
    <row r="29" spans="1:24" x14ac:dyDescent="0.2">
      <c r="C29" s="20"/>
      <c r="D29" s="20"/>
      <c r="E29" s="20"/>
      <c r="F29" s="20"/>
      <c r="G29" s="20"/>
      <c r="H29" s="433"/>
      <c r="I29" s="434"/>
      <c r="J29" s="20"/>
      <c r="K29" s="44"/>
      <c r="L29" s="20"/>
      <c r="M29" s="20"/>
      <c r="N29" s="20"/>
      <c r="O29" s="20"/>
      <c r="P29" s="20"/>
      <c r="Q29" s="20"/>
      <c r="R29" s="20"/>
      <c r="S29" s="20"/>
    </row>
    <row r="30" spans="1:24" x14ac:dyDescent="0.2">
      <c r="C30" s="20"/>
      <c r="D30" s="20"/>
      <c r="E30" s="20"/>
      <c r="F30" s="20"/>
      <c r="G30" s="20"/>
      <c r="H30" s="433"/>
      <c r="I30" s="434"/>
      <c r="J30" s="20"/>
      <c r="K30" s="44"/>
      <c r="L30" s="20"/>
      <c r="M30" s="20"/>
      <c r="N30" s="20"/>
      <c r="O30" s="20"/>
      <c r="P30" s="20"/>
      <c r="Q30" s="20"/>
      <c r="R30" s="20"/>
      <c r="S30" s="20"/>
    </row>
    <row r="31" spans="1:24" x14ac:dyDescent="0.2">
      <c r="C31" s="20"/>
      <c r="D31" s="20"/>
      <c r="E31" s="20"/>
      <c r="F31" s="20"/>
      <c r="G31" s="20"/>
      <c r="H31" s="433"/>
      <c r="I31" s="434"/>
      <c r="J31" s="20"/>
      <c r="K31" s="20"/>
      <c r="L31" s="20"/>
      <c r="M31" s="20"/>
      <c r="N31" s="20"/>
      <c r="O31" s="20"/>
      <c r="P31" s="20"/>
      <c r="Q31" s="20"/>
      <c r="R31" s="20"/>
      <c r="S31" s="20"/>
    </row>
    <row r="32" spans="1:24" x14ac:dyDescent="0.2">
      <c r="C32" s="20"/>
      <c r="D32" s="20"/>
      <c r="E32" s="20"/>
      <c r="F32" s="20"/>
      <c r="G32" s="20"/>
      <c r="H32" s="433"/>
      <c r="I32" s="434"/>
      <c r="J32" s="20"/>
      <c r="K32" s="20"/>
      <c r="L32" s="20"/>
      <c r="M32" s="20"/>
      <c r="N32" s="20"/>
      <c r="O32" s="20"/>
      <c r="P32" s="20"/>
      <c r="Q32" s="20"/>
      <c r="R32" s="45"/>
      <c r="S32" s="45"/>
    </row>
    <row r="33" spans="3:19" x14ac:dyDescent="0.2">
      <c r="C33" s="20"/>
      <c r="D33" s="20"/>
      <c r="E33" s="20"/>
      <c r="F33" s="20"/>
      <c r="G33" s="20"/>
      <c r="H33" s="433"/>
      <c r="I33" s="434"/>
      <c r="J33" s="20"/>
      <c r="K33" s="20"/>
      <c r="L33" s="20"/>
      <c r="M33" s="20"/>
      <c r="N33" s="20"/>
      <c r="O33" s="20"/>
      <c r="P33" s="20"/>
      <c r="Q33" s="20"/>
      <c r="R33" s="20"/>
      <c r="S33" s="20"/>
    </row>
    <row r="34" spans="3:19" x14ac:dyDescent="0.2">
      <c r="C34" s="20"/>
      <c r="D34" s="20"/>
      <c r="E34" s="20"/>
      <c r="F34" s="20"/>
      <c r="G34" s="20"/>
      <c r="H34" s="433"/>
      <c r="I34" s="434"/>
      <c r="J34" s="20"/>
      <c r="K34" s="20"/>
      <c r="L34" s="20"/>
      <c r="M34" s="20"/>
      <c r="N34" s="20"/>
      <c r="O34" s="20"/>
      <c r="P34" s="20"/>
      <c r="Q34" s="20"/>
      <c r="R34" s="20"/>
      <c r="S34" s="20"/>
    </row>
    <row r="35" spans="3:19" x14ac:dyDescent="0.2">
      <c r="C35" s="20"/>
      <c r="D35" s="20"/>
      <c r="E35" s="20"/>
      <c r="F35" s="20"/>
      <c r="G35" s="20"/>
      <c r="H35" s="433"/>
      <c r="I35" s="434"/>
      <c r="J35" s="20"/>
      <c r="K35" s="20"/>
      <c r="L35" s="20"/>
      <c r="M35" s="20"/>
      <c r="N35" s="20"/>
      <c r="O35" s="20"/>
      <c r="P35" s="20"/>
      <c r="Q35" s="20"/>
      <c r="R35" s="20"/>
      <c r="S35" s="20"/>
    </row>
    <row r="36" spans="3:19" x14ac:dyDescent="0.2">
      <c r="C36" s="20"/>
      <c r="D36" s="20"/>
      <c r="E36" s="20"/>
      <c r="F36" s="20"/>
      <c r="G36" s="20"/>
      <c r="H36" s="433"/>
      <c r="I36" s="434"/>
      <c r="J36" s="20"/>
      <c r="K36" s="20"/>
      <c r="L36" s="20"/>
      <c r="M36" s="20"/>
      <c r="N36" s="20"/>
      <c r="O36" s="20"/>
      <c r="P36" s="20"/>
      <c r="Q36" s="20"/>
      <c r="R36" s="20"/>
      <c r="S36" s="20"/>
    </row>
    <row r="37" spans="3:19" x14ac:dyDescent="0.2">
      <c r="C37" s="20"/>
      <c r="D37" s="20"/>
      <c r="E37" s="20"/>
      <c r="F37" s="20"/>
      <c r="G37" s="20"/>
      <c r="H37" s="433"/>
      <c r="I37" s="434"/>
      <c r="J37" s="20"/>
      <c r="K37" s="20"/>
      <c r="L37" s="20"/>
      <c r="M37" s="20"/>
      <c r="N37" s="20"/>
      <c r="O37" s="20"/>
      <c r="P37" s="20"/>
      <c r="Q37" s="20"/>
      <c r="R37" s="45"/>
      <c r="S37" s="45"/>
    </row>
    <row r="38" spans="3:19" x14ac:dyDescent="0.2">
      <c r="C38" s="20"/>
      <c r="D38" s="20"/>
      <c r="E38" s="20"/>
      <c r="F38" s="20"/>
      <c r="G38" s="20"/>
      <c r="H38" s="433"/>
      <c r="I38" s="434"/>
      <c r="J38" s="20"/>
      <c r="K38" s="20"/>
      <c r="L38" s="20"/>
      <c r="M38" s="20"/>
      <c r="N38" s="20"/>
      <c r="O38" s="20"/>
      <c r="P38" s="20"/>
      <c r="Q38" s="20"/>
      <c r="R38" s="20"/>
      <c r="S38" s="20"/>
    </row>
    <row r="39" spans="3:19" x14ac:dyDescent="0.2">
      <c r="C39" s="20"/>
      <c r="D39" s="20"/>
      <c r="E39" s="20"/>
      <c r="F39" s="20"/>
      <c r="G39" s="20"/>
      <c r="H39" s="433"/>
      <c r="I39" s="434"/>
      <c r="J39" s="20"/>
      <c r="K39" s="20"/>
      <c r="L39" s="20"/>
      <c r="M39" s="20"/>
      <c r="N39" s="20"/>
      <c r="O39" s="20"/>
      <c r="P39" s="20"/>
      <c r="Q39" s="20"/>
      <c r="R39" s="20"/>
      <c r="S39" s="20"/>
    </row>
    <row r="40" spans="3:19" x14ac:dyDescent="0.2">
      <c r="C40" s="20"/>
      <c r="D40" s="20"/>
      <c r="E40" s="20"/>
      <c r="F40" s="20"/>
      <c r="G40" s="20"/>
      <c r="H40" s="433"/>
      <c r="I40" s="434"/>
      <c r="J40" s="20"/>
      <c r="K40" s="20"/>
      <c r="L40" s="20"/>
      <c r="M40" s="20"/>
      <c r="N40" s="20"/>
      <c r="O40" s="20"/>
      <c r="P40" s="20"/>
      <c r="Q40" s="20"/>
      <c r="R40" s="45"/>
      <c r="S40" s="45"/>
    </row>
    <row r="41" spans="3:19" x14ac:dyDescent="0.2">
      <c r="C41" s="20"/>
      <c r="D41" s="20"/>
      <c r="E41" s="20"/>
      <c r="F41" s="20"/>
      <c r="G41" s="20"/>
      <c r="H41" s="433"/>
      <c r="I41" s="434"/>
      <c r="J41" s="20"/>
      <c r="K41" s="20"/>
      <c r="L41" s="20"/>
      <c r="M41" s="20"/>
      <c r="N41" s="20"/>
      <c r="O41" s="20"/>
      <c r="P41" s="20"/>
      <c r="Q41" s="20"/>
      <c r="R41" s="20"/>
      <c r="S41" s="20"/>
    </row>
    <row r="42" spans="3:19" x14ac:dyDescent="0.2">
      <c r="C42" s="20"/>
      <c r="D42" s="20"/>
      <c r="E42" s="20"/>
      <c r="F42" s="20"/>
      <c r="G42" s="20"/>
      <c r="H42" s="433"/>
      <c r="I42" s="434"/>
      <c r="J42" s="20"/>
      <c r="K42" s="20"/>
      <c r="L42" s="20"/>
      <c r="M42" s="20"/>
      <c r="N42" s="20"/>
      <c r="O42" s="20"/>
      <c r="P42" s="20"/>
      <c r="Q42" s="20"/>
      <c r="R42" s="20"/>
      <c r="S42" s="20"/>
    </row>
    <row r="43" spans="3:19" x14ac:dyDescent="0.2">
      <c r="C43" s="20"/>
      <c r="D43" s="20"/>
      <c r="E43" s="20"/>
      <c r="F43" s="20"/>
      <c r="G43" s="20"/>
      <c r="H43" s="433"/>
      <c r="I43" s="434"/>
      <c r="J43" s="20"/>
      <c r="K43" s="20"/>
      <c r="L43" s="20"/>
      <c r="M43" s="20"/>
      <c r="N43" s="20"/>
      <c r="O43" s="20"/>
      <c r="P43" s="20"/>
      <c r="Q43" s="20"/>
      <c r="R43" s="20"/>
      <c r="S43" s="20"/>
    </row>
    <row r="44" spans="3:19" x14ac:dyDescent="0.2">
      <c r="C44" s="20"/>
      <c r="D44" s="20"/>
      <c r="E44" s="20"/>
      <c r="F44" s="20"/>
      <c r="G44" s="20"/>
      <c r="H44" s="433"/>
      <c r="I44" s="434"/>
      <c r="J44" s="20"/>
      <c r="K44" s="20"/>
      <c r="L44" s="20"/>
      <c r="M44" s="20"/>
      <c r="N44" s="20"/>
      <c r="O44" s="20"/>
      <c r="P44" s="20"/>
      <c r="Q44" s="20"/>
      <c r="R44" s="20"/>
      <c r="S44" s="20"/>
    </row>
    <row r="45" spans="3:19" x14ac:dyDescent="0.2">
      <c r="C45" s="20"/>
      <c r="D45" s="20"/>
      <c r="E45" s="20"/>
      <c r="F45" s="20"/>
      <c r="G45" s="20"/>
      <c r="H45" s="433"/>
      <c r="I45" s="434"/>
      <c r="J45" s="20"/>
      <c r="K45" s="20"/>
      <c r="L45" s="20"/>
      <c r="M45" s="20"/>
      <c r="N45" s="20"/>
      <c r="O45" s="20"/>
      <c r="P45" s="20"/>
      <c r="Q45" s="20"/>
      <c r="R45" s="20"/>
      <c r="S45" s="20"/>
    </row>
    <row r="46" spans="3:19" x14ac:dyDescent="0.2">
      <c r="C46" s="20"/>
      <c r="D46" s="20"/>
      <c r="E46" s="20"/>
      <c r="F46" s="20"/>
      <c r="G46" s="20"/>
      <c r="H46" s="433"/>
      <c r="I46" s="434"/>
      <c r="J46" s="20"/>
      <c r="K46" s="20"/>
      <c r="L46" s="20"/>
      <c r="M46" s="20"/>
      <c r="N46" s="20"/>
      <c r="O46" s="20"/>
      <c r="P46" s="20"/>
      <c r="Q46" s="20"/>
      <c r="R46" s="20"/>
      <c r="S46" s="20"/>
    </row>
    <row r="47" spans="3:19" x14ac:dyDescent="0.2">
      <c r="C47" s="20"/>
      <c r="D47" s="20"/>
      <c r="E47" s="20"/>
      <c r="F47" s="20"/>
      <c r="G47" s="20"/>
      <c r="H47" s="433"/>
      <c r="I47" s="434"/>
      <c r="J47" s="20"/>
      <c r="K47" s="20"/>
      <c r="L47" s="20"/>
      <c r="M47" s="20"/>
      <c r="N47" s="20"/>
      <c r="O47" s="20"/>
      <c r="P47" s="20"/>
      <c r="Q47" s="20"/>
      <c r="R47" s="20"/>
      <c r="S47" s="20"/>
    </row>
    <row r="48" spans="3:19" x14ac:dyDescent="0.2">
      <c r="C48" s="20"/>
      <c r="D48" s="20"/>
      <c r="E48" s="20"/>
      <c r="F48" s="20"/>
      <c r="G48" s="20"/>
      <c r="H48" s="433"/>
      <c r="I48" s="434"/>
      <c r="J48" s="20"/>
      <c r="K48" s="20"/>
      <c r="L48" s="20"/>
      <c r="M48" s="20"/>
      <c r="N48" s="20"/>
      <c r="O48" s="20"/>
      <c r="P48" s="20"/>
      <c r="Q48" s="20"/>
      <c r="R48" s="20"/>
      <c r="S48" s="20"/>
    </row>
    <row r="49" spans="3:19" x14ac:dyDescent="0.2">
      <c r="C49" s="20"/>
      <c r="D49" s="20"/>
      <c r="E49" s="20"/>
      <c r="F49" s="20"/>
      <c r="G49" s="20"/>
      <c r="H49" s="433"/>
      <c r="I49" s="434"/>
      <c r="J49" s="20"/>
      <c r="K49" s="20"/>
      <c r="L49" s="20"/>
      <c r="M49" s="20"/>
      <c r="N49" s="20"/>
      <c r="O49" s="20"/>
      <c r="P49" s="20"/>
      <c r="Q49" s="20"/>
      <c r="R49" s="20"/>
      <c r="S49" s="20"/>
    </row>
    <row r="50" spans="3:19" x14ac:dyDescent="0.2">
      <c r="C50" s="20"/>
      <c r="D50" s="20"/>
      <c r="E50" s="20"/>
      <c r="F50" s="20"/>
      <c r="G50" s="20"/>
      <c r="H50" s="433"/>
      <c r="I50" s="434"/>
      <c r="J50" s="20"/>
      <c r="K50" s="20"/>
      <c r="L50" s="20"/>
      <c r="M50" s="20"/>
      <c r="N50" s="20"/>
      <c r="O50" s="20"/>
      <c r="P50" s="20"/>
      <c r="Q50" s="20"/>
      <c r="R50" s="20"/>
      <c r="S50" s="20"/>
    </row>
    <row r="51" spans="3:19" x14ac:dyDescent="0.2">
      <c r="C51" s="20"/>
      <c r="D51" s="20"/>
      <c r="E51" s="20"/>
      <c r="F51" s="20"/>
      <c r="G51" s="20"/>
      <c r="H51" s="433"/>
      <c r="I51" s="434"/>
      <c r="J51" s="20"/>
      <c r="K51" s="20"/>
      <c r="L51" s="20"/>
      <c r="M51" s="20"/>
      <c r="N51" s="20"/>
      <c r="O51" s="20"/>
      <c r="P51" s="20"/>
      <c r="Q51" s="20"/>
      <c r="R51" s="20"/>
      <c r="S51" s="20"/>
    </row>
    <row r="52" spans="3:19" x14ac:dyDescent="0.2">
      <c r="C52" s="20"/>
      <c r="D52" s="20"/>
      <c r="E52" s="20"/>
      <c r="F52" s="20"/>
      <c r="G52" s="20"/>
      <c r="H52" s="433"/>
      <c r="I52" s="434"/>
      <c r="J52" s="20"/>
      <c r="K52" s="20"/>
      <c r="L52" s="20"/>
      <c r="M52" s="20"/>
      <c r="N52" s="20"/>
      <c r="O52" s="20"/>
      <c r="P52" s="20"/>
      <c r="Q52" s="20"/>
      <c r="R52" s="20"/>
      <c r="S52" s="20"/>
    </row>
    <row r="53" spans="3:19" x14ac:dyDescent="0.2">
      <c r="C53" s="20"/>
      <c r="D53" s="20"/>
      <c r="E53" s="20"/>
      <c r="F53" s="20"/>
      <c r="G53" s="20"/>
      <c r="H53" s="433"/>
      <c r="I53" s="434"/>
      <c r="J53" s="20"/>
      <c r="K53" s="20"/>
      <c r="L53" s="20"/>
      <c r="M53" s="20"/>
      <c r="N53" s="20"/>
      <c r="O53" s="20"/>
      <c r="P53" s="20"/>
      <c r="Q53" s="20"/>
      <c r="R53" s="20"/>
      <c r="S53" s="20"/>
    </row>
    <row r="54" spans="3:19" x14ac:dyDescent="0.2">
      <c r="C54" s="20"/>
      <c r="D54" s="20"/>
      <c r="E54" s="20"/>
      <c r="F54" s="20"/>
      <c r="G54" s="20"/>
      <c r="H54" s="433"/>
      <c r="I54" s="434"/>
      <c r="J54" s="20"/>
      <c r="K54" s="20"/>
      <c r="L54" s="20"/>
      <c r="M54" s="20"/>
      <c r="N54" s="20"/>
      <c r="O54" s="20"/>
      <c r="P54" s="20"/>
      <c r="Q54" s="20"/>
      <c r="R54" s="20"/>
      <c r="S54" s="20"/>
    </row>
    <row r="55" spans="3:19" x14ac:dyDescent="0.2">
      <c r="C55" s="20"/>
      <c r="D55" s="20"/>
      <c r="E55" s="20"/>
      <c r="F55" s="20"/>
      <c r="G55" s="20"/>
      <c r="H55" s="433"/>
      <c r="I55" s="434"/>
      <c r="J55" s="20"/>
      <c r="K55" s="20"/>
      <c r="L55" s="20"/>
      <c r="M55" s="20"/>
      <c r="N55" s="20"/>
      <c r="O55" s="20"/>
      <c r="P55" s="20"/>
      <c r="Q55" s="20"/>
      <c r="R55" s="20"/>
      <c r="S55" s="20"/>
    </row>
    <row r="56" spans="3:19" x14ac:dyDescent="0.2">
      <c r="C56" s="20"/>
      <c r="D56" s="20"/>
      <c r="E56" s="20"/>
      <c r="F56" s="20"/>
      <c r="G56" s="20"/>
      <c r="H56" s="433"/>
      <c r="I56" s="434"/>
      <c r="J56" s="20"/>
      <c r="K56" s="20"/>
      <c r="L56" s="20"/>
      <c r="M56" s="20"/>
      <c r="N56" s="20"/>
      <c r="O56" s="20"/>
      <c r="P56" s="20"/>
      <c r="Q56" s="20"/>
      <c r="R56" s="20"/>
      <c r="S56" s="20"/>
    </row>
    <row r="57" spans="3:19" x14ac:dyDescent="0.2">
      <c r="C57" s="20"/>
      <c r="D57" s="20"/>
      <c r="E57" s="20"/>
      <c r="F57" s="20"/>
      <c r="G57" s="20"/>
      <c r="H57" s="433"/>
      <c r="I57" s="434"/>
      <c r="J57" s="20"/>
      <c r="K57" s="20"/>
      <c r="L57" s="20"/>
      <c r="M57" s="20"/>
      <c r="N57" s="20"/>
      <c r="O57" s="20"/>
      <c r="P57" s="20"/>
      <c r="Q57" s="20"/>
      <c r="R57" s="20"/>
      <c r="S57" s="20"/>
    </row>
  </sheetData>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61"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4:AJ34"/>
  <sheetViews>
    <sheetView showGridLines="0" topLeftCell="A4" zoomScale="70" zoomScaleNormal="70" workbookViewId="0">
      <selection activeCell="I9" sqref="I9"/>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48" activePane="bottomLeft" state="frozen"/>
      <selection pane="bottomLeft" activeCell="B55" sqref="B55"/>
    </sheetView>
  </sheetViews>
  <sheetFormatPr baseColWidth="10" defaultColWidth="8.83203125" defaultRowHeight="15" x14ac:dyDescent="0.2"/>
  <cols>
    <col min="2" max="2" width="97.33203125" style="105" customWidth="1"/>
    <col min="3" max="3" width="28.83203125" style="3" customWidth="1"/>
    <col min="4" max="4" width="22.6640625" style="257" customWidth="1"/>
  </cols>
  <sheetData>
    <row r="1" spans="1:5" ht="16" x14ac:dyDescent="0.2">
      <c r="B1" s="376" t="s">
        <v>471</v>
      </c>
      <c r="D1" s="257" t="s">
        <v>986</v>
      </c>
      <c r="E1" t="s">
        <v>989</v>
      </c>
    </row>
    <row r="2" spans="1:5" ht="16" x14ac:dyDescent="0.2">
      <c r="B2" s="377" t="s">
        <v>992</v>
      </c>
    </row>
    <row r="3" spans="1:5" ht="16" x14ac:dyDescent="0.2">
      <c r="B3" s="377" t="s">
        <v>993</v>
      </c>
    </row>
    <row r="4" spans="1:5" ht="16" x14ac:dyDescent="0.2">
      <c r="B4" s="377" t="s">
        <v>994</v>
      </c>
      <c r="D4" s="257" t="s">
        <v>1004</v>
      </c>
    </row>
    <row r="5" spans="1:5" ht="20" customHeight="1" x14ac:dyDescent="0.2">
      <c r="A5" t="s">
        <v>1117</v>
      </c>
      <c r="B5" s="378" t="s">
        <v>714</v>
      </c>
    </row>
    <row r="6" spans="1:5" ht="20" customHeight="1" x14ac:dyDescent="0.2">
      <c r="A6" t="s">
        <v>1117</v>
      </c>
      <c r="B6" s="379" t="s">
        <v>733</v>
      </c>
      <c r="C6" s="139"/>
      <c r="D6" s="257" t="s">
        <v>1004</v>
      </c>
    </row>
    <row r="7" spans="1:5" ht="17.5" customHeight="1" x14ac:dyDescent="0.2">
      <c r="A7" t="s">
        <v>1117</v>
      </c>
      <c r="B7" s="380" t="s">
        <v>734</v>
      </c>
      <c r="C7" s="139"/>
    </row>
    <row r="8" spans="1:5" ht="18.5" customHeight="1" x14ac:dyDescent="0.2">
      <c r="A8" t="s">
        <v>1117</v>
      </c>
      <c r="B8" s="105" t="s">
        <v>987</v>
      </c>
      <c r="C8" s="179"/>
    </row>
    <row r="9" spans="1:5" ht="20" customHeight="1" x14ac:dyDescent="0.2">
      <c r="A9" t="s">
        <v>1117</v>
      </c>
      <c r="B9" s="381" t="s">
        <v>588</v>
      </c>
      <c r="C9" s="179"/>
    </row>
    <row r="10" spans="1:5" ht="40.5" customHeight="1" x14ac:dyDescent="0.2">
      <c r="A10" t="s">
        <v>1117</v>
      </c>
      <c r="B10" s="380" t="s">
        <v>735</v>
      </c>
      <c r="C10" s="179"/>
    </row>
    <row r="11" spans="1:5" ht="39.5" customHeight="1" x14ac:dyDescent="0.2">
      <c r="A11" t="s">
        <v>1117</v>
      </c>
      <c r="B11" s="380" t="s">
        <v>740</v>
      </c>
      <c r="C11" s="179"/>
      <c r="D11" s="257" t="s">
        <v>988</v>
      </c>
    </row>
    <row r="12" spans="1:5" ht="30" customHeight="1" x14ac:dyDescent="0.2">
      <c r="A12" t="s">
        <v>1117</v>
      </c>
      <c r="B12" s="380" t="s">
        <v>729</v>
      </c>
      <c r="C12" s="228">
        <v>0.1863865993086945</v>
      </c>
      <c r="D12" s="313" t="s">
        <v>1005</v>
      </c>
    </row>
    <row r="13" spans="1:5" ht="30" customHeight="1" x14ac:dyDescent="0.2">
      <c r="A13" t="s">
        <v>1117</v>
      </c>
      <c r="B13" s="380" t="s">
        <v>730</v>
      </c>
      <c r="C13" s="228">
        <v>0.55463972347779844</v>
      </c>
      <c r="D13" s="313" t="s">
        <v>1005</v>
      </c>
    </row>
    <row r="14" spans="1:5" ht="30" customHeight="1" x14ac:dyDescent="0.2">
      <c r="A14" t="s">
        <v>1117</v>
      </c>
      <c r="B14" s="380" t="s">
        <v>731</v>
      </c>
      <c r="C14" s="228">
        <v>0.25897367721350706</v>
      </c>
      <c r="D14" s="313" t="s">
        <v>1005</v>
      </c>
    </row>
    <row r="15" spans="1:5" ht="30" customHeight="1" x14ac:dyDescent="0.2">
      <c r="A15" t="s">
        <v>1117</v>
      </c>
      <c r="B15" s="380" t="s">
        <v>732</v>
      </c>
    </row>
    <row r="16" spans="1:5" ht="30" customHeight="1" x14ac:dyDescent="0.2">
      <c r="A16" t="s">
        <v>1117</v>
      </c>
      <c r="B16" s="380" t="s">
        <v>741</v>
      </c>
      <c r="C16" s="3" t="s">
        <v>527</v>
      </c>
    </row>
    <row r="17" spans="1:4" ht="30" customHeight="1" x14ac:dyDescent="0.2">
      <c r="A17" t="s">
        <v>1117</v>
      </c>
      <c r="B17" s="380" t="s">
        <v>1017</v>
      </c>
    </row>
    <row r="18" spans="1:4" ht="78.75" customHeight="1" x14ac:dyDescent="0.2">
      <c r="A18" t="s">
        <v>1117</v>
      </c>
      <c r="B18" s="380" t="s">
        <v>875</v>
      </c>
      <c r="C18" s="3">
        <v>365</v>
      </c>
    </row>
    <row r="19" spans="1:4" ht="30" customHeight="1" x14ac:dyDescent="0.2">
      <c r="A19" t="s">
        <v>1117</v>
      </c>
      <c r="B19" s="380" t="s">
        <v>1018</v>
      </c>
      <c r="C19" s="179">
        <v>0.15</v>
      </c>
    </row>
    <row r="20" spans="1:4" ht="52.25" customHeight="1" x14ac:dyDescent="0.2">
      <c r="A20" t="s">
        <v>1117</v>
      </c>
      <c r="B20" s="380" t="s">
        <v>879</v>
      </c>
      <c r="C20" s="179"/>
    </row>
    <row r="21" spans="1:4" ht="33" customHeight="1" x14ac:dyDescent="0.2">
      <c r="A21" t="s">
        <v>1117</v>
      </c>
      <c r="B21" s="380" t="s">
        <v>877</v>
      </c>
      <c r="C21" s="150"/>
    </row>
    <row r="22" spans="1:4" ht="30" customHeight="1" x14ac:dyDescent="0.2">
      <c r="A22" t="s">
        <v>1117</v>
      </c>
      <c r="B22" s="380" t="s">
        <v>742</v>
      </c>
    </row>
    <row r="23" spans="1:4" ht="30" customHeight="1" x14ac:dyDescent="0.2">
      <c r="A23" t="s">
        <v>1117</v>
      </c>
      <c r="B23" s="380" t="s">
        <v>715</v>
      </c>
      <c r="C23" s="234">
        <v>2003.9049186967752</v>
      </c>
    </row>
    <row r="24" spans="1:4" ht="30" customHeight="1" x14ac:dyDescent="0.2">
      <c r="A24" t="s">
        <v>1117</v>
      </c>
      <c r="B24" s="380" t="s">
        <v>736</v>
      </c>
      <c r="C24" s="234">
        <v>1427.1713079498984</v>
      </c>
    </row>
    <row r="25" spans="1:4" ht="49.25" customHeight="1" x14ac:dyDescent="0.2">
      <c r="A25" t="s">
        <v>1117</v>
      </c>
      <c r="B25" s="380" t="s">
        <v>737</v>
      </c>
      <c r="C25" s="76"/>
      <c r="D25" s="136" t="s">
        <v>990</v>
      </c>
    </row>
    <row r="26" spans="1:4" ht="30" customHeight="1" x14ac:dyDescent="0.2">
      <c r="A26" t="s">
        <v>1117</v>
      </c>
      <c r="B26" s="380" t="s">
        <v>747</v>
      </c>
      <c r="C26" s="76"/>
      <c r="D26" s="136"/>
    </row>
    <row r="27" spans="1:4" ht="30" customHeight="1" x14ac:dyDescent="0.2">
      <c r="A27" t="s">
        <v>1117</v>
      </c>
      <c r="B27" s="380" t="s">
        <v>738</v>
      </c>
      <c r="C27" s="76"/>
      <c r="D27" s="136"/>
    </row>
    <row r="28" spans="1:4" ht="30" customHeight="1" x14ac:dyDescent="0.2">
      <c r="A28" t="s">
        <v>1117</v>
      </c>
      <c r="B28" s="380" t="s">
        <v>746</v>
      </c>
      <c r="C28" s="3">
        <v>1</v>
      </c>
    </row>
    <row r="29" spans="1:4" ht="30" customHeight="1" x14ac:dyDescent="0.2">
      <c r="A29" t="s">
        <v>1117</v>
      </c>
      <c r="B29" s="380" t="s">
        <v>739</v>
      </c>
      <c r="C29" s="3">
        <v>1</v>
      </c>
    </row>
    <row r="30" spans="1:4" ht="30" customHeight="1" x14ac:dyDescent="0.2">
      <c r="A30" t="s">
        <v>1117</v>
      </c>
      <c r="B30" s="380" t="s">
        <v>745</v>
      </c>
      <c r="C30" s="179">
        <v>1</v>
      </c>
    </row>
    <row r="31" spans="1:4" ht="30" customHeight="1" x14ac:dyDescent="0.2">
      <c r="A31" t="s">
        <v>1117</v>
      </c>
      <c r="B31" s="380" t="s">
        <v>1019</v>
      </c>
      <c r="C31" s="179">
        <v>0.3</v>
      </c>
    </row>
    <row r="32" spans="1:4" ht="30" customHeight="1" x14ac:dyDescent="0.2">
      <c r="A32" t="s">
        <v>1117</v>
      </c>
      <c r="B32" s="380" t="s">
        <v>1020</v>
      </c>
      <c r="C32" s="179"/>
    </row>
    <row r="33" spans="1:5" ht="21.5" customHeight="1" x14ac:dyDescent="0.2">
      <c r="A33" t="s">
        <v>1117</v>
      </c>
      <c r="B33" s="314" t="s">
        <v>748</v>
      </c>
    </row>
    <row r="34" spans="1:5" ht="34" customHeight="1" x14ac:dyDescent="0.2">
      <c r="A34" t="s">
        <v>1117</v>
      </c>
      <c r="B34" s="380" t="s">
        <v>744</v>
      </c>
    </row>
    <row r="35" spans="1:5" ht="26.5" customHeight="1" x14ac:dyDescent="0.2">
      <c r="A35" t="s">
        <v>1117</v>
      </c>
      <c r="B35" s="377" t="s">
        <v>751</v>
      </c>
    </row>
    <row r="36" spans="1:5" ht="24" customHeight="1" x14ac:dyDescent="0.2">
      <c r="A36" t="s">
        <v>1117</v>
      </c>
      <c r="B36" s="141" t="s">
        <v>752</v>
      </c>
    </row>
    <row r="37" spans="1:5" ht="22.5" customHeight="1" x14ac:dyDescent="0.2">
      <c r="A37" t="s">
        <v>1117</v>
      </c>
      <c r="B37" s="380" t="s">
        <v>743</v>
      </c>
    </row>
    <row r="38" spans="1:5" ht="22.5" customHeight="1" x14ac:dyDescent="0.2">
      <c r="A38" t="s">
        <v>1117</v>
      </c>
      <c r="B38" s="380" t="s">
        <v>750</v>
      </c>
    </row>
    <row r="39" spans="1:5" ht="22.5" customHeight="1" x14ac:dyDescent="0.2">
      <c r="A39" t="s">
        <v>1117</v>
      </c>
      <c r="B39" s="380" t="s">
        <v>753</v>
      </c>
    </row>
    <row r="40" spans="1:5" ht="32" x14ac:dyDescent="0.2">
      <c r="A40" t="s">
        <v>1117</v>
      </c>
      <c r="B40" s="382" t="s">
        <v>749</v>
      </c>
    </row>
    <row r="41" spans="1:5" x14ac:dyDescent="0.2">
      <c r="A41" t="s">
        <v>1117</v>
      </c>
    </row>
    <row r="42" spans="1:5" x14ac:dyDescent="0.2">
      <c r="B42" s="105" t="s">
        <v>1021</v>
      </c>
    </row>
    <row r="43" spans="1:5" x14ac:dyDescent="0.2">
      <c r="A43" t="s">
        <v>1118</v>
      </c>
      <c r="B43" s="105" t="s">
        <v>1022</v>
      </c>
      <c r="C43" s="179">
        <v>0.86</v>
      </c>
      <c r="D43" t="s">
        <v>1025</v>
      </c>
    </row>
    <row r="44" spans="1:5" ht="19.5" customHeight="1" x14ac:dyDescent="0.2">
      <c r="A44" t="s">
        <v>1119</v>
      </c>
      <c r="B44" s="105" t="s">
        <v>1023</v>
      </c>
      <c r="C44" s="151">
        <v>0.69899999999999995</v>
      </c>
      <c r="D44" s="257" t="s">
        <v>1024</v>
      </c>
    </row>
    <row r="45" spans="1:5" x14ac:dyDescent="0.2">
      <c r="A45" t="s">
        <v>1120</v>
      </c>
      <c r="B45" s="105" t="s">
        <v>1126</v>
      </c>
      <c r="C45" s="151">
        <v>0.56799999999999995</v>
      </c>
      <c r="D45" t="s">
        <v>649</v>
      </c>
    </row>
    <row r="46" spans="1:5" ht="15" customHeight="1" x14ac:dyDescent="0.2">
      <c r="A46" t="s">
        <v>1121</v>
      </c>
      <c r="B46" s="105" t="s">
        <v>1127</v>
      </c>
      <c r="C46" s="3" t="s">
        <v>1026</v>
      </c>
      <c r="D46" s="257" t="s">
        <v>1128</v>
      </c>
    </row>
    <row r="47" spans="1:5" ht="16" x14ac:dyDescent="0.2">
      <c r="A47" t="s">
        <v>1122</v>
      </c>
      <c r="B47" s="105" t="s">
        <v>1027</v>
      </c>
      <c r="C47" s="151">
        <v>7.1999999999999998E-3</v>
      </c>
      <c r="D47" s="257" t="s">
        <v>1028</v>
      </c>
    </row>
    <row r="48" spans="1:5" ht="16" x14ac:dyDescent="0.2">
      <c r="A48" t="s">
        <v>1123</v>
      </c>
      <c r="B48" s="105" t="s">
        <v>1031</v>
      </c>
      <c r="C48" s="3" t="s">
        <v>1033</v>
      </c>
      <c r="D48" s="257" t="s">
        <v>1029</v>
      </c>
      <c r="E48" s="143" t="s">
        <v>1030</v>
      </c>
    </row>
    <row r="49" spans="1:4" ht="16" x14ac:dyDescent="0.2">
      <c r="A49" t="s">
        <v>1124</v>
      </c>
      <c r="B49" s="105" t="s">
        <v>1027</v>
      </c>
      <c r="C49" s="3" t="s">
        <v>1034</v>
      </c>
      <c r="D49" s="257" t="s">
        <v>1032</v>
      </c>
    </row>
    <row r="50" spans="1:4" ht="16" x14ac:dyDescent="0.2">
      <c r="A50" t="s">
        <v>1125</v>
      </c>
      <c r="B50" s="105" t="s">
        <v>1129</v>
      </c>
      <c r="D50" s="257" t="s">
        <v>1035</v>
      </c>
    </row>
    <row r="51" spans="1:4" x14ac:dyDescent="0.2">
      <c r="A51" t="s">
        <v>1130</v>
      </c>
      <c r="B51" s="105" t="s">
        <v>1036</v>
      </c>
    </row>
    <row r="52" spans="1:4" ht="16" x14ac:dyDescent="0.2">
      <c r="B52" s="105" t="s">
        <v>1037</v>
      </c>
      <c r="C52" s="151">
        <v>7.85E-2</v>
      </c>
      <c r="D52" s="257" t="s">
        <v>1038</v>
      </c>
    </row>
    <row r="53" spans="1:4" x14ac:dyDescent="0.2">
      <c r="B53" s="105" t="s">
        <v>1039</v>
      </c>
      <c r="C53" s="3" t="s">
        <v>1040</v>
      </c>
    </row>
    <row r="55" spans="1:4" ht="16" x14ac:dyDescent="0.2">
      <c r="A55" t="s">
        <v>1131</v>
      </c>
      <c r="B55" s="105" t="s">
        <v>1106</v>
      </c>
      <c r="C55" s="375">
        <v>893.20396071179425</v>
      </c>
      <c r="D55" s="257" t="s">
        <v>1038</v>
      </c>
    </row>
    <row r="56" spans="1:4" ht="16" x14ac:dyDescent="0.2">
      <c r="B56" s="105" t="s">
        <v>1107</v>
      </c>
      <c r="C56" s="375"/>
      <c r="D56" s="257" t="s">
        <v>1112</v>
      </c>
    </row>
    <row r="57" spans="1:4" ht="16" x14ac:dyDescent="0.2">
      <c r="A57" t="s">
        <v>1132</v>
      </c>
      <c r="B57" s="105" t="s">
        <v>1108</v>
      </c>
      <c r="C57" s="375">
        <v>3528.2167394737421</v>
      </c>
      <c r="D57" s="257" t="s">
        <v>1113</v>
      </c>
    </row>
    <row r="58" spans="1:4" ht="16" x14ac:dyDescent="0.2">
      <c r="A58" t="s">
        <v>1133</v>
      </c>
      <c r="B58" s="105" t="s">
        <v>1110</v>
      </c>
      <c r="C58" s="375">
        <v>3848.9637157895368</v>
      </c>
      <c r="D58" s="257" t="s">
        <v>1114</v>
      </c>
    </row>
    <row r="59" spans="1:4" ht="16" x14ac:dyDescent="0.2">
      <c r="A59" t="s">
        <v>1134</v>
      </c>
      <c r="B59" s="105" t="s">
        <v>1109</v>
      </c>
      <c r="C59" s="375">
        <v>4169.7106921053319</v>
      </c>
      <c r="D59" s="257" t="s">
        <v>1115</v>
      </c>
    </row>
    <row r="60" spans="1:4" ht="16" x14ac:dyDescent="0.2">
      <c r="A60" t="s">
        <v>1135</v>
      </c>
      <c r="B60" s="105" t="s">
        <v>1111</v>
      </c>
      <c r="C60" s="375">
        <v>4490.4576684211261</v>
      </c>
      <c r="D60" s="257" t="s">
        <v>1116</v>
      </c>
    </row>
    <row r="61" spans="1:4" ht="16" x14ac:dyDescent="0.2">
      <c r="A61" t="s">
        <v>1136</v>
      </c>
      <c r="B61" s="105" t="s">
        <v>1137</v>
      </c>
      <c r="D61" s="257" t="s">
        <v>1140</v>
      </c>
    </row>
    <row r="62" spans="1:4" ht="16" x14ac:dyDescent="0.2">
      <c r="A62" t="s">
        <v>1138</v>
      </c>
      <c r="B62" s="105" t="s">
        <v>1139</v>
      </c>
      <c r="C62" s="151">
        <v>1.4999999999999999E-2</v>
      </c>
      <c r="D62" s="257" t="s">
        <v>1141</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zoomScale="117" zoomScaleNormal="70" workbookViewId="0">
      <pane ySplit="1" topLeftCell="A16" activePane="bottomLeft" state="frozen"/>
      <selection pane="bottomLeft" activeCell="D44" sqref="D44"/>
    </sheetView>
  </sheetViews>
  <sheetFormatPr baseColWidth="10" defaultColWidth="8.83203125" defaultRowHeight="15" x14ac:dyDescent="0.2"/>
  <cols>
    <col min="1" max="1" width="43.1640625" style="105" customWidth="1"/>
    <col min="2" max="2" width="45.5" customWidth="1"/>
    <col min="3" max="3" width="11.1640625" style="3" customWidth="1"/>
    <col min="4" max="4" width="19.33203125" style="76" customWidth="1"/>
    <col min="5" max="5" width="12.6640625" style="81" customWidth="1"/>
    <col min="6" max="6" width="10.5" style="76" customWidth="1"/>
    <col min="7" max="8" width="9.1640625" style="76" customWidth="1"/>
    <col min="9" max="9" width="29.1640625" style="105" customWidth="1"/>
    <col min="10" max="10" width="23.6640625" style="3" customWidth="1"/>
    <col min="11" max="11" width="52.5" style="105" customWidth="1"/>
    <col min="13" max="13" width="11.5" customWidth="1"/>
    <col min="15" max="15" width="8.1640625" customWidth="1"/>
    <col min="16" max="16" width="15.5" customWidth="1"/>
    <col min="17" max="17" width="8.83203125" customWidth="1"/>
    <col min="2001" max="2001" width="2.5" customWidth="1"/>
  </cols>
  <sheetData>
    <row r="1" spans="1:17" s="244" customFormat="1" ht="32" customHeight="1" x14ac:dyDescent="0.2">
      <c r="A1" s="243" t="s">
        <v>924</v>
      </c>
      <c r="B1" s="243" t="s">
        <v>1083</v>
      </c>
      <c r="C1" s="243" t="s">
        <v>824</v>
      </c>
      <c r="D1" s="243" t="s">
        <v>469</v>
      </c>
      <c r="E1" s="315" t="s">
        <v>387</v>
      </c>
      <c r="F1" s="243" t="s">
        <v>377</v>
      </c>
      <c r="G1" s="243" t="s">
        <v>333</v>
      </c>
      <c r="H1" s="243" t="s">
        <v>334</v>
      </c>
      <c r="I1" s="243" t="s">
        <v>458</v>
      </c>
      <c r="J1" s="243" t="s">
        <v>383</v>
      </c>
      <c r="K1" s="320" t="s">
        <v>623</v>
      </c>
    </row>
    <row r="2" spans="1:17" s="87" customFormat="1" ht="18" customHeight="1" x14ac:dyDescent="0.2">
      <c r="A2" s="422" t="s">
        <v>1214</v>
      </c>
      <c r="B2" s="321" t="s">
        <v>327</v>
      </c>
      <c r="C2" s="321" t="s">
        <v>871</v>
      </c>
      <c r="D2" s="322">
        <v>62</v>
      </c>
      <c r="E2" s="322" t="s">
        <v>350</v>
      </c>
      <c r="F2" s="321"/>
      <c r="G2" s="321"/>
      <c r="H2" s="321"/>
      <c r="I2" s="326"/>
      <c r="J2" s="102" t="s">
        <v>345</v>
      </c>
      <c r="K2" s="323" t="s">
        <v>699</v>
      </c>
    </row>
    <row r="3" spans="1:17" s="87" customFormat="1" ht="21" customHeight="1" x14ac:dyDescent="0.2">
      <c r="A3" s="422" t="s">
        <v>1215</v>
      </c>
      <c r="B3" s="321" t="s">
        <v>327</v>
      </c>
      <c r="C3" s="321" t="s">
        <v>871</v>
      </c>
      <c r="D3" s="322">
        <v>69</v>
      </c>
      <c r="E3" s="322" t="s">
        <v>350</v>
      </c>
      <c r="F3" s="321"/>
      <c r="G3" s="321"/>
      <c r="H3" s="321"/>
      <c r="I3" s="326"/>
      <c r="J3" s="102" t="s">
        <v>622</v>
      </c>
      <c r="K3" s="325" t="s">
        <v>619</v>
      </c>
    </row>
    <row r="4" spans="1:17" s="87" customFormat="1" ht="14.5" customHeight="1" x14ac:dyDescent="0.2">
      <c r="A4" s="324" t="s">
        <v>1006</v>
      </c>
      <c r="B4" s="321" t="s">
        <v>836</v>
      </c>
      <c r="C4" s="321" t="s">
        <v>871</v>
      </c>
      <c r="D4" s="322">
        <v>1000</v>
      </c>
      <c r="E4" s="322" t="s">
        <v>350</v>
      </c>
      <c r="F4" s="321"/>
      <c r="G4" s="321"/>
      <c r="H4" s="321"/>
      <c r="I4" s="326"/>
      <c r="J4" s="102" t="s">
        <v>345</v>
      </c>
      <c r="K4" s="323" t="s">
        <v>699</v>
      </c>
    </row>
    <row r="5" spans="1:17" s="87" customFormat="1" x14ac:dyDescent="0.2">
      <c r="A5" s="423" t="s">
        <v>1216</v>
      </c>
      <c r="B5" s="326" t="s">
        <v>479</v>
      </c>
      <c r="C5" s="102" t="s">
        <v>825</v>
      </c>
      <c r="D5" s="327">
        <v>0.75</v>
      </c>
      <c r="E5" s="328" t="s">
        <v>350</v>
      </c>
      <c r="F5" s="102"/>
      <c r="G5" s="102"/>
      <c r="H5" s="102"/>
      <c r="I5" s="326"/>
      <c r="J5" s="102" t="s">
        <v>345</v>
      </c>
      <c r="K5" s="323" t="s">
        <v>699</v>
      </c>
    </row>
    <row r="6" spans="1:17" s="87" customFormat="1" ht="14.5" customHeight="1" x14ac:dyDescent="0.2">
      <c r="A6" s="329" t="s">
        <v>880</v>
      </c>
      <c r="B6" s="87" t="s">
        <v>602</v>
      </c>
      <c r="C6" s="102" t="s">
        <v>825</v>
      </c>
      <c r="D6" s="330">
        <v>0.219</v>
      </c>
      <c r="E6" s="102">
        <v>16265</v>
      </c>
      <c r="F6" s="102"/>
      <c r="G6" s="102"/>
      <c r="H6" s="321" t="s">
        <v>350</v>
      </c>
      <c r="I6" s="326"/>
      <c r="J6" s="102" t="s">
        <v>622</v>
      </c>
      <c r="K6" s="325" t="s">
        <v>619</v>
      </c>
      <c r="L6" s="331"/>
      <c r="M6" s="331"/>
      <c r="N6" s="331"/>
      <c r="O6" s="331"/>
      <c r="P6" s="331"/>
    </row>
    <row r="7" spans="1:17" s="87" customFormat="1" ht="14.5" customHeight="1" x14ac:dyDescent="0.2">
      <c r="A7" s="329" t="s">
        <v>881</v>
      </c>
      <c r="B7" s="87" t="s">
        <v>601</v>
      </c>
      <c r="C7" s="102" t="s">
        <v>825</v>
      </c>
      <c r="D7" s="330">
        <v>0.55200000000000005</v>
      </c>
      <c r="E7" s="102">
        <v>16265</v>
      </c>
      <c r="F7" s="321" t="s">
        <v>350</v>
      </c>
      <c r="G7" s="321" t="s">
        <v>350</v>
      </c>
      <c r="H7" s="321" t="s">
        <v>350</v>
      </c>
      <c r="I7" s="326"/>
      <c r="J7" s="102" t="s">
        <v>622</v>
      </c>
      <c r="K7" s="325" t="s">
        <v>620</v>
      </c>
    </row>
    <row r="8" spans="1:17" s="87" customFormat="1" ht="13.5" customHeight="1" x14ac:dyDescent="0.2">
      <c r="A8" s="329" t="s">
        <v>882</v>
      </c>
      <c r="B8" s="87" t="s">
        <v>603</v>
      </c>
      <c r="C8" s="102" t="s">
        <v>825</v>
      </c>
      <c r="D8" s="330">
        <v>0.22900000000000001</v>
      </c>
      <c r="E8" s="102">
        <v>16265</v>
      </c>
      <c r="F8" s="321" t="s">
        <v>350</v>
      </c>
      <c r="G8" s="321" t="s">
        <v>350</v>
      </c>
      <c r="H8" s="321" t="s">
        <v>350</v>
      </c>
      <c r="I8" s="326"/>
      <c r="J8" s="102" t="s">
        <v>622</v>
      </c>
      <c r="K8" s="325" t="s">
        <v>621</v>
      </c>
    </row>
    <row r="9" spans="1:17" s="87" customFormat="1" ht="13.5" customHeight="1" x14ac:dyDescent="0.2">
      <c r="A9" s="329" t="s">
        <v>925</v>
      </c>
      <c r="B9" s="87" t="s">
        <v>864</v>
      </c>
      <c r="C9" s="102" t="s">
        <v>866</v>
      </c>
      <c r="D9" s="330">
        <v>0.89</v>
      </c>
      <c r="E9" s="102" t="s">
        <v>350</v>
      </c>
      <c r="F9" s="321"/>
      <c r="G9" s="321"/>
      <c r="H9" s="321"/>
      <c r="I9" s="326"/>
      <c r="J9" s="102" t="s">
        <v>650</v>
      </c>
      <c r="K9" s="325" t="s">
        <v>1094</v>
      </c>
    </row>
    <row r="10" spans="1:17" s="87" customFormat="1" ht="13.5" customHeight="1" x14ac:dyDescent="0.2">
      <c r="A10" s="329" t="s">
        <v>926</v>
      </c>
      <c r="B10" s="87" t="s">
        <v>865</v>
      </c>
      <c r="C10" s="102" t="s">
        <v>866</v>
      </c>
      <c r="D10" s="330">
        <v>1</v>
      </c>
      <c r="E10" s="332" t="s">
        <v>350</v>
      </c>
      <c r="F10" s="321"/>
      <c r="G10" s="321"/>
      <c r="H10" s="321"/>
      <c r="I10" s="326"/>
      <c r="J10" s="102" t="s">
        <v>1096</v>
      </c>
      <c r="K10" s="333" t="s">
        <v>1095</v>
      </c>
    </row>
    <row r="11" spans="1:17" ht="8" customHeight="1" x14ac:dyDescent="0.2">
      <c r="A11" s="277"/>
      <c r="D11" s="79"/>
    </row>
    <row r="12" spans="1:17" s="87" customFormat="1" x14ac:dyDescent="0.2">
      <c r="A12" s="329" t="s">
        <v>883</v>
      </c>
      <c r="B12" s="326" t="s">
        <v>604</v>
      </c>
      <c r="C12" s="102" t="s">
        <v>803</v>
      </c>
      <c r="D12" s="334">
        <f>prob_dead_ac</f>
        <v>9.7253633201505679E-2</v>
      </c>
      <c r="E12" s="335">
        <v>41974</v>
      </c>
      <c r="F12" s="334">
        <v>1.99E-3</v>
      </c>
      <c r="G12" s="334">
        <v>9.3474007719064167E-2</v>
      </c>
      <c r="H12" s="334">
        <v>0.10129313384476103</v>
      </c>
      <c r="I12" s="366" t="s">
        <v>723</v>
      </c>
      <c r="J12" s="102" t="s">
        <v>328</v>
      </c>
      <c r="K12" s="435" t="s">
        <v>625</v>
      </c>
      <c r="L12" s="435"/>
      <c r="M12" s="435"/>
      <c r="N12" s="435"/>
      <c r="O12" s="435"/>
      <c r="P12" s="435"/>
      <c r="Q12" s="436"/>
    </row>
    <row r="13" spans="1:17" s="87" customFormat="1" ht="16" x14ac:dyDescent="0.2">
      <c r="A13" s="329" t="s">
        <v>884</v>
      </c>
      <c r="B13" s="326" t="s">
        <v>596</v>
      </c>
      <c r="C13" s="102" t="s">
        <v>803</v>
      </c>
      <c r="D13" s="334">
        <v>6.5500000000000003E-2</v>
      </c>
      <c r="E13" s="335">
        <v>1648</v>
      </c>
      <c r="F13" s="334">
        <v>6.0958802523251596E-3</v>
      </c>
      <c r="G13" s="334">
        <v>5.3586055287966901E-2</v>
      </c>
      <c r="H13" s="334">
        <v>7.7481905877081494E-2</v>
      </c>
      <c r="I13" s="366" t="s">
        <v>723</v>
      </c>
      <c r="J13" s="102" t="s">
        <v>353</v>
      </c>
      <c r="K13" s="325" t="s">
        <v>629</v>
      </c>
    </row>
    <row r="14" spans="1:17" s="87" customFormat="1" ht="16" x14ac:dyDescent="0.2">
      <c r="A14" s="329" t="s">
        <v>885</v>
      </c>
      <c r="B14" s="326" t="s">
        <v>597</v>
      </c>
      <c r="C14" s="102" t="s">
        <v>803</v>
      </c>
      <c r="D14" s="334">
        <f>prob_stk_ac</f>
        <v>1.1635180783185286E-2</v>
      </c>
      <c r="E14" s="335">
        <v>11653</v>
      </c>
      <c r="F14" s="334">
        <v>1.0260441208098795E-3</v>
      </c>
      <c r="G14" s="334">
        <v>1.1299999999999999E-2</v>
      </c>
      <c r="H14" s="334">
        <v>1.2699999999999999E-2</v>
      </c>
      <c r="I14" s="366" t="s">
        <v>723</v>
      </c>
      <c r="J14" s="102" t="s">
        <v>384</v>
      </c>
      <c r="K14" s="325" t="s">
        <v>700</v>
      </c>
      <c r="L14" s="337"/>
    </row>
    <row r="15" spans="1:17" s="87" customFormat="1" x14ac:dyDescent="0.2">
      <c r="A15" s="329" t="s">
        <v>886</v>
      </c>
      <c r="B15" s="326" t="s">
        <v>598</v>
      </c>
      <c r="C15" s="102" t="s">
        <v>827</v>
      </c>
      <c r="D15" s="334">
        <f>prob_maj_bleed_ac</f>
        <v>2.1999999999999999E-2</v>
      </c>
      <c r="E15" s="335">
        <v>1023</v>
      </c>
      <c r="F15" s="334">
        <v>4.5860939877542988E-3</v>
      </c>
      <c r="G15" s="334">
        <v>1.3011255784001573E-2</v>
      </c>
      <c r="H15" s="334">
        <v>3.0988744215998426E-2</v>
      </c>
      <c r="I15" s="366" t="s">
        <v>723</v>
      </c>
      <c r="J15" s="102" t="s">
        <v>344</v>
      </c>
      <c r="K15" s="326" t="s">
        <v>630</v>
      </c>
    </row>
    <row r="16" spans="1:17" s="87" customFormat="1" x14ac:dyDescent="0.2">
      <c r="A16" s="329" t="s">
        <v>887</v>
      </c>
      <c r="B16" s="326" t="s">
        <v>599</v>
      </c>
      <c r="C16" s="102" t="s">
        <v>827</v>
      </c>
      <c r="D16" s="334">
        <f>prob_min_bleed_ac</f>
        <v>6.0999999999999999E-2</v>
      </c>
      <c r="E16" s="335">
        <v>1023</v>
      </c>
      <c r="F16" s="334">
        <v>7.4827269324786311E-3</v>
      </c>
      <c r="G16" s="334">
        <v>4.633385521234188E-2</v>
      </c>
      <c r="H16" s="334">
        <v>7.566614478765811E-2</v>
      </c>
      <c r="I16" s="366" t="s">
        <v>723</v>
      </c>
      <c r="J16" s="102" t="s">
        <v>344</v>
      </c>
      <c r="K16" s="326" t="s">
        <v>630</v>
      </c>
    </row>
    <row r="17" spans="1:11" ht="8" customHeight="1" x14ac:dyDescent="0.2">
      <c r="A17" s="277"/>
      <c r="D17" s="79"/>
      <c r="F17" s="80"/>
      <c r="G17" s="80"/>
      <c r="H17" s="81"/>
      <c r="I17" s="367"/>
    </row>
    <row r="18" spans="1:11" s="87" customFormat="1" x14ac:dyDescent="0.2">
      <c r="A18" s="338" t="s">
        <v>888</v>
      </c>
      <c r="B18" s="87" t="s">
        <v>600</v>
      </c>
      <c r="C18" s="102" t="s">
        <v>826</v>
      </c>
      <c r="D18" s="334">
        <f>prob_dead_at</f>
        <v>7.6598682607015037E-2</v>
      </c>
      <c r="E18" s="339">
        <v>4012</v>
      </c>
      <c r="F18" s="334">
        <v>4.1988023630102362E-3</v>
      </c>
      <c r="G18" s="334">
        <v>6.8369029975514972E-2</v>
      </c>
      <c r="H18" s="334">
        <v>8.4828335238515101E-2</v>
      </c>
      <c r="I18" s="366" t="s">
        <v>724</v>
      </c>
      <c r="J18" s="102" t="s">
        <v>366</v>
      </c>
      <c r="K18" s="323" t="s">
        <v>699</v>
      </c>
    </row>
    <row r="19" spans="1:11" s="87" customFormat="1" x14ac:dyDescent="0.2">
      <c r="A19" s="338" t="s">
        <v>889</v>
      </c>
      <c r="B19" s="87" t="s">
        <v>605</v>
      </c>
      <c r="C19" s="102" t="s">
        <v>826</v>
      </c>
      <c r="D19" s="334">
        <f>prob_mi_at</f>
        <v>5.4379328977747207E-2</v>
      </c>
      <c r="E19" s="339">
        <v>4237</v>
      </c>
      <c r="F19" s="334">
        <v>3.4837434784263611E-3</v>
      </c>
      <c r="G19" s="334">
        <v>4.7551191760031537E-2</v>
      </c>
      <c r="H19" s="334">
        <v>6.1207466195462877E-2</v>
      </c>
      <c r="I19" s="366" t="s">
        <v>724</v>
      </c>
      <c r="J19" s="102" t="s">
        <v>366</v>
      </c>
      <c r="K19" s="323" t="s">
        <v>699</v>
      </c>
    </row>
    <row r="20" spans="1:11" s="87" customFormat="1" x14ac:dyDescent="0.2">
      <c r="A20" s="338" t="s">
        <v>1211</v>
      </c>
      <c r="B20" s="87" t="s">
        <v>815</v>
      </c>
      <c r="C20" s="102" t="s">
        <v>826</v>
      </c>
      <c r="D20" s="349">
        <f>prob_stk_at</f>
        <v>1.4102084113315859E-2</v>
      </c>
      <c r="E20" s="339">
        <v>4387</v>
      </c>
      <c r="F20" s="334">
        <v>1.780220539464367E-3</v>
      </c>
      <c r="G20" s="334">
        <v>1.0612851855965701E-2</v>
      </c>
      <c r="H20" s="334">
        <v>1.7591316370666018E-2</v>
      </c>
      <c r="I20" s="366" t="s">
        <v>724</v>
      </c>
      <c r="J20" s="102" t="s">
        <v>366</v>
      </c>
      <c r="K20" s="323" t="s">
        <v>699</v>
      </c>
    </row>
    <row r="21" spans="1:11" s="87" customFormat="1" x14ac:dyDescent="0.2">
      <c r="A21" s="338" t="s">
        <v>890</v>
      </c>
      <c r="B21" s="87" t="s">
        <v>606</v>
      </c>
      <c r="C21" s="102" t="s">
        <v>827</v>
      </c>
      <c r="D21" s="334">
        <f>prob_maj_bleed_at</f>
        <v>2.2859883302693625E-2</v>
      </c>
      <c r="E21" s="339">
        <v>4387</v>
      </c>
      <c r="F21" s="334">
        <v>4.6728044790044203E-3</v>
      </c>
      <c r="G21" s="334">
        <v>1.3701186523844961E-2</v>
      </c>
      <c r="H21" s="334">
        <v>3.2018580081542292E-2</v>
      </c>
      <c r="I21" s="366" t="s">
        <v>724</v>
      </c>
      <c r="J21" s="102" t="s">
        <v>366</v>
      </c>
      <c r="K21" s="323" t="s">
        <v>699</v>
      </c>
    </row>
    <row r="22" spans="1:11" s="87" customFormat="1" x14ac:dyDescent="0.2">
      <c r="A22" s="338" t="s">
        <v>891</v>
      </c>
      <c r="B22" s="87" t="s">
        <v>607</v>
      </c>
      <c r="C22" s="102" t="s">
        <v>827</v>
      </c>
      <c r="D22" s="334">
        <f>prob_min_bleed_at</f>
        <v>8.6305323455729055E-2</v>
      </c>
      <c r="E22" s="339">
        <v>4387</v>
      </c>
      <c r="F22" s="334">
        <v>8.7797373244725332E-3</v>
      </c>
      <c r="G22" s="334">
        <v>6.9097038299762895E-2</v>
      </c>
      <c r="H22" s="334">
        <v>0.10351360861169522</v>
      </c>
      <c r="I22" s="366" t="s">
        <v>724</v>
      </c>
      <c r="J22" s="102" t="s">
        <v>366</v>
      </c>
      <c r="K22" s="323" t="s">
        <v>699</v>
      </c>
    </row>
    <row r="23" spans="1:11" ht="8.5" customHeight="1" x14ac:dyDescent="0.2">
      <c r="A23" s="141"/>
    </row>
    <row r="24" spans="1:11" s="87" customFormat="1" x14ac:dyDescent="0.2">
      <c r="A24" s="338" t="s">
        <v>892</v>
      </c>
      <c r="B24" s="87" t="s">
        <v>608</v>
      </c>
      <c r="C24" s="102" t="s">
        <v>826</v>
      </c>
      <c r="D24" s="334">
        <f>prob_dead_ap</f>
        <v>9.7253633201505651E-2</v>
      </c>
      <c r="E24" s="339">
        <v>1769</v>
      </c>
      <c r="F24" s="334">
        <v>7.0448520280021361E-3</v>
      </c>
      <c r="G24" s="334">
        <v>8.3445723226621471E-2</v>
      </c>
      <c r="H24" s="334">
        <v>0.11106154317638983</v>
      </c>
      <c r="I24" s="366" t="s">
        <v>724</v>
      </c>
      <c r="J24" s="102" t="s">
        <v>366</v>
      </c>
      <c r="K24" s="323" t="s">
        <v>699</v>
      </c>
    </row>
    <row r="25" spans="1:11" s="87" customFormat="1" x14ac:dyDescent="0.2">
      <c r="A25" s="338" t="s">
        <v>893</v>
      </c>
      <c r="B25" s="87" t="s">
        <v>614</v>
      </c>
      <c r="C25" s="102" t="s">
        <v>826</v>
      </c>
      <c r="D25" s="334">
        <f>prob_mi_ap</f>
        <v>4.9969154842689711E-2</v>
      </c>
      <c r="E25" s="339">
        <v>1769</v>
      </c>
      <c r="F25" s="334">
        <v>5.1803122542955935E-3</v>
      </c>
      <c r="G25" s="334">
        <v>3.9815742824270348E-2</v>
      </c>
      <c r="H25" s="334">
        <v>6.0122566861109075E-2</v>
      </c>
      <c r="I25" s="366" t="s">
        <v>724</v>
      </c>
      <c r="J25" s="102" t="s">
        <v>366</v>
      </c>
      <c r="K25" s="323" t="s">
        <v>699</v>
      </c>
    </row>
    <row r="26" spans="1:11" s="87" customFormat="1" x14ac:dyDescent="0.2">
      <c r="A26" s="338" t="s">
        <v>894</v>
      </c>
      <c r="B26" s="87" t="s">
        <v>816</v>
      </c>
      <c r="C26" s="102" t="s">
        <v>826</v>
      </c>
      <c r="D26" s="334">
        <f>prob_stk_ap</f>
        <v>1.1635180783185286E-2</v>
      </c>
      <c r="E26" s="339">
        <v>1769</v>
      </c>
      <c r="F26" s="334">
        <v>2.5496542457632007E-3</v>
      </c>
      <c r="G26" s="334">
        <v>6.6378584614894126E-3</v>
      </c>
      <c r="H26" s="334">
        <v>1.6632503104881159E-2</v>
      </c>
      <c r="I26" s="366" t="s">
        <v>724</v>
      </c>
      <c r="J26" s="102" t="s">
        <v>366</v>
      </c>
      <c r="K26" s="323" t="s">
        <v>699</v>
      </c>
    </row>
    <row r="27" spans="1:11" s="87" customFormat="1" x14ac:dyDescent="0.2">
      <c r="A27" s="338" t="s">
        <v>895</v>
      </c>
      <c r="B27" s="87" t="s">
        <v>609</v>
      </c>
      <c r="C27" s="102" t="s">
        <v>827</v>
      </c>
      <c r="D27" s="334">
        <f>prob_maj_bleed_ap</f>
        <v>3.1165177421591746E-2</v>
      </c>
      <c r="E27" s="339">
        <v>1023</v>
      </c>
      <c r="F27" s="334">
        <v>5.4327767021908327E-3</v>
      </c>
      <c r="G27" s="334">
        <v>2.0516935085297713E-2</v>
      </c>
      <c r="H27" s="334">
        <v>4.1813419757885779E-2</v>
      </c>
      <c r="I27" s="366" t="s">
        <v>724</v>
      </c>
      <c r="J27" s="102" t="s">
        <v>366</v>
      </c>
      <c r="K27" s="323" t="s">
        <v>699</v>
      </c>
    </row>
    <row r="28" spans="1:11" s="87" customFormat="1" x14ac:dyDescent="0.2">
      <c r="A28" s="338" t="s">
        <v>896</v>
      </c>
      <c r="B28" s="87" t="s">
        <v>610</v>
      </c>
      <c r="C28" s="102" t="s">
        <v>827</v>
      </c>
      <c r="D28" s="334">
        <f>prob_min_bleed_ap</f>
        <v>0.12489534758632949</v>
      </c>
      <c r="E28" s="339">
        <v>1023</v>
      </c>
      <c r="F28" s="334">
        <v>1.0336304860998012E-2</v>
      </c>
      <c r="G28" s="334">
        <v>0.10463619005877339</v>
      </c>
      <c r="H28" s="334">
        <v>0.14515450511388558</v>
      </c>
      <c r="I28" s="366" t="s">
        <v>724</v>
      </c>
      <c r="J28" s="102" t="s">
        <v>366</v>
      </c>
      <c r="K28" s="323" t="s">
        <v>699</v>
      </c>
    </row>
    <row r="29" spans="1:11" ht="8" customHeight="1" x14ac:dyDescent="0.2">
      <c r="A29" s="141"/>
    </row>
    <row r="30" spans="1:11" s="87" customFormat="1" x14ac:dyDescent="0.2">
      <c r="A30" s="340" t="s">
        <v>927</v>
      </c>
      <c r="B30" s="87" t="s">
        <v>403</v>
      </c>
      <c r="C30" s="102" t="s">
        <v>825</v>
      </c>
      <c r="D30" s="341">
        <v>0.29699999999999999</v>
      </c>
      <c r="E30" s="332" t="s">
        <v>350</v>
      </c>
      <c r="F30" s="321" t="s">
        <v>350</v>
      </c>
      <c r="G30" s="321" t="s">
        <v>350</v>
      </c>
      <c r="H30" s="321" t="s">
        <v>350</v>
      </c>
      <c r="I30" s="326" t="s">
        <v>697</v>
      </c>
      <c r="J30" s="102" t="s">
        <v>402</v>
      </c>
      <c r="K30" s="342" t="s">
        <v>651</v>
      </c>
    </row>
    <row r="31" spans="1:11" s="87" customFormat="1" x14ac:dyDescent="0.2">
      <c r="A31" s="340" t="s">
        <v>928</v>
      </c>
      <c r="B31" s="87" t="s">
        <v>404</v>
      </c>
      <c r="C31" s="102" t="s">
        <v>825</v>
      </c>
      <c r="D31" s="341">
        <v>0.56799999999999995</v>
      </c>
      <c r="E31" s="332" t="s">
        <v>350</v>
      </c>
      <c r="F31" s="321" t="s">
        <v>350</v>
      </c>
      <c r="G31" s="321" t="s">
        <v>350</v>
      </c>
      <c r="H31" s="321" t="s">
        <v>350</v>
      </c>
      <c r="I31" s="326" t="s">
        <v>698</v>
      </c>
      <c r="J31" s="102" t="s">
        <v>402</v>
      </c>
      <c r="K31" s="342" t="s">
        <v>651</v>
      </c>
    </row>
    <row r="32" spans="1:11" s="87" customFormat="1" ht="16" x14ac:dyDescent="0.2">
      <c r="A32" s="343" t="s">
        <v>897</v>
      </c>
      <c r="B32" s="87" t="s">
        <v>855</v>
      </c>
      <c r="C32" s="102" t="s">
        <v>825</v>
      </c>
      <c r="D32" s="335">
        <f>proportion_at_st/(proportion_at_st+proportion_ap_st)</f>
        <v>0.70678617157490398</v>
      </c>
      <c r="E32" s="332" t="s">
        <v>350</v>
      </c>
      <c r="F32" s="321"/>
      <c r="G32" s="321"/>
      <c r="H32" s="321"/>
      <c r="I32" s="326"/>
      <c r="J32" s="102" t="s">
        <v>622</v>
      </c>
      <c r="K32" s="325" t="s">
        <v>619</v>
      </c>
    </row>
    <row r="33" spans="1:11" s="87" customFormat="1" ht="16" x14ac:dyDescent="0.2">
      <c r="A33" s="343" t="s">
        <v>898</v>
      </c>
      <c r="B33" s="87" t="s">
        <v>856</v>
      </c>
      <c r="C33" s="102" t="s">
        <v>825</v>
      </c>
      <c r="D33" s="335">
        <f>1-proportion_at_lof</f>
        <v>0.29321382842509602</v>
      </c>
      <c r="E33" s="332" t="s">
        <v>350</v>
      </c>
      <c r="F33" s="321"/>
      <c r="G33" s="321"/>
      <c r="H33" s="321"/>
      <c r="I33" s="326"/>
      <c r="J33" s="102" t="s">
        <v>622</v>
      </c>
      <c r="K33" s="325" t="s">
        <v>620</v>
      </c>
    </row>
    <row r="34" spans="1:11" ht="8" customHeight="1" x14ac:dyDescent="0.2">
      <c r="A34" s="141"/>
    </row>
    <row r="35" spans="1:11" s="87" customFormat="1" x14ac:dyDescent="0.2">
      <c r="A35" s="426" t="s">
        <v>1225</v>
      </c>
      <c r="B35" s="87" t="s">
        <v>611</v>
      </c>
      <c r="C35" s="102" t="s">
        <v>826</v>
      </c>
      <c r="D35" s="334">
        <f>prob_dead_at</f>
        <v>7.6598682607015037E-2</v>
      </c>
      <c r="E35" s="339">
        <v>2561</v>
      </c>
      <c r="F35" s="344">
        <v>4.3765818891637878E-3</v>
      </c>
      <c r="G35" s="332">
        <v>4.1837302142202999E-2</v>
      </c>
      <c r="H35" s="332">
        <v>0.13241651484368189</v>
      </c>
      <c r="I35" s="102" t="s">
        <v>594</v>
      </c>
      <c r="J35" s="102" t="s">
        <v>468</v>
      </c>
      <c r="K35" s="87" t="s">
        <v>658</v>
      </c>
    </row>
    <row r="36" spans="1:11" s="87" customFormat="1" x14ac:dyDescent="0.2">
      <c r="A36" s="426" t="s">
        <v>1226</v>
      </c>
      <c r="B36" s="87" t="s">
        <v>867</v>
      </c>
      <c r="C36" s="102" t="s">
        <v>826</v>
      </c>
      <c r="D36" s="334">
        <f>prob_mi_at</f>
        <v>5.4379328977747207E-2</v>
      </c>
      <c r="E36" s="339">
        <v>2696</v>
      </c>
      <c r="F36" s="344">
        <v>3.7395739072244466E-3</v>
      </c>
      <c r="G36" s="332">
        <v>3.1152349721279032E-2</v>
      </c>
      <c r="H36" s="332">
        <v>9.9540520033145841E-2</v>
      </c>
      <c r="I36" s="102" t="s">
        <v>594</v>
      </c>
      <c r="J36" s="102" t="s">
        <v>468</v>
      </c>
      <c r="K36" s="87" t="s">
        <v>701</v>
      </c>
    </row>
    <row r="37" spans="1:11" s="87" customFormat="1" x14ac:dyDescent="0.2">
      <c r="A37" s="426" t="s">
        <v>1227</v>
      </c>
      <c r="B37" s="87" t="s">
        <v>817</v>
      </c>
      <c r="C37" s="102" t="s">
        <v>826</v>
      </c>
      <c r="D37" s="334">
        <f>hr_stk_ac_nlof*prob_stk_ac</f>
        <v>1.1635180783185286E-2</v>
      </c>
      <c r="E37" s="339">
        <v>2696</v>
      </c>
      <c r="F37" s="344">
        <v>1.8404033712138971E-3</v>
      </c>
      <c r="G37" s="332">
        <v>5.6093337103422878E-3</v>
      </c>
      <c r="H37" s="332">
        <v>2.0210818390192412E-2</v>
      </c>
      <c r="I37" s="102" t="s">
        <v>594</v>
      </c>
      <c r="J37" s="102" t="s">
        <v>468</v>
      </c>
      <c r="K37" s="87" t="s">
        <v>702</v>
      </c>
    </row>
    <row r="38" spans="1:11" s="87" customFormat="1" x14ac:dyDescent="0.2">
      <c r="A38" s="426" t="s">
        <v>1228</v>
      </c>
      <c r="B38" s="87" t="s">
        <v>612</v>
      </c>
      <c r="C38" s="102" t="s">
        <v>929</v>
      </c>
      <c r="D38" s="334">
        <f>hr_maj_bleed_ac_nlof*prob_maj_bleed_ac</f>
        <v>2.1779999999999997E-2</v>
      </c>
      <c r="E38" s="339">
        <v>1023</v>
      </c>
      <c r="F38" s="334">
        <v>4.5860939877542988E-3</v>
      </c>
      <c r="G38" s="334">
        <v>1.3011255784001573E-2</v>
      </c>
      <c r="H38" s="334">
        <v>3.0988744215998426E-2</v>
      </c>
      <c r="I38" s="102" t="s">
        <v>594</v>
      </c>
      <c r="J38" s="102" t="s">
        <v>344</v>
      </c>
      <c r="K38" s="326" t="s">
        <v>630</v>
      </c>
    </row>
    <row r="39" spans="1:11" s="87" customFormat="1" x14ac:dyDescent="0.2">
      <c r="A39" s="426" t="s">
        <v>1229</v>
      </c>
      <c r="B39" s="87" t="s">
        <v>613</v>
      </c>
      <c r="C39" s="102" t="s">
        <v>930</v>
      </c>
      <c r="D39" s="334">
        <f>hr_min_bleed_ac_nlof*prob_min_bleed_ac</f>
        <v>6.0389999999999999E-2</v>
      </c>
      <c r="E39" s="339">
        <v>1023</v>
      </c>
      <c r="F39" s="334">
        <v>7.4827269324786311E-3</v>
      </c>
      <c r="G39" s="334">
        <v>4.633385521234188E-2</v>
      </c>
      <c r="H39" s="334">
        <v>7.566614478765811E-2</v>
      </c>
      <c r="I39" s="102" t="s">
        <v>594</v>
      </c>
      <c r="J39" s="102" t="s">
        <v>344</v>
      </c>
      <c r="K39" s="326" t="s">
        <v>630</v>
      </c>
    </row>
    <row r="40" spans="1:11" ht="8" customHeight="1" x14ac:dyDescent="0.2">
      <c r="A40" s="141"/>
      <c r="I40" s="3"/>
    </row>
    <row r="41" spans="1:11" s="87" customFormat="1" ht="16" x14ac:dyDescent="0.2">
      <c r="A41" s="345" t="s">
        <v>899</v>
      </c>
      <c r="B41" s="87" t="s">
        <v>664</v>
      </c>
      <c r="C41" s="102" t="s">
        <v>828</v>
      </c>
      <c r="D41" s="334">
        <f>u_noevent_tree</f>
        <v>0.68245541925000008</v>
      </c>
      <c r="E41" s="332" t="s">
        <v>350</v>
      </c>
      <c r="F41" s="321">
        <v>2E-3</v>
      </c>
      <c r="G41" s="334">
        <v>0.83807999999999905</v>
      </c>
      <c r="H41" s="334">
        <v>0.84592000000000001</v>
      </c>
      <c r="I41" s="336" t="s">
        <v>459</v>
      </c>
      <c r="J41" s="102" t="s">
        <v>457</v>
      </c>
      <c r="K41" s="346" t="s">
        <v>704</v>
      </c>
    </row>
    <row r="42" spans="1:11" s="87" customFormat="1" ht="16" x14ac:dyDescent="0.2">
      <c r="A42" s="345" t="s">
        <v>900</v>
      </c>
      <c r="B42" s="87" t="s">
        <v>665</v>
      </c>
      <c r="C42" s="102" t="s">
        <v>828</v>
      </c>
      <c r="D42" s="332">
        <f>u_reinfarction_tree</f>
        <v>0.6313928403750001</v>
      </c>
      <c r="E42" s="332" t="s">
        <v>350</v>
      </c>
      <c r="F42" s="321">
        <v>0.01</v>
      </c>
      <c r="G42" s="334">
        <v>0.75939999999999996</v>
      </c>
      <c r="H42" s="334">
        <v>0.79859999999999998</v>
      </c>
      <c r="I42" s="336" t="s">
        <v>459</v>
      </c>
      <c r="J42" s="102" t="s">
        <v>457</v>
      </c>
      <c r="K42" s="346" t="s">
        <v>703</v>
      </c>
    </row>
    <row r="43" spans="1:11" s="87" customFormat="1" ht="16" x14ac:dyDescent="0.2">
      <c r="A43" s="345" t="s">
        <v>901</v>
      </c>
      <c r="B43" s="87" t="s">
        <v>818</v>
      </c>
      <c r="C43" s="102" t="s">
        <v>828</v>
      </c>
      <c r="D43" s="332">
        <f>u_stk_tree</f>
        <v>0.56979353887499995</v>
      </c>
      <c r="E43" s="332" t="s">
        <v>350</v>
      </c>
      <c r="F43" s="321">
        <v>0.01</v>
      </c>
      <c r="G43" s="334">
        <v>0.68340000000000001</v>
      </c>
      <c r="H43" s="334">
        <v>0.72259999999999902</v>
      </c>
      <c r="I43" s="336" t="s">
        <v>459</v>
      </c>
      <c r="J43" s="102" t="s">
        <v>457</v>
      </c>
      <c r="K43" s="346" t="s">
        <v>705</v>
      </c>
    </row>
    <row r="44" spans="1:11" s="87" customFormat="1" ht="15" customHeight="1" x14ac:dyDescent="0.2">
      <c r="A44" s="347" t="s">
        <v>998</v>
      </c>
      <c r="B44" s="87" t="s">
        <v>510</v>
      </c>
      <c r="C44" s="102" t="s">
        <v>828</v>
      </c>
      <c r="D44" s="321">
        <v>2.5999999999999999E-2</v>
      </c>
      <c r="E44" s="332" t="s">
        <v>350</v>
      </c>
      <c r="F44" s="321">
        <v>5.0000000000000001E-3</v>
      </c>
      <c r="G44" s="321">
        <v>-4.7E-2</v>
      </c>
      <c r="H44" s="321">
        <v>-2.93E-2</v>
      </c>
      <c r="I44" s="336" t="s">
        <v>725</v>
      </c>
      <c r="J44" s="336" t="s">
        <v>708</v>
      </c>
      <c r="K44" s="346" t="s">
        <v>706</v>
      </c>
    </row>
    <row r="45" spans="1:11" s="87" customFormat="1" ht="15" customHeight="1" x14ac:dyDescent="0.2">
      <c r="A45" s="347" t="s">
        <v>999</v>
      </c>
      <c r="B45" s="87" t="s">
        <v>511</v>
      </c>
      <c r="C45" s="102" t="s">
        <v>828</v>
      </c>
      <c r="D45" s="321">
        <v>3.7999999999999999E-2</v>
      </c>
      <c r="E45" s="332" t="s">
        <v>350</v>
      </c>
      <c r="F45" s="321">
        <v>6.0000000000000001E-3</v>
      </c>
      <c r="G45" s="321">
        <v>-3.6499999999999998E-2</v>
      </c>
      <c r="H45" s="321">
        <v>-1.4800000000000001E-2</v>
      </c>
      <c r="I45" s="336" t="s">
        <v>725</v>
      </c>
      <c r="J45" s="336" t="s">
        <v>709</v>
      </c>
      <c r="K45" s="346" t="s">
        <v>707</v>
      </c>
    </row>
    <row r="46" spans="1:11" s="87" customFormat="1" ht="15" customHeight="1" x14ac:dyDescent="0.2">
      <c r="A46" s="326" t="s">
        <v>932</v>
      </c>
      <c r="B46" s="87" t="s">
        <v>512</v>
      </c>
      <c r="C46" s="102" t="s">
        <v>828</v>
      </c>
      <c r="D46" s="332">
        <v>7.6</v>
      </c>
      <c r="E46" s="332" t="s">
        <v>350</v>
      </c>
      <c r="F46" s="321" t="s">
        <v>350</v>
      </c>
      <c r="G46" s="321" t="s">
        <v>350</v>
      </c>
      <c r="H46" s="321" t="s">
        <v>350</v>
      </c>
      <c r="I46" s="336" t="s">
        <v>595</v>
      </c>
      <c r="J46" s="336" t="s">
        <v>513</v>
      </c>
      <c r="K46" s="346" t="s">
        <v>706</v>
      </c>
    </row>
    <row r="47" spans="1:11" s="87" customFormat="1" ht="15" customHeight="1" x14ac:dyDescent="0.2">
      <c r="A47" s="345" t="s">
        <v>931</v>
      </c>
      <c r="B47" s="87" t="s">
        <v>514</v>
      </c>
      <c r="C47" s="102" t="s">
        <v>828</v>
      </c>
      <c r="D47" s="332">
        <v>45.38</v>
      </c>
      <c r="E47" s="332" t="s">
        <v>350</v>
      </c>
      <c r="F47" s="321" t="s">
        <v>350</v>
      </c>
      <c r="G47" s="321" t="s">
        <v>350</v>
      </c>
      <c r="H47" s="321" t="s">
        <v>350</v>
      </c>
      <c r="I47" s="336" t="s">
        <v>595</v>
      </c>
      <c r="J47" s="336" t="s">
        <v>515</v>
      </c>
      <c r="K47" s="346" t="s">
        <v>706</v>
      </c>
    </row>
    <row r="48" spans="1:11" s="87" customFormat="1" ht="15" customHeight="1" x14ac:dyDescent="0.2">
      <c r="A48" s="348" t="s">
        <v>1217</v>
      </c>
      <c r="B48" s="87" t="s">
        <v>716</v>
      </c>
      <c r="C48" s="102" t="s">
        <v>828</v>
      </c>
      <c r="D48" s="349">
        <f>an_u_dec_min_bleed* (duration_min_bleed/365)</f>
        <v>5.4136986301369858E-4</v>
      </c>
      <c r="E48" s="332" t="s">
        <v>350</v>
      </c>
      <c r="F48" s="321" t="s">
        <v>350</v>
      </c>
      <c r="G48" s="321" t="s">
        <v>350</v>
      </c>
      <c r="H48" s="321" t="s">
        <v>350</v>
      </c>
      <c r="I48" s="336" t="s">
        <v>725</v>
      </c>
      <c r="J48" s="336" t="s">
        <v>718</v>
      </c>
      <c r="K48" s="346" t="s">
        <v>707</v>
      </c>
    </row>
    <row r="49" spans="1:11" s="87" customFormat="1" ht="15" customHeight="1" x14ac:dyDescent="0.2">
      <c r="A49" s="348" t="s">
        <v>1218</v>
      </c>
      <c r="B49" s="87" t="s">
        <v>717</v>
      </c>
      <c r="C49" s="102" t="s">
        <v>828</v>
      </c>
      <c r="D49" s="344">
        <f>an_u_dec_maj_bleed * (duration_maj_bleed/365)</f>
        <v>4.7244931506849313E-3</v>
      </c>
      <c r="E49" s="332" t="s">
        <v>350</v>
      </c>
      <c r="F49" s="321" t="s">
        <v>350</v>
      </c>
      <c r="G49" s="321" t="s">
        <v>350</v>
      </c>
      <c r="H49" s="321" t="s">
        <v>350</v>
      </c>
      <c r="I49" s="336" t="s">
        <v>725</v>
      </c>
      <c r="J49" s="336" t="s">
        <v>719</v>
      </c>
      <c r="K49" s="346" t="s">
        <v>1089</v>
      </c>
    </row>
    <row r="50" spans="1:11" s="87" customFormat="1" ht="15" customHeight="1" x14ac:dyDescent="0.2">
      <c r="A50" s="348" t="s">
        <v>995</v>
      </c>
      <c r="B50" s="87" t="s">
        <v>1000</v>
      </c>
      <c r="C50" s="102" t="s">
        <v>828</v>
      </c>
      <c r="D50" s="350">
        <f>(u_dec_maj_bleed*prob_maj_bleed_ac)+(u_dec_min_bleed*prob_min_bleed_ac)</f>
        <v>1.3696241095890408E-4</v>
      </c>
      <c r="E50" s="332" t="s">
        <v>350</v>
      </c>
      <c r="F50" s="321" t="s">
        <v>350</v>
      </c>
      <c r="G50" s="321" t="s">
        <v>350</v>
      </c>
      <c r="H50" s="321" t="s">
        <v>350</v>
      </c>
      <c r="I50" s="336" t="s">
        <v>725</v>
      </c>
      <c r="J50" s="336" t="s">
        <v>1084</v>
      </c>
      <c r="K50" s="346" t="s">
        <v>1090</v>
      </c>
    </row>
    <row r="51" spans="1:11" s="87" customFormat="1" ht="15" customHeight="1" x14ac:dyDescent="0.2">
      <c r="A51" s="348" t="s">
        <v>996</v>
      </c>
      <c r="B51" s="87" t="s">
        <v>1002</v>
      </c>
      <c r="C51" s="102" t="s">
        <v>828</v>
      </c>
      <c r="D51" s="344">
        <f>(u_dec_maj_bleed*prob_maj_bleed_at)+(u_dec_min_bleed*prob_min_bleed_at)</f>
        <v>1.5472446322561384E-4</v>
      </c>
      <c r="E51" s="332" t="s">
        <v>350</v>
      </c>
      <c r="F51" s="321" t="s">
        <v>350</v>
      </c>
      <c r="G51" s="321" t="s">
        <v>350</v>
      </c>
      <c r="H51" s="321" t="s">
        <v>350</v>
      </c>
      <c r="I51" s="336" t="s">
        <v>725</v>
      </c>
      <c r="J51" s="336" t="s">
        <v>1085</v>
      </c>
      <c r="K51" s="346" t="s">
        <v>1091</v>
      </c>
    </row>
    <row r="52" spans="1:11" s="87" customFormat="1" ht="15" customHeight="1" x14ac:dyDescent="0.2">
      <c r="A52" s="348" t="s">
        <v>997</v>
      </c>
      <c r="B52" s="87" t="s">
        <v>1001</v>
      </c>
      <c r="C52" s="102" t="s">
        <v>828</v>
      </c>
      <c r="D52" s="344">
        <f>(u_dec_maj_bleed*prob_maj_bleed_ap)+(u_dec_min_bleed*prob_min_bleed_ap)</f>
        <v>2.1485424448205033E-4</v>
      </c>
      <c r="E52" s="332" t="s">
        <v>350</v>
      </c>
      <c r="F52" s="321" t="s">
        <v>350</v>
      </c>
      <c r="G52" s="321" t="s">
        <v>350</v>
      </c>
      <c r="H52" s="321" t="s">
        <v>350</v>
      </c>
      <c r="I52" s="336" t="s">
        <v>725</v>
      </c>
      <c r="J52" s="336" t="s">
        <v>1086</v>
      </c>
      <c r="K52" s="346" t="s">
        <v>1092</v>
      </c>
    </row>
    <row r="53" spans="1:11" s="87" customFormat="1" ht="15" customHeight="1" x14ac:dyDescent="0.2">
      <c r="A53" s="348" t="s">
        <v>1041</v>
      </c>
      <c r="B53" s="87" t="s">
        <v>1000</v>
      </c>
      <c r="C53" s="102" t="s">
        <v>828</v>
      </c>
      <c r="D53" s="351">
        <f>(u_dec_maj_bleed*rate_maj_bleed_ac_nlof)+(u_dec_min_bleed*rate_min_bleed_ac_nlof)</f>
        <v>1.3559278684931506E-4</v>
      </c>
      <c r="E53" s="332" t="s">
        <v>350</v>
      </c>
      <c r="F53" s="321"/>
      <c r="G53" s="321"/>
      <c r="H53" s="321"/>
      <c r="I53" s="336" t="s">
        <v>725</v>
      </c>
      <c r="J53" s="336" t="s">
        <v>1087</v>
      </c>
      <c r="K53" s="346" t="s">
        <v>1093</v>
      </c>
    </row>
    <row r="54" spans="1:11" ht="8" customHeight="1" x14ac:dyDescent="0.2">
      <c r="A54" s="141"/>
      <c r="I54" s="3"/>
    </row>
    <row r="55" spans="1:11" s="87" customFormat="1" x14ac:dyDescent="0.2">
      <c r="A55" s="326" t="s">
        <v>902</v>
      </c>
      <c r="B55" s="326" t="s">
        <v>483</v>
      </c>
      <c r="C55" s="102" t="s">
        <v>829</v>
      </c>
      <c r="D55" s="102">
        <v>2</v>
      </c>
      <c r="E55" s="339">
        <v>371619</v>
      </c>
      <c r="F55" s="332">
        <v>5.1020408163264782E-3</v>
      </c>
      <c r="G55" s="321">
        <v>1.99</v>
      </c>
      <c r="H55" s="321">
        <v>2.0099999999999998</v>
      </c>
      <c r="I55" s="336" t="s">
        <v>593</v>
      </c>
      <c r="J55" s="102" t="s">
        <v>490</v>
      </c>
      <c r="K55" s="342" t="s">
        <v>710</v>
      </c>
    </row>
    <row r="56" spans="1:11" s="87" customFormat="1" x14ac:dyDescent="0.2">
      <c r="A56" s="326" t="s">
        <v>903</v>
      </c>
      <c r="B56" s="326" t="s">
        <v>484</v>
      </c>
      <c r="C56" s="102" t="s">
        <v>829</v>
      </c>
      <c r="D56" s="102">
        <v>4.5</v>
      </c>
      <c r="E56" s="339">
        <v>15833</v>
      </c>
      <c r="F56" s="332">
        <v>3.5714285714285858E-2</v>
      </c>
      <c r="G56" s="321">
        <v>4.43</v>
      </c>
      <c r="H56" s="321">
        <v>4.57</v>
      </c>
      <c r="I56" s="336" t="s">
        <v>593</v>
      </c>
      <c r="J56" s="102" t="s">
        <v>490</v>
      </c>
      <c r="K56" s="342" t="s">
        <v>710</v>
      </c>
    </row>
    <row r="57" spans="1:11" s="87" customFormat="1" x14ac:dyDescent="0.2">
      <c r="A57" s="326" t="s">
        <v>904</v>
      </c>
      <c r="B57" s="326" t="s">
        <v>485</v>
      </c>
      <c r="C57" s="102" t="s">
        <v>829</v>
      </c>
      <c r="D57" s="102">
        <v>3</v>
      </c>
      <c r="E57" s="339">
        <v>15833</v>
      </c>
      <c r="F57" s="332">
        <v>2.5510204081632563E-2</v>
      </c>
      <c r="G57" s="321">
        <v>2.95</v>
      </c>
      <c r="H57" s="321">
        <v>3.05</v>
      </c>
      <c r="I57" s="336" t="s">
        <v>593</v>
      </c>
      <c r="J57" s="102" t="s">
        <v>490</v>
      </c>
      <c r="K57" s="342" t="s">
        <v>711</v>
      </c>
    </row>
    <row r="58" spans="1:11" s="87" customFormat="1" ht="16" x14ac:dyDescent="0.2">
      <c r="A58" s="326" t="s">
        <v>819</v>
      </c>
      <c r="B58" s="326" t="s">
        <v>819</v>
      </c>
      <c r="C58" s="102" t="s">
        <v>829</v>
      </c>
      <c r="D58" s="102">
        <f>smr_stk</f>
        <v>4.7300000000000004</v>
      </c>
      <c r="E58" s="339">
        <v>8324</v>
      </c>
      <c r="F58" s="332">
        <v>0.20663265306122461</v>
      </c>
      <c r="G58" s="321">
        <v>4.34</v>
      </c>
      <c r="H58" s="321">
        <v>5.15</v>
      </c>
      <c r="I58" s="336" t="s">
        <v>593</v>
      </c>
      <c r="J58" s="102" t="s">
        <v>491</v>
      </c>
      <c r="K58" s="346" t="s">
        <v>712</v>
      </c>
    </row>
    <row r="59" spans="1:11" s="87" customFormat="1" ht="16" x14ac:dyDescent="0.2">
      <c r="A59" s="326" t="s">
        <v>905</v>
      </c>
      <c r="B59" s="326" t="s">
        <v>487</v>
      </c>
      <c r="C59" s="102" t="s">
        <v>829</v>
      </c>
      <c r="D59" s="102">
        <f>smr_post_stk</f>
        <v>2.3199999999999998</v>
      </c>
      <c r="E59" s="339">
        <v>8324</v>
      </c>
      <c r="F59" s="332">
        <v>8.1632653061224567E-2</v>
      </c>
      <c r="G59" s="321">
        <v>2.17</v>
      </c>
      <c r="H59" s="321">
        <v>2.4900000000000002</v>
      </c>
      <c r="I59" s="336" t="s">
        <v>593</v>
      </c>
      <c r="J59" s="102" t="s">
        <v>491</v>
      </c>
      <c r="K59" s="346" t="s">
        <v>712</v>
      </c>
    </row>
    <row r="60" spans="1:11" ht="6" customHeight="1" x14ac:dyDescent="0.2">
      <c r="B60" s="105"/>
      <c r="D60" s="3"/>
      <c r="E60" s="173"/>
    </row>
    <row r="61" spans="1:11" s="87" customFormat="1" x14ac:dyDescent="0.2">
      <c r="A61" s="352" t="s">
        <v>933</v>
      </c>
      <c r="B61" s="326" t="s">
        <v>662</v>
      </c>
      <c r="C61" s="102" t="s">
        <v>830</v>
      </c>
      <c r="D61" s="353">
        <v>125</v>
      </c>
      <c r="E61" s="328" t="s">
        <v>350</v>
      </c>
      <c r="F61" s="326"/>
      <c r="G61" s="326"/>
      <c r="H61" s="326"/>
      <c r="I61" s="326" t="s">
        <v>951</v>
      </c>
      <c r="J61" s="102" t="s">
        <v>663</v>
      </c>
      <c r="K61" s="326"/>
    </row>
    <row r="62" spans="1:11" ht="7.5" customHeight="1" x14ac:dyDescent="0.2">
      <c r="A62" s="278"/>
      <c r="B62" s="105"/>
      <c r="D62" s="234"/>
      <c r="E62" s="173"/>
      <c r="F62" s="105"/>
      <c r="G62" s="105"/>
      <c r="H62" s="105"/>
    </row>
    <row r="63" spans="1:11" s="87" customFormat="1" x14ac:dyDescent="0.2">
      <c r="A63" s="424" t="s">
        <v>1219</v>
      </c>
      <c r="B63" s="326" t="s">
        <v>868</v>
      </c>
      <c r="C63" s="102" t="s">
        <v>871</v>
      </c>
      <c r="D63" s="355">
        <v>365</v>
      </c>
      <c r="E63" s="328" t="s">
        <v>350</v>
      </c>
      <c r="F63" s="326" t="s">
        <v>350</v>
      </c>
      <c r="G63" s="326" t="s">
        <v>350</v>
      </c>
      <c r="H63" s="326" t="s">
        <v>350</v>
      </c>
      <c r="I63" s="326" t="s">
        <v>673</v>
      </c>
      <c r="J63" s="102" t="s">
        <v>1088</v>
      </c>
      <c r="K63" s="333" t="s">
        <v>721</v>
      </c>
    </row>
    <row r="64" spans="1:11" s="87" customFormat="1" x14ac:dyDescent="0.2">
      <c r="A64" s="424" t="s">
        <v>1220</v>
      </c>
      <c r="B64" s="326" t="s">
        <v>869</v>
      </c>
      <c r="C64" s="102" t="s">
        <v>871</v>
      </c>
      <c r="D64" s="355">
        <v>360</v>
      </c>
      <c r="E64" s="328" t="s">
        <v>350</v>
      </c>
      <c r="F64" s="326" t="s">
        <v>350</v>
      </c>
      <c r="G64" s="326" t="s">
        <v>350</v>
      </c>
      <c r="H64" s="326" t="s">
        <v>350</v>
      </c>
      <c r="I64" s="326" t="s">
        <v>673</v>
      </c>
      <c r="J64" s="102" t="s">
        <v>1088</v>
      </c>
      <c r="K64" s="333" t="s">
        <v>721</v>
      </c>
    </row>
    <row r="65" spans="1:11" s="87" customFormat="1" x14ac:dyDescent="0.2">
      <c r="A65" s="424" t="s">
        <v>1221</v>
      </c>
      <c r="B65" s="326" t="s">
        <v>870</v>
      </c>
      <c r="C65" s="102" t="s">
        <v>871</v>
      </c>
      <c r="D65" s="355">
        <v>328</v>
      </c>
      <c r="E65" s="328" t="s">
        <v>350</v>
      </c>
      <c r="F65" s="326" t="s">
        <v>350</v>
      </c>
      <c r="G65" s="326" t="s">
        <v>350</v>
      </c>
      <c r="H65" s="326" t="s">
        <v>350</v>
      </c>
      <c r="I65" s="326" t="s">
        <v>673</v>
      </c>
      <c r="J65" s="102" t="s">
        <v>1088</v>
      </c>
      <c r="K65" s="333" t="s">
        <v>721</v>
      </c>
    </row>
    <row r="66" spans="1:11" s="87" customFormat="1" x14ac:dyDescent="0.2">
      <c r="A66" s="424" t="s">
        <v>934</v>
      </c>
      <c r="B66" s="326" t="s">
        <v>872</v>
      </c>
      <c r="C66" s="102" t="s">
        <v>871</v>
      </c>
      <c r="D66" s="355">
        <f>365/2</f>
        <v>182.5</v>
      </c>
      <c r="E66" s="328" t="s">
        <v>350</v>
      </c>
      <c r="F66" s="326" t="s">
        <v>350</v>
      </c>
      <c r="G66" s="326" t="s">
        <v>350</v>
      </c>
      <c r="H66" s="326" t="s">
        <v>350</v>
      </c>
      <c r="I66" s="326" t="s">
        <v>673</v>
      </c>
      <c r="J66" s="102" t="s">
        <v>1088</v>
      </c>
      <c r="K66" s="333" t="s">
        <v>721</v>
      </c>
    </row>
    <row r="67" spans="1:11" s="87" customFormat="1" x14ac:dyDescent="0.2">
      <c r="A67" s="354" t="s">
        <v>981</v>
      </c>
      <c r="B67" s="326" t="s">
        <v>961</v>
      </c>
      <c r="C67" s="102" t="s">
        <v>871</v>
      </c>
      <c r="D67" s="355">
        <v>5</v>
      </c>
      <c r="E67" s="328" t="s">
        <v>350</v>
      </c>
      <c r="F67" s="326"/>
      <c r="G67" s="326"/>
      <c r="H67" s="326"/>
      <c r="I67" s="326" t="s">
        <v>673</v>
      </c>
      <c r="J67" s="102" t="s">
        <v>1088</v>
      </c>
      <c r="K67" s="333" t="s">
        <v>721</v>
      </c>
    </row>
    <row r="68" spans="1:11" s="87" customFormat="1" x14ac:dyDescent="0.2">
      <c r="A68" s="356" t="s">
        <v>935</v>
      </c>
      <c r="B68" s="87" t="s">
        <v>941</v>
      </c>
      <c r="C68" s="102" t="s">
        <v>830</v>
      </c>
      <c r="D68" s="328">
        <f>ld_clop_300</f>
        <v>0.15857142857142859</v>
      </c>
      <c r="E68" s="328" t="s">
        <v>350</v>
      </c>
      <c r="F68" s="326" t="s">
        <v>350</v>
      </c>
      <c r="G68" s="326" t="s">
        <v>350</v>
      </c>
      <c r="H68" s="326" t="s">
        <v>350</v>
      </c>
      <c r="I68" s="326" t="s">
        <v>673</v>
      </c>
      <c r="J68" s="102" t="s">
        <v>713</v>
      </c>
      <c r="K68" s="102" t="s">
        <v>675</v>
      </c>
    </row>
    <row r="69" spans="1:11" s="87" customFormat="1" x14ac:dyDescent="0.2">
      <c r="A69" s="356" t="s">
        <v>936</v>
      </c>
      <c r="B69" s="87" t="s">
        <v>942</v>
      </c>
      <c r="C69" s="102" t="s">
        <v>830</v>
      </c>
      <c r="D69" s="328">
        <f>ld_clop_600</f>
        <v>0.31714285714285717</v>
      </c>
      <c r="E69" s="328" t="s">
        <v>350</v>
      </c>
      <c r="F69" s="326" t="s">
        <v>350</v>
      </c>
      <c r="G69" s="326" t="s">
        <v>350</v>
      </c>
      <c r="H69" s="326" t="s">
        <v>350</v>
      </c>
      <c r="I69" s="326" t="s">
        <v>673</v>
      </c>
      <c r="J69" s="102" t="s">
        <v>713</v>
      </c>
      <c r="K69" s="102" t="s">
        <v>675</v>
      </c>
    </row>
    <row r="70" spans="1:11" s="87" customFormat="1" x14ac:dyDescent="0.2">
      <c r="A70" s="356" t="s">
        <v>937</v>
      </c>
      <c r="B70" s="87" t="s">
        <v>939</v>
      </c>
      <c r="C70" s="102" t="s">
        <v>830</v>
      </c>
      <c r="D70" s="328">
        <f>ld_pras_60</f>
        <v>1.4607142857142859</v>
      </c>
      <c r="E70" s="328" t="s">
        <v>350</v>
      </c>
      <c r="F70" s="326" t="s">
        <v>350</v>
      </c>
      <c r="G70" s="326" t="s">
        <v>350</v>
      </c>
      <c r="H70" s="326" t="s">
        <v>350</v>
      </c>
      <c r="I70" s="326" t="s">
        <v>673</v>
      </c>
      <c r="J70" s="102" t="s">
        <v>713</v>
      </c>
      <c r="K70" s="102" t="s">
        <v>675</v>
      </c>
    </row>
    <row r="71" spans="1:11" s="87" customFormat="1" x14ac:dyDescent="0.2">
      <c r="A71" s="356" t="s">
        <v>938</v>
      </c>
      <c r="B71" s="87" t="s">
        <v>940</v>
      </c>
      <c r="C71" s="102" t="s">
        <v>830</v>
      </c>
      <c r="D71" s="328">
        <f>ld_tica_180</f>
        <v>1.95</v>
      </c>
      <c r="E71" s="328" t="s">
        <v>350</v>
      </c>
      <c r="F71" s="326" t="s">
        <v>350</v>
      </c>
      <c r="G71" s="326" t="s">
        <v>350</v>
      </c>
      <c r="H71" s="326" t="s">
        <v>350</v>
      </c>
      <c r="I71" s="326" t="s">
        <v>673</v>
      </c>
      <c r="J71" s="102" t="s">
        <v>713</v>
      </c>
      <c r="K71" s="102" t="s">
        <v>675</v>
      </c>
    </row>
    <row r="72" spans="1:11" s="87" customFormat="1" x14ac:dyDescent="0.2">
      <c r="A72" s="356" t="s">
        <v>906</v>
      </c>
      <c r="B72" s="326" t="s">
        <v>943</v>
      </c>
      <c r="C72" s="102" t="s">
        <v>830</v>
      </c>
      <c r="D72" s="357">
        <f>day_cost_asa</f>
        <v>2.5714285714285714E-2</v>
      </c>
      <c r="E72" s="328" t="s">
        <v>350</v>
      </c>
      <c r="F72" s="326" t="s">
        <v>350</v>
      </c>
      <c r="G72" s="326" t="s">
        <v>350</v>
      </c>
      <c r="H72" s="326" t="s">
        <v>350</v>
      </c>
      <c r="I72" s="326" t="s">
        <v>673</v>
      </c>
      <c r="J72" s="102" t="s">
        <v>713</v>
      </c>
      <c r="K72" s="102" t="s">
        <v>675</v>
      </c>
    </row>
    <row r="73" spans="1:11" s="87" customFormat="1" x14ac:dyDescent="0.2">
      <c r="A73" s="356" t="s">
        <v>945</v>
      </c>
      <c r="B73" s="87" t="s">
        <v>944</v>
      </c>
      <c r="C73" s="102" t="s">
        <v>830</v>
      </c>
      <c r="D73" s="328">
        <f>day_cost_clop</f>
        <v>3.9642857142857146E-2</v>
      </c>
      <c r="E73" s="328" t="s">
        <v>350</v>
      </c>
      <c r="F73" s="326" t="s">
        <v>350</v>
      </c>
      <c r="G73" s="326" t="s">
        <v>350</v>
      </c>
      <c r="H73" s="326" t="s">
        <v>350</v>
      </c>
      <c r="I73" s="326" t="s">
        <v>673</v>
      </c>
      <c r="J73" s="102" t="s">
        <v>713</v>
      </c>
      <c r="K73" s="102" t="s">
        <v>675</v>
      </c>
    </row>
    <row r="74" spans="1:11" s="87" customFormat="1" x14ac:dyDescent="0.2">
      <c r="A74" s="358" t="s">
        <v>946</v>
      </c>
      <c r="B74" s="87" t="s">
        <v>874</v>
      </c>
      <c r="C74" s="102" t="s">
        <v>830</v>
      </c>
      <c r="D74" s="359">
        <v>0.15</v>
      </c>
      <c r="E74" s="328"/>
      <c r="F74" s="326" t="s">
        <v>350</v>
      </c>
      <c r="G74" s="326" t="s">
        <v>350</v>
      </c>
      <c r="H74" s="326" t="s">
        <v>350</v>
      </c>
      <c r="I74" s="326" t="s">
        <v>674</v>
      </c>
      <c r="J74" s="102" t="s">
        <v>713</v>
      </c>
      <c r="K74" s="102" t="s">
        <v>675</v>
      </c>
    </row>
    <row r="75" spans="1:11" s="87" customFormat="1" x14ac:dyDescent="0.2">
      <c r="A75" s="358" t="s">
        <v>948</v>
      </c>
      <c r="B75" s="87" t="s">
        <v>949</v>
      </c>
      <c r="C75" s="102" t="s">
        <v>830</v>
      </c>
      <c r="D75" s="336">
        <f>(day_cost_pras_5mg*proportion_pras_5mg)+(day_cost_pras_10mg*(1-proportion_pras_5mg))</f>
        <v>0.29330357142857144</v>
      </c>
      <c r="E75" s="328"/>
      <c r="F75" s="326" t="s">
        <v>350</v>
      </c>
      <c r="G75" s="326" t="s">
        <v>350</v>
      </c>
      <c r="H75" s="326" t="s">
        <v>350</v>
      </c>
      <c r="I75" s="326" t="s">
        <v>674</v>
      </c>
      <c r="J75" s="102" t="s">
        <v>713</v>
      </c>
      <c r="K75" s="102" t="s">
        <v>675</v>
      </c>
    </row>
    <row r="76" spans="1:11" s="87" customFormat="1" x14ac:dyDescent="0.2">
      <c r="A76" s="358" t="s">
        <v>947</v>
      </c>
      <c r="B76" s="87" t="s">
        <v>950</v>
      </c>
      <c r="C76" s="102" t="s">
        <v>830</v>
      </c>
      <c r="D76" s="328">
        <f>day_cost_tica</f>
        <v>1.95</v>
      </c>
      <c r="E76" s="328"/>
      <c r="F76" s="326" t="s">
        <v>350</v>
      </c>
      <c r="G76" s="326" t="s">
        <v>350</v>
      </c>
      <c r="H76" s="326" t="s">
        <v>350</v>
      </c>
      <c r="I76" s="326" t="s">
        <v>674</v>
      </c>
      <c r="J76" s="102" t="s">
        <v>713</v>
      </c>
      <c r="K76" s="102" t="s">
        <v>675</v>
      </c>
    </row>
    <row r="77" spans="1:11" ht="10" customHeight="1" x14ac:dyDescent="0.2">
      <c r="A77" s="141"/>
    </row>
    <row r="78" spans="1:11" s="87" customFormat="1" x14ac:dyDescent="0.2">
      <c r="A78" s="352" t="s">
        <v>568</v>
      </c>
      <c r="B78" s="326" t="s">
        <v>568</v>
      </c>
      <c r="C78" s="102" t="s">
        <v>830</v>
      </c>
      <c r="D78" s="353">
        <f>c_pci</f>
        <v>3125.091522845476</v>
      </c>
      <c r="E78" s="328" t="s">
        <v>350</v>
      </c>
      <c r="F78" s="326" t="s">
        <v>350</v>
      </c>
      <c r="G78" s="326" t="s">
        <v>350</v>
      </c>
      <c r="H78" s="326" t="s">
        <v>350</v>
      </c>
      <c r="I78" s="326" t="s">
        <v>674</v>
      </c>
      <c r="J78" s="102" t="s">
        <v>661</v>
      </c>
      <c r="K78" s="323" t="s">
        <v>699</v>
      </c>
    </row>
    <row r="79" spans="1:11" s="87" customFormat="1" x14ac:dyDescent="0.2">
      <c r="A79" s="352" t="s">
        <v>907</v>
      </c>
      <c r="B79" s="326" t="s">
        <v>696</v>
      </c>
      <c r="C79" s="102" t="s">
        <v>830</v>
      </c>
      <c r="D79" s="353">
        <f>c_noevent_tree</f>
        <v>2003.9049186967752</v>
      </c>
      <c r="E79" s="328" t="s">
        <v>350</v>
      </c>
      <c r="F79" s="326" t="s">
        <v>350</v>
      </c>
      <c r="G79" s="326" t="s">
        <v>350</v>
      </c>
      <c r="H79" s="326" t="s">
        <v>350</v>
      </c>
      <c r="I79" s="326" t="s">
        <v>674</v>
      </c>
      <c r="J79" s="102" t="s">
        <v>809</v>
      </c>
      <c r="K79" s="323" t="s">
        <v>699</v>
      </c>
    </row>
    <row r="80" spans="1:11" s="87" customFormat="1" x14ac:dyDescent="0.2">
      <c r="A80" s="352" t="s">
        <v>693</v>
      </c>
      <c r="B80" s="326" t="s">
        <v>693</v>
      </c>
      <c r="C80" s="102" t="s">
        <v>830</v>
      </c>
      <c r="D80" s="353">
        <f>c_mi_tree</f>
        <v>6798.6140046517412</v>
      </c>
      <c r="E80" s="328" t="s">
        <v>350</v>
      </c>
      <c r="F80" s="326" t="s">
        <v>350</v>
      </c>
      <c r="G80" s="326" t="s">
        <v>350</v>
      </c>
      <c r="H80" s="326" t="s">
        <v>350</v>
      </c>
      <c r="I80" s="326" t="s">
        <v>674</v>
      </c>
      <c r="J80" s="102" t="s">
        <v>809</v>
      </c>
      <c r="K80" s="323" t="s">
        <v>699</v>
      </c>
    </row>
    <row r="81" spans="1:11" s="87" customFormat="1" x14ac:dyDescent="0.2">
      <c r="A81" s="352" t="s">
        <v>694</v>
      </c>
      <c r="B81" s="326" t="s">
        <v>694</v>
      </c>
      <c r="C81" s="102" t="s">
        <v>830</v>
      </c>
      <c r="D81" s="353">
        <f>c_stk_tree</f>
        <v>18576.442974967726</v>
      </c>
      <c r="E81" s="328" t="s">
        <v>350</v>
      </c>
      <c r="F81" s="326" t="s">
        <v>350</v>
      </c>
      <c r="G81" s="326" t="s">
        <v>350</v>
      </c>
      <c r="H81" s="326" t="s">
        <v>350</v>
      </c>
      <c r="I81" s="326" t="s">
        <v>674</v>
      </c>
      <c r="J81" s="102" t="s">
        <v>809</v>
      </c>
      <c r="K81" s="323" t="s">
        <v>699</v>
      </c>
    </row>
    <row r="82" spans="1:11" s="87" customFormat="1" x14ac:dyDescent="0.2">
      <c r="A82" s="352" t="s">
        <v>695</v>
      </c>
      <c r="B82" s="326" t="s">
        <v>695</v>
      </c>
      <c r="C82" s="102" t="s">
        <v>830</v>
      </c>
      <c r="D82" s="353">
        <f>c_dead_tree</f>
        <v>1427.1713079498984</v>
      </c>
      <c r="E82" s="328" t="s">
        <v>350</v>
      </c>
      <c r="F82" s="326" t="s">
        <v>350</v>
      </c>
      <c r="G82" s="326" t="s">
        <v>350</v>
      </c>
      <c r="H82" s="326" t="s">
        <v>350</v>
      </c>
      <c r="I82" s="326" t="s">
        <v>674</v>
      </c>
      <c r="J82" s="102" t="s">
        <v>809</v>
      </c>
      <c r="K82" s="323" t="s">
        <v>699</v>
      </c>
    </row>
    <row r="83" spans="1:11" s="87" customFormat="1" x14ac:dyDescent="0.2">
      <c r="A83" s="352" t="s">
        <v>908</v>
      </c>
      <c r="B83" s="326" t="s">
        <v>1104</v>
      </c>
      <c r="C83" s="102" t="s">
        <v>830</v>
      </c>
      <c r="D83" s="353">
        <f>c_min_bleed</f>
        <v>215</v>
      </c>
      <c r="E83" s="328" t="s">
        <v>350</v>
      </c>
      <c r="F83" s="326" t="s">
        <v>350</v>
      </c>
      <c r="G83" s="326" t="s">
        <v>350</v>
      </c>
      <c r="H83" s="326" t="s">
        <v>350</v>
      </c>
      <c r="I83" s="326" t="s">
        <v>674</v>
      </c>
      <c r="J83" s="102" t="s">
        <v>809</v>
      </c>
      <c r="K83" s="323" t="s">
        <v>699</v>
      </c>
    </row>
    <row r="84" spans="1:11" s="87" customFormat="1" x14ac:dyDescent="0.2">
      <c r="A84" s="352" t="s">
        <v>909</v>
      </c>
      <c r="B84" s="326" t="s">
        <v>1105</v>
      </c>
      <c r="C84" s="102" t="s">
        <v>830</v>
      </c>
      <c r="D84" s="353">
        <f>c_maj_bleed</f>
        <v>2388.8012902757291</v>
      </c>
      <c r="E84" s="328" t="s">
        <v>350</v>
      </c>
      <c r="F84" s="326" t="s">
        <v>350</v>
      </c>
      <c r="G84" s="326" t="s">
        <v>350</v>
      </c>
      <c r="H84" s="326" t="s">
        <v>350</v>
      </c>
      <c r="I84" s="326" t="s">
        <v>674</v>
      </c>
      <c r="J84" s="102" t="s">
        <v>809</v>
      </c>
      <c r="K84" s="323" t="s">
        <v>699</v>
      </c>
    </row>
    <row r="85" spans="1:11" s="87" customFormat="1" x14ac:dyDescent="0.2">
      <c r="A85" s="352" t="s">
        <v>952</v>
      </c>
      <c r="B85" s="326" t="s">
        <v>953</v>
      </c>
      <c r="C85" s="102" t="s">
        <v>830</v>
      </c>
      <c r="D85" s="353">
        <f>(prob_maj_bleed_ac*c_maj_bleed)+(prob_min_bleed_ac*c_min_bleed)</f>
        <v>65.668628386066032</v>
      </c>
      <c r="E85" s="328" t="s">
        <v>350</v>
      </c>
      <c r="F85" s="326"/>
      <c r="G85" s="326"/>
      <c r="H85" s="326"/>
      <c r="I85" s="326" t="s">
        <v>674</v>
      </c>
      <c r="J85" s="102" t="s">
        <v>809</v>
      </c>
      <c r="K85" s="323" t="s">
        <v>699</v>
      </c>
    </row>
    <row r="86" spans="1:11" s="87" customFormat="1" x14ac:dyDescent="0.2">
      <c r="A86" s="352" t="s">
        <v>956</v>
      </c>
      <c r="B86" s="326" t="s">
        <v>954</v>
      </c>
      <c r="C86" s="102" t="s">
        <v>830</v>
      </c>
      <c r="D86" s="353">
        <f>(prob_maj_bleed_at*c_maj_bleed)+(prob_min_bleed_at*c_min_bleed)</f>
        <v>73.163363272008866</v>
      </c>
      <c r="E86" s="328" t="s">
        <v>350</v>
      </c>
      <c r="F86" s="326"/>
      <c r="G86" s="326"/>
      <c r="H86" s="326"/>
      <c r="I86" s="326" t="s">
        <v>674</v>
      </c>
      <c r="J86" s="102" t="s">
        <v>809</v>
      </c>
      <c r="K86" s="323" t="s">
        <v>699</v>
      </c>
    </row>
    <row r="87" spans="1:11" s="87" customFormat="1" x14ac:dyDescent="0.2">
      <c r="A87" s="352" t="s">
        <v>957</v>
      </c>
      <c r="B87" s="326" t="s">
        <v>955</v>
      </c>
      <c r="C87" s="102" t="s">
        <v>830</v>
      </c>
      <c r="D87" s="353">
        <f>(prob_maj_bleed_ap*c_maj_bleed)+(prob_min_bleed_ap*c_min_bleed)</f>
        <v>101.29991576743123</v>
      </c>
      <c r="E87" s="328" t="s">
        <v>350</v>
      </c>
      <c r="F87" s="326"/>
      <c r="G87" s="326"/>
      <c r="H87" s="326"/>
      <c r="I87" s="326" t="s">
        <v>674</v>
      </c>
      <c r="J87" s="102" t="s">
        <v>809</v>
      </c>
      <c r="K87" s="323" t="s">
        <v>699</v>
      </c>
    </row>
    <row r="88" spans="1:11" ht="8.5" customHeight="1" x14ac:dyDescent="0.2">
      <c r="A88" s="279"/>
      <c r="D88" s="150"/>
      <c r="E88" s="173"/>
    </row>
    <row r="89" spans="1:11" s="87" customFormat="1" x14ac:dyDescent="0.2">
      <c r="A89" s="352" t="s">
        <v>910</v>
      </c>
      <c r="B89" s="326" t="s">
        <v>688</v>
      </c>
      <c r="C89" s="102" t="s">
        <v>830</v>
      </c>
      <c r="D89" s="353">
        <f>c_noevent_markov</f>
        <v>1152.2453282506456</v>
      </c>
      <c r="E89" s="328" t="s">
        <v>350</v>
      </c>
      <c r="F89" s="326" t="s">
        <v>350</v>
      </c>
      <c r="G89" s="326" t="s">
        <v>350</v>
      </c>
      <c r="H89" s="326" t="s">
        <v>350</v>
      </c>
      <c r="I89" s="326" t="s">
        <v>674</v>
      </c>
      <c r="J89" s="102" t="s">
        <v>809</v>
      </c>
      <c r="K89" s="323" t="s">
        <v>699</v>
      </c>
    </row>
    <row r="90" spans="1:11" s="87" customFormat="1" x14ac:dyDescent="0.2">
      <c r="A90" s="352" t="s">
        <v>689</v>
      </c>
      <c r="B90" s="326" t="s">
        <v>689</v>
      </c>
      <c r="C90" s="102" t="s">
        <v>830</v>
      </c>
      <c r="D90" s="353">
        <f>c_stk_markov</f>
        <v>22631.90664884248</v>
      </c>
      <c r="E90" s="328" t="s">
        <v>350</v>
      </c>
      <c r="F90" s="326" t="s">
        <v>350</v>
      </c>
      <c r="G90" s="326" t="s">
        <v>350</v>
      </c>
      <c r="H90" s="326" t="s">
        <v>350</v>
      </c>
      <c r="I90" s="326" t="s">
        <v>674</v>
      </c>
      <c r="J90" s="102" t="s">
        <v>809</v>
      </c>
      <c r="K90" s="323" t="s">
        <v>699</v>
      </c>
    </row>
    <row r="91" spans="1:11" s="87" customFormat="1" x14ac:dyDescent="0.2">
      <c r="A91" s="352" t="s">
        <v>911</v>
      </c>
      <c r="B91" s="326" t="s">
        <v>690</v>
      </c>
      <c r="C91" s="102" t="s">
        <v>830</v>
      </c>
      <c r="D91" s="353">
        <f>c_post_stk_markov</f>
        <v>8035.1699666768254</v>
      </c>
      <c r="E91" s="328" t="s">
        <v>350</v>
      </c>
      <c r="F91" s="326" t="s">
        <v>350</v>
      </c>
      <c r="G91" s="326" t="s">
        <v>350</v>
      </c>
      <c r="H91" s="326" t="s">
        <v>350</v>
      </c>
      <c r="I91" s="326" t="s">
        <v>674</v>
      </c>
      <c r="J91" s="102" t="s">
        <v>809</v>
      </c>
      <c r="K91" s="323" t="s">
        <v>699</v>
      </c>
    </row>
    <row r="92" spans="1:11" s="87" customFormat="1" x14ac:dyDescent="0.2">
      <c r="A92" s="352" t="s">
        <v>691</v>
      </c>
      <c r="B92" s="326" t="s">
        <v>691</v>
      </c>
      <c r="C92" s="102" t="s">
        <v>830</v>
      </c>
      <c r="D92" s="353">
        <f>c_rinfar_markov</f>
        <v>6236.5431128221589</v>
      </c>
      <c r="E92" s="328" t="s">
        <v>350</v>
      </c>
      <c r="F92" s="326" t="s">
        <v>350</v>
      </c>
      <c r="G92" s="326" t="s">
        <v>350</v>
      </c>
      <c r="H92" s="326" t="s">
        <v>350</v>
      </c>
      <c r="I92" s="326" t="s">
        <v>674</v>
      </c>
      <c r="J92" s="102" t="s">
        <v>809</v>
      </c>
      <c r="K92" s="323" t="s">
        <v>699</v>
      </c>
    </row>
    <row r="93" spans="1:11" s="87" customFormat="1" x14ac:dyDescent="0.2">
      <c r="A93" s="352" t="s">
        <v>912</v>
      </c>
      <c r="B93" s="326" t="s">
        <v>692</v>
      </c>
      <c r="C93" s="102" t="s">
        <v>830</v>
      </c>
      <c r="D93" s="353">
        <f>c_post_rinfar_markov</f>
        <v>1728.9789389975226</v>
      </c>
      <c r="E93" s="328" t="s">
        <v>350</v>
      </c>
      <c r="F93" s="326" t="s">
        <v>350</v>
      </c>
      <c r="G93" s="326" t="s">
        <v>350</v>
      </c>
      <c r="H93" s="326" t="s">
        <v>350</v>
      </c>
      <c r="I93" s="326" t="s">
        <v>674</v>
      </c>
      <c r="J93" s="102" t="s">
        <v>809</v>
      </c>
      <c r="K93" s="323" t="s">
        <v>699</v>
      </c>
    </row>
    <row r="94" spans="1:11" ht="9" customHeight="1" x14ac:dyDescent="0.2">
      <c r="B94" s="105"/>
      <c r="D94" s="3"/>
      <c r="E94" s="173"/>
      <c r="F94" s="105"/>
      <c r="G94" s="105"/>
      <c r="H94" s="105"/>
    </row>
    <row r="95" spans="1:11" s="87" customFormat="1" x14ac:dyDescent="0.2">
      <c r="A95" s="425" t="s">
        <v>1222</v>
      </c>
      <c r="B95" s="326" t="s">
        <v>1147</v>
      </c>
      <c r="C95" s="102" t="s">
        <v>350</v>
      </c>
      <c r="D95" s="360">
        <v>3.5000000000000003E-2</v>
      </c>
      <c r="E95" s="328" t="s">
        <v>350</v>
      </c>
      <c r="F95" s="326" t="s">
        <v>350</v>
      </c>
      <c r="G95" s="326" t="s">
        <v>350</v>
      </c>
      <c r="H95" s="326" t="s">
        <v>350</v>
      </c>
      <c r="I95" s="326"/>
      <c r="J95" s="102" t="s">
        <v>720</v>
      </c>
      <c r="K95" s="333" t="s">
        <v>721</v>
      </c>
    </row>
    <row r="96" spans="1:11" s="87" customFormat="1" x14ac:dyDescent="0.2">
      <c r="A96" s="425" t="s">
        <v>1223</v>
      </c>
      <c r="B96" s="326" t="s">
        <v>1148</v>
      </c>
      <c r="C96" s="102" t="s">
        <v>350</v>
      </c>
      <c r="D96" s="360">
        <v>3.5000000000000003E-2</v>
      </c>
      <c r="E96" s="328" t="s">
        <v>350</v>
      </c>
      <c r="F96" s="326" t="s">
        <v>350</v>
      </c>
      <c r="G96" s="326" t="s">
        <v>350</v>
      </c>
      <c r="H96" s="326" t="s">
        <v>350</v>
      </c>
      <c r="I96" s="326"/>
      <c r="J96" s="102" t="s">
        <v>722</v>
      </c>
      <c r="K96" s="333" t="s">
        <v>721</v>
      </c>
    </row>
    <row r="97" spans="1:11" s="87" customFormat="1" x14ac:dyDescent="0.2">
      <c r="A97" s="352" t="s">
        <v>1149</v>
      </c>
      <c r="B97" s="87" t="s">
        <v>726</v>
      </c>
      <c r="C97" s="102"/>
      <c r="D97" s="353" t="s">
        <v>727</v>
      </c>
      <c r="E97" s="328" t="s">
        <v>350</v>
      </c>
      <c r="F97" s="326" t="s">
        <v>350</v>
      </c>
      <c r="G97" s="326" t="s">
        <v>350</v>
      </c>
      <c r="H97" s="326" t="s">
        <v>350</v>
      </c>
      <c r="I97" s="326"/>
      <c r="J97" s="102" t="s">
        <v>728</v>
      </c>
      <c r="K97" s="333" t="s">
        <v>721</v>
      </c>
    </row>
    <row r="98" spans="1:11" ht="11.5" customHeight="1" x14ac:dyDescent="0.2">
      <c r="A98" s="141"/>
    </row>
    <row r="99" spans="1:11" s="87" customFormat="1" x14ac:dyDescent="0.2">
      <c r="A99" s="361" t="s">
        <v>913</v>
      </c>
      <c r="B99" s="87" t="s">
        <v>804</v>
      </c>
      <c r="C99" s="102" t="s">
        <v>829</v>
      </c>
      <c r="D99" s="362">
        <f>or_dead_tica_clop</f>
        <v>0.77</v>
      </c>
      <c r="E99" s="339">
        <v>4012</v>
      </c>
      <c r="F99" s="336">
        <v>6.5772731964821363E-2</v>
      </c>
      <c r="G99" s="362">
        <v>0.68</v>
      </c>
      <c r="H99" s="362">
        <v>0.88</v>
      </c>
      <c r="I99" s="336" t="s">
        <v>593</v>
      </c>
      <c r="J99" s="102" t="s">
        <v>366</v>
      </c>
      <c r="K99" s="323" t="s">
        <v>699</v>
      </c>
    </row>
    <row r="100" spans="1:11" s="87" customFormat="1" x14ac:dyDescent="0.2">
      <c r="A100" s="361" t="s">
        <v>914</v>
      </c>
      <c r="B100" s="87" t="s">
        <v>805</v>
      </c>
      <c r="C100" s="102" t="s">
        <v>829</v>
      </c>
      <c r="D100" s="362">
        <f>or_mi_tica_clop</f>
        <v>0.82</v>
      </c>
      <c r="E100" s="339">
        <v>4237</v>
      </c>
      <c r="F100" s="336">
        <v>5.901253466853297E-2</v>
      </c>
      <c r="G100" s="362">
        <v>0.73</v>
      </c>
      <c r="H100" s="362">
        <v>0.92</v>
      </c>
      <c r="I100" s="336" t="s">
        <v>593</v>
      </c>
      <c r="J100" s="102" t="s">
        <v>366</v>
      </c>
      <c r="K100" s="323" t="s">
        <v>699</v>
      </c>
    </row>
    <row r="101" spans="1:11" s="87" customFormat="1" x14ac:dyDescent="0.2">
      <c r="A101" s="361" t="s">
        <v>915</v>
      </c>
      <c r="B101" s="87" t="s">
        <v>806</v>
      </c>
      <c r="C101" s="102" t="s">
        <v>829</v>
      </c>
      <c r="D101" s="362">
        <f>or_stk_tica_clop</f>
        <v>1.1299999999999999</v>
      </c>
      <c r="E101" s="339">
        <v>4387</v>
      </c>
      <c r="F101" s="336">
        <v>0.12274921679690325</v>
      </c>
      <c r="G101" s="362">
        <v>0.89</v>
      </c>
      <c r="H101" s="362">
        <v>1.44</v>
      </c>
      <c r="I101" s="336" t="s">
        <v>593</v>
      </c>
      <c r="J101" s="102" t="s">
        <v>366</v>
      </c>
      <c r="K101" s="323" t="s">
        <v>699</v>
      </c>
    </row>
    <row r="102" spans="1:11" s="87" customFormat="1" x14ac:dyDescent="0.2">
      <c r="A102" s="361" t="s">
        <v>1233</v>
      </c>
      <c r="B102" s="87" t="s">
        <v>807</v>
      </c>
      <c r="C102" s="102" t="s">
        <v>829</v>
      </c>
      <c r="D102" s="362">
        <f>or_maj_bleed__tica_clop</f>
        <v>1.04</v>
      </c>
      <c r="E102" s="339">
        <v>4387</v>
      </c>
      <c r="F102" s="336">
        <v>4.6510601222947597E-2</v>
      </c>
      <c r="G102" s="362">
        <v>0.95</v>
      </c>
      <c r="H102" s="362">
        <v>1.1399999999999999</v>
      </c>
      <c r="I102" s="336" t="s">
        <v>593</v>
      </c>
      <c r="J102" s="102" t="s">
        <v>366</v>
      </c>
      <c r="K102" s="323" t="s">
        <v>699</v>
      </c>
    </row>
    <row r="103" spans="1:11" s="87" customFormat="1" x14ac:dyDescent="0.2">
      <c r="A103" s="363" t="s">
        <v>1234</v>
      </c>
      <c r="B103" s="87" t="s">
        <v>808</v>
      </c>
      <c r="C103" s="102" t="s">
        <v>829</v>
      </c>
      <c r="D103" s="364">
        <f>or_min_bleed_tica_clop</f>
        <v>1.37</v>
      </c>
      <c r="E103" s="339">
        <v>4387</v>
      </c>
      <c r="F103" s="336">
        <v>7.0694467407341519E-2</v>
      </c>
      <c r="G103" s="364">
        <v>1.19</v>
      </c>
      <c r="H103" s="364">
        <v>1.57</v>
      </c>
      <c r="I103" s="336" t="s">
        <v>593</v>
      </c>
      <c r="J103" s="102" t="s">
        <v>366</v>
      </c>
      <c r="K103" s="323" t="s">
        <v>699</v>
      </c>
    </row>
    <row r="104" spans="1:11" ht="8" customHeight="1" x14ac:dyDescent="0.2">
      <c r="A104" s="141"/>
      <c r="I104" s="3"/>
    </row>
    <row r="105" spans="1:11" s="87" customFormat="1" x14ac:dyDescent="0.2">
      <c r="A105" s="361" t="s">
        <v>916</v>
      </c>
      <c r="B105" s="87" t="s">
        <v>810</v>
      </c>
      <c r="C105" s="102" t="s">
        <v>829</v>
      </c>
      <c r="D105" s="362">
        <f>or_dead_pras_clop</f>
        <v>1</v>
      </c>
      <c r="E105" s="339">
        <v>1769</v>
      </c>
      <c r="F105" s="328">
        <v>9.616069841840387E-2</v>
      </c>
      <c r="G105" s="362">
        <v>0.83</v>
      </c>
      <c r="H105" s="362">
        <v>1.21</v>
      </c>
      <c r="I105" s="336" t="s">
        <v>593</v>
      </c>
      <c r="J105" s="102" t="s">
        <v>366</v>
      </c>
      <c r="K105" s="323" t="s">
        <v>699</v>
      </c>
    </row>
    <row r="106" spans="1:11" s="87" customFormat="1" x14ac:dyDescent="0.2">
      <c r="A106" s="361" t="s">
        <v>917</v>
      </c>
      <c r="B106" s="87" t="s">
        <v>811</v>
      </c>
      <c r="C106" s="102" t="s">
        <v>829</v>
      </c>
      <c r="D106" s="362">
        <f>or_mi_pras_clop</f>
        <v>0.75</v>
      </c>
      <c r="E106" s="339">
        <v>1769</v>
      </c>
      <c r="F106" s="328">
        <v>6.1520932861451015E-2</v>
      </c>
      <c r="G106" s="362">
        <v>0.66</v>
      </c>
      <c r="H106" s="362">
        <v>0.84</v>
      </c>
      <c r="I106" s="336" t="s">
        <v>593</v>
      </c>
      <c r="J106" s="102" t="s">
        <v>366</v>
      </c>
      <c r="K106" s="323" t="s">
        <v>699</v>
      </c>
    </row>
    <row r="107" spans="1:11" s="87" customFormat="1" x14ac:dyDescent="0.2">
      <c r="A107" s="361" t="s">
        <v>918</v>
      </c>
      <c r="B107" s="87" t="s">
        <v>812</v>
      </c>
      <c r="C107" s="102" t="s">
        <v>829</v>
      </c>
      <c r="D107" s="362">
        <f>or_stk_pras_clop</f>
        <v>0.93</v>
      </c>
      <c r="E107" s="339">
        <v>1769</v>
      </c>
      <c r="F107" s="328">
        <v>0.16909230384301435</v>
      </c>
      <c r="G107" s="362">
        <v>0.67</v>
      </c>
      <c r="H107" s="362">
        <v>1.3</v>
      </c>
      <c r="I107" s="336" t="s">
        <v>593</v>
      </c>
      <c r="J107" s="102" t="s">
        <v>366</v>
      </c>
      <c r="K107" s="323" t="s">
        <v>699</v>
      </c>
    </row>
    <row r="108" spans="1:11" s="87" customFormat="1" x14ac:dyDescent="0.2">
      <c r="A108" s="361" t="s">
        <v>919</v>
      </c>
      <c r="B108" s="87" t="s">
        <v>813</v>
      </c>
      <c r="C108" s="102" t="s">
        <v>829</v>
      </c>
      <c r="D108" s="362">
        <f>or_maj_bleed_pras_clop</f>
        <v>1.43</v>
      </c>
      <c r="E108" s="339">
        <v>1023</v>
      </c>
      <c r="F108" s="328">
        <v>0.11509881567506626</v>
      </c>
      <c r="G108" s="362">
        <v>1.1399999999999999</v>
      </c>
      <c r="H108" s="362">
        <v>1.79</v>
      </c>
      <c r="I108" s="336" t="s">
        <v>593</v>
      </c>
      <c r="J108" s="102" t="s">
        <v>366</v>
      </c>
      <c r="K108" s="323" t="s">
        <v>699</v>
      </c>
    </row>
    <row r="109" spans="1:11" s="87" customFormat="1" x14ac:dyDescent="0.2">
      <c r="A109" s="363" t="s">
        <v>920</v>
      </c>
      <c r="B109" s="87" t="s">
        <v>814</v>
      </c>
      <c r="C109" s="102" t="s">
        <v>829</v>
      </c>
      <c r="D109" s="364">
        <f>or_min_bleed_pras_clop</f>
        <v>2.0699999999999998</v>
      </c>
      <c r="E109" s="339">
        <v>1023</v>
      </c>
      <c r="F109" s="328">
        <v>0.43646104811336311</v>
      </c>
      <c r="G109" s="364">
        <v>0.88</v>
      </c>
      <c r="H109" s="364">
        <v>4.87</v>
      </c>
      <c r="I109" s="336" t="s">
        <v>593</v>
      </c>
      <c r="J109" s="102" t="s">
        <v>366</v>
      </c>
      <c r="K109" s="323" t="s">
        <v>699</v>
      </c>
    </row>
    <row r="110" spans="1:11" ht="7.5" customHeight="1" x14ac:dyDescent="0.2">
      <c r="A110" s="141"/>
      <c r="I110" s="3"/>
    </row>
    <row r="111" spans="1:11" s="87" customFormat="1" x14ac:dyDescent="0.2">
      <c r="A111" s="347" t="s">
        <v>921</v>
      </c>
      <c r="B111" s="87" t="s">
        <v>831</v>
      </c>
      <c r="C111" s="102" t="s">
        <v>829</v>
      </c>
      <c r="D111" s="332">
        <f>1/hr_dead_ac_lof</f>
        <v>0.53191489361702127</v>
      </c>
      <c r="E111" s="339">
        <v>2561</v>
      </c>
      <c r="F111" s="365">
        <v>4.3765818891637878E-3</v>
      </c>
      <c r="G111" s="321">
        <v>1.18</v>
      </c>
      <c r="H111" s="321">
        <v>3.01</v>
      </c>
      <c r="I111" s="336" t="s">
        <v>593</v>
      </c>
      <c r="J111" s="102" t="s">
        <v>468</v>
      </c>
      <c r="K111" s="87" t="s">
        <v>658</v>
      </c>
    </row>
    <row r="112" spans="1:11" s="87" customFormat="1" x14ac:dyDescent="0.2">
      <c r="A112" s="347" t="s">
        <v>922</v>
      </c>
      <c r="B112" s="87" t="s">
        <v>832</v>
      </c>
      <c r="C112" s="102" t="s">
        <v>829</v>
      </c>
      <c r="D112" s="332">
        <f>1/hr_mi_ac_lof</f>
        <v>0.5988023952095809</v>
      </c>
      <c r="E112" s="339">
        <v>2696</v>
      </c>
      <c r="F112" s="365">
        <v>3.7395739072244466E-3</v>
      </c>
      <c r="G112" s="321">
        <v>1.21</v>
      </c>
      <c r="H112" s="321">
        <v>2.31</v>
      </c>
      <c r="I112" s="336" t="s">
        <v>593</v>
      </c>
      <c r="J112" s="102" t="s">
        <v>468</v>
      </c>
      <c r="K112" s="87" t="s">
        <v>701</v>
      </c>
    </row>
    <row r="113" spans="1:11" s="87" customFormat="1" x14ac:dyDescent="0.2">
      <c r="A113" s="347" t="s">
        <v>923</v>
      </c>
      <c r="B113" s="87" t="s">
        <v>833</v>
      </c>
      <c r="C113" s="102" t="s">
        <v>829</v>
      </c>
      <c r="D113" s="332">
        <f>1/hr_stk_ac_lof</f>
        <v>1</v>
      </c>
      <c r="E113" s="339">
        <v>2696</v>
      </c>
      <c r="F113" s="365">
        <v>1.8446254210749856E-3</v>
      </c>
      <c r="G113" s="321">
        <v>0.79</v>
      </c>
      <c r="H113" s="321">
        <v>2.3199999999999998</v>
      </c>
      <c r="I113" s="336" t="s">
        <v>593</v>
      </c>
      <c r="J113" s="102" t="s">
        <v>468</v>
      </c>
      <c r="K113" s="87" t="s">
        <v>702</v>
      </c>
    </row>
    <row r="114" spans="1:11" s="87" customFormat="1" x14ac:dyDescent="0.2">
      <c r="A114" s="87" t="s">
        <v>1231</v>
      </c>
      <c r="B114" s="87" t="s">
        <v>834</v>
      </c>
      <c r="C114" s="102" t="s">
        <v>829</v>
      </c>
      <c r="D114" s="321">
        <v>0.99</v>
      </c>
      <c r="E114" s="339">
        <v>1023</v>
      </c>
      <c r="F114" s="321"/>
      <c r="G114" s="321">
        <v>0.85</v>
      </c>
      <c r="H114" s="321">
        <v>1.1499999999999999</v>
      </c>
      <c r="I114" s="336" t="s">
        <v>593</v>
      </c>
      <c r="J114" s="102" t="s">
        <v>366</v>
      </c>
      <c r="K114" s="323" t="s">
        <v>699</v>
      </c>
    </row>
    <row r="115" spans="1:11" s="87" customFormat="1" x14ac:dyDescent="0.2">
      <c r="A115" s="87" t="s">
        <v>1232</v>
      </c>
      <c r="B115" s="87" t="s">
        <v>835</v>
      </c>
      <c r="C115" s="102" t="s">
        <v>829</v>
      </c>
      <c r="D115" s="321">
        <v>0.99</v>
      </c>
      <c r="E115" s="339">
        <v>1023</v>
      </c>
      <c r="F115" s="321"/>
      <c r="G115" s="321">
        <v>0.85</v>
      </c>
      <c r="H115" s="321">
        <v>1.1499999999999999</v>
      </c>
      <c r="I115" s="336" t="s">
        <v>593</v>
      </c>
      <c r="J115" s="102" t="s">
        <v>388</v>
      </c>
      <c r="K115" s="323" t="s">
        <v>699</v>
      </c>
    </row>
    <row r="116" spans="1:11" ht="8" customHeight="1" x14ac:dyDescent="0.2">
      <c r="I116" s="3"/>
    </row>
    <row r="117" spans="1:11" s="87" customFormat="1" x14ac:dyDescent="0.2">
      <c r="A117" s="347" t="s">
        <v>1072</v>
      </c>
      <c r="B117" s="87" t="s">
        <v>1063</v>
      </c>
      <c r="C117" s="102" t="s">
        <v>866</v>
      </c>
      <c r="D117" s="360">
        <v>7.85E-2</v>
      </c>
      <c r="E117" s="328">
        <v>4387</v>
      </c>
      <c r="F117" s="365">
        <f>SQRT(prob_dys_ac * (1 - prob_dys_ac) / E117)</f>
        <v>4.0606792004202674E-3</v>
      </c>
      <c r="G117" s="365">
        <f>prob_dys_ac-(1.96*F117)</f>
        <v>7.0541068767176279E-2</v>
      </c>
      <c r="H117" s="365">
        <f>prob_dys_ac+(1.96*G117)</f>
        <v>0.21676049478366549</v>
      </c>
      <c r="I117" s="336" t="s">
        <v>593</v>
      </c>
      <c r="J117" s="102" t="s">
        <v>366</v>
      </c>
      <c r="K117" s="323" t="s">
        <v>699</v>
      </c>
    </row>
    <row r="118" spans="1:11" s="87" customFormat="1" x14ac:dyDescent="0.2">
      <c r="A118" s="347" t="s">
        <v>1073</v>
      </c>
      <c r="B118" s="87" t="s">
        <v>1064</v>
      </c>
      <c r="C118" s="102" t="s">
        <v>866</v>
      </c>
      <c r="D118" s="328">
        <f xml:space="preserve"> (or_dys_at_ac * prob_dys_ac) / (1 - prob_dys_ac + (or_dys_at_ac * prob_dys_ac))</f>
        <v>0.13102518282419173</v>
      </c>
      <c r="E118" s="328">
        <v>4387</v>
      </c>
      <c r="F118" s="334">
        <f>(H118-G118)/2*1.96</f>
        <v>2.963236612375679E-2</v>
      </c>
      <c r="G118" s="365">
        <f>(((prob_dys_ac/(1-prob_dys_ac)))*G120)/(1+(((prob_dys_ac/(1-prob_dys_ac)))*G120))</f>
        <v>0.12126789171045228</v>
      </c>
      <c r="H118" s="365">
        <f>(((prob_dys_ac/(1-prob_dys_ac)))*H120)/(1+(((prob_dys_ac/(1-prob_dys_ac)))))</f>
        <v>0.15150500000000003</v>
      </c>
      <c r="I118" s="336" t="s">
        <v>593</v>
      </c>
      <c r="J118" s="102" t="s">
        <v>366</v>
      </c>
      <c r="K118" s="323" t="s">
        <v>699</v>
      </c>
    </row>
    <row r="119" spans="1:11" s="87" customFormat="1" x14ac:dyDescent="0.2">
      <c r="A119" s="347" t="s">
        <v>1230</v>
      </c>
      <c r="B119" s="87" t="s">
        <v>1065</v>
      </c>
      <c r="C119" s="102" t="s">
        <v>866</v>
      </c>
      <c r="D119" s="360">
        <v>7.85E-2</v>
      </c>
      <c r="E119" s="328">
        <v>4387</v>
      </c>
      <c r="F119" s="365">
        <f>SQRT(prob_dys_ac * (1 - prob_dys_ac) / E119)</f>
        <v>4.0606792004202674E-3</v>
      </c>
      <c r="G119" s="365">
        <f>prob_dys_ac-(1.96*F119)</f>
        <v>7.0541068767176279E-2</v>
      </c>
      <c r="H119" s="365">
        <f>prob_dys_ac+(1.96*G119)</f>
        <v>0.21676049478366549</v>
      </c>
      <c r="I119" s="336" t="s">
        <v>593</v>
      </c>
      <c r="J119" s="102" t="s">
        <v>366</v>
      </c>
      <c r="K119" s="323" t="s">
        <v>699</v>
      </c>
    </row>
    <row r="120" spans="1:11" s="87" customFormat="1" x14ac:dyDescent="0.2">
      <c r="A120" s="87" t="s">
        <v>1074</v>
      </c>
      <c r="B120" s="87" t="s">
        <v>1066</v>
      </c>
      <c r="C120" s="102" t="s">
        <v>829</v>
      </c>
      <c r="D120" s="102">
        <v>1.77</v>
      </c>
      <c r="E120" s="328">
        <v>4387</v>
      </c>
      <c r="F120" s="321" t="s">
        <v>350</v>
      </c>
      <c r="G120" s="321">
        <v>1.62</v>
      </c>
      <c r="H120" s="321">
        <v>1.93</v>
      </c>
      <c r="I120" s="336" t="s">
        <v>593</v>
      </c>
      <c r="J120" s="102" t="s">
        <v>366</v>
      </c>
      <c r="K120" s="323" t="s">
        <v>699</v>
      </c>
    </row>
    <row r="121" spans="1:11" ht="7.5" customHeight="1" x14ac:dyDescent="0.2"/>
    <row r="122" spans="1:11" s="87" customFormat="1" x14ac:dyDescent="0.2">
      <c r="A122" s="326" t="s">
        <v>1075</v>
      </c>
      <c r="B122" s="326" t="s">
        <v>1060</v>
      </c>
      <c r="C122" s="326" t="s">
        <v>830</v>
      </c>
      <c r="D122" s="353">
        <v>44.5</v>
      </c>
      <c r="E122" s="332" t="s">
        <v>350</v>
      </c>
      <c r="F122" s="332" t="s">
        <v>350</v>
      </c>
      <c r="G122" s="332" t="s">
        <v>350</v>
      </c>
      <c r="H122" s="332" t="s">
        <v>350</v>
      </c>
      <c r="I122" s="102" t="s">
        <v>674</v>
      </c>
      <c r="J122" s="102" t="s">
        <v>366</v>
      </c>
      <c r="K122" s="323" t="s">
        <v>699</v>
      </c>
    </row>
    <row r="123" spans="1:11" s="87" customFormat="1" x14ac:dyDescent="0.2">
      <c r="A123" s="326" t="s">
        <v>1076</v>
      </c>
      <c r="B123" s="326" t="s">
        <v>1067</v>
      </c>
      <c r="C123" s="326" t="s">
        <v>830</v>
      </c>
      <c r="D123" s="353">
        <f>c_dys_pp*prob_dys_ac</f>
        <v>3.4932500000000002</v>
      </c>
      <c r="E123" s="332" t="s">
        <v>350</v>
      </c>
      <c r="F123" s="332" t="s">
        <v>350</v>
      </c>
      <c r="G123" s="332" t="s">
        <v>350</v>
      </c>
      <c r="H123" s="332" t="s">
        <v>350</v>
      </c>
      <c r="I123" s="102" t="s">
        <v>674</v>
      </c>
      <c r="J123" s="102" t="s">
        <v>366</v>
      </c>
      <c r="K123" s="323" t="s">
        <v>699</v>
      </c>
    </row>
    <row r="124" spans="1:11" s="87" customFormat="1" x14ac:dyDescent="0.2">
      <c r="A124" s="326" t="s">
        <v>1077</v>
      </c>
      <c r="B124" s="326" t="s">
        <v>1068</v>
      </c>
      <c r="C124" s="326" t="s">
        <v>830</v>
      </c>
      <c r="D124" s="353">
        <f>c_dys_pp*prob_dys_at</f>
        <v>5.8306206356765324</v>
      </c>
      <c r="E124" s="332" t="s">
        <v>350</v>
      </c>
      <c r="F124" s="332" t="s">
        <v>350</v>
      </c>
      <c r="G124" s="332" t="s">
        <v>350</v>
      </c>
      <c r="H124" s="332" t="s">
        <v>350</v>
      </c>
      <c r="I124" s="102" t="s">
        <v>674</v>
      </c>
      <c r="J124" s="102" t="s">
        <v>366</v>
      </c>
      <c r="K124" s="323" t="s">
        <v>699</v>
      </c>
    </row>
    <row r="125" spans="1:11" s="87" customFormat="1" x14ac:dyDescent="0.2">
      <c r="A125" s="326" t="s">
        <v>1078</v>
      </c>
      <c r="B125" s="326" t="s">
        <v>1069</v>
      </c>
      <c r="C125" s="326" t="s">
        <v>830</v>
      </c>
      <c r="D125" s="353">
        <f>c_dys_pp*prob_dys_ap</f>
        <v>3.4932500000000002</v>
      </c>
      <c r="E125" s="332" t="s">
        <v>350</v>
      </c>
      <c r="F125" s="332" t="s">
        <v>350</v>
      </c>
      <c r="G125" s="332" t="s">
        <v>350</v>
      </c>
      <c r="H125" s="332" t="s">
        <v>350</v>
      </c>
      <c r="I125" s="102" t="s">
        <v>674</v>
      </c>
      <c r="J125" s="102" t="s">
        <v>366</v>
      </c>
      <c r="K125" s="323" t="s">
        <v>699</v>
      </c>
    </row>
    <row r="126" spans="1:11" ht="8" customHeight="1" x14ac:dyDescent="0.2">
      <c r="I126" s="3"/>
    </row>
    <row r="127" spans="1:11" s="87" customFormat="1" x14ac:dyDescent="0.2">
      <c r="A127" s="105" t="s">
        <v>1224</v>
      </c>
      <c r="B127" s="326" t="s">
        <v>1070</v>
      </c>
      <c r="C127" s="102"/>
      <c r="D127" s="102">
        <v>4.9000000000000002E-2</v>
      </c>
      <c r="E127" s="332" t="s">
        <v>350</v>
      </c>
      <c r="F127" s="332" t="s">
        <v>350</v>
      </c>
      <c r="G127" s="332" t="s">
        <v>350</v>
      </c>
      <c r="H127" s="332" t="s">
        <v>350</v>
      </c>
      <c r="I127" s="336" t="s">
        <v>725</v>
      </c>
      <c r="J127" s="102" t="s">
        <v>366</v>
      </c>
      <c r="K127" s="323" t="s">
        <v>699</v>
      </c>
    </row>
    <row r="128" spans="1:11" s="87" customFormat="1" x14ac:dyDescent="0.2">
      <c r="A128" s="326" t="s">
        <v>1079</v>
      </c>
      <c r="B128" s="326" t="s">
        <v>1071</v>
      </c>
      <c r="C128" s="102"/>
      <c r="D128" s="102">
        <v>30</v>
      </c>
      <c r="E128" s="332" t="s">
        <v>350</v>
      </c>
      <c r="F128" s="332" t="s">
        <v>350</v>
      </c>
      <c r="G128" s="332" t="s">
        <v>350</v>
      </c>
      <c r="H128" s="332" t="s">
        <v>350</v>
      </c>
      <c r="I128" s="336" t="s">
        <v>1055</v>
      </c>
      <c r="J128" s="102" t="s">
        <v>366</v>
      </c>
      <c r="K128" s="323" t="s">
        <v>699</v>
      </c>
    </row>
    <row r="129" spans="1:11" s="87" customFormat="1" x14ac:dyDescent="0.2">
      <c r="A129" s="326" t="s">
        <v>1080</v>
      </c>
      <c r="B129" s="326" t="s">
        <v>1052</v>
      </c>
      <c r="C129" s="102"/>
      <c r="D129" s="365">
        <f>u_dec_dys*(duration_dys/365)*prob_dys_ac</f>
        <v>3.1615068493150687E-4</v>
      </c>
      <c r="E129" s="332" t="s">
        <v>350</v>
      </c>
      <c r="F129" s="332" t="s">
        <v>350</v>
      </c>
      <c r="G129" s="332" t="s">
        <v>350</v>
      </c>
      <c r="H129" s="332" t="s">
        <v>350</v>
      </c>
      <c r="I129" s="336" t="s">
        <v>725</v>
      </c>
      <c r="J129" s="102" t="s">
        <v>366</v>
      </c>
      <c r="K129" s="323" t="s">
        <v>699</v>
      </c>
    </row>
    <row r="130" spans="1:11" s="87" customFormat="1" x14ac:dyDescent="0.2">
      <c r="A130" s="326" t="s">
        <v>1081</v>
      </c>
      <c r="B130" s="326" t="s">
        <v>1053</v>
      </c>
      <c r="C130" s="102"/>
      <c r="D130" s="365">
        <f>u_dec_dys*(duration_dys/365)*prob_dys_at</f>
        <v>5.2769046233304613E-4</v>
      </c>
      <c r="E130" s="332" t="s">
        <v>350</v>
      </c>
      <c r="F130" s="332" t="s">
        <v>350</v>
      </c>
      <c r="G130" s="332" t="s">
        <v>350</v>
      </c>
      <c r="H130" s="332" t="s">
        <v>350</v>
      </c>
      <c r="I130" s="336" t="s">
        <v>725</v>
      </c>
      <c r="J130" s="102" t="s">
        <v>366</v>
      </c>
      <c r="K130" s="323" t="s">
        <v>699</v>
      </c>
    </row>
    <row r="131" spans="1:11" s="87" customFormat="1" x14ac:dyDescent="0.2">
      <c r="A131" s="326" t="s">
        <v>1082</v>
      </c>
      <c r="B131" s="326" t="s">
        <v>1054</v>
      </c>
      <c r="C131" s="102"/>
      <c r="D131" s="365">
        <f>u_dec_dys*(duration_dys/365)*prob_dys_ap</f>
        <v>3.1615068493150687E-4</v>
      </c>
      <c r="E131" s="332" t="s">
        <v>350</v>
      </c>
      <c r="F131" s="332" t="s">
        <v>350</v>
      </c>
      <c r="G131" s="332" t="s">
        <v>350</v>
      </c>
      <c r="H131" s="332" t="s">
        <v>350</v>
      </c>
      <c r="I131" s="336" t="s">
        <v>725</v>
      </c>
      <c r="J131" s="102" t="s">
        <v>366</v>
      </c>
      <c r="K131" s="323" t="s">
        <v>699</v>
      </c>
    </row>
    <row r="132" spans="1:11" ht="8" customHeight="1" x14ac:dyDescent="0.2"/>
    <row r="133" spans="1:11" x14ac:dyDescent="0.2">
      <c r="A133" s="390" t="s">
        <v>1163</v>
      </c>
      <c r="B133" s="387" t="s">
        <v>1157</v>
      </c>
      <c r="C133" s="385" t="s">
        <v>825</v>
      </c>
      <c r="D133" s="391">
        <v>0.26</v>
      </c>
      <c r="J133" s="3" t="s">
        <v>1162</v>
      </c>
    </row>
    <row r="134" spans="1:11" x14ac:dyDescent="0.2">
      <c r="A134" s="390" t="s">
        <v>1164</v>
      </c>
      <c r="B134" s="387" t="s">
        <v>1158</v>
      </c>
      <c r="C134" s="385" t="s">
        <v>825</v>
      </c>
      <c r="D134" s="391">
        <v>0.65629999999999999</v>
      </c>
      <c r="J134" s="3" t="s">
        <v>1162</v>
      </c>
    </row>
    <row r="135" spans="1:11" x14ac:dyDescent="0.2">
      <c r="A135" s="390" t="s">
        <v>1165</v>
      </c>
      <c r="B135" s="387" t="s">
        <v>1159</v>
      </c>
      <c r="C135" s="385" t="s">
        <v>825</v>
      </c>
      <c r="D135" s="391">
        <v>8.4000000000000005E-2</v>
      </c>
      <c r="J135" s="3" t="s">
        <v>1162</v>
      </c>
    </row>
    <row r="136" spans="1:11" x14ac:dyDescent="0.2">
      <c r="A136" s="390" t="s">
        <v>1166</v>
      </c>
      <c r="B136" s="387" t="s">
        <v>1160</v>
      </c>
      <c r="C136" s="385" t="s">
        <v>866</v>
      </c>
      <c r="D136" s="391">
        <v>0.86</v>
      </c>
      <c r="J136" s="3" t="s">
        <v>1025</v>
      </c>
    </row>
    <row r="137" spans="1:11" ht="16" x14ac:dyDescent="0.2">
      <c r="A137" s="390" t="s">
        <v>1167</v>
      </c>
      <c r="B137" s="387" t="s">
        <v>1161</v>
      </c>
      <c r="C137" s="385" t="s">
        <v>866</v>
      </c>
      <c r="D137" s="391">
        <v>0.69899999999999995</v>
      </c>
      <c r="J137" s="139" t="s">
        <v>1096</v>
      </c>
    </row>
    <row r="138" spans="1:11" x14ac:dyDescent="0.2">
      <c r="A138" s="390" t="s">
        <v>1168</v>
      </c>
      <c r="B138" s="391" t="s">
        <v>1169</v>
      </c>
      <c r="C138" s="391" t="s">
        <v>825</v>
      </c>
      <c r="D138" s="391">
        <v>0.56799999999999995</v>
      </c>
      <c r="J138" s="3" t="s">
        <v>649</v>
      </c>
    </row>
    <row r="139" spans="1:11" ht="8" customHeight="1" x14ac:dyDescent="0.2"/>
    <row r="140" spans="1:11" ht="16" x14ac:dyDescent="0.2">
      <c r="A140" s="390" t="s">
        <v>1173</v>
      </c>
      <c r="B140" s="384" t="s">
        <v>1027</v>
      </c>
      <c r="C140" s="385"/>
      <c r="D140" s="392">
        <v>7.1999999999999998E-3</v>
      </c>
      <c r="J140" s="139" t="s">
        <v>1028</v>
      </c>
    </row>
    <row r="141" spans="1:11" ht="16" x14ac:dyDescent="0.2">
      <c r="A141" s="390" t="s">
        <v>1172</v>
      </c>
      <c r="B141" s="384" t="s">
        <v>1031</v>
      </c>
      <c r="C141" s="385"/>
      <c r="D141" s="394">
        <f>0.066*0.82</f>
        <v>5.4120000000000001E-2</v>
      </c>
      <c r="J141" s="139" t="s">
        <v>1029</v>
      </c>
      <c r="K141" s="143" t="s">
        <v>1030</v>
      </c>
    </row>
    <row r="142" spans="1:11" ht="16" x14ac:dyDescent="0.2">
      <c r="A142" s="390" t="s">
        <v>1174</v>
      </c>
      <c r="B142" s="384" t="s">
        <v>1027</v>
      </c>
      <c r="C142" s="385"/>
      <c r="D142" s="385">
        <f>prob_stk_ac*0.8</f>
        <v>9.3081446265482291E-3</v>
      </c>
      <c r="J142" s="139" t="s">
        <v>1032</v>
      </c>
      <c r="K142"/>
    </row>
    <row r="143" spans="1:11" ht="16" x14ac:dyDescent="0.2">
      <c r="A143" s="390" t="s">
        <v>1177</v>
      </c>
      <c r="B143" s="384" t="s">
        <v>1175</v>
      </c>
      <c r="C143" s="385" t="s">
        <v>829</v>
      </c>
      <c r="D143" s="385">
        <f>smr_noevent*0.8</f>
        <v>1.6</v>
      </c>
      <c r="J143" s="139" t="s">
        <v>1035</v>
      </c>
    </row>
    <row r="144" spans="1:11" x14ac:dyDescent="0.2">
      <c r="A144" s="390" t="s">
        <v>1176</v>
      </c>
      <c r="B144" s="384" t="s">
        <v>1178</v>
      </c>
      <c r="C144" s="385" t="s">
        <v>829</v>
      </c>
      <c r="D144" s="385">
        <f>smr_rinfar*0.8</f>
        <v>3.6</v>
      </c>
      <c r="J144" s="139"/>
    </row>
    <row r="145" spans="1:10" ht="16" x14ac:dyDescent="0.2">
      <c r="A145" s="390" t="s">
        <v>1179</v>
      </c>
      <c r="B145" s="384" t="s">
        <v>1180</v>
      </c>
      <c r="C145" s="385" t="s">
        <v>829</v>
      </c>
      <c r="D145" s="385">
        <f>smr_post_rinfar*0.8</f>
        <v>2.4000000000000004</v>
      </c>
      <c r="J145" s="139" t="s">
        <v>1038</v>
      </c>
    </row>
    <row r="146" spans="1:10" ht="8" customHeight="1" x14ac:dyDescent="0.2">
      <c r="A146" s="393"/>
      <c r="J146" s="139"/>
    </row>
    <row r="147" spans="1:10" ht="14.5" customHeight="1" x14ac:dyDescent="0.2">
      <c r="A147" s="383" t="s">
        <v>1156</v>
      </c>
      <c r="B147" s="384" t="s">
        <v>1142</v>
      </c>
      <c r="C147" s="385" t="s">
        <v>830</v>
      </c>
      <c r="D147" s="386">
        <v>893.20396071179425</v>
      </c>
      <c r="J147" s="139" t="s">
        <v>1115</v>
      </c>
    </row>
    <row r="148" spans="1:10" ht="14.5" customHeight="1" x14ac:dyDescent="0.2">
      <c r="A148" s="383" t="s">
        <v>1155</v>
      </c>
      <c r="B148" s="384" t="s">
        <v>1143</v>
      </c>
      <c r="C148" s="385" t="s">
        <v>830</v>
      </c>
      <c r="D148" s="386">
        <v>3528.2167394737421</v>
      </c>
      <c r="J148" s="139" t="s">
        <v>1038</v>
      </c>
    </row>
    <row r="149" spans="1:10" ht="14.5" customHeight="1" x14ac:dyDescent="0.2">
      <c r="A149" s="383" t="s">
        <v>1154</v>
      </c>
      <c r="B149" s="384" t="s">
        <v>1144</v>
      </c>
      <c r="C149" s="385" t="s">
        <v>830</v>
      </c>
      <c r="D149" s="386">
        <v>3848.9637157895368</v>
      </c>
      <c r="J149" s="139" t="s">
        <v>1112</v>
      </c>
    </row>
    <row r="150" spans="1:10" ht="14.5" customHeight="1" x14ac:dyDescent="0.2">
      <c r="A150" s="383" t="s">
        <v>1153</v>
      </c>
      <c r="B150" s="384" t="s">
        <v>1145</v>
      </c>
      <c r="C150" s="385" t="s">
        <v>830</v>
      </c>
      <c r="D150" s="386">
        <v>4169.7106921053319</v>
      </c>
      <c r="J150" s="139" t="s">
        <v>1113</v>
      </c>
    </row>
    <row r="151" spans="1:10" ht="14.5" customHeight="1" x14ac:dyDescent="0.2">
      <c r="A151" s="383" t="s">
        <v>1152</v>
      </c>
      <c r="B151" s="384" t="s">
        <v>1146</v>
      </c>
      <c r="C151" s="385" t="s">
        <v>830</v>
      </c>
      <c r="D151" s="386">
        <v>4490.4576684211261</v>
      </c>
      <c r="J151" s="139" t="s">
        <v>1114</v>
      </c>
    </row>
    <row r="152" spans="1:10" ht="8" customHeight="1" x14ac:dyDescent="0.2">
      <c r="B152" s="105"/>
      <c r="C152" s="375"/>
    </row>
    <row r="153" spans="1:10" ht="16" x14ac:dyDescent="0.2">
      <c r="A153" s="383" t="s">
        <v>1182</v>
      </c>
      <c r="B153" s="383" t="s">
        <v>1181</v>
      </c>
      <c r="C153" s="386" t="s">
        <v>1191</v>
      </c>
      <c r="D153" s="392">
        <v>0.84199999999999997</v>
      </c>
      <c r="J153" s="139" t="s">
        <v>1116</v>
      </c>
    </row>
    <row r="154" spans="1:10" ht="16" x14ac:dyDescent="0.2">
      <c r="A154" s="383" t="s">
        <v>1183</v>
      </c>
      <c r="B154" s="383" t="s">
        <v>1181</v>
      </c>
      <c r="C154" s="386" t="s">
        <v>1191</v>
      </c>
      <c r="D154" s="392">
        <v>0.77900000000000003</v>
      </c>
      <c r="H154" s="180"/>
      <c r="J154" s="139" t="s">
        <v>1140</v>
      </c>
    </row>
    <row r="155" spans="1:10" ht="16" x14ac:dyDescent="0.2">
      <c r="A155" s="383" t="s">
        <v>1184</v>
      </c>
      <c r="B155" s="383" t="s">
        <v>1181</v>
      </c>
      <c r="C155" s="386" t="s">
        <v>1191</v>
      </c>
      <c r="D155" s="392">
        <v>0.82099999999999995</v>
      </c>
      <c r="J155" s="139" t="s">
        <v>1141</v>
      </c>
    </row>
    <row r="156" spans="1:10" ht="16" x14ac:dyDescent="0.2">
      <c r="A156" s="383" t="s">
        <v>1186</v>
      </c>
      <c r="B156" s="383" t="s">
        <v>1181</v>
      </c>
      <c r="C156" s="386" t="s">
        <v>1191</v>
      </c>
      <c r="D156" s="392">
        <v>0.70299999999999996</v>
      </c>
      <c r="J156" s="139" t="s">
        <v>1187</v>
      </c>
    </row>
    <row r="157" spans="1:10" ht="16" x14ac:dyDescent="0.2">
      <c r="A157" s="383" t="s">
        <v>1185</v>
      </c>
      <c r="B157" s="383" t="s">
        <v>1181</v>
      </c>
      <c r="C157" s="386" t="s">
        <v>1191</v>
      </c>
      <c r="D157" s="392">
        <v>0.70299999999999996</v>
      </c>
      <c r="J157" s="139" t="s">
        <v>1188</v>
      </c>
    </row>
    <row r="158" spans="1:10" ht="16" x14ac:dyDescent="0.2">
      <c r="A158" s="388" t="s">
        <v>1151</v>
      </c>
      <c r="B158" s="384" t="s">
        <v>1170</v>
      </c>
      <c r="C158" s="386" t="s">
        <v>1191</v>
      </c>
      <c r="D158" s="389">
        <v>1.4999999999999999E-2</v>
      </c>
      <c r="J158" s="139" t="s">
        <v>1189</v>
      </c>
    </row>
    <row r="159" spans="1:10" ht="16" x14ac:dyDescent="0.2">
      <c r="A159" s="388" t="s">
        <v>1150</v>
      </c>
      <c r="B159" s="384" t="s">
        <v>1171</v>
      </c>
      <c r="C159" s="386" t="s">
        <v>1191</v>
      </c>
      <c r="D159" s="389">
        <v>1.4999999999999999E-2</v>
      </c>
      <c r="J159" s="139" t="s">
        <v>1190</v>
      </c>
    </row>
  </sheetData>
  <mergeCells count="1">
    <mergeCell ref="K12:Q12"/>
  </mergeCells>
  <phoneticPr fontId="4" type="noConversion"/>
  <hyperlinks>
    <hyperlink ref="K6" r:id="rId1" display="https://doi.org/10.1161/jaha.124.034414" xr:uid="{87B888CF-C254-43A4-B687-6E0E14D14D9D}"/>
    <hyperlink ref="K7:K8" r:id="rId2" display="https://doi.org/10.1161/jaha.124.034414" xr:uid="{34E7070D-C8E9-4281-9EB2-228C28D4D65D}"/>
    <hyperlink ref="K2" r:id="rId3" display="https://www.ncbi.nlm.nih.gov/books/NBK565353/" xr:uid="{11E96574-D2FC-4989-9A31-F3AD52E27AC7}"/>
    <hyperlink ref="K5" r:id="rId4" display="https://www.ncbi.nlm.nih.gov/books/NBK565353/" xr:uid="{E4D8AA0A-F5DF-49BA-98F9-4B2A909F5A1E}"/>
    <hyperlink ref="K13" r:id="rId5" display="https://doi.org/10.1136/openhrt-2018-000951" xr:uid="{02B81B32-B658-4E1F-AB91-BC848C7A9D10}"/>
    <hyperlink ref="K14" r:id="rId6" display="https://doi.org/10.1093/eurheartj/ehx515" xr:uid="{F936F48D-4A78-4E64-B4D2-5493E445BFCE}"/>
    <hyperlink ref="K18" r:id="rId7" display="https://www.ncbi.nlm.nih.gov/books/NBK565353/" xr:uid="{55CD8380-D3FD-4EEA-8FA7-5AAAE86E5E9C}"/>
    <hyperlink ref="K19:K22" r:id="rId8" display="https://www.ncbi.nlm.nih.gov/books/NBK565353/" xr:uid="{D730A298-1680-4F5E-BFAD-AD483B118089}"/>
    <hyperlink ref="K24" r:id="rId9" display="https://www.ncbi.nlm.nih.gov/books/NBK565353/" xr:uid="{1A92CCA6-D01F-43AB-A032-77F60ADB268B}"/>
    <hyperlink ref="K25:K28" r:id="rId10" display="https://www.ncbi.nlm.nih.gov/books/NBK565353/" xr:uid="{0470DC79-BF63-462A-8D0C-CADFEAE783EA}"/>
    <hyperlink ref="K30" r:id="rId11" display="https://doi.org/10.1111/cts.12830" xr:uid="{A009EBC2-AB84-4EA2-BE42-CEC2963111C8}"/>
    <hyperlink ref="K31" r:id="rId12" display="https://doi.org/10.1111/cts.12830" xr:uid="{102D8442-69D3-40BB-BA44-4E0109EF1773}"/>
    <hyperlink ref="K42" r:id="rId13" display="https://doi.org/10.1056/nejmoa0904327" xr:uid="{C5DB8040-C879-43A5-A97E-4A1606D24FB7}"/>
    <hyperlink ref="K41" r:id="rId14" display="https://doi.org/10.1056/nejmoa0904327" xr:uid="{93C6B207-7AF6-4D06-AE23-F3E1DA1270D4}"/>
    <hyperlink ref="K43" r:id="rId15" display="https://doi.org/10.1056/nejmoa0904327" xr:uid="{D02D67CC-D4C3-48D1-9812-B127DFAFCA39}"/>
    <hyperlink ref="K44" r:id="rId16" display="https://hqlo.biomedcentral.com/articles/10.1186/s12955-018-1019-3" xr:uid="{9B27ABB7-D38C-48C8-8A97-1BB80F2C44BD}"/>
    <hyperlink ref="K45" r:id="rId17" display="https://hqlo.biomedcentral.com/articles/10.1186/s12955-018-1019-3" xr:uid="{976B669B-31B7-4B58-8926-527B87757BD2}"/>
    <hyperlink ref="K46" r:id="rId18" display="https://hqlo.biomedcentral.com/articles/10.1186/s12955-018-1019-3" xr:uid="{B952C32E-4069-4F71-AC86-CF91EE417FAC}"/>
    <hyperlink ref="K47" r:id="rId19" display="https://hqlo.biomedcentral.com/articles/10.1186/s12955-018-1019-3" xr:uid="{DF4EF952-5E79-4834-933C-4E12A5160537}"/>
    <hyperlink ref="K55" r:id="rId20" display="https://doi.org/10.1161/circoutcomes.111.964700" xr:uid="{B6328660-FC3D-490A-88D4-322E3DD886FC}"/>
    <hyperlink ref="K56" r:id="rId21" display="https://doi.org/10.1161/circoutcomes.111.964700" xr:uid="{5A7CBC63-52C3-4ED6-8197-A5107760492F}"/>
    <hyperlink ref="K57" r:id="rId22" display="https://doi.org/10.1161/circoutcomes.111.964700" xr:uid="{FEDCD1E6-1E28-4967-8436-EE768C249DD8}"/>
    <hyperlink ref="K58" r:id="rId23" display="https://doi.org/10.1191/135248506ms1280oa" xr:uid="{33D9A45B-B263-4B06-934B-13EE66F43279}"/>
    <hyperlink ref="K59" r:id="rId24" display="https://doi.org/10.1191/135248506ms1280oa" xr:uid="{BC74B3F2-1230-40DB-A312-8F7DB3263D4C}"/>
    <hyperlink ref="K78" r:id="rId25" display="https://www.ncbi.nlm.nih.gov/books/NBK565353/" xr:uid="{427CD000-1C24-4909-AA73-9B9629B88C00}"/>
    <hyperlink ref="K79:K84" r:id="rId26" display="https://www.ncbi.nlm.nih.gov/books/NBK565353/" xr:uid="{A9718F34-7338-4790-9C07-B7A62FAA1D37}"/>
    <hyperlink ref="K89" r:id="rId27" display="https://www.ncbi.nlm.nih.gov/books/NBK565353/" xr:uid="{277308BA-69EB-4972-9798-A1728091FB85}"/>
    <hyperlink ref="K90:K93" r:id="rId28" display="https://www.ncbi.nlm.nih.gov/books/NBK565353/" xr:uid="{FE5FC674-D016-4A07-8064-3203D3D2141E}"/>
    <hyperlink ref="K95" r:id="rId29" location="discounting" xr:uid="{6C0DECBD-209C-45C6-9D73-6FB0AA66ABAA}"/>
    <hyperlink ref="K96" r:id="rId30" location="discounting" xr:uid="{AD07A73F-AD58-4546-98B9-02A7C8D7C523}"/>
    <hyperlink ref="K97" r:id="rId31" location="discounting" xr:uid="{362DB97B-6538-44DA-A48A-773458EC8F0D}"/>
    <hyperlink ref="K99:K103" r:id="rId32" display="https://www.ncbi.nlm.nih.gov/books/NBK565353/" xr:uid="{475695C7-EFD1-4C52-A8C4-C626A2FE429D}"/>
    <hyperlink ref="K105:K109" r:id="rId33" display="https://www.ncbi.nlm.nih.gov/books/NBK565353/" xr:uid="{240F7018-02FC-4FCB-8D96-52AAD5E116BC}"/>
    <hyperlink ref="K114" r:id="rId34" display="https://www.ncbi.nlm.nih.gov/books/NBK565353/" xr:uid="{67EE9F6B-16F4-470E-BFF6-ED403EDB510A}"/>
    <hyperlink ref="K115" r:id="rId35" display="https://www.ncbi.nlm.nih.gov/books/NBK565353/" xr:uid="{5065ACE5-585B-441A-8695-BE13BBF6A2AD}"/>
    <hyperlink ref="K85:K87" r:id="rId36" display="https://www.ncbi.nlm.nih.gov/books/NBK565353/" xr:uid="{32154B00-877D-4507-A3D1-1FBE60B2F949}"/>
    <hyperlink ref="K117:K120" r:id="rId37" display="https://www.ncbi.nlm.nih.gov/books/NBK565353/" xr:uid="{3FD44E28-6FDF-4C3A-B266-458709371F65}"/>
    <hyperlink ref="K3" r:id="rId38" display="https://doi.org/10.1161/jaha.124.034414" xr:uid="{F6365DC8-A048-4F3D-97BA-0EC4F07CBF40}"/>
    <hyperlink ref="K4" r:id="rId39" display="https://www.ncbi.nlm.nih.gov/books/NBK565353/" xr:uid="{8883F7C0-4A98-414B-AA19-EB69AB406B21}"/>
    <hyperlink ref="K63" r:id="rId40" location="discounting" xr:uid="{A9C1C102-0D66-48D2-9E50-20AC8A73F072}"/>
    <hyperlink ref="K64:K67" r:id="rId41" location="discounting" display="https://www.nice.org.uk/process/pmg36/chapter/economic-evaluation-2#discounting" xr:uid="{3323E273-495D-4F67-A3E6-CD4D71871723}"/>
    <hyperlink ref="K48:K53" r:id="rId42" display="https://hqlo.biomedcentral.com/articles/10.1186/s12955-018-1019-3" xr:uid="{7916D866-2E4D-439C-B605-070562F0090E}"/>
    <hyperlink ref="K122:K125" r:id="rId43" display="https://www.ncbi.nlm.nih.gov/books/NBK565353/" xr:uid="{40FEEDA4-B722-4AAF-859F-FD224CD70A82}"/>
    <hyperlink ref="K127:K131" r:id="rId44" display="https://www.ncbi.nlm.nih.gov/books/NBK565353/" xr:uid="{9748C98F-0EA8-4D01-AC6D-034DA43AF951}"/>
    <hyperlink ref="K10" r:id="rId45" display="https://www.sciencedirect.com/science/article/pii/S0140673622018414" xr:uid="{12CC87D9-42D2-464B-8AAB-CDAED19CF0B0}"/>
    <hyperlink ref="K32" r:id="rId46" display="https://doi.org/10.1161/jaha.124.034414" xr:uid="{24AE4660-B7C8-48FD-B677-9D75F314E4AB}"/>
    <hyperlink ref="K33" r:id="rId47" display="https://doi.org/10.1161/jaha.124.034414" xr:uid="{A9A88402-62BB-4738-993D-07B656C36AF4}"/>
    <hyperlink ref="K141" r:id="rId48" display="https://www.nice.org.uk/guidance/TA236" xr:uid="{BD96DECB-8F99-4CE0-AFCA-1EE66CAE1322}"/>
  </hyperlinks>
  <pageMargins left="0.7" right="0.7" top="0.75" bottom="0.75" header="0.3" footer="0.3"/>
  <pageSetup paperSize="9" orientation="portrait" r:id="rId49"/>
  <ignoredErrors>
    <ignoredError sqref="F118:H118"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topLeftCell="T1" zoomScale="138" workbookViewId="0">
      <selection activeCell="AE12" sqref="AE12"/>
    </sheetView>
  </sheetViews>
  <sheetFormatPr baseColWidth="10" defaultColWidth="9.33203125" defaultRowHeight="15" x14ac:dyDescent="0.2"/>
  <cols>
    <col min="3" max="3" width="24.1640625" customWidth="1"/>
    <col min="4" max="4" width="10.33203125" bestFit="1" customWidth="1"/>
    <col min="5" max="5" width="11.1640625" customWidth="1"/>
    <col min="6" max="6" width="12.5" customWidth="1"/>
    <col min="11" max="11" width="5.6640625" customWidth="1"/>
    <col min="12" max="12" width="17.33203125" customWidth="1"/>
    <col min="13" max="13" width="9.83203125" customWidth="1"/>
    <col min="14" max="14" width="14.33203125" customWidth="1"/>
    <col min="15" max="15" width="11.1640625" customWidth="1"/>
    <col min="16" max="19" width="9.33203125" customWidth="1"/>
    <col min="20" max="20" width="7.33203125" customWidth="1"/>
    <col min="21" max="21" width="5.6640625" customWidth="1"/>
    <col min="22" max="22" width="16.83203125" customWidth="1"/>
    <col min="23" max="23" width="11.1640625" customWidth="1"/>
    <col min="24" max="24" width="7.83203125" customWidth="1"/>
    <col min="25" max="26" width="10.83203125" customWidth="1"/>
    <col min="27" max="27" width="12" customWidth="1"/>
    <col min="28" max="28" width="5.6640625" customWidth="1"/>
    <col min="29" max="29" width="16.83203125" customWidth="1"/>
    <col min="30" max="30" width="9.1640625" customWidth="1"/>
    <col min="31" max="31" width="14.6640625" customWidth="1"/>
    <col min="32" max="32" width="10.1640625" customWidth="1"/>
    <col min="33" max="33" width="8.6640625" customWidth="1"/>
    <col min="34" max="34" width="8.1640625" customWidth="1"/>
    <col min="35" max="35" width="7.83203125" customWidth="1"/>
    <col min="36" max="36" width="13.5" customWidth="1"/>
    <col min="37" max="37" width="12" customWidth="1"/>
    <col min="42" max="42" width="5.6640625" customWidth="1"/>
    <col min="43" max="43" width="41.5" customWidth="1"/>
    <col min="44" max="44" width="7.664062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6640625" customWidth="1"/>
    <col min="1997" max="1997" width="2.5" customWidth="1"/>
    <col min="2000" max="2000" width="2.5" customWidth="1"/>
  </cols>
  <sheetData>
    <row r="3" spans="3:71" ht="23" x14ac:dyDescent="0.2">
      <c r="K3" s="50"/>
      <c r="AG3" s="432"/>
      <c r="AH3" s="432"/>
      <c r="AI3" s="432"/>
      <c r="AJ3" s="432"/>
    </row>
    <row r="4" spans="3:71" x14ac:dyDescent="0.2">
      <c r="C4" s="189" t="s">
        <v>617</v>
      </c>
      <c r="D4" s="125"/>
      <c r="E4" s="125"/>
      <c r="F4" s="125"/>
      <c r="G4" s="125"/>
      <c r="H4" s="125"/>
      <c r="I4" s="125"/>
      <c r="J4" s="126"/>
      <c r="L4" s="195" t="s">
        <v>624</v>
      </c>
      <c r="M4" s="196"/>
      <c r="N4" s="196"/>
      <c r="O4" s="196"/>
      <c r="P4" s="196"/>
      <c r="Q4" s="196"/>
      <c r="R4" s="196"/>
      <c r="S4" s="196"/>
      <c r="T4" s="197"/>
      <c r="V4" s="195" t="s">
        <v>633</v>
      </c>
      <c r="W4" s="196"/>
      <c r="X4" s="196"/>
      <c r="Y4" s="196"/>
      <c r="Z4" s="196"/>
      <c r="AA4" s="197"/>
      <c r="AB4" s="199"/>
      <c r="AC4" s="195" t="s">
        <v>634</v>
      </c>
      <c r="AD4" s="125"/>
      <c r="AE4" s="125"/>
      <c r="AF4" s="125"/>
      <c r="AG4" s="125"/>
      <c r="AH4" s="125"/>
      <c r="AI4" s="125"/>
      <c r="AJ4" s="125"/>
      <c r="AK4" s="125"/>
      <c r="AL4" s="125"/>
      <c r="AM4" s="125"/>
      <c r="AN4" s="125"/>
      <c r="AO4" s="126"/>
      <c r="AT4" s="224"/>
      <c r="AX4" s="195" t="s">
        <v>656</v>
      </c>
      <c r="AY4" s="125"/>
      <c r="AZ4" s="219"/>
      <c r="BA4" s="219"/>
      <c r="BB4" s="219"/>
      <c r="BC4" s="125"/>
      <c r="BD4" s="125"/>
      <c r="BE4" s="125"/>
      <c r="BF4" s="125"/>
      <c r="BG4" s="126"/>
      <c r="BL4" s="317" t="s">
        <v>1056</v>
      </c>
      <c r="BM4" s="125"/>
      <c r="BN4" s="125"/>
      <c r="BO4" s="125"/>
      <c r="BP4" s="125"/>
      <c r="BQ4" s="125"/>
      <c r="BR4" s="125"/>
      <c r="BS4" s="126"/>
    </row>
    <row r="5" spans="3:71" ht="32" customHeight="1" x14ac:dyDescent="0.2">
      <c r="C5" s="134" t="s">
        <v>615</v>
      </c>
      <c r="D5" s="180" t="s">
        <v>341</v>
      </c>
      <c r="E5" s="180" t="s">
        <v>343</v>
      </c>
      <c r="F5" s="180" t="s">
        <v>342</v>
      </c>
      <c r="G5" s="180" t="s">
        <v>616</v>
      </c>
      <c r="H5" s="180" t="s">
        <v>341</v>
      </c>
      <c r="I5" s="180" t="s">
        <v>343</v>
      </c>
      <c r="J5" s="144" t="s">
        <v>342</v>
      </c>
      <c r="L5" s="198"/>
      <c r="M5" s="152" t="s">
        <v>335</v>
      </c>
      <c r="N5" s="152" t="s">
        <v>336</v>
      </c>
      <c r="O5" s="152" t="s">
        <v>332</v>
      </c>
      <c r="P5" s="152" t="s">
        <v>333</v>
      </c>
      <c r="Q5" s="152" t="s">
        <v>334</v>
      </c>
      <c r="R5" s="152" t="s">
        <v>626</v>
      </c>
      <c r="S5" s="152" t="s">
        <v>333</v>
      </c>
      <c r="T5" s="154" t="s">
        <v>334</v>
      </c>
      <c r="V5" s="183"/>
      <c r="W5" s="193" t="s">
        <v>348</v>
      </c>
      <c r="X5" s="193" t="s">
        <v>349</v>
      </c>
      <c r="Y5" s="106" t="s">
        <v>627</v>
      </c>
      <c r="Z5" s="106" t="s">
        <v>628</v>
      </c>
      <c r="AA5" s="215" t="s">
        <v>383</v>
      </c>
      <c r="AB5" s="152"/>
      <c r="AC5" s="223" t="s">
        <v>354</v>
      </c>
      <c r="AD5" s="193" t="s">
        <v>635</v>
      </c>
      <c r="AE5" s="193" t="s">
        <v>636</v>
      </c>
      <c r="AF5" s="193" t="s">
        <v>637</v>
      </c>
      <c r="AG5" s="193" t="s">
        <v>639</v>
      </c>
      <c r="AH5" s="193" t="s">
        <v>640</v>
      </c>
      <c r="AI5" s="193" t="s">
        <v>641</v>
      </c>
      <c r="AJ5" s="193" t="s">
        <v>642</v>
      </c>
      <c r="AK5" s="193" t="s">
        <v>638</v>
      </c>
      <c r="AL5" s="193" t="s">
        <v>639</v>
      </c>
      <c r="AM5" s="193" t="s">
        <v>640</v>
      </c>
      <c r="AN5" s="193" t="s">
        <v>646</v>
      </c>
      <c r="AO5" s="194" t="s">
        <v>647</v>
      </c>
      <c r="AQ5" s="231" t="s">
        <v>414</v>
      </c>
      <c r="AR5" s="125"/>
      <c r="AS5" s="125"/>
      <c r="AT5" s="125"/>
      <c r="AU5" s="125"/>
      <c r="AV5" s="126"/>
      <c r="AX5" s="233" t="s">
        <v>450</v>
      </c>
      <c r="AY5" s="106" t="s">
        <v>635</v>
      </c>
      <c r="AZ5" s="174" t="s">
        <v>657</v>
      </c>
      <c r="BA5" s="106" t="s">
        <v>355</v>
      </c>
      <c r="BB5" s="106" t="s">
        <v>356</v>
      </c>
      <c r="BC5" s="106" t="s">
        <v>1016</v>
      </c>
      <c r="BD5" s="106" t="s">
        <v>335</v>
      </c>
      <c r="BE5" s="106" t="s">
        <v>377</v>
      </c>
      <c r="BF5" s="106" t="s">
        <v>355</v>
      </c>
      <c r="BG5" s="215" t="s">
        <v>356</v>
      </c>
      <c r="BH5" s="106"/>
      <c r="BL5" s="183" t="s">
        <v>1042</v>
      </c>
      <c r="BN5" s="317" t="s">
        <v>643</v>
      </c>
      <c r="BP5" s="3"/>
      <c r="BQ5" s="3"/>
      <c r="BS5" s="128"/>
    </row>
    <row r="6" spans="3:71" ht="17" customHeight="1" x14ac:dyDescent="0.2">
      <c r="C6" s="181" t="s">
        <v>463</v>
      </c>
      <c r="D6" s="3"/>
      <c r="E6" s="3"/>
      <c r="F6" s="3"/>
      <c r="G6" s="3"/>
      <c r="H6" s="3"/>
      <c r="I6" s="3"/>
      <c r="J6" s="182"/>
      <c r="L6" s="153" t="s">
        <v>463</v>
      </c>
      <c r="M6" s="199"/>
      <c r="N6" s="199"/>
      <c r="O6" s="199"/>
      <c r="P6" s="199"/>
      <c r="Q6" s="199"/>
      <c r="R6" s="199"/>
      <c r="S6" s="199"/>
      <c r="T6" s="200"/>
      <c r="V6" s="127" t="s">
        <v>463</v>
      </c>
      <c r="Y6" s="214"/>
      <c r="AB6" s="199"/>
      <c r="AC6" s="198" t="s">
        <v>820</v>
      </c>
      <c r="AD6" s="206">
        <f>prob_dead_ac</f>
        <v>9.7253633201505679E-2</v>
      </c>
      <c r="AE6" s="206">
        <f>AD6/(1-AD6)</f>
        <v>0.10773084974731785</v>
      </c>
      <c r="AF6" s="202">
        <v>0.77</v>
      </c>
      <c r="AG6" s="202">
        <v>0.68</v>
      </c>
      <c r="AH6" s="202">
        <v>0.88</v>
      </c>
      <c r="AI6" s="206">
        <f>EXP((LN(AE6)+LN(AF6)))/(1+EXP(LN(AE6)+LN(AF6)))</f>
        <v>7.6598682607015037E-2</v>
      </c>
      <c r="AJ6" s="206">
        <f>(LN(AH6)-LN(AG6))/(2*1.96)</f>
        <v>6.5772731964821363E-2</v>
      </c>
      <c r="AK6" s="202">
        <v>1</v>
      </c>
      <c r="AL6" s="202">
        <v>0.83</v>
      </c>
      <c r="AM6" s="202">
        <v>1.21</v>
      </c>
      <c r="AN6" s="206">
        <f>(EXP(LN(AE6)+LN(AK6)))/(1+EXP(LN(AE6)+LN(AK6)))</f>
        <v>9.7253633201505651E-2</v>
      </c>
      <c r="AO6" s="212">
        <f>(LN(AM6)-LN(AL6))/(2*1.96)</f>
        <v>9.616069841840387E-2</v>
      </c>
      <c r="AQ6" s="127" t="s">
        <v>410</v>
      </c>
      <c r="AR6" s="228">
        <v>0.28699999999999998</v>
      </c>
      <c r="AS6" t="s">
        <v>648</v>
      </c>
      <c r="AV6" s="128"/>
      <c r="AX6" s="127" t="s">
        <v>451</v>
      </c>
      <c r="AY6" s="171">
        <v>9.7000000000000003E-2</v>
      </c>
      <c r="AZ6">
        <v>1.88</v>
      </c>
      <c r="BA6" s="171">
        <v>1.18</v>
      </c>
      <c r="BB6" s="171">
        <v>3.01</v>
      </c>
      <c r="BC6" s="171">
        <f>AY6/AZ6</f>
        <v>5.1595744680851069E-2</v>
      </c>
      <c r="BD6" s="171">
        <v>2561</v>
      </c>
      <c r="BE6" s="232">
        <f>SQRT((BC6 * (1 - BC6)) / BD6)</f>
        <v>4.3711821099711263E-3</v>
      </c>
      <c r="BF6" s="171">
        <f>BC6-(1.96*BE6)</f>
        <v>4.3028227745307665E-2</v>
      </c>
      <c r="BG6" s="190">
        <f>BC6+(1.96*BF6)</f>
        <v>0.13593107106165409</v>
      </c>
      <c r="BL6" s="127" t="s">
        <v>1043</v>
      </c>
      <c r="BM6" s="3">
        <v>49</v>
      </c>
      <c r="BN6" s="193" t="s">
        <v>354</v>
      </c>
      <c r="BO6" t="s">
        <v>803</v>
      </c>
      <c r="BP6" t="s">
        <v>461</v>
      </c>
      <c r="BQ6" t="s">
        <v>377</v>
      </c>
      <c r="BR6" t="s">
        <v>378</v>
      </c>
      <c r="BS6" s="128" t="s">
        <v>462</v>
      </c>
    </row>
    <row r="7" spans="3:71" x14ac:dyDescent="0.2">
      <c r="C7" s="183">
        <v>2014</v>
      </c>
      <c r="D7" s="3">
        <v>6673</v>
      </c>
      <c r="E7" s="3">
        <v>8455</v>
      </c>
      <c r="F7" s="3">
        <v>2953</v>
      </c>
      <c r="G7" s="3">
        <v>18081</v>
      </c>
      <c r="H7" s="151">
        <f>D7/G7</f>
        <v>0.36906144571649796</v>
      </c>
      <c r="I7" s="151">
        <f>E7/G7</f>
        <v>0.46761794148553731</v>
      </c>
      <c r="J7" s="159">
        <f>F7/G7</f>
        <v>0.16332061279796473</v>
      </c>
      <c r="L7" s="201" t="s">
        <v>329</v>
      </c>
      <c r="M7" s="202">
        <v>31066</v>
      </c>
      <c r="N7" s="203">
        <f>M7/M9</f>
        <v>0.7401248391861629</v>
      </c>
      <c r="O7" s="202">
        <v>0.91600000000000004</v>
      </c>
      <c r="P7" s="202">
        <v>0.91300000000000003</v>
      </c>
      <c r="Q7" s="202">
        <v>0.91900000000000004</v>
      </c>
      <c r="R7" s="202">
        <f>1-O7</f>
        <v>8.3999999999999964E-2</v>
      </c>
      <c r="S7" s="202">
        <f>1-Q7</f>
        <v>8.0999999999999961E-2</v>
      </c>
      <c r="T7" s="204">
        <f>1-P7</f>
        <v>8.6999999999999966E-2</v>
      </c>
      <c r="V7" s="127"/>
      <c r="W7" s="202">
        <v>6.5500000000000003E-2</v>
      </c>
      <c r="X7" s="202">
        <v>1.2500000000000001E-2</v>
      </c>
      <c r="Y7" s="202">
        <v>3.4599999999999999E-2</v>
      </c>
      <c r="Z7" s="202">
        <v>2.6100000000000002E-2</v>
      </c>
      <c r="AA7" s="200" t="s">
        <v>632</v>
      </c>
      <c r="AB7" s="199"/>
      <c r="AC7" s="198" t="s">
        <v>348</v>
      </c>
      <c r="AD7" s="206">
        <v>6.553398058252427E-2</v>
      </c>
      <c r="AE7" s="206">
        <f>AD7/(1-AD7)</f>
        <v>7.0129870129870125E-2</v>
      </c>
      <c r="AF7" s="202">
        <v>0.82</v>
      </c>
      <c r="AG7" s="202">
        <v>0.73</v>
      </c>
      <c r="AH7" s="202">
        <v>0.92</v>
      </c>
      <c r="AI7" s="206">
        <f>EXP((LN(AE7)+LN(AF7)))/(1+EXP(LN(AE7)+LN(AF7)))</f>
        <v>5.4379328977747207E-2</v>
      </c>
      <c r="AJ7" s="206">
        <f>(LN(AH7)-LN(AG7))/(2*1.96)</f>
        <v>5.901253466853297E-2</v>
      </c>
      <c r="AK7" s="202">
        <v>0.75</v>
      </c>
      <c r="AL7" s="202">
        <v>0.66</v>
      </c>
      <c r="AM7" s="202">
        <v>0.84</v>
      </c>
      <c r="AN7" s="206">
        <f>(EXP(LN(AE7)+LN(AK7)))/(1+EXP(LN(AE7)+LN(AK7)))</f>
        <v>4.9969154842689711E-2</v>
      </c>
      <c r="AO7" s="212">
        <f>(LN(AM7)-LN(AL7))/(2*1.96)</f>
        <v>6.1520932861451015E-2</v>
      </c>
      <c r="AQ7" s="127" t="s">
        <v>415</v>
      </c>
      <c r="AR7" s="228">
        <v>0.58799999999999997</v>
      </c>
      <c r="AS7" t="s">
        <v>411</v>
      </c>
      <c r="AV7" s="128"/>
      <c r="AX7" s="127" t="s">
        <v>348</v>
      </c>
      <c r="AY7" s="171">
        <v>6.553398058252427E-2</v>
      </c>
      <c r="AZ7">
        <v>1.67</v>
      </c>
      <c r="BA7" s="171">
        <v>1.21</v>
      </c>
      <c r="BB7" s="171">
        <v>2.31</v>
      </c>
      <c r="BC7" s="171">
        <f>AY7/AZ7</f>
        <v>3.9241904540433699E-2</v>
      </c>
      <c r="BD7" s="171">
        <v>2696</v>
      </c>
      <c r="BE7" s="232">
        <f>SQRT((BC7 * (1 - BC7)) / BD7)</f>
        <v>3.7395739072244466E-3</v>
      </c>
      <c r="BF7" s="171">
        <f>BC7-(1.96*BE7)</f>
        <v>3.1912339682273784E-2</v>
      </c>
      <c r="BG7" s="190">
        <f>BC7+(1.96*BF7)</f>
        <v>0.10179009031769032</v>
      </c>
      <c r="BL7" s="127" t="s">
        <v>1044</v>
      </c>
      <c r="BM7" s="3">
        <v>53</v>
      </c>
      <c r="BN7" s="199" t="s">
        <v>1045</v>
      </c>
      <c r="BO7" s="171">
        <v>7.8E-2</v>
      </c>
      <c r="BP7" s="3">
        <v>4387</v>
      </c>
      <c r="BQ7" s="171">
        <f>(BS7-BR7)/1.96</f>
        <v>0.15816326530612237</v>
      </c>
      <c r="BR7" s="171">
        <v>1.62</v>
      </c>
      <c r="BS7" s="190">
        <v>1.93</v>
      </c>
    </row>
    <row r="8" spans="3:71" x14ac:dyDescent="0.2">
      <c r="C8" s="183">
        <v>2015</v>
      </c>
      <c r="D8" s="3">
        <v>6226</v>
      </c>
      <c r="E8" s="3">
        <v>9632</v>
      </c>
      <c r="F8" s="3">
        <v>2378</v>
      </c>
      <c r="G8" s="3">
        <v>18236</v>
      </c>
      <c r="H8" s="151">
        <f t="shared" ref="H8:H15" si="0">D8/G8</f>
        <v>0.34141259048036848</v>
      </c>
      <c r="I8" s="151">
        <f t="shared" ref="I8:I15" si="1">E8/G8</f>
        <v>0.528186005703005</v>
      </c>
      <c r="J8" s="159">
        <f t="shared" ref="J8:J15" si="2">F8/G8</f>
        <v>0.13040140381662646</v>
      </c>
      <c r="L8" s="201" t="s">
        <v>330</v>
      </c>
      <c r="M8" s="202">
        <v>10908</v>
      </c>
      <c r="N8" s="203">
        <f>M8/M9</f>
        <v>0.25987516081383716</v>
      </c>
      <c r="O8" s="202">
        <v>0.86499999999999999</v>
      </c>
      <c r="P8" s="202">
        <v>0.85799999999999998</v>
      </c>
      <c r="Q8" s="202">
        <v>0.871</v>
      </c>
      <c r="R8" s="202">
        <f>1-O8</f>
        <v>0.13500000000000001</v>
      </c>
      <c r="S8" s="202">
        <f>1-Q8</f>
        <v>0.129</v>
      </c>
      <c r="T8" s="204">
        <f>1-P8</f>
        <v>0.14200000000000002</v>
      </c>
      <c r="V8" s="127"/>
      <c r="W8" s="202">
        <v>2.5999999999999999E-2</v>
      </c>
      <c r="X8" s="202">
        <v>2E-3</v>
      </c>
      <c r="Y8" s="202">
        <v>2.1999999999999999E-2</v>
      </c>
      <c r="Z8" s="202">
        <v>6.0999999999999999E-2</v>
      </c>
      <c r="AA8" s="200" t="s">
        <v>346</v>
      </c>
      <c r="AB8" s="199"/>
      <c r="AC8" s="198" t="s">
        <v>583</v>
      </c>
      <c r="AD8" s="206">
        <v>1.2500000000000001E-2</v>
      </c>
      <c r="AE8" s="206">
        <f>AD8/(1-AD8)</f>
        <v>1.2658227848101266E-2</v>
      </c>
      <c r="AF8" s="202">
        <v>1.1299999999999999</v>
      </c>
      <c r="AG8" s="202">
        <v>0.89</v>
      </c>
      <c r="AH8" s="202">
        <v>1.44</v>
      </c>
      <c r="AI8" s="206">
        <f>EXP((LN(AE8)+LN(AF8)))/(1+EXP(LN(AE8)+LN(AF8)))</f>
        <v>1.4102084113315859E-2</v>
      </c>
      <c r="AJ8" s="206">
        <f>(LN(AH8)-LN(AG8))/(2*1.96)</f>
        <v>0.12274921679690325</v>
      </c>
      <c r="AK8" s="202">
        <v>0.93</v>
      </c>
      <c r="AL8" s="202">
        <v>0.67</v>
      </c>
      <c r="AM8" s="202">
        <v>1.3</v>
      </c>
      <c r="AN8" s="206">
        <f>(EXP(LN(AE8)+LN(AK8)))/(1+EXP(LN(AE8)+LN(AK8)))</f>
        <v>1.1635180783185286E-2</v>
      </c>
      <c r="AO8" s="212">
        <f>(LN(AM8)-LN(AL8))/(2*1.96)</f>
        <v>0.16909230384301435</v>
      </c>
      <c r="AQ8" s="127" t="s">
        <v>412</v>
      </c>
      <c r="AR8" s="228">
        <v>0.31900000000000001</v>
      </c>
      <c r="AS8" t="s">
        <v>649</v>
      </c>
      <c r="AV8" s="128"/>
      <c r="AX8" s="127" t="s">
        <v>349</v>
      </c>
      <c r="AY8" s="171">
        <v>1.2500000000000001E-2</v>
      </c>
      <c r="AZ8">
        <v>1</v>
      </c>
      <c r="BA8" s="171">
        <v>0.79</v>
      </c>
      <c r="BB8" s="171">
        <v>2.3199999999999998</v>
      </c>
      <c r="BC8" s="171">
        <f t="shared" ref="BC8" si="3">AY8/AZ8</f>
        <v>1.2500000000000001E-2</v>
      </c>
      <c r="BD8" s="171">
        <v>2696</v>
      </c>
      <c r="BE8" s="232">
        <f>SQRT((BC8 * (1 - BC8)) / BD8)</f>
        <v>2.1397528560248421E-3</v>
      </c>
      <c r="BF8" s="171">
        <f>BC8-(1.96*BE8)</f>
        <v>8.3060844021913098E-3</v>
      </c>
      <c r="BG8" s="190">
        <f>BC8+(1.96*BF8)</f>
        <v>2.8779925428294967E-2</v>
      </c>
      <c r="BH8" t="s">
        <v>991</v>
      </c>
      <c r="BL8" s="127" t="s">
        <v>1057</v>
      </c>
      <c r="BM8" s="151">
        <v>7.85E-2</v>
      </c>
      <c r="BN8" s="199"/>
      <c r="BO8" s="171"/>
      <c r="BP8" s="3"/>
      <c r="BQ8" s="171"/>
      <c r="BR8" s="171"/>
      <c r="BS8" s="190"/>
    </row>
    <row r="9" spans="3:71" x14ac:dyDescent="0.2">
      <c r="C9" s="183">
        <v>2016</v>
      </c>
      <c r="D9" s="3">
        <v>5475</v>
      </c>
      <c r="E9" s="3">
        <v>9646</v>
      </c>
      <c r="F9" s="3">
        <v>2161</v>
      </c>
      <c r="G9" s="3">
        <v>17282</v>
      </c>
      <c r="H9" s="151">
        <f t="shared" si="0"/>
        <v>0.31680361069320678</v>
      </c>
      <c r="I9" s="151">
        <f t="shared" si="1"/>
        <v>0.55815299155190368</v>
      </c>
      <c r="J9" s="159">
        <f t="shared" si="2"/>
        <v>0.12504339775488948</v>
      </c>
      <c r="L9" s="201" t="s">
        <v>331</v>
      </c>
      <c r="M9" s="202">
        <f>M7+M8</f>
        <v>41974</v>
      </c>
      <c r="N9" s="202">
        <f>SUM(N7:N8)</f>
        <v>1</v>
      </c>
      <c r="O9" s="205">
        <f t="shared" ref="O9:T9" si="4">(O7*$N$7)+(O8*$N$8)</f>
        <v>0.90274636679849429</v>
      </c>
      <c r="P9" s="205">
        <f t="shared" si="4"/>
        <v>0.89870686615523909</v>
      </c>
      <c r="Q9" s="205">
        <f t="shared" si="4"/>
        <v>0.90652599228093589</v>
      </c>
      <c r="R9" s="206">
        <f>(R7*$N$7)+(R8*$N$8)</f>
        <v>9.7253633201505679E-2</v>
      </c>
      <c r="S9" s="205">
        <f t="shared" si="4"/>
        <v>9.3474007719064167E-2</v>
      </c>
      <c r="T9" s="207">
        <f t="shared" si="4"/>
        <v>0.10129313384476103</v>
      </c>
      <c r="V9" s="127"/>
      <c r="W9" s="202">
        <v>3.2000000000000001E-2</v>
      </c>
      <c r="X9" s="202">
        <v>0.02</v>
      </c>
      <c r="Y9" s="202">
        <v>5.7000000000000002E-2</v>
      </c>
      <c r="Z9" s="202" t="s">
        <v>347</v>
      </c>
      <c r="AA9" s="200" t="s">
        <v>353</v>
      </c>
      <c r="AC9" s="198" t="s">
        <v>821</v>
      </c>
      <c r="AD9" s="206">
        <v>2.1999999999999999E-2</v>
      </c>
      <c r="AE9" s="206">
        <f>AD9/(1-AD9)</f>
        <v>2.2494887525562373E-2</v>
      </c>
      <c r="AF9" s="202">
        <v>1.04</v>
      </c>
      <c r="AG9" s="202">
        <v>0.95</v>
      </c>
      <c r="AH9" s="202">
        <v>1.1399999999999999</v>
      </c>
      <c r="AI9" s="206">
        <f>EXP((LN(AE9)+LN(AF9)))/(1+EXP(LN(AE9)+LN(AF9)))</f>
        <v>2.2859883302693625E-2</v>
      </c>
      <c r="AJ9" s="206">
        <f>(LN(AH9)-LN(AG9))/(2*1.96)</f>
        <v>4.6510601222947597E-2</v>
      </c>
      <c r="AK9" s="202">
        <v>1.43</v>
      </c>
      <c r="AL9" s="202">
        <v>1.1399999999999999</v>
      </c>
      <c r="AM9" s="202">
        <v>1.79</v>
      </c>
      <c r="AN9" s="206">
        <f>(EXP(LN(AE9)+LN(AK9)))/(1+EXP(LN(AE9)+LN(AK9)))</f>
        <v>3.1165177421591746E-2</v>
      </c>
      <c r="AO9" s="212">
        <f>(LN(AM9)-LN(AL9))/(2*1.96)</f>
        <v>0.11509881567506626</v>
      </c>
      <c r="AQ9" s="127" t="s">
        <v>416</v>
      </c>
      <c r="AR9" s="228">
        <v>0.56999999999999995</v>
      </c>
      <c r="AS9" t="s">
        <v>650</v>
      </c>
      <c r="AV9" s="128"/>
      <c r="AX9" s="127"/>
      <c r="BG9" s="128"/>
      <c r="BL9" s="127" t="s">
        <v>1058</v>
      </c>
      <c r="BM9" s="3"/>
      <c r="BN9" s="199"/>
      <c r="BO9" s="171"/>
      <c r="BP9" s="3"/>
      <c r="BR9" s="171"/>
      <c r="BS9" s="190"/>
    </row>
    <row r="10" spans="3:71" x14ac:dyDescent="0.2">
      <c r="C10" s="183">
        <v>2017</v>
      </c>
      <c r="D10" s="3">
        <v>4797</v>
      </c>
      <c r="E10" s="3">
        <v>11303</v>
      </c>
      <c r="F10" s="3">
        <v>1610</v>
      </c>
      <c r="G10" s="3">
        <v>17710</v>
      </c>
      <c r="H10" s="151">
        <f t="shared" si="0"/>
        <v>0.27086391869000565</v>
      </c>
      <c r="I10" s="151">
        <f t="shared" si="1"/>
        <v>0.63822699040090347</v>
      </c>
      <c r="J10" s="159">
        <f t="shared" si="2"/>
        <v>9.0909090909090912E-2</v>
      </c>
      <c r="L10" s="208" t="s">
        <v>383</v>
      </c>
      <c r="M10" s="439" t="s">
        <v>625</v>
      </c>
      <c r="N10" s="439"/>
      <c r="O10" s="439"/>
      <c r="P10" s="439"/>
      <c r="Q10" s="210"/>
      <c r="R10" s="210"/>
      <c r="S10" s="210"/>
      <c r="T10" s="211"/>
      <c r="V10" s="183" t="s">
        <v>383</v>
      </c>
      <c r="W10" s="3" t="s">
        <v>631</v>
      </c>
      <c r="X10" s="3"/>
      <c r="Y10" s="3"/>
      <c r="Z10" s="3"/>
      <c r="AA10" s="182"/>
      <c r="AC10" s="208" t="s">
        <v>822</v>
      </c>
      <c r="AD10" s="221">
        <v>6.4500000000000002E-2</v>
      </c>
      <c r="AE10" s="221">
        <f>AD10/(1-AD10)</f>
        <v>6.8947087119187608E-2</v>
      </c>
      <c r="AF10" s="209">
        <v>1.37</v>
      </c>
      <c r="AG10" s="209">
        <v>1.19</v>
      </c>
      <c r="AH10" s="209">
        <v>1.57</v>
      </c>
      <c r="AI10" s="221">
        <f>EXP((LN(AE10)+LN(AF10)))/(1+EXP(LN(AE10)+LN(AF10)))</f>
        <v>8.6305323455729055E-2</v>
      </c>
      <c r="AJ10" s="221">
        <f>(LN(AH10)-LN(AG10))/(2*1.96)</f>
        <v>7.0694467407341519E-2</v>
      </c>
      <c r="AK10" s="209">
        <v>2.0699999999999998</v>
      </c>
      <c r="AL10" s="209">
        <v>0.88</v>
      </c>
      <c r="AM10" s="209">
        <v>4.87</v>
      </c>
      <c r="AN10" s="221">
        <f>(EXP(LN(AE10)+LN(AK10)))/(1+EXP(LN(AE10)+LN(AK10)))</f>
        <v>0.12489534758632949</v>
      </c>
      <c r="AO10" s="213">
        <f>(LN(AM10)-LN(AL10))/(2*1.96)</f>
        <v>0.43646104811336311</v>
      </c>
      <c r="AQ10" s="127"/>
      <c r="AV10" s="128"/>
      <c r="AX10" s="133" t="s">
        <v>383</v>
      </c>
      <c r="AY10" s="131" t="s">
        <v>659</v>
      </c>
      <c r="AZ10" s="131" t="s">
        <v>658</v>
      </c>
      <c r="BA10" s="131"/>
      <c r="BB10" s="131"/>
      <c r="BC10" s="131"/>
      <c r="BD10" s="131"/>
      <c r="BE10" s="131"/>
      <c r="BF10" s="131"/>
      <c r="BG10" s="132"/>
      <c r="BL10" s="127" t="s">
        <v>1059</v>
      </c>
      <c r="BM10" s="3"/>
      <c r="BN10" s="199"/>
      <c r="BO10" s="171"/>
      <c r="BP10" s="3"/>
      <c r="BQ10" s="171"/>
      <c r="BR10" s="171"/>
      <c r="BS10" s="190"/>
    </row>
    <row r="11" spans="3:71" ht="16.5" customHeight="1" x14ac:dyDescent="0.2">
      <c r="C11" s="183">
        <v>2018</v>
      </c>
      <c r="D11" s="3">
        <v>4485</v>
      </c>
      <c r="E11" s="3">
        <v>10606</v>
      </c>
      <c r="F11" s="3">
        <v>1407</v>
      </c>
      <c r="G11" s="3">
        <v>16498</v>
      </c>
      <c r="H11" s="151">
        <f t="shared" si="0"/>
        <v>0.2718511334707237</v>
      </c>
      <c r="I11" s="151">
        <f t="shared" si="1"/>
        <v>0.64286580191538367</v>
      </c>
      <c r="J11" s="159">
        <f t="shared" si="2"/>
        <v>8.5283064613892595E-2</v>
      </c>
      <c r="M11" s="143"/>
      <c r="V11" s="198" t="s">
        <v>352</v>
      </c>
      <c r="W11" t="s">
        <v>625</v>
      </c>
      <c r="AA11" s="128"/>
      <c r="AQ11" s="127"/>
      <c r="AR11" s="440"/>
      <c r="AS11" s="440"/>
      <c r="AV11" s="128"/>
      <c r="BL11" s="127" t="s">
        <v>1046</v>
      </c>
      <c r="BM11" s="179">
        <v>0.8</v>
      </c>
      <c r="BN11" s="199"/>
      <c r="BO11" s="171"/>
      <c r="BP11" s="3"/>
      <c r="BQ11" s="171"/>
      <c r="BR11" s="171"/>
      <c r="BS11" s="190"/>
    </row>
    <row r="12" spans="3:71" x14ac:dyDescent="0.2">
      <c r="C12" s="183">
        <v>2019</v>
      </c>
      <c r="D12" s="3">
        <v>4342</v>
      </c>
      <c r="E12" s="3">
        <v>10932</v>
      </c>
      <c r="F12" s="3">
        <v>1382</v>
      </c>
      <c r="G12" s="3">
        <v>16656</v>
      </c>
      <c r="H12" s="151">
        <f t="shared" si="0"/>
        <v>0.26068683957732947</v>
      </c>
      <c r="I12" s="151">
        <f t="shared" si="1"/>
        <v>0.65634005763688763</v>
      </c>
      <c r="J12" s="159">
        <f t="shared" si="2"/>
        <v>8.2973102785782904E-2</v>
      </c>
      <c r="V12" s="198" t="s">
        <v>346</v>
      </c>
      <c r="W12" t="s">
        <v>630</v>
      </c>
      <c r="AA12" s="128"/>
      <c r="AJ12" s="124"/>
      <c r="AQ12" s="138" t="s">
        <v>417</v>
      </c>
      <c r="AR12" s="76" t="s">
        <v>418</v>
      </c>
      <c r="AS12" s="76" t="s">
        <v>419</v>
      </c>
      <c r="AT12" s="76" t="s">
        <v>420</v>
      </c>
      <c r="AU12" s="76" t="s">
        <v>421</v>
      </c>
      <c r="AV12" s="158" t="s">
        <v>466</v>
      </c>
      <c r="BL12" s="127" t="s">
        <v>1047</v>
      </c>
      <c r="BM12" s="179">
        <v>0.3</v>
      </c>
      <c r="BS12" s="128"/>
    </row>
    <row r="13" spans="3:71" x14ac:dyDescent="0.2">
      <c r="C13" s="183">
        <v>2020</v>
      </c>
      <c r="D13" s="3">
        <v>3716</v>
      </c>
      <c r="E13" s="3">
        <v>9320</v>
      </c>
      <c r="F13" s="3">
        <v>2355</v>
      </c>
      <c r="G13" s="3">
        <v>15391</v>
      </c>
      <c r="H13" s="151">
        <f t="shared" si="0"/>
        <v>0.24143980248196997</v>
      </c>
      <c r="I13" s="151">
        <f t="shared" si="1"/>
        <v>0.60554869729062444</v>
      </c>
      <c r="J13" s="159">
        <f t="shared" si="2"/>
        <v>0.15301150022740562</v>
      </c>
      <c r="V13" s="208" t="s">
        <v>353</v>
      </c>
      <c r="W13" s="131" t="s">
        <v>629</v>
      </c>
      <c r="X13" s="216"/>
      <c r="Y13" s="216"/>
      <c r="Z13" s="131"/>
      <c r="AA13" s="132"/>
      <c r="AC13" s="195" t="s">
        <v>643</v>
      </c>
      <c r="AD13" s="125"/>
      <c r="AE13" s="219"/>
      <c r="AF13" s="219"/>
      <c r="AG13" s="125"/>
      <c r="AH13" s="125"/>
      <c r="AJ13" s="124"/>
      <c r="AK13" s="202"/>
      <c r="AL13" s="124"/>
      <c r="AM13" s="202"/>
      <c r="AN13" s="202"/>
      <c r="AQ13" s="229" t="s">
        <v>422</v>
      </c>
      <c r="AR13" s="76"/>
      <c r="AS13" s="76"/>
      <c r="AT13" s="76"/>
      <c r="AU13" s="76"/>
      <c r="AV13" s="158"/>
      <c r="BL13" s="127" t="s">
        <v>1048</v>
      </c>
      <c r="BM13" s="318">
        <f>BM7/3</f>
        <v>17.666666666666668</v>
      </c>
      <c r="BS13" s="128"/>
    </row>
    <row r="14" spans="3:71" x14ac:dyDescent="0.2">
      <c r="C14" s="183">
        <v>2021</v>
      </c>
      <c r="D14" s="3">
        <v>3568</v>
      </c>
      <c r="E14" s="3">
        <v>8974</v>
      </c>
      <c r="F14" s="3">
        <v>3723</v>
      </c>
      <c r="G14" s="3">
        <v>16265</v>
      </c>
      <c r="H14" s="151">
        <f t="shared" si="0"/>
        <v>0.21936673839532739</v>
      </c>
      <c r="I14" s="151">
        <f t="shared" si="1"/>
        <v>0.55173685828466035</v>
      </c>
      <c r="J14" s="159">
        <f t="shared" si="2"/>
        <v>0.22889640332001229</v>
      </c>
      <c r="L14" s="195" t="s">
        <v>645</v>
      </c>
      <c r="M14" s="219"/>
      <c r="N14" s="219"/>
      <c r="O14" s="219"/>
      <c r="P14" s="219"/>
      <c r="Q14" s="220"/>
      <c r="R14" s="3"/>
      <c r="T14" s="3"/>
      <c r="U14" s="3"/>
      <c r="V14" s="3"/>
      <c r="W14" s="3"/>
      <c r="X14" s="3"/>
      <c r="Y14" s="202"/>
      <c r="AC14" s="223" t="s">
        <v>354</v>
      </c>
      <c r="AD14" t="s">
        <v>803</v>
      </c>
      <c r="AE14" t="s">
        <v>461</v>
      </c>
      <c r="AF14" t="s">
        <v>377</v>
      </c>
      <c r="AG14" t="s">
        <v>378</v>
      </c>
      <c r="AH14" t="s">
        <v>462</v>
      </c>
      <c r="AJ14" s="124"/>
      <c r="AK14" s="150" t="s">
        <v>958</v>
      </c>
      <c r="AL14" s="150"/>
      <c r="AM14" s="150"/>
      <c r="AN14" s="202"/>
      <c r="AQ14" s="229" t="s">
        <v>423</v>
      </c>
      <c r="AR14" s="76">
        <v>1.1000000000000001</v>
      </c>
      <c r="AS14" s="225">
        <v>644900</v>
      </c>
      <c r="AT14" s="76" t="s">
        <v>424</v>
      </c>
      <c r="AU14" s="226">
        <v>53.316300000000005</v>
      </c>
      <c r="AV14" s="130">
        <f>AU14*AR14/100</f>
        <v>0.58647930000000015</v>
      </c>
      <c r="BL14" s="127" t="s">
        <v>1049</v>
      </c>
      <c r="BM14" s="3">
        <f>BM6*BM11</f>
        <v>39.200000000000003</v>
      </c>
      <c r="BS14" s="128"/>
    </row>
    <row r="15" spans="3:71" x14ac:dyDescent="0.2">
      <c r="C15" s="183">
        <v>2022</v>
      </c>
      <c r="D15" s="3">
        <v>701</v>
      </c>
      <c r="E15" s="3">
        <v>2086</v>
      </c>
      <c r="F15" s="3">
        <v>974</v>
      </c>
      <c r="G15" s="3">
        <v>3761</v>
      </c>
      <c r="H15" s="151">
        <f t="shared" si="0"/>
        <v>0.1863865993086945</v>
      </c>
      <c r="I15" s="151">
        <f t="shared" si="1"/>
        <v>0.55463972347779844</v>
      </c>
      <c r="J15" s="159">
        <f t="shared" si="2"/>
        <v>0.25897367721350706</v>
      </c>
      <c r="L15" s="198" t="s">
        <v>354</v>
      </c>
      <c r="M15" s="202" t="s">
        <v>460</v>
      </c>
      <c r="N15" s="202" t="s">
        <v>387</v>
      </c>
      <c r="O15" s="202" t="s">
        <v>377</v>
      </c>
      <c r="P15" s="202" t="s">
        <v>378</v>
      </c>
      <c r="Q15" s="204" t="s">
        <v>379</v>
      </c>
      <c r="R15" s="172"/>
      <c r="S15" s="172"/>
      <c r="U15" s="172"/>
      <c r="V15" s="172"/>
      <c r="W15" s="172"/>
      <c r="X15" s="172"/>
      <c r="Y15" s="202"/>
      <c r="AC15" s="198" t="s">
        <v>820</v>
      </c>
      <c r="AD15" s="171">
        <v>7.6598682607015037E-2</v>
      </c>
      <c r="AE15" s="3">
        <v>4012</v>
      </c>
      <c r="AF15" s="171">
        <f t="shared" ref="AF15:AF19" si="5">SQRT((AD15 * (1 - AD15)) / AE15)</f>
        <v>4.1988023630102362E-3</v>
      </c>
      <c r="AG15" s="171">
        <f>AD15-(1.96*AF15)</f>
        <v>6.8369029975514972E-2</v>
      </c>
      <c r="AH15" s="171">
        <f>AD15+(1.96*AF15)</f>
        <v>8.4828335238515101E-2</v>
      </c>
      <c r="AK15" s="202"/>
      <c r="AL15" s="124"/>
      <c r="AM15" s="202"/>
      <c r="AN15" s="202"/>
      <c r="AQ15" s="229" t="s">
        <v>425</v>
      </c>
      <c r="AR15" s="76">
        <v>0.7</v>
      </c>
      <c r="AS15" s="225">
        <v>445646</v>
      </c>
      <c r="AT15" s="76" t="s">
        <v>426</v>
      </c>
      <c r="AU15" s="76">
        <v>56.8</v>
      </c>
      <c r="AV15" s="130">
        <f t="shared" ref="AV15:AV36" si="6">AU15*AR15/100</f>
        <v>0.39759999999999995</v>
      </c>
      <c r="BL15" s="127" t="s">
        <v>1050</v>
      </c>
      <c r="BM15" s="3">
        <f>BM13*BM12</f>
        <v>5.3</v>
      </c>
      <c r="BS15" s="128"/>
    </row>
    <row r="16" spans="3:71" x14ac:dyDescent="0.2">
      <c r="C16" s="181" t="s">
        <v>618</v>
      </c>
      <c r="D16" s="3"/>
      <c r="E16" s="3"/>
      <c r="F16" s="3"/>
      <c r="G16" s="3"/>
      <c r="H16" s="3"/>
      <c r="I16" s="3"/>
      <c r="J16" s="182"/>
      <c r="L16" s="198" t="s">
        <v>351</v>
      </c>
      <c r="M16" s="206">
        <v>9.7253633201505679E-2</v>
      </c>
      <c r="N16" s="202">
        <v>41974</v>
      </c>
      <c r="O16" s="206">
        <f t="shared" ref="O16:O18" si="7">SQRT((M16 * (1 - M16)) / N16)</f>
        <v>1.4462574624860389E-3</v>
      </c>
      <c r="P16" s="206">
        <v>9.3474007719064167E-2</v>
      </c>
      <c r="Q16" s="212">
        <v>0.10129313384476103</v>
      </c>
      <c r="R16" s="136"/>
      <c r="S16" s="136"/>
      <c r="T16" s="77"/>
      <c r="U16" s="77"/>
      <c r="Y16" s="202"/>
      <c r="AC16" s="198" t="s">
        <v>348</v>
      </c>
      <c r="AD16" s="171">
        <v>5.4379328977747207E-2</v>
      </c>
      <c r="AE16" s="3">
        <v>4237</v>
      </c>
      <c r="AF16" s="171">
        <f t="shared" si="5"/>
        <v>3.4837434784263611E-3</v>
      </c>
      <c r="AG16" s="171">
        <f t="shared" ref="AG16:AG19" si="8">AD16-(1.96*AF16)</f>
        <v>4.7551191760031537E-2</v>
      </c>
      <c r="AH16" s="171">
        <f t="shared" ref="AH16:AH19" si="9">AD16+(1.96*AF16)</f>
        <v>6.1207466195462877E-2</v>
      </c>
      <c r="AJ16" s="124"/>
      <c r="AK16" s="202"/>
      <c r="AL16" s="124"/>
      <c r="AM16" s="202"/>
      <c r="AN16" s="202"/>
      <c r="AQ16" s="229" t="s">
        <v>427</v>
      </c>
      <c r="AR16" s="76">
        <v>3.1</v>
      </c>
      <c r="AS16" s="225">
        <v>1864304</v>
      </c>
      <c r="AT16" s="76" t="s">
        <v>424</v>
      </c>
      <c r="AU16" s="226">
        <v>53.316300000000005</v>
      </c>
      <c r="AV16" s="130">
        <f t="shared" si="6"/>
        <v>1.6528053000000003</v>
      </c>
      <c r="BL16" s="127" t="s">
        <v>1060</v>
      </c>
      <c r="BM16" s="3">
        <f>BM14+BM15</f>
        <v>44.5</v>
      </c>
      <c r="BS16" s="128"/>
    </row>
    <row r="17" spans="3:71" x14ac:dyDescent="0.2">
      <c r="C17" s="183">
        <v>2014</v>
      </c>
      <c r="D17" s="3">
        <v>17374</v>
      </c>
      <c r="E17" s="3">
        <v>8943</v>
      </c>
      <c r="F17" s="3">
        <v>504</v>
      </c>
      <c r="G17" s="3">
        <v>26821</v>
      </c>
      <c r="H17" s="179">
        <f>D17/G17</f>
        <v>0.64777599642071515</v>
      </c>
      <c r="I17" s="179">
        <f>E17/G17</f>
        <v>0.33343275791357518</v>
      </c>
      <c r="J17" s="184">
        <f>F17/G17</f>
        <v>1.8791245665709704E-2</v>
      </c>
      <c r="L17" s="198" t="s">
        <v>348</v>
      </c>
      <c r="M17" s="206">
        <v>6.5533980582524201E-2</v>
      </c>
      <c r="N17" s="202">
        <v>1648</v>
      </c>
      <c r="O17" s="206">
        <f t="shared" si="7"/>
        <v>6.0958802523251579E-3</v>
      </c>
      <c r="P17" s="206">
        <v>5.3586055287966901E-2</v>
      </c>
      <c r="Q17" s="212">
        <v>7.7481905877081494E-2</v>
      </c>
      <c r="R17" s="136"/>
      <c r="S17" s="136"/>
      <c r="T17" s="77"/>
      <c r="U17" s="77"/>
      <c r="AC17" s="198" t="s">
        <v>583</v>
      </c>
      <c r="AD17" s="171">
        <v>1.4102084113315859E-2</v>
      </c>
      <c r="AE17" s="3">
        <v>4387</v>
      </c>
      <c r="AF17" s="171">
        <f t="shared" si="5"/>
        <v>1.780220539464367E-3</v>
      </c>
      <c r="AG17" s="171">
        <f t="shared" si="8"/>
        <v>1.0612851855965701E-2</v>
      </c>
      <c r="AH17" s="171">
        <f t="shared" si="9"/>
        <v>1.7591316370666018E-2</v>
      </c>
      <c r="AJ17" s="124"/>
      <c r="AK17" s="202"/>
      <c r="AL17" s="124"/>
      <c r="AM17" s="202"/>
      <c r="AN17" s="202"/>
      <c r="AQ17" s="229" t="s">
        <v>428</v>
      </c>
      <c r="AR17" s="76">
        <v>2.7</v>
      </c>
      <c r="AS17" s="225">
        <v>1587822</v>
      </c>
      <c r="AT17" s="76" t="s">
        <v>424</v>
      </c>
      <c r="AU17" s="226">
        <v>53.316300000000005</v>
      </c>
      <c r="AV17" s="130">
        <f t="shared" si="6"/>
        <v>1.4395401000000001</v>
      </c>
      <c r="BL17" s="127" t="s">
        <v>1061</v>
      </c>
      <c r="BM17" s="3">
        <v>4.9000000000000002E-2</v>
      </c>
      <c r="BS17" s="128"/>
    </row>
    <row r="18" spans="3:71" x14ac:dyDescent="0.2">
      <c r="C18" s="183">
        <v>2015</v>
      </c>
      <c r="D18" s="3">
        <v>16185</v>
      </c>
      <c r="E18" s="3">
        <v>10645</v>
      </c>
      <c r="F18" s="3">
        <v>500</v>
      </c>
      <c r="G18" s="3">
        <v>27330</v>
      </c>
      <c r="H18" s="179">
        <f t="shared" ref="H18:H25" si="10">D18/G18</f>
        <v>0.59220636663007686</v>
      </c>
      <c r="I18" s="179">
        <f t="shared" ref="I18:I25" si="11">E18/G18</f>
        <v>0.38949871935601904</v>
      </c>
      <c r="J18" s="184">
        <f t="shared" ref="J18:J25" si="12">F18/G18</f>
        <v>1.8294914013904134E-2</v>
      </c>
      <c r="L18" s="198" t="s">
        <v>349</v>
      </c>
      <c r="M18" s="217">
        <v>1.24221995061186E-2</v>
      </c>
      <c r="N18" s="218">
        <v>11653</v>
      </c>
      <c r="O18" s="206">
        <f t="shared" si="7"/>
        <v>1.0260441208098795E-3</v>
      </c>
      <c r="P18" s="206">
        <v>1.1299999999999999E-2</v>
      </c>
      <c r="Q18" s="212">
        <v>1.2699999999999999E-2</v>
      </c>
      <c r="R18" s="136"/>
      <c r="S18" s="136"/>
      <c r="T18" s="77"/>
      <c r="U18" s="77"/>
      <c r="AC18" s="198" t="s">
        <v>821</v>
      </c>
      <c r="AD18" s="171">
        <v>2.2859883302693625E-2</v>
      </c>
      <c r="AE18" s="3">
        <v>4387</v>
      </c>
      <c r="AF18" s="171">
        <f t="shared" si="5"/>
        <v>2.2564806266275154E-3</v>
      </c>
      <c r="AG18" s="171">
        <f t="shared" si="8"/>
        <v>1.8437181274503694E-2</v>
      </c>
      <c r="AH18" s="171">
        <f t="shared" si="9"/>
        <v>2.7282585330883555E-2</v>
      </c>
      <c r="AJ18" s="124"/>
      <c r="AQ18" s="229" t="s">
        <v>429</v>
      </c>
      <c r="AR18" s="76">
        <v>1.6</v>
      </c>
      <c r="AS18" s="225">
        <v>972783</v>
      </c>
      <c r="AT18" s="76" t="s">
        <v>424</v>
      </c>
      <c r="AU18" s="226">
        <v>53.316300000000005</v>
      </c>
      <c r="AV18" s="130">
        <f t="shared" si="6"/>
        <v>0.85306080000000006</v>
      </c>
      <c r="BL18" s="133" t="s">
        <v>1062</v>
      </c>
      <c r="BM18" s="191" t="s">
        <v>1051</v>
      </c>
      <c r="BN18" s="131"/>
      <c r="BO18" s="131"/>
      <c r="BP18" s="131"/>
      <c r="BQ18" s="131"/>
      <c r="BR18" s="131"/>
      <c r="BS18" s="132"/>
    </row>
    <row r="19" spans="3:71" x14ac:dyDescent="0.2">
      <c r="C19" s="183">
        <v>2016</v>
      </c>
      <c r="D19" s="3">
        <v>16148</v>
      </c>
      <c r="E19" s="3">
        <v>11775</v>
      </c>
      <c r="F19" s="3">
        <v>357</v>
      </c>
      <c r="G19" s="3">
        <v>28280</v>
      </c>
      <c r="H19" s="179">
        <f t="shared" si="10"/>
        <v>0.57100424328147104</v>
      </c>
      <c r="I19" s="179">
        <f t="shared" si="11"/>
        <v>0.41637199434229138</v>
      </c>
      <c r="J19" s="184">
        <f t="shared" si="12"/>
        <v>1.2623762376237625E-2</v>
      </c>
      <c r="L19" s="198" t="s">
        <v>385</v>
      </c>
      <c r="M19" s="202">
        <v>2.1999999999999999E-2</v>
      </c>
      <c r="N19" s="202">
        <v>1023</v>
      </c>
      <c r="O19" s="206">
        <f>SQRT((M19 * (1 - M19)) / N19)</f>
        <v>4.5860939877542988E-3</v>
      </c>
      <c r="P19" s="206">
        <f>M19 - (1.96 * O19)</f>
        <v>1.3011255784001573E-2</v>
      </c>
      <c r="Q19" s="212">
        <f>M19 + (1.96 * O19)</f>
        <v>3.0988744215998426E-2</v>
      </c>
      <c r="R19" s="136"/>
      <c r="S19" s="136"/>
      <c r="T19" s="77"/>
      <c r="U19" s="77"/>
      <c r="AC19" s="208" t="s">
        <v>822</v>
      </c>
      <c r="AD19" s="222">
        <v>8.6305323455729055E-2</v>
      </c>
      <c r="AE19" s="3">
        <v>4387</v>
      </c>
      <c r="AF19" s="222">
        <f t="shared" si="5"/>
        <v>4.2397038584785236E-3</v>
      </c>
      <c r="AG19" s="222">
        <f t="shared" si="8"/>
        <v>7.7995503893111148E-2</v>
      </c>
      <c r="AH19" s="192">
        <f t="shared" si="9"/>
        <v>9.4615143018346962E-2</v>
      </c>
      <c r="AQ19" s="229" t="s">
        <v>430</v>
      </c>
      <c r="AR19" s="76"/>
      <c r="AS19" s="141"/>
      <c r="AT19" s="76"/>
      <c r="AU19" s="76"/>
      <c r="AV19" s="130"/>
    </row>
    <row r="20" spans="3:71" x14ac:dyDescent="0.2">
      <c r="C20" s="183">
        <v>2017</v>
      </c>
      <c r="D20" s="3">
        <v>14726</v>
      </c>
      <c r="E20" s="3">
        <v>13568</v>
      </c>
      <c r="F20" s="3">
        <v>329</v>
      </c>
      <c r="G20" s="3">
        <v>28623</v>
      </c>
      <c r="H20" s="179">
        <f t="shared" si="10"/>
        <v>0.51448136114313658</v>
      </c>
      <c r="I20" s="179">
        <f t="shared" si="11"/>
        <v>0.47402438598330016</v>
      </c>
      <c r="J20" s="184">
        <f t="shared" si="12"/>
        <v>1.1494252873563218E-2</v>
      </c>
      <c r="L20" s="208" t="s">
        <v>386</v>
      </c>
      <c r="M20" s="209">
        <v>6.0999999999999999E-2</v>
      </c>
      <c r="N20" s="209">
        <v>1023</v>
      </c>
      <c r="O20" s="221">
        <f>SQRT((M20 * (1 - M20)) / N20)</f>
        <v>7.4827269324786311E-3</v>
      </c>
      <c r="P20" s="221">
        <f>M20 - (1.96 * O20)</f>
        <v>4.633385521234188E-2</v>
      </c>
      <c r="Q20" s="213">
        <f>M20 + (1.96 * O20)</f>
        <v>7.566614478765811E-2</v>
      </c>
      <c r="R20" s="136"/>
      <c r="S20" s="136"/>
      <c r="T20" s="77"/>
      <c r="U20" s="77"/>
      <c r="AE20" s="3"/>
      <c r="AF20" s="3"/>
      <c r="AG20" s="3"/>
      <c r="AH20" s="3"/>
      <c r="AQ20" s="229" t="s">
        <v>431</v>
      </c>
      <c r="AR20" s="76">
        <v>2.5</v>
      </c>
      <c r="AS20" s="225">
        <v>1488387</v>
      </c>
      <c r="AT20" s="76" t="s">
        <v>432</v>
      </c>
      <c r="AU20" s="226">
        <v>31.132899999999996</v>
      </c>
      <c r="AV20" s="130">
        <f t="shared" si="6"/>
        <v>0.77832249999999992</v>
      </c>
    </row>
    <row r="21" spans="3:71" x14ac:dyDescent="0.2">
      <c r="C21" s="183">
        <v>2018</v>
      </c>
      <c r="D21" s="3">
        <v>13506</v>
      </c>
      <c r="E21" s="3">
        <v>13359</v>
      </c>
      <c r="F21" s="3">
        <v>289</v>
      </c>
      <c r="G21" s="3">
        <v>27154</v>
      </c>
      <c r="H21" s="179">
        <f t="shared" si="10"/>
        <v>0.49738528393606835</v>
      </c>
      <c r="I21" s="179">
        <f t="shared" si="11"/>
        <v>0.49197171687412539</v>
      </c>
      <c r="J21" s="184">
        <f t="shared" si="12"/>
        <v>1.0642999189806291E-2</v>
      </c>
      <c r="AC21" s="195" t="s">
        <v>644</v>
      </c>
      <c r="AD21" s="125"/>
      <c r="AE21" s="219"/>
      <c r="AF21" s="219"/>
      <c r="AG21" s="219"/>
      <c r="AH21" s="220"/>
      <c r="AK21" s="202"/>
      <c r="AL21" s="202"/>
      <c r="AM21" s="202"/>
      <c r="AN21" s="77"/>
      <c r="AQ21" s="229" t="s">
        <v>433</v>
      </c>
      <c r="AR21" s="76">
        <v>1</v>
      </c>
      <c r="AS21" s="225">
        <v>623115</v>
      </c>
      <c r="AT21" s="76" t="s">
        <v>432</v>
      </c>
      <c r="AU21" s="226">
        <v>31.132899999999996</v>
      </c>
      <c r="AV21" s="130">
        <f t="shared" si="6"/>
        <v>0.31132899999999997</v>
      </c>
    </row>
    <row r="22" spans="3:71" x14ac:dyDescent="0.2">
      <c r="C22" s="183">
        <v>2019</v>
      </c>
      <c r="D22" s="3">
        <v>13809</v>
      </c>
      <c r="E22" s="3">
        <v>14450</v>
      </c>
      <c r="F22" s="3">
        <v>270</v>
      </c>
      <c r="G22" s="3">
        <v>28529</v>
      </c>
      <c r="H22" s="179">
        <f t="shared" si="10"/>
        <v>0.48403379017841497</v>
      </c>
      <c r="I22" s="179">
        <f t="shared" si="11"/>
        <v>0.50650215570121626</v>
      </c>
      <c r="J22" s="184">
        <f t="shared" si="12"/>
        <v>9.4640541203687475E-3</v>
      </c>
      <c r="AC22" s="223" t="s">
        <v>354</v>
      </c>
      <c r="AD22" t="s">
        <v>803</v>
      </c>
      <c r="AE22" s="3" t="s">
        <v>461</v>
      </c>
      <c r="AF22" s="3" t="s">
        <v>377</v>
      </c>
      <c r="AG22" s="3" t="s">
        <v>378</v>
      </c>
      <c r="AH22" s="182" t="s">
        <v>462</v>
      </c>
      <c r="AK22" s="202"/>
      <c r="AL22" s="202"/>
      <c r="AM22" s="202"/>
      <c r="AN22" s="77"/>
      <c r="AQ22" s="229" t="s">
        <v>434</v>
      </c>
      <c r="AR22" s="76">
        <v>0.5</v>
      </c>
      <c r="AS22" s="225">
        <v>297781</v>
      </c>
      <c r="AT22" s="76" t="s">
        <v>432</v>
      </c>
      <c r="AU22" s="226">
        <v>31.132899999999996</v>
      </c>
      <c r="AV22" s="130">
        <f t="shared" si="6"/>
        <v>0.15566449999999998</v>
      </c>
    </row>
    <row r="23" spans="3:71" x14ac:dyDescent="0.2">
      <c r="C23" s="183">
        <v>2020</v>
      </c>
      <c r="D23" s="3">
        <v>12230</v>
      </c>
      <c r="E23" s="3">
        <v>12743</v>
      </c>
      <c r="F23" s="3">
        <v>578</v>
      </c>
      <c r="G23" s="3">
        <v>25551</v>
      </c>
      <c r="H23" s="179">
        <f t="shared" si="10"/>
        <v>0.47865054205314861</v>
      </c>
      <c r="I23" s="179">
        <f t="shared" si="11"/>
        <v>0.49872803412782279</v>
      </c>
      <c r="J23" s="184">
        <f t="shared" si="12"/>
        <v>2.262142381902861E-2</v>
      </c>
      <c r="L23" s="294"/>
      <c r="M23" s="206"/>
      <c r="AC23" s="198" t="s">
        <v>367</v>
      </c>
      <c r="AD23" s="171">
        <v>9.7253633201505651E-2</v>
      </c>
      <c r="AE23" s="3">
        <v>1769</v>
      </c>
      <c r="AF23" s="171">
        <f>SQRT((AD23 * (1 - AD23)) / AE23)</f>
        <v>7.0448520280021361E-3</v>
      </c>
      <c r="AG23" s="171">
        <f>AD23-(1.96*AF23)</f>
        <v>8.3445723226621471E-2</v>
      </c>
      <c r="AH23" s="190">
        <f>AD23+(1.96*AF23)</f>
        <v>0.11106154317638983</v>
      </c>
      <c r="AK23" s="202"/>
      <c r="AL23" s="202"/>
      <c r="AM23" s="202"/>
      <c r="AN23" s="77"/>
      <c r="AQ23" s="229" t="s">
        <v>435</v>
      </c>
      <c r="AR23" s="76"/>
      <c r="AS23" s="141"/>
      <c r="AT23" s="76"/>
      <c r="AU23" s="76"/>
      <c r="AV23" s="130">
        <f t="shared" si="6"/>
        <v>0</v>
      </c>
    </row>
    <row r="24" spans="3:71" x14ac:dyDescent="0.2">
      <c r="C24" s="183">
        <v>2021</v>
      </c>
      <c r="D24" s="3">
        <v>13228</v>
      </c>
      <c r="E24" s="3">
        <v>12349</v>
      </c>
      <c r="F24" s="3">
        <v>784</v>
      </c>
      <c r="G24" s="3">
        <v>26361</v>
      </c>
      <c r="H24" s="179">
        <f t="shared" si="10"/>
        <v>0.50180190432836391</v>
      </c>
      <c r="I24" s="179">
        <f t="shared" si="11"/>
        <v>0.46845719054664087</v>
      </c>
      <c r="J24" s="184">
        <f t="shared" si="12"/>
        <v>2.9740905124995259E-2</v>
      </c>
      <c r="L24" s="294"/>
      <c r="M24" s="295"/>
      <c r="N24" s="178"/>
      <c r="O24" s="178"/>
      <c r="P24" s="441"/>
      <c r="Q24" s="441"/>
      <c r="R24" s="441"/>
      <c r="S24" s="441"/>
      <c r="T24" s="174"/>
      <c r="U24" s="174"/>
      <c r="V24" s="174"/>
      <c r="W24" s="174"/>
      <c r="X24" s="174"/>
      <c r="Y24" s="441"/>
      <c r="Z24" s="441"/>
      <c r="AA24" s="441"/>
      <c r="AB24" s="441"/>
      <c r="AC24" s="198" t="s">
        <v>348</v>
      </c>
      <c r="AD24" s="171">
        <v>4.9969154842689711E-2</v>
      </c>
      <c r="AE24" s="3">
        <v>1769</v>
      </c>
      <c r="AF24" s="171">
        <f t="shared" ref="AF24:AF27" si="13">SQRT((AD24 * (1 - AD24)) / AE24)</f>
        <v>5.1803122542955935E-3</v>
      </c>
      <c r="AG24" s="171">
        <f t="shared" ref="AG24:AG27" si="14">AD24-(1.96*AF24)</f>
        <v>3.9815742824270348E-2</v>
      </c>
      <c r="AH24" s="190">
        <f t="shared" ref="AH24:AH27" si="15">AD24+(1.96*AF24)</f>
        <v>6.0122566861109075E-2</v>
      </c>
      <c r="AK24" s="202"/>
      <c r="AL24" s="202"/>
      <c r="AM24" s="202"/>
      <c r="AN24" s="77"/>
      <c r="AQ24" s="229" t="s">
        <v>436</v>
      </c>
      <c r="AR24" s="76">
        <v>0.8</v>
      </c>
      <c r="AS24" s="225">
        <v>488228</v>
      </c>
      <c r="AT24" s="76" t="s">
        <v>437</v>
      </c>
      <c r="AU24" s="226">
        <v>26.287100000000006</v>
      </c>
      <c r="AV24" s="130">
        <f t="shared" si="6"/>
        <v>0.21029680000000006</v>
      </c>
    </row>
    <row r="25" spans="3:71" x14ac:dyDescent="0.2">
      <c r="C25" s="183">
        <v>2022</v>
      </c>
      <c r="D25" s="3">
        <v>3135</v>
      </c>
      <c r="E25" s="3">
        <v>2970</v>
      </c>
      <c r="F25" s="3">
        <v>158</v>
      </c>
      <c r="G25" s="3">
        <v>6263</v>
      </c>
      <c r="H25" s="179">
        <f t="shared" si="10"/>
        <v>0.5005588376177551</v>
      </c>
      <c r="I25" s="179">
        <f t="shared" si="11"/>
        <v>0.47421363563787322</v>
      </c>
      <c r="J25" s="184">
        <f t="shared" si="12"/>
        <v>2.5227526744371707E-2</v>
      </c>
      <c r="L25" s="294"/>
      <c r="M25" s="295"/>
      <c r="N25" s="178"/>
      <c r="O25" s="178"/>
      <c r="P25" s="175"/>
      <c r="Q25" s="175"/>
      <c r="R25" s="175"/>
      <c r="S25" s="175"/>
      <c r="T25" s="175"/>
      <c r="U25" s="175"/>
      <c r="V25" s="175"/>
      <c r="W25" s="175"/>
      <c r="X25" s="175"/>
      <c r="Y25" s="175"/>
      <c r="Z25" s="175"/>
      <c r="AA25" s="175"/>
      <c r="AB25" s="175"/>
      <c r="AC25" s="198" t="s">
        <v>349</v>
      </c>
      <c r="AD25" s="171">
        <v>1.1635180783185286E-2</v>
      </c>
      <c r="AE25" s="3">
        <v>1769</v>
      </c>
      <c r="AF25" s="171">
        <f t="shared" si="13"/>
        <v>2.5496542457632007E-3</v>
      </c>
      <c r="AG25" s="171">
        <f t="shared" si="14"/>
        <v>6.6378584614894126E-3</v>
      </c>
      <c r="AH25" s="190">
        <f t="shared" si="15"/>
        <v>1.6632503104881159E-2</v>
      </c>
      <c r="AK25" s="202"/>
      <c r="AL25" s="202"/>
      <c r="AM25" s="202"/>
      <c r="AN25" s="77"/>
      <c r="AQ25" s="229" t="s">
        <v>438</v>
      </c>
      <c r="AR25" s="76">
        <v>0.4</v>
      </c>
      <c r="AS25" s="225">
        <v>249593</v>
      </c>
      <c r="AT25" s="76" t="s">
        <v>437</v>
      </c>
      <c r="AU25" s="226">
        <v>26.287100000000006</v>
      </c>
      <c r="AV25" s="130">
        <f t="shared" si="6"/>
        <v>0.10514840000000003</v>
      </c>
    </row>
    <row r="26" spans="3:71" ht="15" customHeight="1" x14ac:dyDescent="0.2">
      <c r="C26" s="185" t="s">
        <v>383</v>
      </c>
      <c r="D26" s="437" t="s">
        <v>619</v>
      </c>
      <c r="E26" s="437"/>
      <c r="F26" s="437"/>
      <c r="G26" s="437"/>
      <c r="H26" s="437"/>
      <c r="I26" s="437"/>
      <c r="J26" s="438"/>
      <c r="L26" s="294"/>
      <c r="M26" s="202"/>
      <c r="N26" s="176"/>
      <c r="O26" s="176"/>
      <c r="P26" s="176"/>
      <c r="Q26" s="176"/>
      <c r="R26" s="176"/>
      <c r="S26" s="176"/>
      <c r="T26" s="176"/>
      <c r="U26" s="176"/>
      <c r="V26" s="176"/>
      <c r="W26" s="176"/>
      <c r="X26" s="176"/>
      <c r="Y26" s="177"/>
      <c r="Z26" s="177"/>
      <c r="AA26" s="177"/>
      <c r="AB26" s="177"/>
      <c r="AC26" s="198" t="s">
        <v>369</v>
      </c>
      <c r="AD26" s="171">
        <v>3.1165177421591746E-2</v>
      </c>
      <c r="AE26" s="3">
        <v>1023</v>
      </c>
      <c r="AF26" s="171">
        <f t="shared" si="13"/>
        <v>5.4327767021908327E-3</v>
      </c>
      <c r="AG26" s="171">
        <f t="shared" si="14"/>
        <v>2.0516935085297713E-2</v>
      </c>
      <c r="AH26" s="190">
        <f t="shared" si="15"/>
        <v>4.1813419757885779E-2</v>
      </c>
      <c r="AQ26" s="229" t="s">
        <v>439</v>
      </c>
      <c r="AR26" s="76">
        <v>0.9</v>
      </c>
      <c r="AS26" s="225">
        <v>513040</v>
      </c>
      <c r="AT26" s="76" t="s">
        <v>437</v>
      </c>
      <c r="AU26" s="226">
        <v>26.287100000000006</v>
      </c>
      <c r="AV26" s="130">
        <f t="shared" si="6"/>
        <v>0.23658390000000004</v>
      </c>
    </row>
    <row r="27" spans="3:71" x14ac:dyDescent="0.2">
      <c r="L27" s="294"/>
      <c r="M27" s="202"/>
      <c r="N27" s="176"/>
      <c r="O27" s="176"/>
      <c r="P27" s="176"/>
      <c r="Q27" s="176"/>
      <c r="R27" s="176"/>
      <c r="S27" s="176"/>
      <c r="T27" s="176"/>
      <c r="U27" s="176"/>
      <c r="V27" s="176"/>
      <c r="W27" s="176"/>
      <c r="X27" s="176"/>
      <c r="Y27" s="177"/>
      <c r="Z27" s="177"/>
      <c r="AA27" s="177"/>
      <c r="AB27" s="177"/>
      <c r="AC27" s="208" t="s">
        <v>370</v>
      </c>
      <c r="AD27" s="222">
        <v>0.12489534758632949</v>
      </c>
      <c r="AE27" s="191">
        <v>1023</v>
      </c>
      <c r="AF27" s="222">
        <f t="shared" si="13"/>
        <v>1.0336304860998012E-2</v>
      </c>
      <c r="AG27" s="222">
        <f t="shared" si="14"/>
        <v>0.10463619005877339</v>
      </c>
      <c r="AH27" s="192">
        <f t="shared" si="15"/>
        <v>0.14515450511388558</v>
      </c>
      <c r="AQ27" s="229" t="s">
        <v>440</v>
      </c>
      <c r="AR27" s="76">
        <v>0.8</v>
      </c>
      <c r="AS27" s="225">
        <v>467116</v>
      </c>
      <c r="AT27" s="76" t="s">
        <v>437</v>
      </c>
      <c r="AU27" s="226">
        <v>26.287100000000006</v>
      </c>
      <c r="AV27" s="130">
        <f t="shared" si="6"/>
        <v>0.21029680000000006</v>
      </c>
    </row>
    <row r="28" spans="3:71" x14ac:dyDescent="0.2">
      <c r="E28" s="319"/>
      <c r="F28" s="297"/>
      <c r="L28" s="175"/>
      <c r="M28" s="176"/>
      <c r="N28" s="176"/>
      <c r="O28" s="176"/>
      <c r="P28" s="176"/>
      <c r="Q28" s="176"/>
      <c r="R28" s="176"/>
      <c r="S28" s="176"/>
      <c r="T28" s="176"/>
      <c r="U28" s="176"/>
      <c r="V28" s="176"/>
      <c r="W28" s="176"/>
      <c r="X28" s="176"/>
      <c r="Y28" s="177"/>
      <c r="Z28" s="177"/>
      <c r="AA28" s="177"/>
      <c r="AB28" s="177"/>
      <c r="AQ28" s="229" t="s">
        <v>413</v>
      </c>
      <c r="AR28" s="76"/>
      <c r="AS28" s="141"/>
      <c r="AT28" s="76"/>
      <c r="AU28" s="226"/>
      <c r="AV28" s="130"/>
    </row>
    <row r="29" spans="3:71" x14ac:dyDescent="0.2">
      <c r="D29" s="224"/>
      <c r="E29" s="224"/>
      <c r="L29" s="175"/>
      <c r="M29" s="176"/>
      <c r="N29" s="176"/>
      <c r="O29" s="176"/>
      <c r="P29" s="176"/>
      <c r="Q29" s="176"/>
      <c r="R29" s="176"/>
      <c r="S29" s="176"/>
      <c r="T29" s="176"/>
      <c r="U29" s="176"/>
      <c r="V29" s="176"/>
      <c r="W29" s="176"/>
      <c r="X29" s="176"/>
      <c r="Y29" s="177"/>
      <c r="Z29" s="177"/>
      <c r="AA29" s="177"/>
      <c r="AB29" s="177"/>
      <c r="AD29" s="124"/>
      <c r="AQ29" s="229" t="s">
        <v>441</v>
      </c>
      <c r="AR29" s="76">
        <v>0.1</v>
      </c>
      <c r="AS29" s="225">
        <v>67757</v>
      </c>
      <c r="AT29" s="76" t="s">
        <v>442</v>
      </c>
      <c r="AU29" s="226">
        <v>27.128499999999995</v>
      </c>
      <c r="AV29" s="130">
        <f t="shared" si="6"/>
        <v>2.7128499999999996E-2</v>
      </c>
    </row>
    <row r="30" spans="3:71" x14ac:dyDescent="0.2">
      <c r="D30" s="224"/>
      <c r="E30" s="224"/>
      <c r="L30" s="175"/>
      <c r="M30" s="176"/>
      <c r="N30" s="176"/>
      <c r="O30" s="176"/>
      <c r="P30" s="176"/>
      <c r="Q30" s="176"/>
      <c r="R30" s="176"/>
      <c r="S30" s="176"/>
      <c r="T30" s="176"/>
      <c r="U30" s="176"/>
      <c r="V30" s="176"/>
      <c r="W30" s="176"/>
      <c r="X30" s="176"/>
      <c r="Y30" s="177"/>
      <c r="Z30" s="177"/>
      <c r="AA30" s="177"/>
      <c r="AB30" s="177"/>
      <c r="AD30" s="124"/>
      <c r="AQ30" s="229" t="s">
        <v>443</v>
      </c>
      <c r="AR30" s="76">
        <v>0.2</v>
      </c>
      <c r="AS30" s="225">
        <v>100964</v>
      </c>
      <c r="AT30" s="76" t="s">
        <v>442</v>
      </c>
      <c r="AU30" s="226">
        <v>27.128499999999995</v>
      </c>
      <c r="AV30" s="130">
        <f t="shared" si="6"/>
        <v>5.4256999999999993E-2</v>
      </c>
    </row>
    <row r="31" spans="3:71" x14ac:dyDescent="0.2">
      <c r="D31" s="224"/>
      <c r="E31" s="224"/>
      <c r="AD31" s="124"/>
      <c r="AQ31" s="229" t="s">
        <v>444</v>
      </c>
      <c r="AR31" s="76">
        <v>74.400000000000006</v>
      </c>
      <c r="AS31" s="225">
        <v>44355044</v>
      </c>
      <c r="AT31" s="76" t="s">
        <v>442</v>
      </c>
      <c r="AU31" s="226">
        <v>27.128499999999995</v>
      </c>
      <c r="AV31" s="130">
        <f t="shared" si="6"/>
        <v>20.183603999999999</v>
      </c>
    </row>
    <row r="32" spans="3:71" x14ac:dyDescent="0.2">
      <c r="AD32" s="124"/>
      <c r="AQ32" s="229" t="s">
        <v>445</v>
      </c>
      <c r="AR32" s="76">
        <v>0.9</v>
      </c>
      <c r="AS32" s="225">
        <v>507473</v>
      </c>
      <c r="AT32" s="76" t="s">
        <v>442</v>
      </c>
      <c r="AU32" s="226">
        <v>27.128499999999995</v>
      </c>
      <c r="AV32" s="130">
        <f t="shared" si="6"/>
        <v>0.24415649999999997</v>
      </c>
    </row>
    <row r="33" spans="30:48" x14ac:dyDescent="0.2">
      <c r="AD33" s="124"/>
      <c r="AQ33" s="229" t="s">
        <v>446</v>
      </c>
      <c r="AR33" s="76">
        <v>6.2</v>
      </c>
      <c r="AS33" s="225">
        <v>3667993</v>
      </c>
      <c r="AT33" s="76" t="s">
        <v>442</v>
      </c>
      <c r="AU33" s="226">
        <v>27.128499999999995</v>
      </c>
      <c r="AV33" s="130">
        <f t="shared" si="6"/>
        <v>1.6819669999999995</v>
      </c>
    </row>
    <row r="34" spans="30:48" x14ac:dyDescent="0.2">
      <c r="AQ34" s="229" t="s">
        <v>437</v>
      </c>
      <c r="AR34" s="76"/>
      <c r="AS34" s="76"/>
      <c r="AT34" s="76"/>
      <c r="AU34" s="226"/>
      <c r="AV34" s="130"/>
    </row>
    <row r="35" spans="30:48" x14ac:dyDescent="0.2">
      <c r="AD35" s="124"/>
      <c r="AQ35" s="229" t="s">
        <v>447</v>
      </c>
      <c r="AR35" s="76">
        <v>0.6</v>
      </c>
      <c r="AS35" s="227">
        <v>331856</v>
      </c>
      <c r="AT35" s="76" t="s">
        <v>448</v>
      </c>
      <c r="AU35" s="226">
        <v>26.287100000000006</v>
      </c>
      <c r="AV35" s="130">
        <f t="shared" si="6"/>
        <v>0.15772260000000002</v>
      </c>
    </row>
    <row r="36" spans="30:48" x14ac:dyDescent="0.2">
      <c r="AD36" s="124"/>
      <c r="AQ36" s="229" t="s">
        <v>655</v>
      </c>
      <c r="AR36" s="76">
        <v>1.6</v>
      </c>
      <c r="AS36" s="227">
        <v>923776</v>
      </c>
      <c r="AT36" s="76" t="s">
        <v>448</v>
      </c>
      <c r="AU36" s="226">
        <v>26.287100000000006</v>
      </c>
      <c r="AV36" s="130">
        <f t="shared" si="6"/>
        <v>0.42059360000000012</v>
      </c>
    </row>
    <row r="37" spans="30:48" x14ac:dyDescent="0.2">
      <c r="AD37" s="124"/>
      <c r="AQ37" s="138" t="s">
        <v>449</v>
      </c>
      <c r="AR37" s="76"/>
      <c r="AS37" s="76"/>
      <c r="AT37" s="76"/>
      <c r="AU37" s="76"/>
      <c r="AV37" s="130">
        <f>SUM(AV14:AV36)</f>
        <v>29.706556599999999</v>
      </c>
    </row>
    <row r="38" spans="30:48" x14ac:dyDescent="0.2">
      <c r="AD38" s="124"/>
      <c r="AQ38" s="127"/>
      <c r="AV38" s="128"/>
    </row>
    <row r="39" spans="30:48" x14ac:dyDescent="0.2">
      <c r="AD39" s="124"/>
      <c r="AQ39" s="127" t="s">
        <v>648</v>
      </c>
      <c r="AR39" t="s">
        <v>654</v>
      </c>
      <c r="AV39" s="128"/>
    </row>
    <row r="40" spans="30:48" x14ac:dyDescent="0.2">
      <c r="AQ40" s="127" t="s">
        <v>411</v>
      </c>
      <c r="AR40" s="230" t="s">
        <v>653</v>
      </c>
      <c r="AV40" s="128"/>
    </row>
    <row r="41" spans="30:48" x14ac:dyDescent="0.2">
      <c r="AQ41" s="127" t="s">
        <v>649</v>
      </c>
      <c r="AR41" s="230" t="s">
        <v>651</v>
      </c>
      <c r="AV41" s="128"/>
    </row>
    <row r="42" spans="30:48" x14ac:dyDescent="0.2">
      <c r="AQ42" s="133" t="s">
        <v>650</v>
      </c>
      <c r="AR42" s="131" t="s">
        <v>652</v>
      </c>
      <c r="AS42" s="131"/>
      <c r="AT42" s="131"/>
      <c r="AU42" s="131"/>
      <c r="AV42" s="132"/>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2:AP112"/>
  <sheetViews>
    <sheetView showGridLines="0" workbookViewId="0">
      <pane xSplit="1" topLeftCell="B1" activePane="topRight" state="frozen"/>
      <selection pane="topRight" activeCell="T18" sqref="T18"/>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6640625" customWidth="1"/>
    <col min="10" max="10" width="1.1640625" customWidth="1"/>
    <col min="11" max="11" width="11.83203125" customWidth="1"/>
    <col min="12" max="12" width="0.83203125" customWidth="1"/>
    <col min="13" max="13" width="1.3320312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1.1640625" customWidth="1"/>
    <col min="21" max="21" width="0.83203125" customWidth="1"/>
    <col min="22" max="22" width="12.33203125" customWidth="1"/>
    <col min="23" max="23" width="0.83203125" customWidth="1"/>
    <col min="24" max="24" width="13.33203125" customWidth="1"/>
    <col min="25" max="25" width="0.83203125" customWidth="1"/>
    <col min="26" max="26" width="14.1640625" customWidth="1"/>
    <col min="27" max="27" width="0.6640625" customWidth="1"/>
    <col min="28" max="28" width="14.5" customWidth="1"/>
    <col min="29" max="29" width="0.83203125" customWidth="1"/>
    <col min="30" max="30" width="14.83203125" customWidth="1"/>
    <col min="31" max="31" width="0.83203125" customWidth="1"/>
    <col min="32" max="32" width="13.83203125" customWidth="1"/>
    <col min="33" max="33" width="1.6640625" customWidth="1"/>
    <col min="34" max="34" width="25.1640625" customWidth="1"/>
    <col min="35" max="35" width="1.33203125" customWidth="1"/>
    <col min="36" max="36" width="14.5" customWidth="1"/>
    <col min="37" max="37" width="1.83203125" customWidth="1"/>
    <col min="38" max="38" width="9.83203125" customWidth="1"/>
    <col min="39" max="39" width="20" customWidth="1"/>
    <col min="40" max="40" width="13.83203125" customWidth="1"/>
    <col min="42" max="42" width="54.83203125" customWidth="1"/>
    <col min="1998" max="1998" width="2.5" customWidth="1"/>
    <col min="2000" max="2000" width="2.5" customWidth="1"/>
    <col min="2021" max="2021" width="2.5" customWidth="1"/>
    <col min="2026" max="2026" width="2.5" customWidth="1"/>
  </cols>
  <sheetData>
    <row r="2" spans="1:42" s="281" customFormat="1" ht="38.5" customHeight="1" x14ac:dyDescent="0.2">
      <c r="A2" s="299"/>
      <c r="B2" s="305" t="s">
        <v>1009</v>
      </c>
      <c r="C2" s="299"/>
      <c r="D2" s="299"/>
      <c r="E2" s="282" t="s">
        <v>959</v>
      </c>
      <c r="F2" s="152"/>
      <c r="G2" s="282" t="s">
        <v>1010</v>
      </c>
      <c r="H2" s="299"/>
      <c r="I2" s="281" t="s">
        <v>1011</v>
      </c>
      <c r="J2" s="299"/>
      <c r="K2" s="282" t="s">
        <v>1012</v>
      </c>
      <c r="L2" s="299"/>
      <c r="M2" s="152"/>
      <c r="N2" s="282" t="s">
        <v>1013</v>
      </c>
      <c r="O2" s="152"/>
      <c r="P2" s="282" t="s">
        <v>1014</v>
      </c>
      <c r="Q2" s="152"/>
      <c r="R2" s="282" t="s">
        <v>1015</v>
      </c>
      <c r="S2" s="152"/>
      <c r="T2" s="282" t="s">
        <v>960</v>
      </c>
      <c r="U2" s="152"/>
      <c r="V2" s="281" t="s">
        <v>983</v>
      </c>
      <c r="W2" s="299"/>
      <c r="X2" s="282" t="s">
        <v>984</v>
      </c>
      <c r="Y2" s="299"/>
      <c r="Z2" s="281" t="s">
        <v>985</v>
      </c>
      <c r="AA2" s="299"/>
      <c r="AB2" s="282" t="s">
        <v>1007</v>
      </c>
      <c r="AC2" s="152"/>
      <c r="AD2" s="282" t="s">
        <v>1003</v>
      </c>
      <c r="AE2" s="299"/>
      <c r="AF2" s="302" t="s">
        <v>1008</v>
      </c>
      <c r="AG2" s="299"/>
      <c r="AH2" s="299"/>
      <c r="AI2" s="299"/>
      <c r="AJ2" s="299"/>
      <c r="AK2" s="299"/>
      <c r="AL2" s="299"/>
      <c r="AM2" s="299"/>
      <c r="AN2" s="281" t="s">
        <v>876</v>
      </c>
    </row>
    <row r="3" spans="1:42" s="299" customFormat="1" ht="10" customHeight="1" x14ac:dyDescent="0.2">
      <c r="B3" s="152"/>
      <c r="E3" s="152"/>
      <c r="F3" s="152"/>
      <c r="G3" s="152"/>
      <c r="K3" s="152"/>
      <c r="M3" s="152"/>
      <c r="N3" s="152"/>
      <c r="O3" s="152"/>
      <c r="P3" s="152"/>
      <c r="Q3" s="152"/>
      <c r="R3" s="152"/>
      <c r="S3" s="152"/>
      <c r="T3" s="152"/>
      <c r="U3" s="152"/>
      <c r="X3" s="152"/>
      <c r="AB3" s="152"/>
      <c r="AC3" s="152"/>
      <c r="AD3" s="152"/>
      <c r="AF3" s="304"/>
    </row>
    <row r="4" spans="1:42" ht="16.5" customHeight="1" x14ac:dyDescent="0.2">
      <c r="B4" s="84" t="s">
        <v>837</v>
      </c>
      <c r="D4" s="280"/>
      <c r="E4" s="284">
        <f>stemi_size*proportion_ac_st*(1-prob_mi_ac-prob_stk_ac-prob_dead_ac)</f>
        <v>180.69934973735266</v>
      </c>
      <c r="F4" s="280"/>
      <c r="G4" s="300">
        <f>proportion_ac_st*(1-prob_mi_ac-prob_stk_ac-prob_dead_ac)</f>
        <v>0.18069934973735266</v>
      </c>
      <c r="H4" s="280"/>
      <c r="I4" s="284">
        <f>(ld_clop_600 + ((day_cost_asa + day_cost_clop)*md_328_day))</f>
        <v>21.754285714285718</v>
      </c>
      <c r="J4" s="280"/>
      <c r="K4" s="284">
        <f>((c_pci)+(c_drug_ac_noevent_st)+(c_bleed_ac)+(c_dys_ac)+(c_noevent_tree))</f>
        <v>5219.912605642603</v>
      </c>
      <c r="L4" s="280"/>
      <c r="M4" s="280"/>
      <c r="N4" s="284">
        <f>G4*K4</f>
        <v>943.23481352542854</v>
      </c>
      <c r="O4" s="280"/>
      <c r="P4" s="300">
        <f>u_noevent_tree - u_dec_bleed_ac -u_dec_dys_ac</f>
        <v>0.68200230615410962</v>
      </c>
      <c r="Q4" s="171"/>
      <c r="R4" s="300">
        <f>G4*P4</f>
        <v>0.12323737324142252</v>
      </c>
      <c r="S4" s="280"/>
      <c r="T4" s="292">
        <f>SUM(N4:N17)</f>
        <v>6023.1481451508325</v>
      </c>
      <c r="U4" s="312"/>
      <c r="V4" s="292">
        <f>SUM(N19:N36)</f>
        <v>5908.159692233673</v>
      </c>
      <c r="X4" s="296">
        <f>SUM(R4:R17)</f>
        <v>0.65040308562113336</v>
      </c>
      <c r="Y4" s="301"/>
      <c r="Z4" s="296">
        <f>SUM(R19:R36)</f>
        <v>0.65313286067935639</v>
      </c>
      <c r="AA4" s="280"/>
      <c r="AB4" s="292">
        <f>cost_poc-cost_st</f>
        <v>-114.98845291715952</v>
      </c>
      <c r="AC4" s="312"/>
      <c r="AD4" s="298">
        <f>Z4-X4</f>
        <v>2.7297750582230274E-3</v>
      </c>
      <c r="AE4" s="280"/>
      <c r="AF4" s="292">
        <f>AB4/AD4</f>
        <v>-42123.783265868187</v>
      </c>
      <c r="AG4" s="280"/>
      <c r="AK4" s="280"/>
      <c r="AL4" s="280"/>
      <c r="AM4" s="280"/>
      <c r="AN4" t="s">
        <v>875</v>
      </c>
      <c r="AO4" s="52" t="s">
        <v>964</v>
      </c>
    </row>
    <row r="5" spans="1:42" x14ac:dyDescent="0.2">
      <c r="B5" s="84" t="s">
        <v>861</v>
      </c>
      <c r="D5" s="150"/>
      <c r="E5" s="283">
        <f>stemi_size*proportion_ac_st*prob_mi_ac</f>
        <v>14.454000000000001</v>
      </c>
      <c r="F5" s="150"/>
      <c r="G5" s="300">
        <f>proportion_ac_st*prob_mi_ac</f>
        <v>1.4454E-2</v>
      </c>
      <c r="H5" s="150"/>
      <c r="I5" s="283">
        <f>(ld_clop_600 + ((day_cost_asa + day_cost_clop)*md_365_day))</f>
        <v>24.172500000000003</v>
      </c>
      <c r="J5" s="150"/>
      <c r="K5" s="284">
        <f>((c_pci)+(c_drug_ac_mi_st)+(c_bleed_ac)+(c_dys_ac)+(c_mi_tree))</f>
        <v>10017.039905883283</v>
      </c>
      <c r="L5" s="280"/>
      <c r="M5" s="280"/>
      <c r="N5" s="284">
        <f>G5*K5</f>
        <v>144.78629479963698</v>
      </c>
      <c r="O5" s="280"/>
      <c r="P5" s="300">
        <f>((u_noevent_tree*0.5)+(u_reinfarction_tree*0.5 ))- u_dec_bleed_ac -u_dec_dys_ac</f>
        <v>0.65647101671660968</v>
      </c>
      <c r="Q5" s="171"/>
      <c r="R5" s="300">
        <f>G5*P5</f>
        <v>9.4886320756218754E-3</v>
      </c>
      <c r="S5" s="280"/>
      <c r="X5" s="280"/>
      <c r="Y5" s="280"/>
      <c r="Z5" s="280"/>
      <c r="AA5" s="280"/>
      <c r="AE5" s="280"/>
      <c r="AG5" s="280"/>
      <c r="AK5" s="280"/>
      <c r="AL5" s="280"/>
      <c r="AM5" s="280"/>
      <c r="AN5" s="257"/>
      <c r="AO5" s="52" t="s">
        <v>964</v>
      </c>
    </row>
    <row r="6" spans="1:42" x14ac:dyDescent="0.2">
      <c r="B6" s="84" t="s">
        <v>838</v>
      </c>
      <c r="D6" s="150"/>
      <c r="E6" s="283">
        <f>stemi_size*proportion_ac_st*prob_stk_ac</f>
        <v>2.5481045915175775</v>
      </c>
      <c r="F6" s="150"/>
      <c r="G6" s="300">
        <f>proportion_ac_st*prob_stk_ac</f>
        <v>2.5481045915175778E-3</v>
      </c>
      <c r="H6" s="150"/>
      <c r="I6" s="283">
        <f>(ld_clop_600 + ((day_cost_asa + day_cost_clop)*md_365_day))</f>
        <v>24.172500000000003</v>
      </c>
      <c r="J6" s="150"/>
      <c r="K6" s="284">
        <f>((c_pci)+(c_drug_ac_stk_st)+(c_bleed_ac)+(c_dys_ac)+(c_stk_tree))</f>
        <v>21794.868876199267</v>
      </c>
      <c r="L6" s="280"/>
      <c r="M6" s="280"/>
      <c r="N6" s="284">
        <f>G6*K6</f>
        <v>55.535605454966905</v>
      </c>
      <c r="O6" s="280"/>
      <c r="P6" s="300">
        <f>((u_noevent_tree*0.5)+(u_stk_tree*0.5)) - u_dec_bleed_ac-u_dec_dys_ac</f>
        <v>0.62567136596660955</v>
      </c>
      <c r="Q6" s="171"/>
      <c r="R6" s="300">
        <f>G6*P6</f>
        <v>1.5942760804005926E-3</v>
      </c>
      <c r="S6" s="280"/>
      <c r="AG6" s="280"/>
      <c r="AJ6" s="309"/>
      <c r="AK6" s="299"/>
      <c r="AL6" s="309"/>
      <c r="AM6" s="280"/>
      <c r="AN6" s="257"/>
      <c r="AO6" s="52" t="s">
        <v>965</v>
      </c>
    </row>
    <row r="7" spans="1:42" x14ac:dyDescent="0.2">
      <c r="B7" s="84" t="s">
        <v>839</v>
      </c>
      <c r="D7" s="150"/>
      <c r="E7" s="283">
        <f>stemi_size*proportion_ac_st*prob_dead_ac</f>
        <v>21.298545671129745</v>
      </c>
      <c r="F7" s="150"/>
      <c r="G7" s="300">
        <f>proportion_ac_st*prob_dead_ac</f>
        <v>2.1298545671129744E-2</v>
      </c>
      <c r="H7" s="150"/>
      <c r="I7" s="283">
        <f>(ld_clop_600 + ((day_cost_asa + day_cost_clop)*md_halfway))</f>
        <v>12.244821428571429</v>
      </c>
      <c r="J7" s="150"/>
      <c r="K7" s="284">
        <f>((c_pci)+(c_drug_ac_dead_st)+(c_bleed_ac)+(c_dys_ac)+(c_dead_tree))</f>
        <v>4633.6695306100119</v>
      </c>
      <c r="L7" s="280"/>
      <c r="M7" s="280"/>
      <c r="N7" s="284">
        <f>G7*K7</f>
        <v>98.690422122619665</v>
      </c>
      <c r="O7" s="280"/>
      <c r="P7" s="300">
        <f>(u_noevent_tree*0.5)- u_dec_bleed_ac-u_dec_dys_ac</f>
        <v>0.34077459652910963</v>
      </c>
      <c r="Q7" s="171"/>
      <c r="R7" s="300">
        <f>G7*P7</f>
        <v>7.2580033077360526E-3</v>
      </c>
      <c r="S7" s="280"/>
      <c r="T7" s="299"/>
      <c r="U7" s="299"/>
      <c r="V7" s="299"/>
      <c r="W7" s="299"/>
      <c r="X7" s="299"/>
      <c r="Y7" s="299"/>
      <c r="Z7" s="299"/>
      <c r="AA7" s="299"/>
      <c r="AB7" s="299"/>
      <c r="AC7" s="299"/>
      <c r="AD7" s="299"/>
      <c r="AE7" s="299"/>
      <c r="AF7" s="299"/>
      <c r="AG7" s="299"/>
      <c r="AH7" s="299"/>
      <c r="AI7" s="299"/>
      <c r="AJ7" s="299"/>
      <c r="AK7" s="280"/>
      <c r="AL7" s="309"/>
      <c r="AM7" s="280"/>
      <c r="AN7" s="257"/>
      <c r="AO7" s="52" t="s">
        <v>963</v>
      </c>
    </row>
    <row r="8" spans="1:42" ht="10" customHeight="1" x14ac:dyDescent="0.2">
      <c r="D8" s="150"/>
      <c r="E8" s="150"/>
      <c r="F8" s="150"/>
      <c r="G8" s="150"/>
      <c r="H8" s="150"/>
      <c r="I8" s="150"/>
      <c r="J8" s="150"/>
      <c r="K8" s="150"/>
      <c r="L8" s="150"/>
      <c r="M8" s="150"/>
      <c r="N8" s="150"/>
      <c r="O8" s="150"/>
      <c r="P8" s="171"/>
      <c r="Q8" s="171"/>
      <c r="R8" s="171"/>
      <c r="S8" s="150"/>
      <c r="T8" s="299"/>
      <c r="U8" s="299"/>
      <c r="V8" s="299"/>
      <c r="W8" s="299"/>
      <c r="X8" s="299"/>
      <c r="Y8" s="299"/>
      <c r="Z8" s="299"/>
      <c r="AA8" s="299"/>
      <c r="AB8" s="299"/>
      <c r="AC8" s="299"/>
      <c r="AD8" s="299"/>
      <c r="AE8" s="299"/>
      <c r="AF8" s="299"/>
      <c r="AG8" s="299"/>
      <c r="AH8" s="299"/>
      <c r="AI8" s="299"/>
      <c r="AJ8" s="299"/>
      <c r="AM8" s="150"/>
      <c r="AO8" s="52"/>
    </row>
    <row r="9" spans="1:42" ht="14.5" customHeight="1" x14ac:dyDescent="0.2">
      <c r="B9" s="84" t="s">
        <v>849</v>
      </c>
      <c r="D9" s="276"/>
      <c r="E9" s="284">
        <f>stemi_size*proportion_at_st*(1-prob_mi_at-prob_stk_at-prob_dead_at)</f>
        <v>471.91578717466086</v>
      </c>
      <c r="F9" s="150"/>
      <c r="G9" s="300">
        <f>proportion_at_st*(1-prob_mi_at-prob_stk_at-prob_dead_at)</f>
        <v>0.47191578717466093</v>
      </c>
      <c r="H9" s="150"/>
      <c r="I9" s="283">
        <f>(ld_tica_180 + ((day_cost_asa + day_cost_tica)*md_328_day))</f>
        <v>649.98428571428576</v>
      </c>
      <c r="J9" s="150"/>
      <c r="K9" s="283">
        <f>((c_pci)+(c_drug_at_noevent_st)+(c_bleed_at)+(c_dys_at)+(c_noevent_tree))</f>
        <v>5857.9747111642228</v>
      </c>
      <c r="L9" s="280"/>
      <c r="M9" s="280"/>
      <c r="N9" s="284">
        <f>G9*K9</f>
        <v>2764.4707470683211</v>
      </c>
      <c r="O9" s="280"/>
      <c r="P9" s="300">
        <f>u_noevent_tree - u_dec_bleed_at-u_dec_dys_at</f>
        <v>0.68177300432444143</v>
      </c>
      <c r="Q9" s="171"/>
      <c r="R9" s="300">
        <f>G9*P9</f>
        <v>0.32173944401020227</v>
      </c>
      <c r="S9" s="280"/>
      <c r="T9" s="299"/>
      <c r="U9" s="299"/>
      <c r="V9" s="299"/>
      <c r="W9" s="299"/>
      <c r="X9" s="299"/>
      <c r="Y9" s="299"/>
      <c r="Z9" s="299"/>
      <c r="AA9" s="299"/>
      <c r="AB9" s="299"/>
      <c r="AC9" s="299"/>
      <c r="AD9" s="299"/>
      <c r="AE9" s="299"/>
      <c r="AF9" s="299"/>
      <c r="AG9" s="299"/>
      <c r="AH9" s="299"/>
      <c r="AI9" s="299"/>
      <c r="AJ9" s="299"/>
      <c r="AK9" s="280"/>
      <c r="AL9" s="310"/>
      <c r="AM9" s="276"/>
      <c r="AO9" s="52" t="s">
        <v>966</v>
      </c>
    </row>
    <row r="10" spans="1:42" x14ac:dyDescent="0.2">
      <c r="B10" s="84" t="s">
        <v>860</v>
      </c>
      <c r="D10" s="150"/>
      <c r="E10" s="283">
        <f>stemi_size*proportion_at_st*prob_mi_at</f>
        <v>30.017389595716459</v>
      </c>
      <c r="F10" s="150"/>
      <c r="G10" s="300">
        <f>proportion_at_st*prob_mi_at</f>
        <v>3.0017389595716461E-2</v>
      </c>
      <c r="H10" s="150"/>
      <c r="I10" s="283">
        <f>(ld_tica_180 + ((day_cost_asa + day_cost_tica)*md_365_day))</f>
        <v>723.0857142857144</v>
      </c>
      <c r="J10" s="150"/>
      <c r="K10" s="283">
        <f>((c_pci)+(c_drug_at_mi_st)+(c_bleed_at)+(c_dys_at)+(c_mi_tree))</f>
        <v>10725.785225690617</v>
      </c>
      <c r="L10" s="280"/>
      <c r="M10" s="280"/>
      <c r="N10" s="284">
        <f>G10*K10</f>
        <v>321.96007383953486</v>
      </c>
      <c r="O10" s="280"/>
      <c r="P10" s="300">
        <f>((u_noevent_tree*0.5)+(u_reinfarction_tree*0.5 ))- u_dec_bleed_at-u_dec_dys_at</f>
        <v>0.6562417148869415</v>
      </c>
      <c r="Q10" s="171"/>
      <c r="R10" s="300">
        <f>G10*P10</f>
        <v>1.9698663224722406E-2</v>
      </c>
      <c r="S10" s="280"/>
      <c r="T10" s="299"/>
      <c r="U10" s="299"/>
      <c r="V10" s="299"/>
      <c r="W10" s="299"/>
      <c r="X10" s="299"/>
      <c r="Y10" s="299"/>
      <c r="Z10" s="299"/>
      <c r="AA10" s="299"/>
      <c r="AB10" s="299"/>
      <c r="AC10" s="299"/>
      <c r="AD10" s="299"/>
      <c r="AE10" s="299"/>
      <c r="AF10" s="299"/>
      <c r="AG10" s="299"/>
      <c r="AH10" s="299"/>
      <c r="AI10" s="299"/>
      <c r="AJ10" s="299"/>
      <c r="AK10" s="280"/>
      <c r="AL10" s="311"/>
      <c r="AM10" s="150"/>
      <c r="AO10" s="52" t="s">
        <v>967</v>
      </c>
    </row>
    <row r="11" spans="1:42" x14ac:dyDescent="0.2">
      <c r="B11" s="84" t="s">
        <v>850</v>
      </c>
      <c r="D11" s="150"/>
      <c r="E11" s="283">
        <f>stemi_size*proportion_at_st*prob_stk_at</f>
        <v>7.7843504305503544</v>
      </c>
      <c r="F11" s="150"/>
      <c r="G11" s="300">
        <f>proportion_at_st*prob_stk_at</f>
        <v>7.7843504305503547E-3</v>
      </c>
      <c r="H11" s="150"/>
      <c r="I11" s="283">
        <f>(ld_tica_180 + ((day_cost_asa + day_cost_tica)*md_365_day))</f>
        <v>723.0857142857144</v>
      </c>
      <c r="J11" s="150"/>
      <c r="K11" s="283">
        <f>((c_pci)+(c_drug_at_stk_st)+(c_bleed_at)+(c_dys_at)+(c_stk_tree))</f>
        <v>22503.614196006602</v>
      </c>
      <c r="L11" s="280"/>
      <c r="M11" s="280"/>
      <c r="N11" s="284">
        <f>G11*K11</f>
        <v>175.17601885562306</v>
      </c>
      <c r="O11" s="280"/>
      <c r="P11" s="300">
        <f>((u_noevent_tree*0.5)+(u_stk_tree*0.5)) - u_dec_bleed_at-u_dec_dys_at</f>
        <v>0.62544206413694137</v>
      </c>
      <c r="Q11" s="171"/>
      <c r="R11" s="300">
        <f>G11*P11</f>
        <v>4.8686602012487021E-3</v>
      </c>
      <c r="S11" s="280"/>
      <c r="T11" s="299"/>
      <c r="U11" s="299"/>
      <c r="V11" s="299"/>
      <c r="W11" s="299"/>
      <c r="X11" s="299"/>
      <c r="Y11" s="299"/>
      <c r="Z11" s="299"/>
      <c r="AA11" s="299"/>
      <c r="AB11" s="299"/>
      <c r="AC11" s="299"/>
      <c r="AD11" s="299"/>
      <c r="AE11" s="299"/>
      <c r="AF11" s="299"/>
      <c r="AG11" s="299"/>
      <c r="AH11" s="299"/>
      <c r="AI11" s="299"/>
      <c r="AJ11" s="299"/>
      <c r="AK11" s="280"/>
      <c r="AL11" s="311"/>
      <c r="AM11" s="150"/>
      <c r="AO11" s="52" t="s">
        <v>968</v>
      </c>
    </row>
    <row r="12" spans="1:42" x14ac:dyDescent="0.2">
      <c r="B12" s="84" t="s">
        <v>851</v>
      </c>
      <c r="D12" s="150"/>
      <c r="E12" s="283">
        <f>stemi_size*proportion_at_st*prob_dead_at</f>
        <v>42.282472799072302</v>
      </c>
      <c r="F12" s="150"/>
      <c r="G12" s="300">
        <f>proportion_at_st*prob_dead_at</f>
        <v>4.2282472799072303E-2</v>
      </c>
      <c r="H12" s="150"/>
      <c r="I12" s="283">
        <f>(ld_tica_180 + ((day_cost_asa + day_cost_tica)*md_halfway))</f>
        <v>362.51785714285717</v>
      </c>
      <c r="J12" s="150"/>
      <c r="K12" s="283">
        <f>((c_pci)+(c_drug_at_dead_st)+(c_bleed_at)+(c_dys_at)+(c_dead_tree))</f>
        <v>4993.7746718459175</v>
      </c>
      <c r="L12" s="280"/>
      <c r="M12" s="280"/>
      <c r="N12" s="284">
        <f>G12*K12</f>
        <v>211.14914172702123</v>
      </c>
      <c r="O12" s="280"/>
      <c r="P12" s="300">
        <f>(u_noevent_tree*0.5)- u_dec_bleed_at-u_dec_dys_at</f>
        <v>0.34054529469944139</v>
      </c>
      <c r="Q12" s="171"/>
      <c r="R12" s="300">
        <f>G12*P12</f>
        <v>1.4399097159981193E-2</v>
      </c>
      <c r="S12" s="280"/>
      <c r="T12" s="299"/>
      <c r="U12" s="299"/>
      <c r="V12" s="299"/>
      <c r="W12" s="299"/>
      <c r="X12" s="299"/>
      <c r="Y12" s="299"/>
      <c r="Z12" s="299"/>
      <c r="AA12" s="299"/>
      <c r="AB12" s="299"/>
      <c r="AC12" s="299"/>
      <c r="AD12" s="299"/>
      <c r="AE12" s="299"/>
      <c r="AF12" s="299"/>
      <c r="AG12" s="299"/>
      <c r="AH12" s="299"/>
      <c r="AI12" s="299"/>
      <c r="AJ12" s="299"/>
      <c r="AK12" s="150"/>
      <c r="AL12" s="311"/>
      <c r="AM12" s="150"/>
      <c r="AO12" s="52" t="s">
        <v>967</v>
      </c>
    </row>
    <row r="13" spans="1:42" ht="7.5" customHeight="1" x14ac:dyDescent="0.2">
      <c r="E13" s="150"/>
      <c r="F13" s="150"/>
      <c r="G13" s="150"/>
      <c r="H13" s="150"/>
      <c r="K13" t="s">
        <v>958</v>
      </c>
      <c r="M13" s="150"/>
      <c r="N13" s="280"/>
      <c r="O13" s="280"/>
      <c r="P13" s="171"/>
      <c r="Q13" s="171"/>
      <c r="R13" s="171"/>
      <c r="S13" s="280"/>
      <c r="T13" s="299"/>
      <c r="U13" s="299"/>
      <c r="V13" s="299"/>
      <c r="W13" s="299"/>
      <c r="X13" s="299"/>
      <c r="Y13" s="299"/>
      <c r="Z13" s="299"/>
      <c r="AA13" s="299"/>
      <c r="AB13" s="299"/>
      <c r="AC13" s="299"/>
      <c r="AD13" s="299"/>
      <c r="AE13" s="299"/>
      <c r="AF13" s="299"/>
      <c r="AG13" s="299"/>
      <c r="AH13" s="299"/>
      <c r="AI13" s="299"/>
      <c r="AJ13" s="299"/>
      <c r="AO13" s="52"/>
    </row>
    <row r="14" spans="1:42" ht="12" customHeight="1" x14ac:dyDescent="0.2">
      <c r="B14" s="303" t="s">
        <v>852</v>
      </c>
      <c r="C14" s="279"/>
      <c r="D14" s="276"/>
      <c r="E14" s="283">
        <f>stemi_size*proportion_ap_st*(1-prob_mi_ap-prob_stk_ap-prob_dead_ap)</f>
        <v>192.62152513852985</v>
      </c>
      <c r="F14" s="150"/>
      <c r="G14" s="300">
        <f>proportion_ap_st*(1-prob_mi_ap-prob_stk_ap-prob_dead_ap)</f>
        <v>0.19262152513852987</v>
      </c>
      <c r="H14" s="150"/>
      <c r="I14" s="283">
        <f>(ld_pras_60 + ((day_cost_asa + day_cost_pras)*md_328_day))</f>
        <v>106.09857142857143</v>
      </c>
      <c r="J14" s="150"/>
      <c r="K14" s="283">
        <f>((c_pci)+(c_drug_ap_noevent_st)+(c_bleed_ap)+(c_dys_ap)+(c_noevent_tree))</f>
        <v>5339.8881787382543</v>
      </c>
      <c r="L14" s="280"/>
      <c r="M14" s="280"/>
      <c r="N14" s="284">
        <f>G14*K14</f>
        <v>1028.5774050577691</v>
      </c>
      <c r="O14" s="280"/>
      <c r="P14" s="300">
        <f>u_noevent_tree - u_dec_bleed_ap-u_dec_dys_ap</f>
        <v>0.68192441432058648</v>
      </c>
      <c r="Q14" s="171"/>
      <c r="R14" s="300">
        <f>G14*P14</f>
        <v>0.13135332071563011</v>
      </c>
      <c r="S14" s="280"/>
      <c r="T14" s="299"/>
      <c r="U14" s="299"/>
      <c r="V14" s="299"/>
      <c r="W14" s="299"/>
      <c r="X14" s="299"/>
      <c r="Y14" s="299"/>
      <c r="Z14" s="299"/>
      <c r="AA14" s="299"/>
      <c r="AB14" s="299"/>
      <c r="AC14" s="299"/>
      <c r="AD14" s="299"/>
      <c r="AE14" s="299"/>
      <c r="AF14" s="299"/>
      <c r="AG14" s="299"/>
      <c r="AH14" s="299"/>
      <c r="AI14" s="299"/>
      <c r="AJ14" s="299"/>
      <c r="AK14" s="276"/>
      <c r="AL14" s="276"/>
      <c r="AM14" s="276"/>
      <c r="AO14" s="52" t="s">
        <v>970</v>
      </c>
      <c r="AP14" s="276" t="s">
        <v>873</v>
      </c>
    </row>
    <row r="15" spans="1:42" x14ac:dyDescent="0.2">
      <c r="B15" s="303" t="s">
        <v>859</v>
      </c>
      <c r="C15" s="279"/>
      <c r="D15" s="150"/>
      <c r="E15" s="283">
        <f>stemi_size*proportion_ap_st*prob_mi_ap</f>
        <v>11.442936458975943</v>
      </c>
      <c r="F15" s="150"/>
      <c r="G15" s="300">
        <f>proportion_ap_st*prob_mi_ap</f>
        <v>1.1442936458975945E-2</v>
      </c>
      <c r="H15" s="150"/>
      <c r="I15" s="283">
        <f>(ld_pras_60 + ((day_cost_asa + day_cost_pras)*md_365_day))</f>
        <v>117.90223214285714</v>
      </c>
      <c r="J15" s="150"/>
      <c r="K15" s="283">
        <f>((c_pci)+(c_drug_ap_mi_st)+(c_bleed_ap)+(c_dys_ap)+(c_mi_tree))</f>
        <v>10146.400925407506</v>
      </c>
      <c r="L15" s="280"/>
      <c r="M15" s="280"/>
      <c r="N15" s="284">
        <f>G15*K15</f>
        <v>116.10462107673283</v>
      </c>
      <c r="O15" s="280"/>
      <c r="P15" s="300">
        <f>((u_noevent_tree*0.5)+(u_reinfarction_tree*0.5 ))- u_dec_bleed_ap-u_dec_dys_ap</f>
        <v>0.65639312488308654</v>
      </c>
      <c r="Q15" s="171"/>
      <c r="R15" s="300">
        <f>G15*P15</f>
        <v>7.5110648201458215E-3</v>
      </c>
      <c r="S15" s="280"/>
      <c r="T15" s="299"/>
      <c r="U15" s="299"/>
      <c r="V15" s="299"/>
      <c r="W15" s="299"/>
      <c r="X15" s="299"/>
      <c r="Y15" s="299"/>
      <c r="Z15" s="299"/>
      <c r="AA15" s="299"/>
      <c r="AB15" s="299"/>
      <c r="AC15" s="299"/>
      <c r="AD15" s="299"/>
      <c r="AE15" s="299"/>
      <c r="AF15" s="299"/>
      <c r="AG15" s="299"/>
      <c r="AH15" s="299"/>
      <c r="AI15" s="299"/>
      <c r="AJ15" s="299"/>
      <c r="AK15" s="150"/>
      <c r="AL15" s="150"/>
      <c r="AM15" s="150"/>
      <c r="AO15" s="52" t="s">
        <v>969</v>
      </c>
    </row>
    <row r="16" spans="1:42" x14ac:dyDescent="0.2">
      <c r="B16" s="303" t="s">
        <v>853</v>
      </c>
      <c r="C16" s="279"/>
      <c r="D16" s="150"/>
      <c r="E16" s="283">
        <f>stemi_size*proportion_ap_st*prob_stk_ap</f>
        <v>2.6644563993494303</v>
      </c>
      <c r="F16" s="150"/>
      <c r="G16" s="300">
        <f>proportion_ap_st*prob_stk_ap</f>
        <v>2.6644563993494306E-3</v>
      </c>
      <c r="H16" s="150"/>
      <c r="I16" s="283">
        <f>(ld_pras_60 + ((day_cost_asa + day_cost_pras)*md_365_day))</f>
        <v>117.90223214285714</v>
      </c>
      <c r="J16" s="150"/>
      <c r="K16" s="283">
        <f>((c_pci)+(c_drug_ap_stk_st)+(c_bleed_ap)+(c_dys_ap)+(c_stk_tree))</f>
        <v>21924.229895723489</v>
      </c>
      <c r="L16" s="280"/>
      <c r="M16" s="280"/>
      <c r="N16" s="284">
        <f>G16*K16</f>
        <v>58.416154646468549</v>
      </c>
      <c r="O16" s="280"/>
      <c r="P16" s="300">
        <f>((u_noevent_tree*0.5)+(u_stk_tree*0.5)) - u_dec_bleed_ap-u_dec_dys_ap</f>
        <v>0.62559347413308641</v>
      </c>
      <c r="Q16" s="171"/>
      <c r="R16" s="300">
        <f>G16*P16</f>
        <v>1.6668665355451446E-3</v>
      </c>
      <c r="S16" s="280"/>
      <c r="X16" s="150"/>
      <c r="Y16" s="150"/>
      <c r="AC16" s="150"/>
      <c r="AD16" s="150"/>
      <c r="AE16" s="150"/>
      <c r="AF16" s="301"/>
      <c r="AG16" s="150"/>
      <c r="AH16" s="171"/>
      <c r="AI16" s="150"/>
      <c r="AJ16" s="150"/>
      <c r="AK16" s="150"/>
      <c r="AL16" s="150"/>
      <c r="AM16" s="150"/>
      <c r="AO16" s="52" t="s">
        <v>969</v>
      </c>
    </row>
    <row r="17" spans="2:41" x14ac:dyDescent="0.2">
      <c r="B17" s="303" t="s">
        <v>854</v>
      </c>
      <c r="C17" s="279"/>
      <c r="D17" s="150"/>
      <c r="E17" s="283">
        <f>stemi_size*proportion_ap_st*prob_dead_ap</f>
        <v>22.271082003144794</v>
      </c>
      <c r="F17" s="150"/>
      <c r="G17" s="300">
        <f>proportion_ap_st*prob_dead_ap</f>
        <v>2.2271082003144795E-2</v>
      </c>
      <c r="H17" s="150"/>
      <c r="I17" s="283">
        <f>(ld_pras_60 + ((day_cost_asa + day_cost_pras)*md_halfway))</f>
        <v>59.681473214285717</v>
      </c>
      <c r="J17" s="150"/>
      <c r="K17" s="283">
        <f>((c_pci)+(c_drug_ap_dead_st)+(c_bleed_ap)+(c_dys_ap)+(c_dead_tree))</f>
        <v>4716.7374697770911</v>
      </c>
      <c r="L17" s="280"/>
      <c r="M17" s="280"/>
      <c r="N17" s="284">
        <f>G17*K17</f>
        <v>105.04684697671129</v>
      </c>
      <c r="O17" s="280"/>
      <c r="P17" s="300">
        <f>(u_noevent_tree*0.5)- u_dec_bleed_ap-u_dec_dys_ap</f>
        <v>0.34069670469558649</v>
      </c>
      <c r="Q17" s="171"/>
      <c r="R17" s="300">
        <f>G17*P17</f>
        <v>7.5876842484766133E-3</v>
      </c>
      <c r="S17" s="280"/>
      <c r="X17" s="150"/>
      <c r="Y17" s="150"/>
      <c r="AC17" s="150"/>
      <c r="AD17" s="150"/>
      <c r="AE17" s="150"/>
      <c r="AF17" s="150"/>
      <c r="AG17" s="150"/>
      <c r="AH17" s="150"/>
      <c r="AI17" s="150"/>
      <c r="AJ17" s="280"/>
      <c r="AL17" s="150"/>
      <c r="AM17" s="150"/>
      <c r="AO17" s="52" t="s">
        <v>971</v>
      </c>
    </row>
    <row r="18" spans="2:41" ht="8" customHeight="1" x14ac:dyDescent="0.2">
      <c r="E18" s="150"/>
      <c r="F18" s="150"/>
      <c r="G18" s="150"/>
      <c r="H18" s="150"/>
      <c r="M18" s="150"/>
      <c r="N18" s="150"/>
      <c r="O18" s="150"/>
      <c r="P18" s="171"/>
      <c r="Q18" s="171"/>
      <c r="R18" s="171"/>
      <c r="S18" s="150"/>
      <c r="W18" s="150"/>
      <c r="AJ18" s="280"/>
      <c r="AK18" s="280"/>
      <c r="AO18" s="52"/>
    </row>
    <row r="19" spans="2:41" ht="15" customHeight="1" x14ac:dyDescent="0.2">
      <c r="B19" s="306" t="s">
        <v>857</v>
      </c>
      <c r="D19" s="276"/>
      <c r="E19" s="286">
        <f>stemi_size*prob_test_order*prob_test_follow*prev_lof_base*proportion_at_lof*(1-prob_mi_at-prob_stk_at-prob_dead_at)</f>
        <v>179.46093315092739</v>
      </c>
      <c r="F19" s="280"/>
      <c r="G19" s="316">
        <f>prob_test_order*prob_test_follow*prev_lof_base*proportion_at_lof*(1-prob_mi_at-prob_stk_at-prob_dead_at)</f>
        <v>0.17946093315092737</v>
      </c>
      <c r="H19" s="150"/>
      <c r="I19" s="286">
        <f>ld_tica_180+((day_cost_asa + day_cost_tica)*md_328_day)</f>
        <v>649.98428571428576</v>
      </c>
      <c r="J19" s="280"/>
      <c r="K19" s="286">
        <f>c_poc_test + c_pci +c_drug_at_noevent_pc+ c_bleed_at+c_dys_at+c_noevent_tree</f>
        <v>5982.9747111642228</v>
      </c>
      <c r="L19" s="279"/>
      <c r="M19" s="150"/>
      <c r="N19" s="286">
        <f>G19*K19</f>
        <v>1073.7102246839315</v>
      </c>
      <c r="O19" s="280"/>
      <c r="P19" s="308">
        <f>u_noevent_tree - u_dec_bleed_at-u_dec_dys_at</f>
        <v>0.68177300432444143</v>
      </c>
      <c r="Q19" s="171"/>
      <c r="R19" s="308">
        <f>G19*P19</f>
        <v>0.1223516195531755</v>
      </c>
      <c r="S19" s="150"/>
      <c r="W19" s="276"/>
      <c r="X19" s="276"/>
      <c r="Y19" s="276"/>
      <c r="AC19" s="276"/>
      <c r="AD19" s="276"/>
      <c r="AE19" s="276"/>
      <c r="AF19" s="301"/>
      <c r="AG19" s="150"/>
      <c r="AH19" s="301"/>
      <c r="AI19" s="150"/>
      <c r="AJ19" s="280"/>
      <c r="AK19" s="280"/>
      <c r="AL19" s="276"/>
      <c r="AM19" s="276"/>
      <c r="AN19" t="s">
        <v>878</v>
      </c>
      <c r="AO19" s="52" t="s">
        <v>973</v>
      </c>
    </row>
    <row r="20" spans="2:41" x14ac:dyDescent="0.2">
      <c r="B20" s="306" t="s">
        <v>858</v>
      </c>
      <c r="D20" s="276"/>
      <c r="E20" s="286">
        <f>stemi_size*prob_test_order*prob_test_follow*prev_lof_base*proportion_at_lof*prob_mi_at</f>
        <v>11.415063649075273</v>
      </c>
      <c r="F20" s="280"/>
      <c r="G20" s="316">
        <f>prob_test_order*prob_test_follow*prev_lof_base*proportion_at_lof*prob_mi_at</f>
        <v>1.1415063649075272E-2</v>
      </c>
      <c r="H20" s="150"/>
      <c r="I20" s="286">
        <f>ld_tica_180+ (day_cost_asa + day_cost_tica)*md_365_day</f>
        <v>723.0857142857144</v>
      </c>
      <c r="J20" s="280"/>
      <c r="K20" s="286">
        <f>c_poc_test + c_pci + c_drug_at_mi_poc + c_bleed_at+ c_dys_at+c_mi_tree</f>
        <v>10850.785225690617</v>
      </c>
      <c r="L20" s="279"/>
      <c r="M20" s="150"/>
      <c r="N20" s="286">
        <f>G20*K20</f>
        <v>123.86240399370399</v>
      </c>
      <c r="O20" s="280"/>
      <c r="P20" s="308">
        <f>((u_noevent_tree*0.5)+(u_reinfarction_tree*0.5 ))- u_dec_bleed_at-u_dec_dys_at</f>
        <v>0.6562417148869415</v>
      </c>
      <c r="Q20" s="171"/>
      <c r="R20" s="308">
        <f>G20*P20</f>
        <v>7.4910409446127448E-3</v>
      </c>
      <c r="S20" s="150"/>
      <c r="W20" s="276"/>
      <c r="X20" s="276"/>
      <c r="Y20" s="276"/>
      <c r="AC20" s="276"/>
      <c r="AD20" s="276"/>
      <c r="AE20" s="276"/>
      <c r="AF20" s="301"/>
      <c r="AG20" s="150"/>
      <c r="AH20" s="171"/>
      <c r="AI20" s="150"/>
      <c r="AJ20" s="280"/>
      <c r="AK20" s="276"/>
      <c r="AL20" s="276"/>
      <c r="AM20" s="276"/>
      <c r="AO20" s="52" t="s">
        <v>972</v>
      </c>
    </row>
    <row r="21" spans="2:41" x14ac:dyDescent="0.2">
      <c r="B21" s="306" t="s">
        <v>840</v>
      </c>
      <c r="D21" s="276"/>
      <c r="E21" s="286">
        <f>stemi_size*prob_test_order*prob_test_follow*prev_lof_base*proportion_at_lof*prob_stk_at</f>
        <v>2.960245938378304</v>
      </c>
      <c r="F21" s="280"/>
      <c r="G21" s="316">
        <f>prob_test_order*prob_test_follow*prev_lof_base*proportion_at_lof*prob_stk_at</f>
        <v>2.9602459383783037E-3</v>
      </c>
      <c r="H21" s="150"/>
      <c r="I21" s="286">
        <f>ld_tica_180+(day_cost_asa + day_cost_tica)*md_365_day</f>
        <v>723.0857142857144</v>
      </c>
      <c r="J21" s="280"/>
      <c r="K21" s="286">
        <f>c_poc_test + c_pci + c_drug_at_stk_poc + c_bleed_at+ c_dys_at+c_stk_tree</f>
        <v>22628.614196006602</v>
      </c>
      <c r="L21" s="279"/>
      <c r="M21" s="150"/>
      <c r="N21" s="286">
        <f>G21*K21</f>
        <v>66.986263264858167</v>
      </c>
      <c r="O21" s="280"/>
      <c r="P21" s="308">
        <f>((u_noevent_tree*0.5)+(u_stk_tree*0.5)) - u_dec_bleed_at-u_dec_dys_at</f>
        <v>0.62544206413694137</v>
      </c>
      <c r="Q21" s="171"/>
      <c r="R21" s="308">
        <f>G21*P21</f>
        <v>1.8514623300523233E-3</v>
      </c>
      <c r="S21" s="150"/>
      <c r="W21" s="276"/>
      <c r="X21" s="276"/>
      <c r="Y21" s="276"/>
      <c r="AC21" s="276"/>
      <c r="AD21" s="276"/>
      <c r="AE21" s="276"/>
      <c r="AF21" s="301"/>
      <c r="AG21" s="150"/>
      <c r="AH21" s="171"/>
      <c r="AI21" s="150"/>
      <c r="AJ21" s="280"/>
      <c r="AK21" s="276"/>
      <c r="AL21" s="276"/>
      <c r="AM21" s="276"/>
      <c r="AO21" s="52" t="s">
        <v>973</v>
      </c>
    </row>
    <row r="22" spans="2:41" x14ac:dyDescent="0.2">
      <c r="B22" s="306" t="s">
        <v>841</v>
      </c>
      <c r="D22" s="276"/>
      <c r="E22" s="286">
        <f>stemi_size*prob_test_order*prob_test_follow*prev_lof_base*proportion_at_lof*prob_dead_at</f>
        <v>16.079250219365523</v>
      </c>
      <c r="F22" s="280"/>
      <c r="G22" s="316">
        <f>prob_test_order*prob_test_follow*prev_lof_base*proportion_at_lof*prob_dead_at</f>
        <v>1.6079250219365522E-2</v>
      </c>
      <c r="H22" s="150"/>
      <c r="I22" s="286">
        <f>ld_tica_180 + (day_cost_asa + day_cost_tica)* md_halfway</f>
        <v>362.51785714285717</v>
      </c>
      <c r="J22" s="280"/>
      <c r="K22" s="286">
        <f>c_poc_test + c_pci + c_drug_at_dead_poc + c_bleed_at+ c_dys_at+c_dead_tree</f>
        <v>5118.7746718459175</v>
      </c>
      <c r="L22" s="279"/>
      <c r="M22" s="150"/>
      <c r="N22" s="286">
        <f>G22*K22</f>
        <v>82.306058765161154</v>
      </c>
      <c r="O22" s="280"/>
      <c r="P22" s="308">
        <f>(u_noevent_tree*0.5)- u_dec_bleed_at-u_dec_dys_at</f>
        <v>0.34054529469944139</v>
      </c>
      <c r="Q22" s="171"/>
      <c r="R22" s="308">
        <f>G22*P22</f>
        <v>5.4757130044998893E-3</v>
      </c>
      <c r="S22" s="150"/>
      <c r="W22" s="276"/>
      <c r="X22" s="276"/>
      <c r="Y22" s="276"/>
      <c r="Z22" s="276"/>
      <c r="AA22" s="276"/>
      <c r="AB22" s="276"/>
      <c r="AC22" s="276"/>
      <c r="AD22" s="276"/>
      <c r="AE22" s="276"/>
      <c r="AF22" s="301"/>
      <c r="AG22" s="150"/>
      <c r="AH22" s="171"/>
      <c r="AI22" s="150"/>
      <c r="AJ22" s="280"/>
      <c r="AK22" s="276"/>
      <c r="AL22" s="276"/>
      <c r="AM22" s="276"/>
      <c r="AO22" s="52" t="s">
        <v>974</v>
      </c>
    </row>
    <row r="23" spans="2:41" ht="8.5" customHeight="1" x14ac:dyDescent="0.2">
      <c r="E23" s="150"/>
      <c r="F23" s="150"/>
      <c r="G23" s="150"/>
      <c r="I23" s="150"/>
      <c r="J23" s="150"/>
      <c r="N23" s="150"/>
      <c r="O23" s="150"/>
      <c r="P23" s="171"/>
      <c r="Q23" s="171"/>
      <c r="R23" s="171"/>
      <c r="AJ23" s="280"/>
      <c r="AO23" s="52"/>
    </row>
    <row r="24" spans="2:41" x14ac:dyDescent="0.2">
      <c r="B24" s="306" t="s">
        <v>842</v>
      </c>
      <c r="C24" s="82"/>
      <c r="D24" s="276"/>
      <c r="E24" s="286">
        <f>stemi_size*prob_test_order*prob_test_follow*prev_lof_base*(proportion_ap_lof)*(1-prob_mi_ap-prob_stk_ap-prob_dead_ap)</f>
        <v>73.250439137187414</v>
      </c>
      <c r="F24" s="280"/>
      <c r="G24" s="316">
        <f>prob_test_order*prob_test_follow*prev_lof_base*(proportion_ap_lof)*(1-prob_mi_ap-prob_stk_ap-prob_dead_ap)</f>
        <v>7.3250439137187401E-2</v>
      </c>
      <c r="H24" s="150"/>
      <c r="I24" s="286">
        <f>ld_pras_60+(day_cost_asa + day_cost_pras)*md_328_day</f>
        <v>106.09857142857143</v>
      </c>
      <c r="J24" s="280"/>
      <c r="K24" s="286">
        <f>c_poc_test + c_pci +c_drug_ap_noevent_pc+ c_bleed_ap+ c_dys_ap+c_noevent_tree</f>
        <v>5464.8881787382543</v>
      </c>
      <c r="L24" s="279"/>
      <c r="M24" s="150"/>
      <c r="N24" s="286">
        <f>G24*K24</f>
        <v>400.3054589282014</v>
      </c>
      <c r="O24" s="280"/>
      <c r="P24" s="308">
        <f>u_noevent_tree - u_dec_bleed_ap-u_dec_dys_ap</f>
        <v>0.68192441432058648</v>
      </c>
      <c r="Q24" s="171"/>
      <c r="R24" s="308">
        <f>G24*P24</f>
        <v>4.9951262807352285E-2</v>
      </c>
      <c r="S24" s="150"/>
      <c r="W24" s="276"/>
      <c r="X24" s="276"/>
      <c r="Y24" s="276"/>
      <c r="Z24" s="276"/>
      <c r="AA24" s="276"/>
      <c r="AB24" s="276"/>
      <c r="AC24" s="276"/>
      <c r="AD24" s="276"/>
      <c r="AE24" s="276"/>
      <c r="AF24" s="301"/>
      <c r="AG24" s="150"/>
      <c r="AH24" s="301"/>
      <c r="AI24" s="150"/>
      <c r="AJ24" s="280"/>
      <c r="AK24" s="276"/>
      <c r="AL24" s="276"/>
      <c r="AM24" s="276"/>
      <c r="AO24" s="52" t="s">
        <v>976</v>
      </c>
    </row>
    <row r="25" spans="2:41" x14ac:dyDescent="0.2">
      <c r="B25" s="306" t="s">
        <v>863</v>
      </c>
      <c r="D25" s="276"/>
      <c r="E25" s="286">
        <f>stemi_size*prob_test_order*prob_test_follow*prev_lof_base*(proportion_ap_lof)*prob_mi_ap</f>
        <v>4.3515392167936691</v>
      </c>
      <c r="F25" s="280"/>
      <c r="G25" s="316">
        <f>prob_test_order*prob_test_follow*prev_lof_base*(proportion_ap_lof)*prob_mi_ap</f>
        <v>4.3515392167936687E-3</v>
      </c>
      <c r="H25" s="150"/>
      <c r="I25" s="286">
        <f>ld_pras_60+(day_cost_asa + day_cost_pras)*md_365_day</f>
        <v>117.90223214285714</v>
      </c>
      <c r="J25" s="280"/>
      <c r="K25" s="286">
        <f>c_poc_test + c_pci +c_drug_ap_mi_poc+ c_bleed_ap+ c_dys_ap+c_mi_tree</f>
        <v>10271.400925407506</v>
      </c>
      <c r="L25" s="279"/>
      <c r="M25" s="150"/>
      <c r="N25" s="286">
        <f>G25*K25</f>
        <v>44.696403938321545</v>
      </c>
      <c r="O25" s="280"/>
      <c r="P25" s="308">
        <f>((u_noevent_tree*0.5)+(u_reinfarction_tree*0.5 ))- u_dec_bleed_ap-u_dec_dys_ap</f>
        <v>0.65639312488308654</v>
      </c>
      <c r="Q25" s="171"/>
      <c r="R25" s="308">
        <f>G25*P25</f>
        <v>2.8563204245624953E-3</v>
      </c>
      <c r="S25" s="150"/>
      <c r="W25" s="276"/>
      <c r="X25" s="276"/>
      <c r="Y25" s="276"/>
      <c r="Z25" s="276"/>
      <c r="AA25" s="276"/>
      <c r="AB25" s="276"/>
      <c r="AC25" s="276"/>
      <c r="AD25" s="276"/>
      <c r="AE25" s="276"/>
      <c r="AF25" s="301"/>
      <c r="AG25" s="150"/>
      <c r="AH25" s="171"/>
      <c r="AI25" s="150"/>
      <c r="AJ25" s="280"/>
      <c r="AK25" s="276"/>
      <c r="AL25" s="276"/>
      <c r="AM25" s="276"/>
      <c r="AO25" s="52" t="s">
        <v>975</v>
      </c>
    </row>
    <row r="26" spans="2:41" x14ac:dyDescent="0.2">
      <c r="B26" s="306" t="s">
        <v>843</v>
      </c>
      <c r="D26" s="276"/>
      <c r="E26" s="286">
        <f>stemi_size*prob_test_order*prob_test_follow*prev_lof_base*(proportion_ap_lof)*prob_stk_ap</f>
        <v>1.0132439828511919</v>
      </c>
      <c r="F26" s="280"/>
      <c r="G26" s="316">
        <f>prob_test_order*prob_test_follow*prev_lof_base*(proportion_ap_lof)*prob_stk_ap</f>
        <v>1.0132439828511918E-3</v>
      </c>
      <c r="H26" s="150"/>
      <c r="I26" s="286">
        <f>ld_pras_60+(day_cost_asa + day_cost_pras)*md_365_day</f>
        <v>117.90223214285714</v>
      </c>
      <c r="J26" s="280"/>
      <c r="K26" s="286">
        <f>c_poc_test + c_pci +c_drug_ap_stk_poc+ c_bleed_ap+ c_dys_ap+c_stk_tree</f>
        <v>22049.229895723489</v>
      </c>
      <c r="L26" s="279"/>
      <c r="M26" s="150"/>
      <c r="N26" s="286">
        <f>G26*K26</f>
        <v>22.341249518344434</v>
      </c>
      <c r="O26" s="280"/>
      <c r="P26" s="308">
        <f>((u_noevent_tree*0.5)+(u_stk_tree*0.5)) - u_dec_bleed_ap-u_dec_dys_ap</f>
        <v>0.62559347413308641</v>
      </c>
      <c r="Q26" s="171"/>
      <c r="R26" s="308">
        <f>G26*P26</f>
        <v>6.3387882337632246E-4</v>
      </c>
      <c r="S26" s="150"/>
      <c r="W26" s="276"/>
      <c r="X26" s="276"/>
      <c r="Y26" s="276"/>
      <c r="Z26" s="276"/>
      <c r="AA26" s="276"/>
      <c r="AB26" s="276"/>
      <c r="AC26" s="276"/>
      <c r="AD26" s="276"/>
      <c r="AE26" s="276"/>
      <c r="AF26" s="301"/>
      <c r="AG26" s="150"/>
      <c r="AH26" s="171"/>
      <c r="AI26" s="150"/>
      <c r="AJ26" s="280"/>
      <c r="AK26" s="276"/>
      <c r="AL26" s="276"/>
      <c r="AM26" s="276"/>
      <c r="AO26" s="52" t="s">
        <v>977</v>
      </c>
    </row>
    <row r="27" spans="2:41" x14ac:dyDescent="0.2">
      <c r="B27" s="306" t="s">
        <v>844</v>
      </c>
      <c r="D27" s="276"/>
      <c r="E27" s="286">
        <f>stemi_size*prob_test_order*prob_test_follow*prev_lof_base*(proportion_ap_lof)*prob_dead_ap</f>
        <v>8.4692847054212592</v>
      </c>
      <c r="F27" s="280"/>
      <c r="G27" s="316">
        <f>prob_test_order*prob_test_follow*prev_lof_base*(proportion_ap_lof)*prob_dead_ap</f>
        <v>8.4692847054212584E-3</v>
      </c>
      <c r="H27" s="150"/>
      <c r="I27" s="286">
        <f>ld_pras_60+(day_cost_asa + day_cost_pras)*md_halfway</f>
        <v>59.681473214285717</v>
      </c>
      <c r="J27" s="280"/>
      <c r="K27" s="307">
        <f>c_poc_test + c_pci +c_drug_ap_dead_poc+ c_bleed_ap+ c_dys_ap+c_dead_tree</f>
        <v>4841.7374697770911</v>
      </c>
      <c r="L27" s="279"/>
      <c r="M27" s="150"/>
      <c r="N27" s="286">
        <f>G27*K27</f>
        <v>41.006053100448142</v>
      </c>
      <c r="O27" s="280"/>
      <c r="P27" s="308">
        <f>(u_noevent_tree*0.5)- u_dec_bleed_ap-u_dec_dys_ap</f>
        <v>0.34069670469558649</v>
      </c>
      <c r="Q27" s="171"/>
      <c r="R27" s="308">
        <f>G27*P27</f>
        <v>2.8854573902657539E-3</v>
      </c>
      <c r="S27" s="150"/>
      <c r="W27" s="276"/>
      <c r="X27" s="276"/>
      <c r="Y27" s="276"/>
      <c r="Z27" s="276"/>
      <c r="AA27" s="276"/>
      <c r="AB27" s="276"/>
      <c r="AC27" s="276"/>
      <c r="AD27" s="276"/>
      <c r="AE27" s="276"/>
      <c r="AF27" s="301"/>
      <c r="AG27" s="150"/>
      <c r="AH27" s="171"/>
      <c r="AI27" s="150"/>
      <c r="AJ27" s="280"/>
      <c r="AK27" s="276"/>
      <c r="AL27" s="276"/>
      <c r="AM27" s="276"/>
      <c r="AO27" s="52" t="s">
        <v>975</v>
      </c>
    </row>
    <row r="28" spans="2:41" ht="7.5" customHeight="1" x14ac:dyDescent="0.2">
      <c r="N28" s="150"/>
      <c r="O28" s="150"/>
      <c r="P28" s="171"/>
      <c r="Q28" s="171"/>
      <c r="R28" s="171"/>
      <c r="AG28" s="150"/>
      <c r="AI28" s="150"/>
      <c r="AO28" s="52"/>
    </row>
    <row r="29" spans="2:41" x14ac:dyDescent="0.2">
      <c r="B29" s="306" t="s">
        <v>845</v>
      </c>
      <c r="D29" s="150"/>
      <c r="E29" s="286">
        <f>stemi_size*prob_test_order*prob_test_follow*(1-prev_lof_base)*(1-prob_mi_ac_nlof-prob_stk_ac_nlof-prob_dead_ac_nlof)</f>
        <v>602.74292576533298</v>
      </c>
      <c r="F29" s="280"/>
      <c r="G29" s="316">
        <f>prob_test_order*prob_test_follow*(1-prev_lof_base)*(1-prob_mi_ac_nlof-prob_stk_ac_nlof-prob_dead_ac_nlof)</f>
        <v>0.60274292576533295</v>
      </c>
      <c r="H29" s="150"/>
      <c r="I29" s="286">
        <f>ld_tica_180+((day_cost_asa+day_cost_tica)*md_5_day)+(day_cost_asa + day_cost_clop)*md_328_day</f>
        <v>33.265714285714289</v>
      </c>
      <c r="J29" s="280"/>
      <c r="K29" s="286">
        <f>c_poc_test + c_pci +c_drug_ac_noevent_poc+ c_bleed_ac+c_dys_ac+c_noevent_tree</f>
        <v>5356.4240342140311</v>
      </c>
      <c r="L29" s="279"/>
      <c r="M29" s="150"/>
      <c r="N29" s="286">
        <f>G29*K29</f>
        <v>3228.546694021913</v>
      </c>
      <c r="O29" s="280"/>
      <c r="P29" s="308">
        <f>u_noevent_tree - u_dec_bleed_ac-u_dec_dys_ac</f>
        <v>0.68200230615410962</v>
      </c>
      <c r="Q29" s="171"/>
      <c r="R29" s="308">
        <f>G29*P29</f>
        <v>0.41107206539003238</v>
      </c>
      <c r="S29" s="150"/>
      <c r="W29" s="150"/>
      <c r="X29" s="150"/>
      <c r="Y29" s="150"/>
      <c r="Z29" s="150"/>
      <c r="AA29" s="150"/>
      <c r="AB29" s="150"/>
      <c r="AC29" s="150"/>
      <c r="AD29" s="150"/>
      <c r="AE29" s="150"/>
      <c r="AF29" s="150"/>
      <c r="AG29" s="150"/>
      <c r="AH29" s="150"/>
      <c r="AI29" s="150"/>
      <c r="AJ29" s="150"/>
      <c r="AK29" s="150"/>
      <c r="AL29" s="150"/>
      <c r="AM29" s="150"/>
      <c r="AO29" s="52" t="s">
        <v>978</v>
      </c>
    </row>
    <row r="30" spans="2:41" x14ac:dyDescent="0.2">
      <c r="B30" s="306" t="s">
        <v>846</v>
      </c>
      <c r="D30" s="150"/>
      <c r="E30" s="286">
        <f>stemi_size*prob_test_order*prob_test_follow*(1-prev_lof_base)*prob_mi_ac_nlof</f>
        <v>38.228668271356291</v>
      </c>
      <c r="F30" s="280"/>
      <c r="G30" s="316">
        <f>prob_test_order*prob_test_follow*(1-prev_lof_base)*prob_mi_ac_nlof</f>
        <v>3.8228668271356292E-2</v>
      </c>
      <c r="H30" s="150"/>
      <c r="I30" s="286">
        <f>ld_tica_180+((day_cost_asa+day_cost_tica)*md_5_day)+(day_cost_asa + day_cost_clop)*md_360_day</f>
        <v>35.357142857142861</v>
      </c>
      <c r="J30" s="280"/>
      <c r="K30" s="286">
        <f>c_poc_test+ c_pci +c_drug_ac_mi_poc+ c_bleed_ac+ c_dys_ac+c_mi_tree</f>
        <v>10153.224548740425</v>
      </c>
      <c r="L30" s="279"/>
      <c r="M30" s="150"/>
      <c r="N30" s="286">
        <f>G30*K30</f>
        <v>388.14425315838889</v>
      </c>
      <c r="O30" s="280"/>
      <c r="P30" s="308">
        <f>((u_noevent_tree*0.5)+(u_reinfarction_tree*0.5 ))- u_dec_bleed_ac-u_dec_dys_ac</f>
        <v>0.65647101671660968</v>
      </c>
      <c r="Q30" s="171"/>
      <c r="R30" s="308">
        <f>G30*P30</f>
        <v>2.5096012727819264E-2</v>
      </c>
      <c r="S30" s="150"/>
      <c r="W30" s="150"/>
      <c r="X30" s="150"/>
      <c r="Y30" s="150"/>
      <c r="Z30" s="150"/>
      <c r="AA30" s="150"/>
      <c r="AB30" s="150"/>
      <c r="AC30" s="150"/>
      <c r="AD30" s="150"/>
      <c r="AE30" s="150"/>
      <c r="AF30" s="150"/>
      <c r="AG30" s="150"/>
      <c r="AH30" s="150"/>
      <c r="AI30" s="150"/>
      <c r="AJ30" s="150"/>
      <c r="AK30" s="150"/>
      <c r="AL30" s="150"/>
      <c r="AM30" s="150"/>
      <c r="AO30" s="52" t="s">
        <v>979</v>
      </c>
    </row>
    <row r="31" spans="2:41" x14ac:dyDescent="0.2">
      <c r="B31" s="306" t="s">
        <v>847</v>
      </c>
      <c r="D31" s="150"/>
      <c r="E31" s="286">
        <f>stemi_size*prob_test_order*prob_test_follow*(1-prev_lof_base)*prob_stk_ac_nlof</f>
        <v>8.1795320905792579</v>
      </c>
      <c r="F31" s="280"/>
      <c r="G31" s="316">
        <f>prob_test_order*prob_test_follow*(1-prev_lof_base)*prob_stk_ac_nlof</f>
        <v>8.1795320905792574E-3</v>
      </c>
      <c r="H31" s="150"/>
      <c r="I31" s="286">
        <f>ld_tica_180+((day_cost_asa+day_cost_tica)*md_5_day)+(day_cost_asa + day_cost_clop)*md_360_day</f>
        <v>35.357142857142861</v>
      </c>
      <c r="J31" s="280"/>
      <c r="K31" s="286">
        <f>c_poc_test + c_pci +c_drug_ac_stk_poc+ c_bleed_ac+ c_dys_ac+c_stk_tree</f>
        <v>21931.053519056411</v>
      </c>
      <c r="L31" s="279"/>
      <c r="M31" s="150"/>
      <c r="N31" s="286">
        <f>G31*K31</f>
        <v>179.38575603933307</v>
      </c>
      <c r="O31" s="280"/>
      <c r="P31" s="308">
        <f>((u_noevent_tree*0.5)+(u_stk_tree*0.5)) - u_dec_bleed_ac-u_dec_dys_ac</f>
        <v>0.62567136596660955</v>
      </c>
      <c r="Q31" s="171"/>
      <c r="R31" s="308">
        <f>G31*P31</f>
        <v>5.1176990160804415E-3</v>
      </c>
      <c r="S31" s="150"/>
      <c r="W31" s="150"/>
      <c r="X31" s="150"/>
      <c r="Y31" s="150"/>
      <c r="Z31" s="150"/>
      <c r="AA31" s="150"/>
      <c r="AB31" s="150"/>
      <c r="AC31" s="150"/>
      <c r="AD31" s="150"/>
      <c r="AE31" s="150"/>
      <c r="AF31" s="150"/>
      <c r="AG31" s="150"/>
      <c r="AH31" s="150"/>
      <c r="AI31" s="150"/>
      <c r="AJ31" s="150"/>
      <c r="AK31" s="150"/>
      <c r="AL31" s="150"/>
      <c r="AM31" s="150"/>
      <c r="AO31" s="52" t="s">
        <v>979</v>
      </c>
    </row>
    <row r="32" spans="2:41" x14ac:dyDescent="0.2">
      <c r="B32" s="306" t="s">
        <v>848</v>
      </c>
      <c r="D32" s="150"/>
      <c r="E32" s="286">
        <f>stemi_size*prob_test_order*prob_test_follow*(1-prev_lof_base)*prob_dead_ac_nlof</f>
        <v>53.848873872731581</v>
      </c>
      <c r="F32" s="280"/>
      <c r="G32" s="316">
        <f>prob_test_order*prob_test_follow*(1-prev_lof_base)*prob_dead_ac_nlof</f>
        <v>5.3848873872731573E-2</v>
      </c>
      <c r="H32" s="150"/>
      <c r="I32" s="286">
        <f>ld_tica_180+((day_cost_asa+day_cost_tica)*md_5_day)+(day_cost_asa + day_cost_clop)*md_halfway</f>
        <v>23.756250000000001</v>
      </c>
      <c r="J32" s="280"/>
      <c r="K32" s="286">
        <f>c_poc_test + c_pci +c_drug_ac_dead_poc+ c_bleed_ac+ c_dys_ac+c_dead_tree</f>
        <v>4770.1809591814399</v>
      </c>
      <c r="L32" s="279"/>
      <c r="M32" s="150"/>
      <c r="N32" s="286">
        <f>G32*K32</f>
        <v>256.8688728210671</v>
      </c>
      <c r="O32" s="280"/>
      <c r="P32" s="308">
        <f>(u_noevent_tree*0.5)- u_dec_bleed_ac-u_dec_dys_ac</f>
        <v>0.34077459652910963</v>
      </c>
      <c r="Q32" s="171"/>
      <c r="R32" s="308">
        <f>G32*P32</f>
        <v>1.8350328267527014E-2</v>
      </c>
      <c r="S32" s="150"/>
      <c r="W32" s="150"/>
      <c r="X32" s="150"/>
      <c r="Y32" s="150"/>
      <c r="Z32" s="150"/>
      <c r="AA32" s="150"/>
      <c r="AB32" s="150"/>
      <c r="AC32" s="150"/>
      <c r="AD32" s="150"/>
      <c r="AE32" s="150"/>
      <c r="AF32" s="150"/>
      <c r="AG32" s="150"/>
      <c r="AH32" s="150"/>
      <c r="AI32" s="150"/>
      <c r="AJ32" s="150"/>
      <c r="AK32" s="150"/>
      <c r="AL32" s="150"/>
      <c r="AM32" s="150"/>
      <c r="AO32" s="52" t="s">
        <v>980</v>
      </c>
    </row>
    <row r="33" spans="2:40" ht="15.5" customHeight="1" x14ac:dyDescent="0.2">
      <c r="E33" s="150"/>
      <c r="F33" s="150"/>
      <c r="G33" s="150"/>
      <c r="N33" s="150"/>
      <c r="O33" s="150"/>
      <c r="P33" s="171"/>
      <c r="Q33" s="171"/>
      <c r="R33" s="171"/>
    </row>
    <row r="34" spans="2:40" x14ac:dyDescent="0.2">
      <c r="B34" s="306" t="s">
        <v>862</v>
      </c>
      <c r="C34" s="170"/>
      <c r="E34" s="286">
        <f>stemi_size*(prob_test_order)*(1-prob_test_follow)</f>
        <v>0</v>
      </c>
      <c r="F34" s="280"/>
      <c r="G34" s="316">
        <f>prob_test_order*(1-prob_test_follow)</f>
        <v>0</v>
      </c>
      <c r="I34" s="286" t="s">
        <v>350</v>
      </c>
      <c r="J34" s="280"/>
      <c r="K34" s="286">
        <f>c_poc_test+cost_st</f>
        <v>6148.1481451508325</v>
      </c>
      <c r="N34" s="286">
        <f>G34*K34</f>
        <v>0</v>
      </c>
      <c r="O34" s="280"/>
      <c r="P34" s="308"/>
      <c r="Q34" s="171"/>
      <c r="R34" s="308">
        <f>G34*P34</f>
        <v>0</v>
      </c>
    </row>
    <row r="35" spans="2:40" ht="14.5" customHeight="1" x14ac:dyDescent="0.2">
      <c r="N35" s="150"/>
      <c r="O35" s="150"/>
      <c r="R35" s="171"/>
    </row>
    <row r="36" spans="2:40" ht="16" customHeight="1" x14ac:dyDescent="0.2">
      <c r="B36" s="306" t="s">
        <v>982</v>
      </c>
      <c r="E36" s="286">
        <f>stemi_size*(1-prob_test_order)</f>
        <v>0</v>
      </c>
      <c r="F36" s="280"/>
      <c r="G36" s="316">
        <f>1-prob_test_order</f>
        <v>0</v>
      </c>
      <c r="I36" s="286" t="s">
        <v>350</v>
      </c>
      <c r="J36" s="280"/>
      <c r="K36" s="286">
        <f>cost_st</f>
        <v>6023.1481451508325</v>
      </c>
      <c r="N36" s="286">
        <f>G36*K36</f>
        <v>0</v>
      </c>
      <c r="O36" s="280"/>
      <c r="P36" s="250"/>
      <c r="Q36" s="150"/>
      <c r="R36" s="308">
        <f>G36*P36</f>
        <v>0</v>
      </c>
    </row>
    <row r="38" spans="2:40" x14ac:dyDescent="0.2">
      <c r="B38" s="170"/>
      <c r="C38" s="170"/>
    </row>
    <row r="39" spans="2:40" x14ac:dyDescent="0.2">
      <c r="V39" s="293"/>
      <c r="W39" s="293"/>
      <c r="AA39" s="301"/>
      <c r="AC39" s="301"/>
      <c r="AD39" s="298"/>
      <c r="AE39" s="124"/>
      <c r="AF39" s="124"/>
      <c r="AG39" s="124"/>
      <c r="AH39" s="124"/>
      <c r="AI39" s="124"/>
      <c r="AJ39" s="124"/>
      <c r="AK39" s="124"/>
      <c r="AL39" s="124"/>
      <c r="AM39" s="124"/>
      <c r="AN39" s="293"/>
    </row>
    <row r="40" spans="2:40" x14ac:dyDescent="0.2">
      <c r="B40" s="170"/>
      <c r="C40" s="170"/>
      <c r="T40" s="293"/>
      <c r="U40" s="293"/>
    </row>
    <row r="41" spans="2:40" x14ac:dyDescent="0.2">
      <c r="X41" s="150"/>
      <c r="Y41" s="150"/>
      <c r="Z41" s="150"/>
      <c r="AA41" s="150"/>
      <c r="AB41" s="150"/>
      <c r="AC41" s="150"/>
      <c r="AD41" s="150"/>
    </row>
    <row r="42" spans="2:40" x14ac:dyDescent="0.2">
      <c r="X42" s="150"/>
      <c r="Y42" s="150"/>
      <c r="Z42" s="150"/>
      <c r="AA42" s="150"/>
      <c r="AB42" s="150"/>
      <c r="AC42" s="150"/>
      <c r="AD42" s="150"/>
    </row>
    <row r="43" spans="2:40" x14ac:dyDescent="0.2">
      <c r="X43" s="150"/>
      <c r="Y43" s="150"/>
      <c r="Z43" s="150"/>
      <c r="AA43" s="150"/>
      <c r="AB43" s="150"/>
      <c r="AC43" s="150"/>
      <c r="AD43" s="150"/>
    </row>
    <row r="44" spans="2:40" x14ac:dyDescent="0.2">
      <c r="B44" s="170"/>
      <c r="C44" s="170"/>
      <c r="X44" s="150"/>
      <c r="Y44" s="150"/>
      <c r="Z44" s="150"/>
      <c r="AA44" s="150"/>
      <c r="AB44" s="150"/>
      <c r="AC44" s="150"/>
      <c r="AD44" s="150"/>
    </row>
    <row r="45" spans="2:40" x14ac:dyDescent="0.2">
      <c r="X45" s="150"/>
      <c r="Y45" s="150"/>
      <c r="Z45" s="150"/>
      <c r="AA45" s="150"/>
      <c r="AB45" s="150"/>
      <c r="AC45" s="150"/>
      <c r="AD45" s="150"/>
    </row>
    <row r="46" spans="2:40" x14ac:dyDescent="0.2">
      <c r="B46" s="170"/>
      <c r="C46" s="170"/>
      <c r="X46" s="150"/>
      <c r="Y46" s="150"/>
      <c r="Z46" s="150"/>
      <c r="AA46" s="150"/>
      <c r="AB46" s="150"/>
      <c r="AC46" s="150"/>
      <c r="AD46" s="150"/>
    </row>
    <row r="47" spans="2:40" x14ac:dyDescent="0.2">
      <c r="X47" s="150"/>
      <c r="Y47" s="150"/>
      <c r="Z47" s="150"/>
      <c r="AA47" s="150"/>
      <c r="AB47" s="150"/>
      <c r="AC47" s="150"/>
      <c r="AD47" s="150"/>
    </row>
    <row r="48" spans="2:40" x14ac:dyDescent="0.2">
      <c r="B48" s="170"/>
      <c r="C48" s="170"/>
    </row>
    <row r="50" spans="2:3" x14ac:dyDescent="0.2">
      <c r="B50" s="170"/>
      <c r="C50" s="170"/>
    </row>
    <row r="52" spans="2:3" x14ac:dyDescent="0.2">
      <c r="B52" s="170"/>
      <c r="C52" s="170"/>
    </row>
    <row r="54" spans="2:3" x14ac:dyDescent="0.2">
      <c r="B54" s="170"/>
      <c r="C54" s="170"/>
    </row>
    <row r="56" spans="2:3" x14ac:dyDescent="0.2">
      <c r="B56" s="170"/>
      <c r="C56" s="170"/>
    </row>
    <row r="58" spans="2:3" x14ac:dyDescent="0.2">
      <c r="B58" s="170"/>
      <c r="C58" s="170"/>
    </row>
    <row r="60" spans="2:3" x14ac:dyDescent="0.2">
      <c r="B60" s="170"/>
      <c r="C60" s="170"/>
    </row>
    <row r="62" spans="2:3" x14ac:dyDescent="0.2">
      <c r="B62" s="170"/>
      <c r="C62" s="170"/>
    </row>
    <row r="64" spans="2:3" x14ac:dyDescent="0.2">
      <c r="B64" s="170"/>
      <c r="C64" s="170"/>
    </row>
    <row r="66" spans="2:3" x14ac:dyDescent="0.2">
      <c r="B66" s="170"/>
      <c r="C66" s="170"/>
    </row>
    <row r="68" spans="2:3" x14ac:dyDescent="0.2">
      <c r="B68" s="170"/>
      <c r="C68" s="170"/>
    </row>
    <row r="70" spans="2:3" x14ac:dyDescent="0.2">
      <c r="B70" s="170"/>
      <c r="C70" s="170"/>
    </row>
    <row r="72" spans="2:3" x14ac:dyDescent="0.2">
      <c r="B72" s="170"/>
      <c r="C72" s="170"/>
    </row>
    <row r="74" spans="2:3" x14ac:dyDescent="0.2">
      <c r="B74" s="170"/>
      <c r="C74" s="170"/>
    </row>
    <row r="76" spans="2:3" x14ac:dyDescent="0.2">
      <c r="B76" s="170"/>
      <c r="C76" s="170"/>
    </row>
    <row r="78" spans="2:3" x14ac:dyDescent="0.2">
      <c r="B78" s="170"/>
      <c r="C78" s="170"/>
    </row>
    <row r="80" spans="2:3" x14ac:dyDescent="0.2">
      <c r="B80" s="170"/>
      <c r="C80" s="170"/>
    </row>
    <row r="82" spans="2:3" x14ac:dyDescent="0.2">
      <c r="B82" s="170"/>
      <c r="C82" s="170"/>
    </row>
    <row r="84" spans="2:3" x14ac:dyDescent="0.2">
      <c r="B84" s="170"/>
      <c r="C84" s="170"/>
    </row>
    <row r="86" spans="2:3" x14ac:dyDescent="0.2">
      <c r="B86" s="170"/>
      <c r="C86" s="170"/>
    </row>
    <row r="88" spans="2:3" x14ac:dyDescent="0.2">
      <c r="B88" s="170"/>
      <c r="C88" s="170"/>
    </row>
    <row r="90" spans="2:3" x14ac:dyDescent="0.2">
      <c r="B90" s="170"/>
      <c r="C90" s="170"/>
    </row>
    <row r="92" spans="2:3" x14ac:dyDescent="0.2">
      <c r="B92" s="170"/>
      <c r="C92" s="170"/>
    </row>
    <row r="94" spans="2:3" x14ac:dyDescent="0.2">
      <c r="B94" s="170"/>
      <c r="C94" s="170"/>
    </row>
    <row r="96" spans="2:3" x14ac:dyDescent="0.2">
      <c r="B96" s="170"/>
      <c r="C96" s="170"/>
    </row>
    <row r="98" spans="2:3" x14ac:dyDescent="0.2">
      <c r="B98" s="170"/>
      <c r="C98" s="170"/>
    </row>
    <row r="100" spans="2:3" x14ac:dyDescent="0.2">
      <c r="B100" s="170"/>
      <c r="C100" s="170"/>
    </row>
    <row r="102" spans="2:3" x14ac:dyDescent="0.2">
      <c r="B102" s="170"/>
      <c r="C102" s="170"/>
    </row>
    <row r="104" spans="2:3" x14ac:dyDescent="0.2">
      <c r="B104" s="170"/>
      <c r="C104" s="170"/>
    </row>
    <row r="106" spans="2:3" x14ac:dyDescent="0.2">
      <c r="B106" s="170"/>
      <c r="C106" s="170"/>
    </row>
    <row r="108" spans="2:3" x14ac:dyDescent="0.2">
      <c r="B108" s="170"/>
      <c r="C108" s="170"/>
    </row>
    <row r="110" spans="2:3" x14ac:dyDescent="0.2">
      <c r="B110" s="170"/>
      <c r="C110" s="170"/>
    </row>
    <row r="112" spans="2:3" x14ac:dyDescent="0.2">
      <c r="B112" s="170"/>
      <c r="C112" s="170"/>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1:U51"/>
  <sheetViews>
    <sheetView workbookViewId="0">
      <pane ySplit="4" topLeftCell="A11" activePane="bottomLeft" state="frozen"/>
      <selection activeCell="B1" sqref="B1"/>
      <selection pane="bottomLeft" activeCell="G13" sqref="G13"/>
    </sheetView>
  </sheetViews>
  <sheetFormatPr baseColWidth="10" defaultColWidth="8.83203125" defaultRowHeight="15" x14ac:dyDescent="0.2"/>
  <cols>
    <col min="2" max="2" width="12.33203125" customWidth="1"/>
    <col min="3" max="3" width="11.1640625" customWidth="1"/>
    <col min="4" max="4" width="8.6640625" style="3"/>
    <col min="7" max="7" width="10.33203125" customWidth="1"/>
    <col min="8" max="8" width="4.33203125" customWidth="1"/>
    <col min="9" max="9" width="9.6640625" customWidth="1"/>
    <col min="10" max="10" width="1.1640625" customWidth="1"/>
    <col min="11" max="11" width="10.33203125" customWidth="1"/>
    <col min="12" max="12" width="1.33203125" customWidth="1"/>
    <col min="13" max="13" width="12" bestFit="1" customWidth="1"/>
    <col min="14" max="14" width="1.33203125" customWidth="1"/>
    <col min="15" max="15" width="9.33203125" bestFit="1" customWidth="1"/>
    <col min="16" max="16" width="1.33203125" customWidth="1"/>
    <col min="17" max="17" width="10" customWidth="1"/>
    <col min="18" max="18" width="2.1640625" customWidth="1"/>
    <col min="19" max="19" width="9.1640625" customWidth="1"/>
    <col min="20" max="20" width="1.1640625" customWidth="1"/>
    <col min="21" max="21" width="12.6640625" customWidth="1"/>
    <col min="2000" max="2001" width="2.5" customWidth="1"/>
  </cols>
  <sheetData>
    <row r="1" spans="3:21" ht="16" thickBot="1" x14ac:dyDescent="0.25"/>
    <row r="2" spans="3:21" ht="30" x14ac:dyDescent="0.2">
      <c r="I2" s="402" t="s">
        <v>1193</v>
      </c>
      <c r="J2" s="403"/>
      <c r="K2" s="404" t="s">
        <v>1194</v>
      </c>
      <c r="L2" s="405"/>
      <c r="M2" s="406" t="s">
        <v>1007</v>
      </c>
      <c r="N2" s="405"/>
      <c r="O2" s="406" t="s">
        <v>1195</v>
      </c>
      <c r="P2" s="405"/>
      <c r="Q2" s="404" t="s">
        <v>1196</v>
      </c>
      <c r="R2" s="403"/>
      <c r="S2" s="406" t="s">
        <v>1003</v>
      </c>
      <c r="T2" s="405"/>
      <c r="U2" s="407" t="s">
        <v>1008</v>
      </c>
    </row>
    <row r="3" spans="3:21" x14ac:dyDescent="0.2">
      <c r="I3" s="5"/>
      <c r="U3" s="4"/>
    </row>
    <row r="4" spans="3:21" ht="16" thickBot="1" x14ac:dyDescent="0.25">
      <c r="I4" s="408">
        <f>cost_st</f>
        <v>6023.1481451508325</v>
      </c>
      <c r="J4" s="409"/>
      <c r="K4" s="410">
        <f>cost_poc</f>
        <v>5908.159692233673</v>
      </c>
      <c r="L4" s="409"/>
      <c r="M4" s="410">
        <f>cost_diff</f>
        <v>-114.98845291715952</v>
      </c>
      <c r="N4" s="409"/>
      <c r="O4" s="409">
        <f>qaly_st</f>
        <v>0.65040308562113336</v>
      </c>
      <c r="P4" s="409"/>
      <c r="Q4" s="409">
        <f>qaly_poc</f>
        <v>0.65313286067935639</v>
      </c>
      <c r="R4" s="409"/>
      <c r="S4" s="421">
        <f>qaly_diff</f>
        <v>2.7297750582230274E-3</v>
      </c>
      <c r="T4" s="409"/>
      <c r="U4" s="411">
        <f>ICER</f>
        <v>-42123.783265868187</v>
      </c>
    </row>
    <row r="6" spans="3:21" ht="16" thickBot="1" x14ac:dyDescent="0.25">
      <c r="C6" s="448"/>
      <c r="D6" s="448"/>
      <c r="E6" s="448"/>
      <c r="F6" s="448"/>
      <c r="G6" s="448"/>
      <c r="H6" s="3"/>
    </row>
    <row r="7" spans="3:21" x14ac:dyDescent="0.2">
      <c r="C7" s="449" t="s">
        <v>1199</v>
      </c>
      <c r="D7" s="450"/>
      <c r="E7" s="450"/>
      <c r="F7" s="450"/>
      <c r="G7" s="451"/>
      <c r="H7" s="105"/>
    </row>
    <row r="8" spans="3:21" x14ac:dyDescent="0.2">
      <c r="C8" s="5" t="s">
        <v>1192</v>
      </c>
      <c r="D8" s="179">
        <v>1</v>
      </c>
      <c r="E8" s="179"/>
      <c r="G8" s="401">
        <v>1</v>
      </c>
      <c r="H8" s="179"/>
    </row>
    <row r="9" spans="3:21" ht="16" thickBot="1" x14ac:dyDescent="0.25">
      <c r="C9" s="12" t="s">
        <v>1203</v>
      </c>
      <c r="D9" s="395">
        <v>0.86</v>
      </c>
      <c r="E9" s="395"/>
      <c r="F9" s="13"/>
      <c r="G9" s="396"/>
      <c r="H9" s="179"/>
    </row>
    <row r="10" spans="3:21" x14ac:dyDescent="0.2">
      <c r="D10" s="179"/>
      <c r="E10" s="179"/>
      <c r="G10" s="179"/>
      <c r="H10" s="179"/>
    </row>
    <row r="12" spans="3:21" x14ac:dyDescent="0.2">
      <c r="C12" s="442" t="s">
        <v>1198</v>
      </c>
      <c r="D12" s="443"/>
      <c r="E12" s="443"/>
      <c r="F12" s="443"/>
      <c r="G12" s="444"/>
      <c r="H12" s="105"/>
    </row>
    <row r="13" spans="3:21" x14ac:dyDescent="0.2">
      <c r="C13" s="127" t="s">
        <v>1197</v>
      </c>
      <c r="D13" s="179">
        <v>1</v>
      </c>
      <c r="G13" s="401">
        <v>1</v>
      </c>
      <c r="H13" s="179"/>
    </row>
    <row r="14" spans="3:21" x14ac:dyDescent="0.2">
      <c r="C14" s="133" t="s">
        <v>1203</v>
      </c>
      <c r="D14" s="398">
        <v>0.69899999999999995</v>
      </c>
      <c r="E14" s="131"/>
      <c r="F14" s="131"/>
      <c r="G14" s="132"/>
    </row>
    <row r="15" spans="3:21" x14ac:dyDescent="0.2">
      <c r="D15" s="151"/>
    </row>
    <row r="16" spans="3:21" x14ac:dyDescent="0.2">
      <c r="D16" s="151"/>
    </row>
    <row r="17" spans="3:21" x14ac:dyDescent="0.2">
      <c r="C17" s="442" t="s">
        <v>1200</v>
      </c>
      <c r="D17" s="443"/>
      <c r="E17" s="443"/>
      <c r="F17" s="443"/>
      <c r="G17" s="444"/>
      <c r="H17" s="105"/>
    </row>
    <row r="18" spans="3:21" x14ac:dyDescent="0.2">
      <c r="C18" s="399"/>
      <c r="D18" s="147"/>
      <c r="E18" s="147" t="s">
        <v>464</v>
      </c>
      <c r="F18" s="147" t="s">
        <v>465</v>
      </c>
      <c r="G18" s="400" t="s">
        <v>340</v>
      </c>
      <c r="H18" s="3"/>
      <c r="I18" s="234"/>
      <c r="K18" s="234"/>
      <c r="M18" s="234"/>
      <c r="O18" s="171"/>
      <c r="Q18" s="171"/>
      <c r="S18" s="171"/>
      <c r="U18" s="234"/>
    </row>
    <row r="19" spans="3:21" x14ac:dyDescent="0.2">
      <c r="C19" s="397"/>
      <c r="D19" s="151"/>
      <c r="E19" s="418">
        <v>0.219</v>
      </c>
      <c r="F19" s="418">
        <v>0.55200000000000005</v>
      </c>
      <c r="G19" s="401">
        <v>0.22900000000000001</v>
      </c>
      <c r="H19" s="179"/>
    </row>
    <row r="20" spans="3:21" x14ac:dyDescent="0.2">
      <c r="C20" s="127" t="s">
        <v>1197</v>
      </c>
      <c r="E20" s="179">
        <v>0.219</v>
      </c>
      <c r="F20" s="179">
        <v>0.55200000000000005</v>
      </c>
      <c r="G20" s="184">
        <v>0.22900000000000001</v>
      </c>
      <c r="H20" s="179"/>
    </row>
    <row r="21" spans="3:21" x14ac:dyDescent="0.2">
      <c r="C21" s="127" t="s">
        <v>1212</v>
      </c>
      <c r="E21" s="179">
        <v>0.26</v>
      </c>
      <c r="F21" s="179">
        <v>0.65629999999999999</v>
      </c>
      <c r="G21" s="184">
        <v>8.4000000000000005E-2</v>
      </c>
      <c r="H21" s="179"/>
    </row>
    <row r="22" spans="3:21" x14ac:dyDescent="0.2">
      <c r="C22" s="127" t="s">
        <v>201</v>
      </c>
      <c r="E22" s="179">
        <v>0.98</v>
      </c>
      <c r="F22" s="151">
        <v>1.4999999999999999E-2</v>
      </c>
      <c r="G22" s="159">
        <v>5.0000000000000001E-3</v>
      </c>
      <c r="H22" s="151"/>
    </row>
    <row r="23" spans="3:21" x14ac:dyDescent="0.2">
      <c r="C23" s="133" t="s">
        <v>1213</v>
      </c>
      <c r="D23" s="191"/>
      <c r="E23" s="419">
        <v>0.01</v>
      </c>
      <c r="F23" s="398">
        <v>0.98</v>
      </c>
      <c r="G23" s="420">
        <v>0.01</v>
      </c>
      <c r="H23" s="151"/>
    </row>
    <row r="24" spans="3:21" x14ac:dyDescent="0.2">
      <c r="E24" s="179"/>
      <c r="F24" s="151"/>
      <c r="G24" s="151"/>
      <c r="H24" s="151"/>
    </row>
    <row r="26" spans="3:21" x14ac:dyDescent="0.2">
      <c r="C26" s="442" t="s">
        <v>1201</v>
      </c>
      <c r="D26" s="443"/>
      <c r="E26" s="443"/>
      <c r="F26" s="443"/>
      <c r="G26" s="444"/>
      <c r="H26" s="105"/>
    </row>
    <row r="27" spans="3:21" x14ac:dyDescent="0.2">
      <c r="C27" s="127"/>
      <c r="G27" s="412">
        <v>0.29699999999999999</v>
      </c>
      <c r="H27" s="3"/>
    </row>
    <row r="28" spans="3:21" x14ac:dyDescent="0.2">
      <c r="C28" s="127" t="s">
        <v>1197</v>
      </c>
      <c r="D28" s="3">
        <v>0.29699999999999999</v>
      </c>
      <c r="G28" s="128"/>
    </row>
    <row r="29" spans="3:21" x14ac:dyDescent="0.2">
      <c r="C29" s="133" t="s">
        <v>1202</v>
      </c>
      <c r="D29" s="191">
        <v>0.56799999999999995</v>
      </c>
      <c r="E29" s="131"/>
      <c r="F29" s="131"/>
      <c r="G29" s="132"/>
    </row>
    <row r="31" spans="3:21" x14ac:dyDescent="0.2">
      <c r="C31" s="442" t="s">
        <v>1204</v>
      </c>
      <c r="D31" s="443"/>
      <c r="E31" s="443"/>
      <c r="F31" s="443"/>
      <c r="G31" s="444"/>
      <c r="H31" s="105"/>
    </row>
    <row r="32" spans="3:21" x14ac:dyDescent="0.2">
      <c r="C32" s="127" t="s">
        <v>1197</v>
      </c>
      <c r="D32" s="171">
        <v>1.1635180783185286E-2</v>
      </c>
      <c r="G32" s="414">
        <v>1.1635180783185286E-2</v>
      </c>
      <c r="H32" s="171"/>
    </row>
    <row r="33" spans="3:9" x14ac:dyDescent="0.2">
      <c r="C33" s="133" t="s">
        <v>1203</v>
      </c>
      <c r="D33" s="222">
        <v>7.1999999999999998E-3</v>
      </c>
      <c r="E33" s="131"/>
      <c r="F33" s="131"/>
      <c r="G33" s="132"/>
    </row>
    <row r="34" spans="3:9" x14ac:dyDescent="0.2">
      <c r="D34" s="232"/>
    </row>
    <row r="36" spans="3:9" x14ac:dyDescent="0.2">
      <c r="C36" s="442" t="s">
        <v>1205</v>
      </c>
      <c r="D36" s="443"/>
      <c r="E36" s="443"/>
      <c r="F36" s="443"/>
      <c r="G36" s="444"/>
      <c r="H36" s="105"/>
    </row>
    <row r="37" spans="3:9" x14ac:dyDescent="0.2">
      <c r="C37" s="127" t="s">
        <v>1192</v>
      </c>
      <c r="D37">
        <v>6.6000000000000003E-2</v>
      </c>
      <c r="G37" s="414">
        <v>6.6000000000000003E-2</v>
      </c>
      <c r="H37" s="171"/>
    </row>
    <row r="38" spans="3:9" x14ac:dyDescent="0.2">
      <c r="C38" s="133" t="s">
        <v>1203</v>
      </c>
      <c r="D38" s="131">
        <v>5.3999999999999999E-2</v>
      </c>
      <c r="E38" s="131"/>
      <c r="F38" s="131"/>
      <c r="G38" s="132"/>
    </row>
    <row r="39" spans="3:9" x14ac:dyDescent="0.2">
      <c r="D39"/>
    </row>
    <row r="41" spans="3:9" x14ac:dyDescent="0.2">
      <c r="C41" s="442" t="s">
        <v>1209</v>
      </c>
      <c r="D41" s="443"/>
      <c r="E41" s="443"/>
      <c r="F41" s="443"/>
      <c r="G41" s="444"/>
      <c r="H41" s="105"/>
    </row>
    <row r="42" spans="3:9" ht="48" x14ac:dyDescent="0.2">
      <c r="C42" s="183"/>
      <c r="D42" s="136" t="s">
        <v>1206</v>
      </c>
      <c r="E42" s="136" t="s">
        <v>1207</v>
      </c>
      <c r="F42" s="136" t="s">
        <v>1208</v>
      </c>
      <c r="G42" s="140"/>
      <c r="H42" s="139"/>
      <c r="I42" s="257"/>
    </row>
    <row r="43" spans="3:9" x14ac:dyDescent="0.2">
      <c r="C43" s="183"/>
      <c r="D43" s="148">
        <v>2</v>
      </c>
      <c r="E43" s="148">
        <v>4.5</v>
      </c>
      <c r="F43" s="148">
        <v>3</v>
      </c>
      <c r="G43" s="182"/>
      <c r="H43" s="3"/>
    </row>
    <row r="44" spans="3:9" x14ac:dyDescent="0.2">
      <c r="C44" s="183" t="s">
        <v>1192</v>
      </c>
      <c r="D44" s="3">
        <v>2</v>
      </c>
      <c r="E44" s="3">
        <v>4.5</v>
      </c>
      <c r="F44" s="3">
        <v>3</v>
      </c>
      <c r="G44" s="182"/>
      <c r="H44" s="3"/>
    </row>
    <row r="45" spans="3:9" x14ac:dyDescent="0.2">
      <c r="C45" s="249" t="s">
        <v>1203</v>
      </c>
      <c r="D45" s="191">
        <v>1.6</v>
      </c>
      <c r="E45" s="191">
        <v>3.6</v>
      </c>
      <c r="F45" s="191">
        <v>2.4000000000000004</v>
      </c>
      <c r="G45" s="413"/>
      <c r="H45" s="3"/>
    </row>
    <row r="46" spans="3:9" x14ac:dyDescent="0.2">
      <c r="C46" s="3"/>
      <c r="E46" s="3"/>
      <c r="F46" s="3"/>
      <c r="G46" s="3"/>
      <c r="H46" s="3"/>
    </row>
    <row r="48" spans="3:9" x14ac:dyDescent="0.2">
      <c r="C48" s="445" t="s">
        <v>1210</v>
      </c>
      <c r="D48" s="446"/>
      <c r="E48" s="446"/>
      <c r="F48" s="446"/>
      <c r="G48" s="447"/>
      <c r="H48" s="3"/>
    </row>
    <row r="49" spans="3:8" x14ac:dyDescent="0.2">
      <c r="C49" s="127"/>
      <c r="G49" s="417">
        <v>215</v>
      </c>
      <c r="H49" s="234"/>
    </row>
    <row r="50" spans="3:8" x14ac:dyDescent="0.2">
      <c r="C50" s="127" t="s">
        <v>1197</v>
      </c>
      <c r="D50" s="234">
        <v>215</v>
      </c>
      <c r="G50" s="128"/>
    </row>
    <row r="51" spans="3:8" x14ac:dyDescent="0.2">
      <c r="C51" s="133" t="s">
        <v>1203</v>
      </c>
      <c r="D51" s="415">
        <v>893.20396071179425</v>
      </c>
      <c r="E51" s="131"/>
      <c r="F51" s="131"/>
      <c r="G51" s="416"/>
      <c r="H51" s="234"/>
    </row>
  </sheetData>
  <mergeCells count="9">
    <mergeCell ref="C36:G36"/>
    <mergeCell ref="C41:G41"/>
    <mergeCell ref="C48:G48"/>
    <mergeCell ref="C6:G6"/>
    <mergeCell ref="C7:G7"/>
    <mergeCell ref="C12:G12"/>
    <mergeCell ref="C17:G17"/>
    <mergeCell ref="C26:G26"/>
    <mergeCell ref="C31:G31"/>
  </mergeCells>
  <dataValidations count="13">
    <dataValidation type="list" allowBlank="1" showInputMessage="1" showErrorMessage="1" sqref="G8:H8" xr:uid="{B23AE67F-36F8-4C62-85ED-568E0C64A512}">
      <formula1>$D$8:$D$9</formula1>
    </dataValidation>
    <dataValidation type="list" allowBlank="1" showInputMessage="1" showErrorMessage="1" sqref="G13:H13" xr:uid="{8C86C904-EED2-4C62-B6F9-2C101F244577}">
      <formula1>$D$13:$D$14</formula1>
    </dataValidation>
    <dataValidation type="list" allowBlank="1" showInputMessage="1" showErrorMessage="1" sqref="E19" xr:uid="{FA02C47B-DD45-4313-A95D-09DCAD631C4A}">
      <formula1>$E$20:$E$23</formula1>
    </dataValidation>
    <dataValidation type="list" allowBlank="1" showInputMessage="1" showErrorMessage="1" sqref="F19" xr:uid="{C95A8686-5133-4023-956C-EF66EC7F299C}">
      <formula1>$F$20:$F$23</formula1>
    </dataValidation>
    <dataValidation type="list" allowBlank="1" showInputMessage="1" showErrorMessage="1" sqref="G19:H19" xr:uid="{5653D721-341E-4002-B21F-4AB2D0C347F3}">
      <formula1>$G$20:$G$23</formula1>
    </dataValidation>
    <dataValidation allowBlank="1" showInputMessage="1" showErrorMessage="1" promptTitle="test order" sqref="D8:E10" xr:uid="{0FBA60FE-FEC5-4BCB-99A4-B05B1A862966}"/>
    <dataValidation type="list" allowBlank="1" showInputMessage="1" showErrorMessage="1" sqref="G27:H27" xr:uid="{13AEEE51-79EE-480F-8F94-72901B08EBED}">
      <formula1>$D$28:$D$29</formula1>
    </dataValidation>
    <dataValidation type="list" allowBlank="1" showInputMessage="1" showErrorMessage="1" sqref="G32:H32" xr:uid="{32B8F199-96F4-4F99-B519-A01D376B163A}">
      <formula1>$D$32:$D$33</formula1>
    </dataValidation>
    <dataValidation type="list" allowBlank="1" showInputMessage="1" showErrorMessage="1" sqref="G37:H37" xr:uid="{FCD1A5DC-75C3-4CEE-AA25-133E2BE91700}">
      <formula1>$D$37:$D$38</formula1>
    </dataValidation>
    <dataValidation type="list" allowBlank="1" showInputMessage="1" showErrorMessage="1" sqref="D43" xr:uid="{995146C3-5A4B-42FE-9B37-7E16D97764FC}">
      <formula1>$D$44:$D$45</formula1>
    </dataValidation>
    <dataValidation type="list" allowBlank="1" showInputMessage="1" showErrorMessage="1" sqref="E43" xr:uid="{9CC15C6C-1052-4DAF-BFCD-95A5250B5659}">
      <formula1>$E$44:$E$45</formula1>
    </dataValidation>
    <dataValidation type="list" allowBlank="1" showInputMessage="1" showErrorMessage="1" sqref="F43" xr:uid="{D1F2D813-7FDD-4A60-AF39-D28C657C4FD9}">
      <formula1>$F$44:$F$45</formula1>
    </dataValidation>
    <dataValidation type="list" allowBlank="1" showInputMessage="1" showErrorMessage="1" sqref="G49:H49" xr:uid="{98B77BF7-88CC-4977-BD5F-DD24D2C6400E}">
      <formula1>$D$50:$D$51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M13" sqref="AM13:AP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6640625" customWidth="1"/>
    <col min="6" max="6" width="5.6640625" customWidth="1"/>
    <col min="7" max="7" width="16.83203125" customWidth="1"/>
    <col min="8" max="8" width="12" customWidth="1"/>
    <col min="9" max="9" width="10.5" customWidth="1"/>
    <col min="10" max="10" width="10.83203125" customWidth="1"/>
    <col min="11" max="11" width="11.83203125" customWidth="1"/>
    <col min="12" max="12" width="5.6640625" customWidth="1"/>
    <col min="13" max="13" width="22.1640625" customWidth="1"/>
    <col min="14" max="14" width="48" customWidth="1"/>
    <col min="15" max="15" width="9.1640625" customWidth="1"/>
    <col min="16" max="16" width="24.6640625" customWidth="1"/>
    <col min="19" max="19" width="15.83203125" customWidth="1"/>
    <col min="20" max="20" width="10.1640625" customWidth="1"/>
    <col min="21" max="21" width="1.6640625" customWidth="1"/>
    <col min="22" max="22" width="10.1640625" customWidth="1"/>
    <col min="23" max="23" width="9" customWidth="1"/>
    <col min="24" max="24" width="11.83203125" customWidth="1"/>
    <col min="25" max="25" width="11.33203125" customWidth="1"/>
    <col min="26" max="26" width="1.83203125" customWidth="1"/>
    <col min="27" max="31" width="11.33203125" customWidth="1"/>
    <col min="32" max="32" width="1.83203125" customWidth="1"/>
    <col min="33" max="33" width="11.33203125" customWidth="1"/>
    <col min="35" max="35" width="1.6640625" customWidth="1"/>
    <col min="36" max="36" width="16.5" customWidth="1"/>
    <col min="37" max="37" width="2.1640625" customWidth="1"/>
    <col min="38" max="38" width="9.5" customWidth="1"/>
  </cols>
  <sheetData>
    <row r="3" spans="1:42" ht="18" customHeight="1" x14ac:dyDescent="0.2">
      <c r="M3" s="189" t="s">
        <v>557</v>
      </c>
      <c r="N3" s="125"/>
      <c r="O3" s="125"/>
      <c r="P3" s="126"/>
    </row>
    <row r="4" spans="1:42" ht="18.5" customHeight="1" x14ac:dyDescent="0.2">
      <c r="A4" s="189" t="s">
        <v>531</v>
      </c>
      <c r="B4" s="125"/>
      <c r="C4" s="125"/>
      <c r="D4" s="125"/>
      <c r="E4" s="126"/>
      <c r="G4" s="189" t="s">
        <v>823</v>
      </c>
      <c r="H4" s="125"/>
      <c r="I4" s="125"/>
      <c r="J4" s="125"/>
      <c r="K4" s="126"/>
      <c r="M4" s="236" t="s">
        <v>552</v>
      </c>
      <c r="N4" s="264" t="s">
        <v>553</v>
      </c>
      <c r="O4" s="264" t="s">
        <v>554</v>
      </c>
      <c r="P4" s="237" t="s">
        <v>555</v>
      </c>
      <c r="S4" s="161" t="s">
        <v>660</v>
      </c>
      <c r="T4" s="169"/>
      <c r="V4" s="452" t="s">
        <v>588</v>
      </c>
      <c r="W4" s="454"/>
      <c r="X4" s="454"/>
      <c r="Y4" s="454"/>
      <c r="Z4" s="170"/>
      <c r="AA4" s="455" t="s">
        <v>589</v>
      </c>
      <c r="AB4" s="455"/>
      <c r="AC4" s="455"/>
      <c r="AD4" s="455"/>
      <c r="AE4" s="455"/>
      <c r="AG4" s="452" t="s">
        <v>591</v>
      </c>
      <c r="AH4" s="453"/>
      <c r="AJ4" s="371" t="s">
        <v>386</v>
      </c>
      <c r="AK4" s="170"/>
      <c r="AL4" s="452" t="s">
        <v>1098</v>
      </c>
      <c r="AM4" s="454"/>
      <c r="AN4" s="454"/>
      <c r="AO4" s="454"/>
      <c r="AP4" s="453"/>
    </row>
    <row r="5" spans="1:42" ht="48" x14ac:dyDescent="0.2">
      <c r="A5" s="235" t="s">
        <v>516</v>
      </c>
      <c r="B5" s="152" t="s">
        <v>517</v>
      </c>
      <c r="C5" s="152" t="s">
        <v>518</v>
      </c>
      <c r="D5" s="152" t="s">
        <v>519</v>
      </c>
      <c r="E5" s="154" t="s">
        <v>560</v>
      </c>
      <c r="G5" s="142" t="s">
        <v>516</v>
      </c>
      <c r="H5" s="139" t="s">
        <v>558</v>
      </c>
      <c r="I5" s="139" t="s">
        <v>530</v>
      </c>
      <c r="J5" s="139" t="s">
        <v>532</v>
      </c>
      <c r="K5" s="140" t="s">
        <v>559</v>
      </c>
      <c r="M5" s="134"/>
      <c r="N5" s="264" t="s">
        <v>534</v>
      </c>
      <c r="P5" s="128"/>
      <c r="S5" s="153" t="s">
        <v>20</v>
      </c>
      <c r="T5" s="154" t="s">
        <v>570</v>
      </c>
      <c r="U5" s="152"/>
      <c r="V5" s="153" t="s">
        <v>580</v>
      </c>
      <c r="W5" s="152" t="s">
        <v>348</v>
      </c>
      <c r="X5" s="152" t="s">
        <v>581</v>
      </c>
      <c r="Y5" s="154" t="s">
        <v>582</v>
      </c>
      <c r="Z5" s="152"/>
      <c r="AA5" s="152" t="s">
        <v>583</v>
      </c>
      <c r="AB5" s="152" t="s">
        <v>584</v>
      </c>
      <c r="AC5" s="136" t="s">
        <v>585</v>
      </c>
      <c r="AD5" s="136" t="s">
        <v>586</v>
      </c>
      <c r="AE5" s="136" t="s">
        <v>587</v>
      </c>
      <c r="AF5" s="82"/>
      <c r="AG5" s="160" t="s">
        <v>590</v>
      </c>
      <c r="AH5" s="156" t="s">
        <v>385</v>
      </c>
      <c r="AJ5" s="372" t="s">
        <v>1097</v>
      </c>
      <c r="AL5" s="127" t="s">
        <v>1103</v>
      </c>
      <c r="AM5" t="s">
        <v>1099</v>
      </c>
      <c r="AN5" t="s">
        <v>1100</v>
      </c>
      <c r="AO5" t="s">
        <v>1101</v>
      </c>
      <c r="AP5" s="128" t="s">
        <v>1102</v>
      </c>
    </row>
    <row r="6" spans="1:42" x14ac:dyDescent="0.2">
      <c r="A6" s="129" t="s">
        <v>520</v>
      </c>
      <c r="B6" s="76" t="s">
        <v>521</v>
      </c>
      <c r="C6" s="76">
        <v>28</v>
      </c>
      <c r="D6" s="76">
        <v>0.72</v>
      </c>
      <c r="E6" s="130">
        <f>D6/C6</f>
        <v>2.5714285714285714E-2</v>
      </c>
      <c r="G6" s="138" t="s">
        <v>520</v>
      </c>
      <c r="H6" s="3" t="s">
        <v>525</v>
      </c>
      <c r="I6" s="3" t="s">
        <v>525</v>
      </c>
      <c r="J6" s="3" t="s">
        <v>521</v>
      </c>
      <c r="K6" s="188">
        <f>E6</f>
        <v>2.5714285714285714E-2</v>
      </c>
      <c r="M6" s="135" t="s">
        <v>535</v>
      </c>
      <c r="N6" s="82" t="s">
        <v>536</v>
      </c>
      <c r="O6" s="265">
        <v>752</v>
      </c>
      <c r="P6" s="155">
        <v>7048</v>
      </c>
      <c r="S6" s="138" t="s">
        <v>571</v>
      </c>
      <c r="T6" s="158" t="s">
        <v>572</v>
      </c>
      <c r="U6" s="76"/>
      <c r="V6" s="157">
        <v>1640</v>
      </c>
      <c r="W6" s="146">
        <v>5564</v>
      </c>
      <c r="X6" s="146">
        <v>15203</v>
      </c>
      <c r="Y6" s="155">
        <v>1168</v>
      </c>
      <c r="Z6" s="146"/>
      <c r="AA6" s="146">
        <v>18522</v>
      </c>
      <c r="AB6" s="146">
        <v>6576</v>
      </c>
      <c r="AC6" s="146">
        <v>943</v>
      </c>
      <c r="AD6" s="146">
        <v>5104</v>
      </c>
      <c r="AE6" s="146">
        <v>1415</v>
      </c>
      <c r="AF6" s="146"/>
      <c r="AG6" s="157">
        <v>176</v>
      </c>
      <c r="AH6" s="155">
        <v>1955</v>
      </c>
      <c r="AJ6" s="369">
        <v>731</v>
      </c>
      <c r="AL6" s="157">
        <v>2625</v>
      </c>
      <c r="AP6" s="128"/>
    </row>
    <row r="7" spans="1:42" x14ac:dyDescent="0.2">
      <c r="A7" s="129" t="s">
        <v>341</v>
      </c>
      <c r="B7" s="76" t="s">
        <v>521</v>
      </c>
      <c r="C7" s="76">
        <v>28</v>
      </c>
      <c r="D7" s="76">
        <v>1.1100000000000001</v>
      </c>
      <c r="E7" s="130">
        <f>D7/C7</f>
        <v>3.9642857142857146E-2</v>
      </c>
      <c r="G7" s="138" t="s">
        <v>562</v>
      </c>
      <c r="H7" s="3" t="s">
        <v>526</v>
      </c>
      <c r="I7" s="173">
        <f>E7*4</f>
        <v>0.15857142857142859</v>
      </c>
      <c r="J7" s="3" t="s">
        <v>521</v>
      </c>
      <c r="K7" s="188">
        <f>E7</f>
        <v>3.9642857142857146E-2</v>
      </c>
      <c r="M7" s="135" t="s">
        <v>537</v>
      </c>
      <c r="N7" s="82" t="s">
        <v>538</v>
      </c>
      <c r="O7" s="265">
        <v>1335</v>
      </c>
      <c r="P7" s="155">
        <v>5088</v>
      </c>
      <c r="S7" s="127" t="s">
        <v>573</v>
      </c>
      <c r="T7" s="159">
        <v>1.6E-2</v>
      </c>
      <c r="U7" s="151"/>
      <c r="V7" s="157">
        <f>V6*(1+T7)</f>
        <v>1666.24</v>
      </c>
      <c r="W7" s="146">
        <f>W6*(1+T7)</f>
        <v>5653.0240000000003</v>
      </c>
      <c r="X7" s="146">
        <f>X6*(1+T7)</f>
        <v>15446.248</v>
      </c>
      <c r="Y7" s="155">
        <f t="shared" ref="Y7:Y13" si="0">Y6*(1+T7)</f>
        <v>1186.6880000000001</v>
      </c>
      <c r="Z7" s="146"/>
      <c r="AA7" s="146">
        <f t="shared" ref="AA7:AA13" si="1">AA6*(1+T7)</f>
        <v>18818.351999999999</v>
      </c>
      <c r="AB7" s="150">
        <f t="shared" ref="AB7:AB13" si="2">AB6*(1+T7)</f>
        <v>6681.2160000000003</v>
      </c>
      <c r="AC7" s="150">
        <f t="shared" ref="AC7:AC13" si="3">AC6*(1+T7)</f>
        <v>958.08799999999997</v>
      </c>
      <c r="AD7" s="150">
        <f t="shared" ref="AD7:AD13" si="4">AD6*(1+T7)</f>
        <v>5185.6639999999998</v>
      </c>
      <c r="AE7" s="150">
        <f t="shared" ref="AE7:AE13" si="5">AE6*(1+T7)</f>
        <v>1437.64</v>
      </c>
      <c r="AF7" s="150"/>
      <c r="AG7" s="157">
        <f t="shared" ref="AG7:AG13" si="6">AG6*(1+T7)</f>
        <v>178.816</v>
      </c>
      <c r="AH7" s="155">
        <f t="shared" ref="AH7:AH13" si="7">AH6*(1+T7)</f>
        <v>1986.28</v>
      </c>
      <c r="AJ7" s="369">
        <f>AJ6*(1+T7)</f>
        <v>742.69600000000003</v>
      </c>
      <c r="AL7" s="157">
        <f>AL6*(1+T7)</f>
        <v>2667</v>
      </c>
      <c r="AP7" s="128"/>
    </row>
    <row r="8" spans="1:42" x14ac:dyDescent="0.2">
      <c r="A8" s="129" t="s">
        <v>342</v>
      </c>
      <c r="B8" s="76" t="s">
        <v>522</v>
      </c>
      <c r="C8" s="76">
        <v>28</v>
      </c>
      <c r="D8" s="76">
        <v>30.95</v>
      </c>
      <c r="E8" s="130">
        <f>D8/C8</f>
        <v>1.1053571428571429</v>
      </c>
      <c r="G8" s="138" t="s">
        <v>563</v>
      </c>
      <c r="H8" s="3" t="s">
        <v>527</v>
      </c>
      <c r="I8" s="173">
        <f>E7*8</f>
        <v>0.31714285714285717</v>
      </c>
      <c r="J8" s="3" t="s">
        <v>521</v>
      </c>
      <c r="K8" s="188">
        <f>E7</f>
        <v>3.9642857142857146E-2</v>
      </c>
      <c r="M8" s="135" t="s">
        <v>539</v>
      </c>
      <c r="N8" s="82" t="s">
        <v>540</v>
      </c>
      <c r="O8" s="265">
        <v>3165</v>
      </c>
      <c r="P8" s="155">
        <v>3883</v>
      </c>
      <c r="S8" s="127" t="s">
        <v>574</v>
      </c>
      <c r="T8" s="159">
        <v>2.1399999999999999E-2</v>
      </c>
      <c r="U8" s="151"/>
      <c r="V8" s="157">
        <f t="shared" ref="V8:V13" si="8">V7*(1+T8)</f>
        <v>1701.8975360000002</v>
      </c>
      <c r="W8" s="146">
        <f t="shared" ref="W8:W13" si="9">W7*(1+T8)</f>
        <v>5773.9987136000009</v>
      </c>
      <c r="X8" s="146">
        <f t="shared" ref="X8:X13" si="10">X7*(1+T8)</f>
        <v>15776.797707200001</v>
      </c>
      <c r="Y8" s="155">
        <f t="shared" si="0"/>
        <v>1212.0831232000003</v>
      </c>
      <c r="Z8" s="146"/>
      <c r="AA8" s="146">
        <f t="shared" si="1"/>
        <v>19221.064732800001</v>
      </c>
      <c r="AB8" s="150">
        <f t="shared" si="2"/>
        <v>6824.1940224000009</v>
      </c>
      <c r="AC8" s="150">
        <f t="shared" si="3"/>
        <v>978.59108320000007</v>
      </c>
      <c r="AD8" s="150">
        <f t="shared" si="4"/>
        <v>5296.6372096000005</v>
      </c>
      <c r="AE8" s="150">
        <f t="shared" si="5"/>
        <v>1468.4054960000003</v>
      </c>
      <c r="AF8" s="150"/>
      <c r="AG8" s="157">
        <f t="shared" si="6"/>
        <v>182.64266240000001</v>
      </c>
      <c r="AH8" s="155">
        <f t="shared" si="7"/>
        <v>2028.7863920000002</v>
      </c>
      <c r="AJ8" s="369">
        <f t="shared" ref="AJ8:AJ13" si="11">AJ7*(1+T8)</f>
        <v>758.5896944000001</v>
      </c>
      <c r="AL8" s="157">
        <f t="shared" ref="AL8:AL13" si="12">AL7*(1+T8)</f>
        <v>2724.0738000000001</v>
      </c>
      <c r="AP8" s="128"/>
    </row>
    <row r="9" spans="1:42" x14ac:dyDescent="0.2">
      <c r="A9" s="129" t="s">
        <v>669</v>
      </c>
      <c r="B9" s="76" t="s">
        <v>523</v>
      </c>
      <c r="C9" s="76">
        <v>28</v>
      </c>
      <c r="D9" s="76">
        <v>4.09</v>
      </c>
      <c r="E9" s="130">
        <f>D9/C9</f>
        <v>0.14607142857142857</v>
      </c>
      <c r="G9" s="138" t="s">
        <v>564</v>
      </c>
      <c r="H9" s="3" t="s">
        <v>528</v>
      </c>
      <c r="I9" s="173">
        <f>E9*10</f>
        <v>1.4607142857142859</v>
      </c>
      <c r="J9" s="173" t="s">
        <v>522</v>
      </c>
      <c r="K9" s="188">
        <f>E8</f>
        <v>1.1053571428571429</v>
      </c>
      <c r="M9" s="135" t="s">
        <v>541</v>
      </c>
      <c r="N9" s="82" t="s">
        <v>542</v>
      </c>
      <c r="O9" s="265">
        <v>3061</v>
      </c>
      <c r="P9" s="155">
        <v>3297</v>
      </c>
      <c r="S9" s="127" t="s">
        <v>575</v>
      </c>
      <c r="T9" s="159">
        <v>2.4899999999999999E-2</v>
      </c>
      <c r="U9" s="151"/>
      <c r="V9" s="157">
        <f t="shared" si="8"/>
        <v>1744.2747846464001</v>
      </c>
      <c r="W9" s="146">
        <f t="shared" si="9"/>
        <v>5917.77128156864</v>
      </c>
      <c r="X9" s="146">
        <f t="shared" si="10"/>
        <v>16169.63997010928</v>
      </c>
      <c r="Y9" s="155">
        <f t="shared" si="0"/>
        <v>1242.2639929676802</v>
      </c>
      <c r="Z9" s="146"/>
      <c r="AA9" s="146">
        <f t="shared" si="1"/>
        <v>19699.66924464672</v>
      </c>
      <c r="AB9" s="150">
        <f t="shared" si="2"/>
        <v>6994.11645355776</v>
      </c>
      <c r="AC9" s="150">
        <f t="shared" si="3"/>
        <v>1002.9580011716801</v>
      </c>
      <c r="AD9" s="150">
        <f t="shared" si="4"/>
        <v>5428.5234761190404</v>
      </c>
      <c r="AE9" s="150">
        <f t="shared" si="5"/>
        <v>1504.9687928504002</v>
      </c>
      <c r="AF9" s="150"/>
      <c r="AG9" s="157">
        <f t="shared" si="6"/>
        <v>187.19046469375999</v>
      </c>
      <c r="AH9" s="155">
        <f t="shared" si="7"/>
        <v>2079.3031731608003</v>
      </c>
      <c r="AJ9" s="369">
        <f t="shared" si="11"/>
        <v>777.47857779056005</v>
      </c>
      <c r="AL9" s="157">
        <f t="shared" si="12"/>
        <v>2791.9032376199998</v>
      </c>
      <c r="AP9" s="128"/>
    </row>
    <row r="10" spans="1:42" x14ac:dyDescent="0.2">
      <c r="A10" s="129" t="s">
        <v>343</v>
      </c>
      <c r="B10" s="76" t="s">
        <v>524</v>
      </c>
      <c r="C10" s="76">
        <v>56</v>
      </c>
      <c r="D10" s="76">
        <v>54.6</v>
      </c>
      <c r="E10" s="130">
        <f>D10/C10</f>
        <v>0.97499999999999998</v>
      </c>
      <c r="G10" s="138" t="s">
        <v>565</v>
      </c>
      <c r="H10" s="3" t="s">
        <v>528</v>
      </c>
      <c r="I10" s="173">
        <f>E9*10</f>
        <v>1.4607142857142859</v>
      </c>
      <c r="J10" s="173" t="s">
        <v>523</v>
      </c>
      <c r="K10" s="182">
        <v>0.15</v>
      </c>
      <c r="M10" s="135" t="s">
        <v>543</v>
      </c>
      <c r="N10" s="82" t="s">
        <v>544</v>
      </c>
      <c r="O10" s="265">
        <v>1307</v>
      </c>
      <c r="P10" s="155">
        <v>6825</v>
      </c>
      <c r="S10" s="127" t="s">
        <v>576</v>
      </c>
      <c r="T10" s="159">
        <v>2.5700000000000001E-2</v>
      </c>
      <c r="U10" s="151"/>
      <c r="V10" s="157">
        <f t="shared" si="8"/>
        <v>1789.1026466118128</v>
      </c>
      <c r="W10" s="146">
        <f t="shared" si="9"/>
        <v>6069.8580035049545</v>
      </c>
      <c r="X10" s="146">
        <f t="shared" si="10"/>
        <v>16585.199717341089</v>
      </c>
      <c r="Y10" s="155">
        <f t="shared" si="0"/>
        <v>1274.1901775869496</v>
      </c>
      <c r="Z10" s="146"/>
      <c r="AA10" s="146">
        <f t="shared" si="1"/>
        <v>20205.950744234142</v>
      </c>
      <c r="AB10" s="150">
        <f t="shared" si="2"/>
        <v>7173.8652464141951</v>
      </c>
      <c r="AC10" s="150">
        <f t="shared" si="3"/>
        <v>1028.7340218017923</v>
      </c>
      <c r="AD10" s="150">
        <f t="shared" si="4"/>
        <v>5568.0365294553003</v>
      </c>
      <c r="AE10" s="150">
        <f t="shared" si="5"/>
        <v>1543.6464908266555</v>
      </c>
      <c r="AF10" s="150"/>
      <c r="AG10" s="157">
        <f t="shared" si="6"/>
        <v>192.00125963638965</v>
      </c>
      <c r="AH10" s="155">
        <f t="shared" si="7"/>
        <v>2132.7412647110327</v>
      </c>
      <c r="AJ10" s="369">
        <f t="shared" si="11"/>
        <v>797.45977723977751</v>
      </c>
      <c r="AL10" s="157">
        <f t="shared" si="12"/>
        <v>2863.655150826834</v>
      </c>
      <c r="AP10" s="128"/>
    </row>
    <row r="11" spans="1:42" x14ac:dyDescent="0.2">
      <c r="A11" s="133" t="s">
        <v>533</v>
      </c>
      <c r="B11" s="131"/>
      <c r="C11" s="131"/>
      <c r="D11" s="131"/>
      <c r="E11" s="132"/>
      <c r="G11" s="138" t="s">
        <v>343</v>
      </c>
      <c r="H11" s="3" t="s">
        <v>529</v>
      </c>
      <c r="I11" s="173">
        <f>E10*2</f>
        <v>1.95</v>
      </c>
      <c r="J11" s="173" t="s">
        <v>529</v>
      </c>
      <c r="K11" s="188">
        <f>E10*2</f>
        <v>1.95</v>
      </c>
      <c r="M11" s="135" t="s">
        <v>545</v>
      </c>
      <c r="N11" s="82" t="s">
        <v>546</v>
      </c>
      <c r="O11" s="265">
        <v>2802</v>
      </c>
      <c r="P11" s="155">
        <v>4406</v>
      </c>
      <c r="S11" s="127" t="s">
        <v>577</v>
      </c>
      <c r="T11" s="159">
        <v>7.0300000000000001E-2</v>
      </c>
      <c r="U11" s="151"/>
      <c r="V11" s="157">
        <f t="shared" si="8"/>
        <v>1914.8765626686234</v>
      </c>
      <c r="W11" s="146">
        <f t="shared" si="9"/>
        <v>6496.5690211513529</v>
      </c>
      <c r="X11" s="146">
        <f t="shared" si="10"/>
        <v>17751.139257470168</v>
      </c>
      <c r="Y11" s="155">
        <f t="shared" si="0"/>
        <v>1363.7657470713123</v>
      </c>
      <c r="Z11" s="146"/>
      <c r="AA11" s="146">
        <f t="shared" si="1"/>
        <v>21626.429081553804</v>
      </c>
      <c r="AB11" s="150">
        <f t="shared" si="2"/>
        <v>7678.1879732371135</v>
      </c>
      <c r="AC11" s="150">
        <f t="shared" si="3"/>
        <v>1101.0540235344583</v>
      </c>
      <c r="AD11" s="150">
        <f t="shared" si="4"/>
        <v>5959.4694974760077</v>
      </c>
      <c r="AE11" s="150">
        <f t="shared" si="5"/>
        <v>1652.1648391317694</v>
      </c>
      <c r="AF11" s="150"/>
      <c r="AG11" s="157">
        <f t="shared" si="6"/>
        <v>205.49894818882785</v>
      </c>
      <c r="AH11" s="155">
        <f t="shared" si="7"/>
        <v>2282.6729756202185</v>
      </c>
      <c r="AJ11" s="369">
        <f t="shared" si="11"/>
        <v>853.52119957973389</v>
      </c>
      <c r="AL11" s="157">
        <f t="shared" si="12"/>
        <v>3064.9701079299602</v>
      </c>
      <c r="AP11" s="128"/>
    </row>
    <row r="12" spans="1:42" x14ac:dyDescent="0.2">
      <c r="A12" s="3"/>
      <c r="G12" s="133" t="s">
        <v>561</v>
      </c>
      <c r="H12" s="131"/>
      <c r="I12" s="131"/>
      <c r="J12" s="131"/>
      <c r="K12" s="132"/>
      <c r="M12" s="135" t="s">
        <v>547</v>
      </c>
      <c r="N12" s="82" t="s">
        <v>548</v>
      </c>
      <c r="O12" s="265">
        <v>9037</v>
      </c>
      <c r="P12" s="155">
        <v>3454</v>
      </c>
      <c r="S12" s="127" t="s">
        <v>578</v>
      </c>
      <c r="T12" s="159">
        <v>2.9000000000000001E-2</v>
      </c>
      <c r="U12" s="151"/>
      <c r="V12" s="157">
        <f t="shared" si="8"/>
        <v>1970.4079829860132</v>
      </c>
      <c r="W12" s="146">
        <f t="shared" si="9"/>
        <v>6684.9695227647417</v>
      </c>
      <c r="X12" s="146">
        <f t="shared" si="10"/>
        <v>18265.922295936802</v>
      </c>
      <c r="Y12" s="155">
        <f t="shared" si="0"/>
        <v>1403.3149537363802</v>
      </c>
      <c r="Z12" s="146"/>
      <c r="AA12" s="146">
        <f t="shared" si="1"/>
        <v>22253.595524918863</v>
      </c>
      <c r="AB12" s="150">
        <f t="shared" si="2"/>
        <v>7900.8554244609895</v>
      </c>
      <c r="AC12" s="150">
        <f t="shared" si="3"/>
        <v>1132.9845902169575</v>
      </c>
      <c r="AD12" s="150">
        <f t="shared" si="4"/>
        <v>6132.2941129028113</v>
      </c>
      <c r="AE12" s="150">
        <f t="shared" si="5"/>
        <v>1700.0776194665907</v>
      </c>
      <c r="AF12" s="150"/>
      <c r="AG12" s="157">
        <f t="shared" si="6"/>
        <v>211.45841768630385</v>
      </c>
      <c r="AH12" s="155">
        <f t="shared" si="7"/>
        <v>2348.8704919132047</v>
      </c>
      <c r="AJ12" s="369">
        <f t="shared" si="11"/>
        <v>878.27331436754605</v>
      </c>
      <c r="AL12" s="157">
        <f t="shared" si="12"/>
        <v>3153.8542410599289</v>
      </c>
      <c r="AP12" s="128"/>
    </row>
    <row r="13" spans="1:42" x14ac:dyDescent="0.2">
      <c r="A13" s="3"/>
      <c r="M13" s="135" t="s">
        <v>549</v>
      </c>
      <c r="N13" s="82" t="s">
        <v>550</v>
      </c>
      <c r="O13" s="265">
        <v>10510</v>
      </c>
      <c r="P13" s="155">
        <v>2940</v>
      </c>
      <c r="S13" s="162" t="s">
        <v>579</v>
      </c>
      <c r="T13" s="163">
        <v>1.7000000000000001E-2</v>
      </c>
      <c r="U13" s="151"/>
      <c r="V13" s="165">
        <f t="shared" si="8"/>
        <v>2003.9049186967752</v>
      </c>
      <c r="W13" s="168">
        <f t="shared" si="9"/>
        <v>6798.6140046517412</v>
      </c>
      <c r="X13" s="168">
        <f t="shared" si="10"/>
        <v>18576.442974967726</v>
      </c>
      <c r="Y13" s="168">
        <f t="shared" si="0"/>
        <v>1427.1713079498984</v>
      </c>
      <c r="Z13" s="146"/>
      <c r="AA13" s="167">
        <f t="shared" si="1"/>
        <v>22631.90664884248</v>
      </c>
      <c r="AB13" s="164">
        <f t="shared" si="2"/>
        <v>8035.1699666768254</v>
      </c>
      <c r="AC13" s="164">
        <f t="shared" si="3"/>
        <v>1152.2453282506456</v>
      </c>
      <c r="AD13" s="164">
        <f t="shared" si="4"/>
        <v>6236.5431128221589</v>
      </c>
      <c r="AE13" s="164">
        <f t="shared" si="5"/>
        <v>1728.9789389975226</v>
      </c>
      <c r="AF13" s="150"/>
      <c r="AG13" s="165">
        <f t="shared" si="6"/>
        <v>215.05321078697099</v>
      </c>
      <c r="AH13" s="166">
        <f t="shared" si="7"/>
        <v>2388.8012902757291</v>
      </c>
      <c r="AJ13" s="370">
        <f t="shared" si="11"/>
        <v>893.20396071179425</v>
      </c>
      <c r="AL13" s="368">
        <f t="shared" si="12"/>
        <v>3207.4697631579475</v>
      </c>
      <c r="AM13" s="373">
        <f>AL13+(AL13*0.1)</f>
        <v>3528.2167394737421</v>
      </c>
      <c r="AN13" s="373">
        <f>AL13+(AL13*0.2)</f>
        <v>3848.9637157895368</v>
      </c>
      <c r="AO13" s="373">
        <f>AL13+(AL13*0.3)</f>
        <v>4169.7106921053319</v>
      </c>
      <c r="AP13" s="374">
        <f>AL13+(AL13*0.4)</f>
        <v>4490.4576684211261</v>
      </c>
    </row>
    <row r="14" spans="1:42" x14ac:dyDescent="0.2">
      <c r="A14" s="238" t="s">
        <v>566</v>
      </c>
      <c r="B14" s="241">
        <f>K6</f>
        <v>2.5714285714285714E-2</v>
      </c>
      <c r="M14" s="129"/>
      <c r="N14" s="82" t="s">
        <v>551</v>
      </c>
      <c r="O14" s="136"/>
      <c r="P14" s="137"/>
      <c r="S14" s="143" t="s">
        <v>569</v>
      </c>
      <c r="T14" s="3"/>
      <c r="U14" s="3"/>
    </row>
    <row r="15" spans="1:42" x14ac:dyDescent="0.2">
      <c r="A15" s="229" t="s">
        <v>666</v>
      </c>
      <c r="B15" s="188">
        <f>K7</f>
        <v>3.9642857142857146E-2</v>
      </c>
      <c r="M15" s="127" t="s">
        <v>535</v>
      </c>
      <c r="N15" s="82" t="s">
        <v>536</v>
      </c>
      <c r="O15" s="265">
        <v>292</v>
      </c>
      <c r="P15" s="155">
        <v>2933.8742736397257</v>
      </c>
    </row>
    <row r="16" spans="1:42" x14ac:dyDescent="0.2">
      <c r="A16" s="229" t="s">
        <v>667</v>
      </c>
      <c r="B16" s="188">
        <f>K9</f>
        <v>1.1053571428571429</v>
      </c>
      <c r="M16" s="127" t="s">
        <v>537</v>
      </c>
      <c r="N16" s="82" t="s">
        <v>538</v>
      </c>
      <c r="O16" s="265">
        <v>476</v>
      </c>
      <c r="P16" s="155">
        <v>2191.3802092895176</v>
      </c>
      <c r="S16" s="143" t="s">
        <v>592</v>
      </c>
    </row>
    <row r="17" spans="1:16" x14ac:dyDescent="0.2">
      <c r="A17" s="229" t="s">
        <v>668</v>
      </c>
      <c r="B17" s="188">
        <f>K10</f>
        <v>0.15</v>
      </c>
      <c r="M17" s="127" t="s">
        <v>539</v>
      </c>
      <c r="N17" s="82" t="s">
        <v>540</v>
      </c>
      <c r="O17" s="265">
        <v>1579</v>
      </c>
      <c r="P17" s="155">
        <v>1928.9462653288742</v>
      </c>
    </row>
    <row r="18" spans="1:16" x14ac:dyDescent="0.2">
      <c r="A18" s="229" t="s">
        <v>567</v>
      </c>
      <c r="B18" s="188">
        <f>K11</f>
        <v>1.95</v>
      </c>
      <c r="M18" s="127" t="s">
        <v>541</v>
      </c>
      <c r="N18" s="82" t="s">
        <v>542</v>
      </c>
      <c r="O18" s="265">
        <v>2236</v>
      </c>
      <c r="P18" s="155">
        <v>1847.4497354497353</v>
      </c>
    </row>
    <row r="19" spans="1:16" x14ac:dyDescent="0.2">
      <c r="A19" s="239" t="s">
        <v>670</v>
      </c>
      <c r="B19" s="188">
        <f>I7</f>
        <v>0.15857142857142859</v>
      </c>
      <c r="M19" s="127" t="s">
        <v>543</v>
      </c>
      <c r="N19" s="82" t="s">
        <v>544</v>
      </c>
      <c r="O19" s="265">
        <v>427</v>
      </c>
      <c r="P19" s="155">
        <v>2506.63272780545</v>
      </c>
    </row>
    <row r="20" spans="1:16" x14ac:dyDescent="0.2">
      <c r="A20" s="239" t="s">
        <v>676</v>
      </c>
      <c r="B20" s="188">
        <f>I8</f>
        <v>0.31714285714285717</v>
      </c>
      <c r="M20" s="127" t="s">
        <v>545</v>
      </c>
      <c r="N20" s="82" t="s">
        <v>546</v>
      </c>
      <c r="O20" s="265">
        <v>1127</v>
      </c>
      <c r="P20" s="155">
        <v>1889.6609132619619</v>
      </c>
    </row>
    <row r="21" spans="1:16" x14ac:dyDescent="0.2">
      <c r="A21" s="239" t="s">
        <v>671</v>
      </c>
      <c r="B21" s="188">
        <f>I9</f>
        <v>1.4607142857142859</v>
      </c>
      <c r="M21" s="127" t="s">
        <v>547</v>
      </c>
      <c r="N21" s="82" t="s">
        <v>548</v>
      </c>
      <c r="O21" s="265">
        <v>5137</v>
      </c>
      <c r="P21" s="155">
        <v>1783.3203617429433</v>
      </c>
    </row>
    <row r="22" spans="1:16" x14ac:dyDescent="0.2">
      <c r="A22" s="240" t="s">
        <v>672</v>
      </c>
      <c r="B22" s="242">
        <f>I11</f>
        <v>1.95</v>
      </c>
      <c r="M22" s="127" t="s">
        <v>549</v>
      </c>
      <c r="N22" s="82" t="s">
        <v>550</v>
      </c>
      <c r="O22" s="265">
        <v>8843</v>
      </c>
      <c r="P22" s="155">
        <v>1646.7692307692307</v>
      </c>
    </row>
    <row r="23" spans="1:16" x14ac:dyDescent="0.2">
      <c r="A23" s="129"/>
      <c r="B23" s="81"/>
      <c r="M23" s="127"/>
      <c r="O23" s="265">
        <f>SUM(O6:O22)</f>
        <v>52086</v>
      </c>
      <c r="P23" s="266">
        <v>3125.091522845476</v>
      </c>
    </row>
    <row r="24" spans="1:16" ht="14" customHeight="1" x14ac:dyDescent="0.2">
      <c r="A24" s="129"/>
      <c r="B24" s="81"/>
      <c r="M24" s="145" t="s">
        <v>556</v>
      </c>
      <c r="N24" s="131"/>
      <c r="O24" s="131"/>
      <c r="P24" s="132"/>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A12" sqref="A12"/>
    </sheetView>
  </sheetViews>
  <sheetFormatPr baseColWidth="10" defaultColWidth="8.83203125" defaultRowHeight="15" x14ac:dyDescent="0.2"/>
  <cols>
    <col min="1" max="1" width="46.83203125" style="105" customWidth="1"/>
    <col min="2" max="2" width="36.83203125" style="105" customWidth="1"/>
    <col min="3" max="3" width="25.1640625" style="3" customWidth="1"/>
    <col min="4" max="4" width="16.33203125" customWidth="1"/>
    <col min="5" max="5" width="19.33203125" customWidth="1"/>
    <col min="6" max="6" width="16.5" customWidth="1"/>
    <col min="7" max="7" width="13.33203125" customWidth="1"/>
    <col min="8" max="8" width="15.6640625" customWidth="1"/>
  </cols>
  <sheetData>
    <row r="1" spans="1:11" x14ac:dyDescent="0.2">
      <c r="A1" s="262" t="s">
        <v>802</v>
      </c>
      <c r="B1" s="263" t="s">
        <v>762</v>
      </c>
    </row>
    <row r="2" spans="1:11" x14ac:dyDescent="0.2">
      <c r="A2" s="105" t="s">
        <v>766</v>
      </c>
      <c r="B2" s="105" t="s">
        <v>763</v>
      </c>
    </row>
    <row r="3" spans="1:11" x14ac:dyDescent="0.2">
      <c r="A3" s="105" t="s">
        <v>767</v>
      </c>
      <c r="B3" s="261">
        <v>4.2999999999999997E-2</v>
      </c>
    </row>
    <row r="4" spans="1:11" x14ac:dyDescent="0.2">
      <c r="A4" s="105" t="s">
        <v>778</v>
      </c>
      <c r="B4" s="105">
        <v>0</v>
      </c>
      <c r="E4" s="260"/>
      <c r="F4" s="125" t="s">
        <v>760</v>
      </c>
      <c r="G4" s="125"/>
      <c r="H4" s="125"/>
      <c r="I4" s="125"/>
      <c r="J4" s="125"/>
      <c r="K4" s="126"/>
    </row>
    <row r="5" spans="1:11" x14ac:dyDescent="0.2">
      <c r="A5" s="105" t="s">
        <v>768</v>
      </c>
      <c r="B5" s="261">
        <v>1.12E-2</v>
      </c>
      <c r="E5" s="127" t="s">
        <v>759</v>
      </c>
      <c r="F5" s="258" t="s">
        <v>754</v>
      </c>
      <c r="G5" s="258" t="s">
        <v>368</v>
      </c>
      <c r="H5" s="258" t="s">
        <v>755</v>
      </c>
      <c r="I5" s="258" t="s">
        <v>349</v>
      </c>
      <c r="J5" s="258" t="s">
        <v>756</v>
      </c>
      <c r="K5" s="258" t="s">
        <v>757</v>
      </c>
    </row>
    <row r="6" spans="1:11" x14ac:dyDescent="0.2">
      <c r="A6" s="105" t="s">
        <v>779</v>
      </c>
      <c r="B6" s="261">
        <v>0</v>
      </c>
      <c r="E6" s="259" t="s">
        <v>754</v>
      </c>
      <c r="F6" s="224" t="s">
        <v>758</v>
      </c>
      <c r="G6" s="224">
        <v>4.2999999999999997E-2</v>
      </c>
      <c r="H6">
        <v>0</v>
      </c>
      <c r="I6" s="224">
        <v>1.12E-2</v>
      </c>
      <c r="J6">
        <v>0</v>
      </c>
      <c r="K6" s="128"/>
    </row>
    <row r="7" spans="1:11" x14ac:dyDescent="0.2">
      <c r="A7" s="105" t="s">
        <v>769</v>
      </c>
      <c r="B7" s="105" t="s">
        <v>764</v>
      </c>
      <c r="E7" s="259" t="s">
        <v>368</v>
      </c>
      <c r="F7">
        <v>0</v>
      </c>
      <c r="G7">
        <v>0</v>
      </c>
      <c r="H7" t="s">
        <v>761</v>
      </c>
      <c r="I7">
        <v>0</v>
      </c>
      <c r="J7">
        <v>0</v>
      </c>
      <c r="K7" s="128"/>
    </row>
    <row r="8" spans="1:11" x14ac:dyDescent="0.2">
      <c r="A8" s="105" t="s">
        <v>780</v>
      </c>
      <c r="B8" s="105">
        <v>0</v>
      </c>
      <c r="E8" s="259" t="s">
        <v>755</v>
      </c>
      <c r="F8">
        <v>0</v>
      </c>
      <c r="G8">
        <v>0</v>
      </c>
      <c r="H8" t="s">
        <v>761</v>
      </c>
      <c r="I8">
        <v>0</v>
      </c>
      <c r="J8">
        <v>0</v>
      </c>
      <c r="K8" s="128"/>
    </row>
    <row r="9" spans="1:11" x14ac:dyDescent="0.2">
      <c r="A9" s="105" t="s">
        <v>781</v>
      </c>
      <c r="B9" s="105">
        <v>0</v>
      </c>
      <c r="C9" s="151"/>
      <c r="E9" s="259" t="s">
        <v>349</v>
      </c>
      <c r="F9">
        <v>0</v>
      </c>
      <c r="G9">
        <v>0</v>
      </c>
      <c r="H9">
        <v>0</v>
      </c>
      <c r="I9">
        <v>0</v>
      </c>
      <c r="J9" t="s">
        <v>761</v>
      </c>
      <c r="K9" s="128"/>
    </row>
    <row r="10" spans="1:11" x14ac:dyDescent="0.2">
      <c r="A10" s="105" t="s">
        <v>770</v>
      </c>
      <c r="B10" s="105" t="s">
        <v>765</v>
      </c>
      <c r="E10" s="259" t="s">
        <v>756</v>
      </c>
      <c r="F10">
        <v>0</v>
      </c>
      <c r="G10">
        <v>0</v>
      </c>
      <c r="H10">
        <v>0</v>
      </c>
      <c r="I10">
        <v>0</v>
      </c>
      <c r="J10" t="s">
        <v>761</v>
      </c>
      <c r="K10" s="128"/>
    </row>
    <row r="11" spans="1:11" x14ac:dyDescent="0.2">
      <c r="A11" s="105" t="s">
        <v>782</v>
      </c>
      <c r="B11" s="105">
        <v>0</v>
      </c>
      <c r="C11" s="151"/>
      <c r="E11" s="259" t="s">
        <v>757</v>
      </c>
      <c r="F11" s="131">
        <v>0</v>
      </c>
      <c r="G11" s="131">
        <v>0</v>
      </c>
      <c r="H11" s="131">
        <v>0</v>
      </c>
      <c r="I11" s="131">
        <v>0</v>
      </c>
      <c r="J11" s="131">
        <v>0</v>
      </c>
      <c r="K11" s="132">
        <v>1</v>
      </c>
    </row>
    <row r="12" spans="1:11" x14ac:dyDescent="0.2">
      <c r="A12" s="105" t="s">
        <v>783</v>
      </c>
      <c r="B12" s="105">
        <v>0</v>
      </c>
    </row>
    <row r="13" spans="1:11" x14ac:dyDescent="0.2">
      <c r="A13" s="105" t="s">
        <v>771</v>
      </c>
      <c r="B13" s="105" t="s">
        <v>764</v>
      </c>
    </row>
    <row r="14" spans="1:11" x14ac:dyDescent="0.2">
      <c r="A14" s="105" t="s">
        <v>784</v>
      </c>
      <c r="B14" s="105">
        <v>0</v>
      </c>
    </row>
    <row r="15" spans="1:11" x14ac:dyDescent="0.2">
      <c r="A15" s="105" t="s">
        <v>785</v>
      </c>
      <c r="B15" s="105">
        <v>0</v>
      </c>
    </row>
    <row r="16" spans="1:11" x14ac:dyDescent="0.2">
      <c r="A16" s="105" t="s">
        <v>772</v>
      </c>
      <c r="B16" s="105" t="s">
        <v>765</v>
      </c>
    </row>
    <row r="17" spans="1:2" x14ac:dyDescent="0.2">
      <c r="A17" s="105" t="s">
        <v>786</v>
      </c>
      <c r="B17" s="105">
        <v>0</v>
      </c>
    </row>
    <row r="18" spans="1:2" x14ac:dyDescent="0.2">
      <c r="A18" s="105" t="s">
        <v>787</v>
      </c>
      <c r="B18" s="105">
        <v>0</v>
      </c>
    </row>
    <row r="19" spans="1:2" x14ac:dyDescent="0.2">
      <c r="A19" s="105" t="s">
        <v>773</v>
      </c>
      <c r="B19" s="105" t="s">
        <v>764</v>
      </c>
    </row>
    <row r="20" spans="1:2" x14ac:dyDescent="0.2">
      <c r="A20" s="105" t="s">
        <v>788</v>
      </c>
      <c r="B20" s="105">
        <v>0</v>
      </c>
    </row>
    <row r="21" spans="1:2" x14ac:dyDescent="0.2">
      <c r="A21" s="105" t="s">
        <v>789</v>
      </c>
      <c r="B21" s="105">
        <v>0</v>
      </c>
    </row>
    <row r="22" spans="1:2" x14ac:dyDescent="0.2">
      <c r="A22" s="105" t="s">
        <v>790</v>
      </c>
      <c r="B22" s="105">
        <v>0</v>
      </c>
    </row>
    <row r="23" spans="1:2" x14ac:dyDescent="0.2">
      <c r="A23" s="105" t="s">
        <v>791</v>
      </c>
      <c r="B23" s="105">
        <v>0</v>
      </c>
    </row>
    <row r="24" spans="1:2" x14ac:dyDescent="0.2">
      <c r="A24" s="105" t="s">
        <v>774</v>
      </c>
      <c r="B24" s="105" t="s">
        <v>765</v>
      </c>
    </row>
    <row r="25" spans="1:2" x14ac:dyDescent="0.2">
      <c r="A25" s="105" t="s">
        <v>775</v>
      </c>
      <c r="B25" s="105" t="s">
        <v>764</v>
      </c>
    </row>
    <row r="26" spans="1:2" x14ac:dyDescent="0.2">
      <c r="A26" s="105" t="s">
        <v>792</v>
      </c>
      <c r="B26" s="105">
        <v>0</v>
      </c>
    </row>
    <row r="27" spans="1:2" x14ac:dyDescent="0.2">
      <c r="A27" s="105" t="s">
        <v>793</v>
      </c>
      <c r="B27" s="105">
        <v>0</v>
      </c>
    </row>
    <row r="28" spans="1:2" x14ac:dyDescent="0.2">
      <c r="A28" s="105" t="s">
        <v>794</v>
      </c>
      <c r="B28" s="105">
        <v>0</v>
      </c>
    </row>
    <row r="29" spans="1:2" x14ac:dyDescent="0.2">
      <c r="A29" s="105" t="s">
        <v>795</v>
      </c>
      <c r="B29" s="105">
        <v>0</v>
      </c>
    </row>
    <row r="30" spans="1:2" x14ac:dyDescent="0.2">
      <c r="A30" s="105" t="s">
        <v>796</v>
      </c>
      <c r="B30" s="105">
        <v>0</v>
      </c>
    </row>
    <row r="31" spans="1:2" x14ac:dyDescent="0.2">
      <c r="A31" s="105" t="s">
        <v>776</v>
      </c>
      <c r="B31" s="105" t="s">
        <v>764</v>
      </c>
    </row>
    <row r="32" spans="1:2" x14ac:dyDescent="0.2">
      <c r="A32" s="105" t="s">
        <v>797</v>
      </c>
      <c r="B32" s="105">
        <v>0</v>
      </c>
    </row>
    <row r="33" spans="1:2" x14ac:dyDescent="0.2">
      <c r="A33" s="105" t="s">
        <v>798</v>
      </c>
      <c r="B33" s="105">
        <v>0</v>
      </c>
    </row>
    <row r="34" spans="1:2" x14ac:dyDescent="0.2">
      <c r="A34" s="105" t="s">
        <v>799</v>
      </c>
      <c r="B34" s="105">
        <v>0</v>
      </c>
    </row>
    <row r="35" spans="1:2" x14ac:dyDescent="0.2">
      <c r="A35" s="105" t="s">
        <v>800</v>
      </c>
      <c r="B35" s="105">
        <v>0</v>
      </c>
    </row>
    <row r="36" spans="1:2" x14ac:dyDescent="0.2">
      <c r="A36" s="105" t="s">
        <v>801</v>
      </c>
      <c r="B36" s="105">
        <v>0</v>
      </c>
    </row>
    <row r="37" spans="1:2" x14ac:dyDescent="0.2">
      <c r="A37" s="105" t="s">
        <v>777</v>
      </c>
      <c r="B37" s="10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tabSelected="1" zoomScale="85" zoomScaleNormal="85" workbookViewId="0">
      <pane xSplit="5" topLeftCell="F1" activePane="topRight" state="frozen"/>
      <selection pane="topRight" activeCell="J14" sqref="J14"/>
    </sheetView>
  </sheetViews>
  <sheetFormatPr baseColWidth="10" defaultColWidth="8.83203125" defaultRowHeight="15" x14ac:dyDescent="0.2"/>
  <cols>
    <col min="1" max="1" width="22.83203125" style="3" customWidth="1"/>
    <col min="2" max="2" width="11.6640625" style="3" customWidth="1"/>
    <col min="3" max="3" width="12.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33203125" customWidth="1"/>
    <col min="12" max="12" width="13" customWidth="1"/>
    <col min="13" max="13" width="16.1640625" customWidth="1"/>
    <col min="14" max="14" width="13.1640625" customWidth="1"/>
    <col min="15" max="15" width="12.5" customWidth="1"/>
    <col min="16" max="16" width="2.6640625" customWidth="1"/>
    <col min="17" max="17" width="14.1640625"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6640625" customWidth="1"/>
    <col min="25" max="25" width="13.83203125" customWidth="1"/>
    <col min="26" max="26" width="4.1640625" customWidth="1"/>
    <col min="27" max="27" width="13.83203125" customWidth="1"/>
    <col min="28" max="28" width="14.83203125" customWidth="1"/>
    <col min="29" max="29" width="15.6640625" customWidth="1"/>
    <col min="30" max="30" width="15.83203125" customWidth="1"/>
  </cols>
  <sheetData>
    <row r="3" spans="1:32" x14ac:dyDescent="0.2">
      <c r="A3" s="247" t="s">
        <v>482</v>
      </c>
      <c r="B3" s="219" t="s">
        <v>469</v>
      </c>
      <c r="C3" s="219" t="s">
        <v>355</v>
      </c>
      <c r="D3" s="219" t="s">
        <v>356</v>
      </c>
      <c r="E3" s="220" t="s">
        <v>377</v>
      </c>
      <c r="F3" s="3"/>
      <c r="G3" s="3"/>
    </row>
    <row r="4" spans="1:32" x14ac:dyDescent="0.2">
      <c r="A4" s="127" t="s">
        <v>483</v>
      </c>
      <c r="B4" s="3">
        <v>2</v>
      </c>
      <c r="C4" s="3">
        <v>1.99</v>
      </c>
      <c r="D4" s="3">
        <v>2.0099999999999998</v>
      </c>
      <c r="E4" s="248">
        <f>(D4-C4)/(1.96*2)</f>
        <v>5.1020408163264782E-3</v>
      </c>
      <c r="F4" s="3"/>
    </row>
    <row r="5" spans="1:32" x14ac:dyDescent="0.2">
      <c r="A5" s="127" t="s">
        <v>484</v>
      </c>
      <c r="B5" s="3">
        <v>4.5</v>
      </c>
      <c r="C5" s="3">
        <v>4.43</v>
      </c>
      <c r="D5" s="3">
        <v>4.57</v>
      </c>
      <c r="E5" s="248">
        <f>(D5-C5)/(1.96*2)</f>
        <v>3.5714285714285858E-2</v>
      </c>
      <c r="F5" s="3"/>
    </row>
    <row r="6" spans="1:32" x14ac:dyDescent="0.2">
      <c r="A6" s="127" t="s">
        <v>485</v>
      </c>
      <c r="B6" s="3">
        <v>3</v>
      </c>
      <c r="C6" s="3">
        <v>2.95</v>
      </c>
      <c r="D6" s="3">
        <v>3.05</v>
      </c>
      <c r="E6" s="248">
        <f>(D6-C6)/(1.96*2)</f>
        <v>2.5510204081632563E-2</v>
      </c>
      <c r="F6" s="3"/>
    </row>
    <row r="7" spans="1:32" x14ac:dyDescent="0.2">
      <c r="A7" s="183" t="s">
        <v>486</v>
      </c>
      <c r="B7" s="3">
        <v>4.7300000000000004</v>
      </c>
      <c r="C7" s="3">
        <v>4.34</v>
      </c>
      <c r="D7" s="3">
        <v>5.15</v>
      </c>
      <c r="E7" s="248">
        <f>(D7-C7)/(1.96*2)</f>
        <v>0.20663265306122461</v>
      </c>
      <c r="F7" s="3"/>
    </row>
    <row r="8" spans="1:32" x14ac:dyDescent="0.2">
      <c r="A8" s="183" t="s">
        <v>487</v>
      </c>
      <c r="B8" s="3">
        <v>2.3199999999999998</v>
      </c>
      <c r="C8" s="3">
        <v>2.17</v>
      </c>
      <c r="D8" s="3">
        <v>2.4900000000000002</v>
      </c>
      <c r="E8" s="248">
        <f>(D8-C8)/(1.96*2)</f>
        <v>8.1632653061224567E-2</v>
      </c>
      <c r="F8" s="3"/>
    </row>
    <row r="9" spans="1:32" x14ac:dyDescent="0.2">
      <c r="A9" s="249" t="s">
        <v>488</v>
      </c>
      <c r="B9" s="191">
        <v>0.75</v>
      </c>
      <c r="C9" s="191"/>
      <c r="D9" s="131"/>
      <c r="E9" s="132"/>
    </row>
    <row r="11" spans="1:32" s="116" customFormat="1" ht="26.5" customHeight="1" x14ac:dyDescent="0.15">
      <c r="A11" s="456" t="s">
        <v>498</v>
      </c>
      <c r="B11" s="456"/>
      <c r="C11" s="115"/>
      <c r="D11" s="115"/>
      <c r="E11" s="245"/>
      <c r="F11" s="245"/>
      <c r="G11" s="456" t="s">
        <v>686</v>
      </c>
      <c r="H11" s="456"/>
      <c r="I11" s="106"/>
      <c r="J11" s="106"/>
      <c r="K11" s="106"/>
      <c r="L11" s="456" t="s">
        <v>685</v>
      </c>
      <c r="M11" s="456"/>
      <c r="N11" s="245"/>
      <c r="O11" s="245"/>
      <c r="P11" s="245"/>
      <c r="Q11" s="456" t="s">
        <v>684</v>
      </c>
      <c r="R11" s="456"/>
      <c r="S11" s="245"/>
      <c r="T11" s="245"/>
      <c r="U11" s="245"/>
      <c r="V11" s="456" t="s">
        <v>683</v>
      </c>
      <c r="W11" s="456"/>
      <c r="AA11" s="456" t="s">
        <v>682</v>
      </c>
      <c r="AB11" s="456"/>
    </row>
    <row r="12" spans="1:32" ht="27" x14ac:dyDescent="0.2">
      <c r="A12" s="107" t="s">
        <v>489</v>
      </c>
      <c r="B12" s="107" t="s">
        <v>492</v>
      </c>
      <c r="C12" s="107" t="s">
        <v>493</v>
      </c>
      <c r="D12" s="107" t="s">
        <v>494</v>
      </c>
      <c r="E12" s="106"/>
      <c r="F12" s="106"/>
      <c r="G12" s="112" t="s">
        <v>677</v>
      </c>
      <c r="H12" s="112" t="s">
        <v>495</v>
      </c>
      <c r="I12" s="112" t="s">
        <v>496</v>
      </c>
      <c r="J12" s="112" t="s">
        <v>497</v>
      </c>
      <c r="K12" s="106"/>
      <c r="L12" s="251" t="s">
        <v>677</v>
      </c>
      <c r="M12" s="252" t="s">
        <v>679</v>
      </c>
      <c r="N12" s="252" t="s">
        <v>680</v>
      </c>
      <c r="O12" s="252" t="s">
        <v>681</v>
      </c>
      <c r="P12" s="106"/>
      <c r="Q12" s="117" t="s">
        <v>678</v>
      </c>
      <c r="R12" s="110" t="s">
        <v>679</v>
      </c>
      <c r="S12" s="110" t="s">
        <v>680</v>
      </c>
      <c r="T12" s="110" t="s">
        <v>681</v>
      </c>
      <c r="U12" s="106"/>
      <c r="V12" s="253" t="s">
        <v>677</v>
      </c>
      <c r="W12" s="111" t="s">
        <v>679</v>
      </c>
      <c r="X12" s="111" t="s">
        <v>680</v>
      </c>
      <c r="Y12" s="111" t="s">
        <v>681</v>
      </c>
      <c r="Z12" s="106"/>
      <c r="AA12" s="255" t="s">
        <v>677</v>
      </c>
      <c r="AB12" s="114" t="s">
        <v>679</v>
      </c>
      <c r="AC12" s="114" t="s">
        <v>680</v>
      </c>
      <c r="AD12" s="114" t="s">
        <v>681</v>
      </c>
    </row>
    <row r="13" spans="1:32" x14ac:dyDescent="0.2">
      <c r="A13" s="108">
        <v>63</v>
      </c>
      <c r="B13" s="109">
        <v>1.0363000000000001E-2</v>
      </c>
      <c r="C13" s="108">
        <v>70</v>
      </c>
      <c r="D13" s="109">
        <v>1.298E-2</v>
      </c>
      <c r="E13" s="246"/>
      <c r="F13" s="246"/>
      <c r="G13" s="112">
        <v>1</v>
      </c>
      <c r="H13" s="120">
        <f t="shared" ref="H13:H52" si="0">MIN(B13*smr_noevent,1)</f>
        <v>2.0726000000000001E-2</v>
      </c>
      <c r="I13" s="120">
        <f t="shared" ref="I13:I52" si="1">MIN(D13*smr_noevent, 1)</f>
        <v>2.596E-2</v>
      </c>
      <c r="J13" s="120">
        <f t="shared" ref="J13:J52" si="2">(H13*male_proportion_STEMI)+(I13*(1-male_proportion_STEMI))</f>
        <v>2.2034500000000002E-2</v>
      </c>
      <c r="K13" s="232"/>
      <c r="L13" s="250">
        <v>1</v>
      </c>
      <c r="M13" s="251">
        <f t="shared" ref="M13:M52" si="3">MIN(B13*smr_rinfar, 1)</f>
        <v>4.6633500000000001E-2</v>
      </c>
      <c r="N13" s="251">
        <f t="shared" ref="N13:N52" si="4">MIN(D13*smr_rinfar,1)</f>
        <v>5.8410000000000004E-2</v>
      </c>
      <c r="O13" s="251">
        <f t="shared" ref="O13:O52" si="5">MIN((M13*male_proportion_STEMI)+(N13*(1 - male_proportion_STEMI)), 1)</f>
        <v>4.9577625E-2</v>
      </c>
      <c r="P13" s="232"/>
      <c r="Q13" s="117">
        <v>1</v>
      </c>
      <c r="R13" s="119">
        <f t="shared" ref="R13:R52" si="6">MIN(B13*smr_post_rinfar,1)</f>
        <v>3.1089000000000002E-2</v>
      </c>
      <c r="S13" s="119">
        <f t="shared" ref="S13:S52" si="7">MIN(D13*smr_post_rinfar, 1)</f>
        <v>3.8940000000000002E-2</v>
      </c>
      <c r="T13" s="119">
        <f t="shared" ref="T13:T52" si="8">(R13*male_proportion_STEMI)+(S13*(1-male_proportion_STEMI))</f>
        <v>3.3051750000000005E-2</v>
      </c>
      <c r="U13" s="232"/>
      <c r="V13" s="253">
        <v>1</v>
      </c>
      <c r="W13" s="254">
        <f t="shared" ref="W13:W52" si="9">MIN(B13*smr_stk, 1)</f>
        <v>4.901699000000001E-2</v>
      </c>
      <c r="X13" s="254">
        <f t="shared" ref="X13:X52" si="10">MIN(D13*smr_stk, 1)</f>
        <v>6.139540000000001E-2</v>
      </c>
      <c r="Y13" s="254">
        <f t="shared" ref="Y13:Y52" si="11">(W13*male_proportion_STEMI)+(X13*(1-male_proportion_STEMI))</f>
        <v>5.2111592500000012E-2</v>
      </c>
      <c r="Z13" s="232"/>
      <c r="AA13" s="114">
        <v>1</v>
      </c>
      <c r="AB13" s="256">
        <f t="shared" ref="AB13:AB52" si="12">MIN(B13*smr_post_stk, 1)</f>
        <v>2.404216E-2</v>
      </c>
      <c r="AC13" s="256">
        <f t="shared" ref="AC13:AC52" si="13">MIN(D13*smr_post_stk, 1)</f>
        <v>3.0113599999999997E-2</v>
      </c>
      <c r="AD13" s="256">
        <f t="shared" ref="AD13:AD52" si="14">(AB13*male_proportion_STEMI)+(AC13*(1-male_proportion_STEMI))</f>
        <v>2.5560019999999996E-2</v>
      </c>
      <c r="AE13" s="113"/>
      <c r="AF13" s="113"/>
    </row>
    <row r="14" spans="1:32" x14ac:dyDescent="0.2">
      <c r="A14" s="108">
        <v>64</v>
      </c>
      <c r="B14" s="109">
        <v>1.1379999999999999E-2</v>
      </c>
      <c r="C14" s="108">
        <v>71</v>
      </c>
      <c r="D14" s="109">
        <v>1.3979999999999999E-2</v>
      </c>
      <c r="E14" s="246"/>
      <c r="F14" s="246"/>
      <c r="G14" s="112">
        <v>2</v>
      </c>
      <c r="H14" s="120">
        <f t="shared" si="0"/>
        <v>2.2759999999999999E-2</v>
      </c>
      <c r="I14" s="120">
        <f t="shared" si="1"/>
        <v>2.7959999999999999E-2</v>
      </c>
      <c r="J14" s="120">
        <f t="shared" si="2"/>
        <v>2.4059999999999998E-2</v>
      </c>
      <c r="K14" s="232"/>
      <c r="L14" s="250">
        <v>2</v>
      </c>
      <c r="M14" s="251">
        <f t="shared" si="3"/>
        <v>5.1209999999999999E-2</v>
      </c>
      <c r="N14" s="251">
        <f t="shared" si="4"/>
        <v>6.2909999999999994E-2</v>
      </c>
      <c r="O14" s="251">
        <f t="shared" si="5"/>
        <v>5.4134999999999996E-2</v>
      </c>
      <c r="P14" s="232"/>
      <c r="Q14" s="117">
        <v>2</v>
      </c>
      <c r="R14" s="119">
        <f t="shared" si="6"/>
        <v>3.4139999999999997E-2</v>
      </c>
      <c r="S14" s="119">
        <f t="shared" si="7"/>
        <v>4.1939999999999998E-2</v>
      </c>
      <c r="T14" s="119">
        <f t="shared" si="8"/>
        <v>3.6089999999999997E-2</v>
      </c>
      <c r="U14" s="232"/>
      <c r="V14" s="253">
        <v>2</v>
      </c>
      <c r="W14" s="254">
        <f t="shared" si="9"/>
        <v>5.3827400000000004E-2</v>
      </c>
      <c r="X14" s="254">
        <f t="shared" si="10"/>
        <v>6.6125400000000001E-2</v>
      </c>
      <c r="Y14" s="254">
        <f t="shared" si="11"/>
        <v>5.6901900000000005E-2</v>
      </c>
      <c r="Z14" s="232"/>
      <c r="AA14" s="114">
        <v>2</v>
      </c>
      <c r="AB14" s="256">
        <f t="shared" si="12"/>
        <v>2.6401599999999997E-2</v>
      </c>
      <c r="AC14" s="256">
        <f t="shared" si="13"/>
        <v>3.2433599999999993E-2</v>
      </c>
      <c r="AD14" s="256">
        <f t="shared" si="14"/>
        <v>2.7909599999999996E-2</v>
      </c>
      <c r="AE14" s="113"/>
      <c r="AF14" s="113"/>
    </row>
    <row r="15" spans="1:32" x14ac:dyDescent="0.2">
      <c r="A15" s="108">
        <v>65</v>
      </c>
      <c r="B15" s="109">
        <v>1.2389000000000001E-2</v>
      </c>
      <c r="C15" s="108">
        <v>72</v>
      </c>
      <c r="D15" s="109">
        <v>1.5350000000000001E-2</v>
      </c>
      <c r="E15" s="246"/>
      <c r="F15" s="246"/>
      <c r="G15" s="112">
        <v>3</v>
      </c>
      <c r="H15" s="120">
        <f t="shared" si="0"/>
        <v>2.4778000000000001E-2</v>
      </c>
      <c r="I15" s="120">
        <f t="shared" si="1"/>
        <v>3.0700000000000002E-2</v>
      </c>
      <c r="J15" s="120">
        <f t="shared" si="2"/>
        <v>2.6258500000000004E-2</v>
      </c>
      <c r="K15" s="232"/>
      <c r="L15" s="250">
        <v>3</v>
      </c>
      <c r="M15" s="251">
        <f t="shared" si="3"/>
        <v>5.5750500000000001E-2</v>
      </c>
      <c r="N15" s="251">
        <f t="shared" si="4"/>
        <v>6.9074999999999998E-2</v>
      </c>
      <c r="O15" s="251">
        <f t="shared" si="5"/>
        <v>5.9081624999999999E-2</v>
      </c>
      <c r="P15" s="232"/>
      <c r="Q15" s="117">
        <v>3</v>
      </c>
      <c r="R15" s="119">
        <f t="shared" si="6"/>
        <v>3.7167000000000006E-2</v>
      </c>
      <c r="S15" s="119">
        <f t="shared" si="7"/>
        <v>4.6050000000000001E-2</v>
      </c>
      <c r="T15" s="119">
        <f t="shared" si="8"/>
        <v>3.9387750000000006E-2</v>
      </c>
      <c r="U15" s="232"/>
      <c r="V15" s="253">
        <v>3</v>
      </c>
      <c r="W15" s="254">
        <f t="shared" si="9"/>
        <v>5.8599970000000008E-2</v>
      </c>
      <c r="X15" s="254">
        <f t="shared" si="10"/>
        <v>7.2605500000000017E-2</v>
      </c>
      <c r="Y15" s="254">
        <f t="shared" si="11"/>
        <v>6.2101352500000012E-2</v>
      </c>
      <c r="Z15" s="232"/>
      <c r="AA15" s="114">
        <v>3</v>
      </c>
      <c r="AB15" s="256">
        <f t="shared" si="12"/>
        <v>2.8742480000000001E-2</v>
      </c>
      <c r="AC15" s="256">
        <f t="shared" si="13"/>
        <v>3.5611999999999998E-2</v>
      </c>
      <c r="AD15" s="256">
        <f t="shared" si="14"/>
        <v>3.0459859999999998E-2</v>
      </c>
      <c r="AE15" s="113"/>
      <c r="AF15" s="113"/>
    </row>
    <row r="16" spans="1:32" x14ac:dyDescent="0.2">
      <c r="A16" s="108">
        <v>66</v>
      </c>
      <c r="B16" s="109">
        <v>1.3665999999999999E-2</v>
      </c>
      <c r="C16" s="108">
        <v>73</v>
      </c>
      <c r="D16" s="109">
        <v>1.6933E-2</v>
      </c>
      <c r="E16" s="246"/>
      <c r="F16" s="246"/>
      <c r="G16" s="112">
        <v>4</v>
      </c>
      <c r="H16" s="120">
        <f t="shared" si="0"/>
        <v>2.7331999999999999E-2</v>
      </c>
      <c r="I16" s="120">
        <f t="shared" si="1"/>
        <v>3.3866E-2</v>
      </c>
      <c r="J16" s="120">
        <f t="shared" si="2"/>
        <v>2.8965499999999998E-2</v>
      </c>
      <c r="K16" s="232"/>
      <c r="L16" s="250">
        <v>4</v>
      </c>
      <c r="M16" s="251">
        <f t="shared" si="3"/>
        <v>6.1496999999999996E-2</v>
      </c>
      <c r="N16" s="251">
        <f t="shared" si="4"/>
        <v>7.6198500000000002E-2</v>
      </c>
      <c r="O16" s="251">
        <f t="shared" si="5"/>
        <v>6.5172375000000005E-2</v>
      </c>
      <c r="P16" s="232"/>
      <c r="Q16" s="117">
        <v>4</v>
      </c>
      <c r="R16" s="119">
        <f t="shared" si="6"/>
        <v>4.0998E-2</v>
      </c>
      <c r="S16" s="119">
        <f t="shared" si="7"/>
        <v>5.0798999999999997E-2</v>
      </c>
      <c r="T16" s="119">
        <f t="shared" si="8"/>
        <v>4.3448249999999994E-2</v>
      </c>
      <c r="U16" s="232"/>
      <c r="V16" s="253">
        <v>4</v>
      </c>
      <c r="W16" s="254">
        <f t="shared" si="9"/>
        <v>6.4640180000000005E-2</v>
      </c>
      <c r="X16" s="254">
        <f t="shared" si="10"/>
        <v>8.0093090000000006E-2</v>
      </c>
      <c r="Y16" s="254">
        <f t="shared" si="11"/>
        <v>6.8503407500000002E-2</v>
      </c>
      <c r="Z16" s="232"/>
      <c r="AA16" s="114">
        <v>4</v>
      </c>
      <c r="AB16" s="256">
        <f t="shared" si="12"/>
        <v>3.1705119999999996E-2</v>
      </c>
      <c r="AC16" s="256">
        <f t="shared" si="13"/>
        <v>3.9284559999999996E-2</v>
      </c>
      <c r="AD16" s="256">
        <f t="shared" si="14"/>
        <v>3.3599979999999995E-2</v>
      </c>
      <c r="AE16" s="113"/>
      <c r="AF16" s="113"/>
    </row>
    <row r="17" spans="1:32" x14ac:dyDescent="0.2">
      <c r="A17" s="108">
        <v>67</v>
      </c>
      <c r="B17" s="109">
        <v>1.5075E-2</v>
      </c>
      <c r="C17" s="108">
        <v>74</v>
      </c>
      <c r="D17" s="109">
        <v>1.8619E-2</v>
      </c>
      <c r="E17" s="246"/>
      <c r="F17" s="246"/>
      <c r="G17" s="112">
        <v>5</v>
      </c>
      <c r="H17" s="120">
        <f t="shared" si="0"/>
        <v>3.015E-2</v>
      </c>
      <c r="I17" s="120">
        <f t="shared" si="1"/>
        <v>3.7238E-2</v>
      </c>
      <c r="J17" s="120">
        <f t="shared" si="2"/>
        <v>3.1921999999999999E-2</v>
      </c>
      <c r="K17" s="232"/>
      <c r="L17" s="250">
        <v>5</v>
      </c>
      <c r="M17" s="251">
        <f t="shared" si="3"/>
        <v>6.7837499999999995E-2</v>
      </c>
      <c r="N17" s="251">
        <f t="shared" si="4"/>
        <v>8.3785499999999999E-2</v>
      </c>
      <c r="O17" s="251">
        <f t="shared" si="5"/>
        <v>7.1824499999999999E-2</v>
      </c>
      <c r="P17" s="232"/>
      <c r="Q17" s="117">
        <v>5</v>
      </c>
      <c r="R17" s="119">
        <f t="shared" si="6"/>
        <v>4.5225000000000001E-2</v>
      </c>
      <c r="S17" s="119">
        <f t="shared" si="7"/>
        <v>5.5857000000000004E-2</v>
      </c>
      <c r="T17" s="119">
        <f t="shared" si="8"/>
        <v>4.7882999999999995E-2</v>
      </c>
      <c r="U17" s="232"/>
      <c r="V17" s="253">
        <v>5</v>
      </c>
      <c r="W17" s="254">
        <f t="shared" si="9"/>
        <v>7.130475E-2</v>
      </c>
      <c r="X17" s="254">
        <f t="shared" si="10"/>
        <v>8.8067870000000006E-2</v>
      </c>
      <c r="Y17" s="254">
        <f t="shared" si="11"/>
        <v>7.5495530000000005E-2</v>
      </c>
      <c r="Z17" s="232"/>
      <c r="AA17" s="114">
        <v>5</v>
      </c>
      <c r="AB17" s="256">
        <f t="shared" si="12"/>
        <v>3.4973999999999998E-2</v>
      </c>
      <c r="AC17" s="256">
        <f t="shared" si="13"/>
        <v>4.3196079999999998E-2</v>
      </c>
      <c r="AD17" s="256">
        <f t="shared" si="14"/>
        <v>3.7029519999999996E-2</v>
      </c>
      <c r="AE17" s="113"/>
      <c r="AF17" s="113"/>
    </row>
    <row r="18" spans="1:32" x14ac:dyDescent="0.2">
      <c r="A18" s="108">
        <v>68</v>
      </c>
      <c r="B18" s="109">
        <v>1.6594000000000001E-2</v>
      </c>
      <c r="C18" s="108">
        <v>75</v>
      </c>
      <c r="D18" s="109">
        <v>2.1062999999999998E-2</v>
      </c>
      <c r="E18" s="246"/>
      <c r="F18" s="246"/>
      <c r="G18" s="112">
        <v>6</v>
      </c>
      <c r="H18" s="120">
        <f t="shared" si="0"/>
        <v>3.3188000000000002E-2</v>
      </c>
      <c r="I18" s="120">
        <f t="shared" si="1"/>
        <v>4.2125999999999997E-2</v>
      </c>
      <c r="J18" s="120">
        <f t="shared" si="2"/>
        <v>3.5422500000000003E-2</v>
      </c>
      <c r="K18" s="232"/>
      <c r="L18" s="250">
        <v>6</v>
      </c>
      <c r="M18" s="251">
        <f t="shared" si="3"/>
        <v>7.4673000000000003E-2</v>
      </c>
      <c r="N18" s="251">
        <f t="shared" si="4"/>
        <v>9.4783499999999993E-2</v>
      </c>
      <c r="O18" s="251">
        <f t="shared" si="5"/>
        <v>7.9700624999999997E-2</v>
      </c>
      <c r="P18" s="232"/>
      <c r="Q18" s="117">
        <v>6</v>
      </c>
      <c r="R18" s="119">
        <f t="shared" si="6"/>
        <v>4.9782000000000007E-2</v>
      </c>
      <c r="S18" s="119">
        <f t="shared" si="7"/>
        <v>6.3188999999999995E-2</v>
      </c>
      <c r="T18" s="119">
        <f t="shared" si="8"/>
        <v>5.3133750000000007E-2</v>
      </c>
      <c r="U18" s="232"/>
      <c r="V18" s="253">
        <v>6</v>
      </c>
      <c r="W18" s="254">
        <f t="shared" si="9"/>
        <v>7.848962000000001E-2</v>
      </c>
      <c r="X18" s="254">
        <f t="shared" si="10"/>
        <v>9.962799E-2</v>
      </c>
      <c r="Y18" s="254">
        <f t="shared" si="11"/>
        <v>8.37742125E-2</v>
      </c>
      <c r="Z18" s="232"/>
      <c r="AA18" s="114">
        <v>6</v>
      </c>
      <c r="AB18" s="256">
        <f t="shared" si="12"/>
        <v>3.8498079999999997E-2</v>
      </c>
      <c r="AC18" s="256">
        <f t="shared" si="13"/>
        <v>4.8866159999999992E-2</v>
      </c>
      <c r="AD18" s="256">
        <f t="shared" si="14"/>
        <v>4.1090099999999997E-2</v>
      </c>
      <c r="AE18" s="113"/>
      <c r="AF18" s="113"/>
    </row>
    <row r="19" spans="1:32" x14ac:dyDescent="0.2">
      <c r="A19" s="108">
        <v>69</v>
      </c>
      <c r="B19" s="109">
        <v>1.7954000000000001E-2</v>
      </c>
      <c r="C19" s="108">
        <v>76</v>
      </c>
      <c r="D19" s="109">
        <v>2.3411000000000001E-2</v>
      </c>
      <c r="E19" s="246"/>
      <c r="F19" s="246"/>
      <c r="G19" s="112">
        <v>7</v>
      </c>
      <c r="H19" s="120">
        <f t="shared" si="0"/>
        <v>3.5908000000000002E-2</v>
      </c>
      <c r="I19" s="120">
        <f t="shared" si="1"/>
        <v>4.6822000000000003E-2</v>
      </c>
      <c r="J19" s="120">
        <f t="shared" si="2"/>
        <v>3.8636500000000004E-2</v>
      </c>
      <c r="K19" s="232"/>
      <c r="L19" s="250">
        <v>7</v>
      </c>
      <c r="M19" s="251">
        <f t="shared" si="3"/>
        <v>8.0793000000000004E-2</v>
      </c>
      <c r="N19" s="251">
        <f t="shared" si="4"/>
        <v>0.10534950000000001</v>
      </c>
      <c r="O19" s="251">
        <f t="shared" si="5"/>
        <v>8.6932124999999999E-2</v>
      </c>
      <c r="P19" s="232"/>
      <c r="Q19" s="117">
        <v>7</v>
      </c>
      <c r="R19" s="119">
        <f t="shared" si="6"/>
        <v>5.3862000000000007E-2</v>
      </c>
      <c r="S19" s="119">
        <f t="shared" si="7"/>
        <v>7.0233000000000004E-2</v>
      </c>
      <c r="T19" s="119">
        <f t="shared" si="8"/>
        <v>5.7954749999999999E-2</v>
      </c>
      <c r="U19" s="232"/>
      <c r="V19" s="253">
        <v>7</v>
      </c>
      <c r="W19" s="254">
        <f t="shared" si="9"/>
        <v>8.4922420000000012E-2</v>
      </c>
      <c r="X19" s="254">
        <f t="shared" si="10"/>
        <v>0.11073403000000001</v>
      </c>
      <c r="Y19" s="254">
        <f t="shared" si="11"/>
        <v>9.1375322500000022E-2</v>
      </c>
      <c r="Z19" s="232"/>
      <c r="AA19" s="114">
        <v>7</v>
      </c>
      <c r="AB19" s="256">
        <f t="shared" si="12"/>
        <v>4.1653280000000001E-2</v>
      </c>
      <c r="AC19" s="256">
        <f t="shared" si="13"/>
        <v>5.4313519999999997E-2</v>
      </c>
      <c r="AD19" s="256">
        <f t="shared" si="14"/>
        <v>4.4818339999999998E-2</v>
      </c>
      <c r="AE19" s="113"/>
      <c r="AF19" s="113"/>
    </row>
    <row r="20" spans="1:32" x14ac:dyDescent="0.2">
      <c r="A20" s="108">
        <v>70</v>
      </c>
      <c r="B20" s="109">
        <v>1.9639E-2</v>
      </c>
      <c r="C20" s="108">
        <v>77</v>
      </c>
      <c r="D20" s="109">
        <v>2.6863999999999999E-2</v>
      </c>
      <c r="E20" s="246"/>
      <c r="F20" s="246"/>
      <c r="G20" s="112">
        <v>8</v>
      </c>
      <c r="H20" s="120">
        <f t="shared" si="0"/>
        <v>3.9278E-2</v>
      </c>
      <c r="I20" s="120">
        <f t="shared" si="1"/>
        <v>5.3727999999999998E-2</v>
      </c>
      <c r="J20" s="120">
        <f t="shared" si="2"/>
        <v>4.2890499999999998E-2</v>
      </c>
      <c r="K20" s="232"/>
      <c r="L20" s="250">
        <v>8</v>
      </c>
      <c r="M20" s="251">
        <f t="shared" si="3"/>
        <v>8.8375499999999996E-2</v>
      </c>
      <c r="N20" s="251">
        <f t="shared" si="4"/>
        <v>0.120888</v>
      </c>
      <c r="O20" s="251">
        <f t="shared" si="5"/>
        <v>9.6503624999999996E-2</v>
      </c>
      <c r="P20" s="232"/>
      <c r="Q20" s="117">
        <v>8</v>
      </c>
      <c r="R20" s="119">
        <f t="shared" si="6"/>
        <v>5.8916999999999997E-2</v>
      </c>
      <c r="S20" s="119">
        <f t="shared" si="7"/>
        <v>8.0591999999999997E-2</v>
      </c>
      <c r="T20" s="119">
        <f t="shared" si="8"/>
        <v>6.4335749999999997E-2</v>
      </c>
      <c r="U20" s="232"/>
      <c r="V20" s="253">
        <v>8</v>
      </c>
      <c r="W20" s="254">
        <f t="shared" si="9"/>
        <v>9.2892470000000005E-2</v>
      </c>
      <c r="X20" s="254">
        <f t="shared" si="10"/>
        <v>0.12706671999999999</v>
      </c>
      <c r="Y20" s="254">
        <f t="shared" si="11"/>
        <v>0.1014360325</v>
      </c>
      <c r="Z20" s="232"/>
      <c r="AA20" s="114">
        <v>8</v>
      </c>
      <c r="AB20" s="256">
        <f t="shared" si="12"/>
        <v>4.5562479999999995E-2</v>
      </c>
      <c r="AC20" s="256">
        <f t="shared" si="13"/>
        <v>6.2324479999999995E-2</v>
      </c>
      <c r="AD20" s="256">
        <f t="shared" si="14"/>
        <v>4.9752979999999995E-2</v>
      </c>
      <c r="AE20" s="113"/>
      <c r="AF20" s="113"/>
    </row>
    <row r="21" spans="1:32" x14ac:dyDescent="0.2">
      <c r="A21" s="108">
        <v>71</v>
      </c>
      <c r="B21" s="109">
        <v>2.1509E-2</v>
      </c>
      <c r="C21" s="108">
        <v>78</v>
      </c>
      <c r="D21" s="109">
        <v>3.0072999999999999E-2</v>
      </c>
      <c r="E21" s="246"/>
      <c r="F21" s="246"/>
      <c r="G21" s="112">
        <v>9</v>
      </c>
      <c r="H21" s="120">
        <f t="shared" si="0"/>
        <v>4.3018000000000001E-2</v>
      </c>
      <c r="I21" s="120">
        <f t="shared" si="1"/>
        <v>6.0145999999999998E-2</v>
      </c>
      <c r="J21" s="120">
        <f t="shared" si="2"/>
        <v>4.7300000000000002E-2</v>
      </c>
      <c r="K21" s="232"/>
      <c r="L21" s="250">
        <v>9</v>
      </c>
      <c r="M21" s="251">
        <f t="shared" si="3"/>
        <v>9.6790500000000002E-2</v>
      </c>
      <c r="N21" s="251">
        <f t="shared" si="4"/>
        <v>0.13532849999999999</v>
      </c>
      <c r="O21" s="251">
        <f t="shared" si="5"/>
        <v>0.10642499999999999</v>
      </c>
      <c r="P21" s="232"/>
      <c r="Q21" s="117">
        <v>9</v>
      </c>
      <c r="R21" s="119">
        <f t="shared" si="6"/>
        <v>6.4527000000000001E-2</v>
      </c>
      <c r="S21" s="119">
        <f t="shared" si="7"/>
        <v>9.0218999999999994E-2</v>
      </c>
      <c r="T21" s="119">
        <f t="shared" si="8"/>
        <v>7.0949999999999999E-2</v>
      </c>
      <c r="U21" s="232"/>
      <c r="V21" s="253">
        <v>9</v>
      </c>
      <c r="W21" s="254">
        <f t="shared" si="9"/>
        <v>0.10173757000000001</v>
      </c>
      <c r="X21" s="254">
        <f t="shared" si="10"/>
        <v>0.14224529</v>
      </c>
      <c r="Y21" s="254">
        <f t="shared" si="11"/>
        <v>0.11186450000000001</v>
      </c>
      <c r="Z21" s="232"/>
      <c r="AA21" s="114">
        <v>9</v>
      </c>
      <c r="AB21" s="256">
        <f t="shared" si="12"/>
        <v>4.9900879999999995E-2</v>
      </c>
      <c r="AC21" s="256">
        <f t="shared" si="13"/>
        <v>6.9769359999999989E-2</v>
      </c>
      <c r="AD21" s="256">
        <f t="shared" si="14"/>
        <v>5.4868E-2</v>
      </c>
      <c r="AE21" s="113"/>
      <c r="AF21" s="113"/>
    </row>
    <row r="22" spans="1:32" x14ac:dyDescent="0.2">
      <c r="A22" s="108">
        <v>72</v>
      </c>
      <c r="B22" s="109">
        <v>2.3699000000000001E-2</v>
      </c>
      <c r="C22" s="108">
        <v>79</v>
      </c>
      <c r="D22" s="109">
        <v>3.3678E-2</v>
      </c>
      <c r="E22" s="246"/>
      <c r="F22" s="246"/>
      <c r="G22" s="112">
        <v>10</v>
      </c>
      <c r="H22" s="120">
        <f t="shared" si="0"/>
        <v>4.7398000000000003E-2</v>
      </c>
      <c r="I22" s="120">
        <f t="shared" si="1"/>
        <v>6.7355999999999999E-2</v>
      </c>
      <c r="J22" s="120">
        <f t="shared" si="2"/>
        <v>5.2387500000000004E-2</v>
      </c>
      <c r="K22" s="232"/>
      <c r="L22" s="250">
        <v>10</v>
      </c>
      <c r="M22" s="251">
        <f t="shared" si="3"/>
        <v>0.1066455</v>
      </c>
      <c r="N22" s="251">
        <f t="shared" si="4"/>
        <v>0.15155099999999999</v>
      </c>
      <c r="O22" s="251">
        <f t="shared" si="5"/>
        <v>0.117871875</v>
      </c>
      <c r="P22" s="232"/>
      <c r="Q22" s="117">
        <v>10</v>
      </c>
      <c r="R22" s="119">
        <f t="shared" si="6"/>
        <v>7.1097000000000007E-2</v>
      </c>
      <c r="S22" s="119">
        <f t="shared" si="7"/>
        <v>0.101034</v>
      </c>
      <c r="T22" s="119">
        <f t="shared" si="8"/>
        <v>7.8581250000000005E-2</v>
      </c>
      <c r="U22" s="232"/>
      <c r="V22" s="253">
        <v>10</v>
      </c>
      <c r="W22" s="254">
        <f t="shared" si="9"/>
        <v>0.11209627000000001</v>
      </c>
      <c r="X22" s="254">
        <f t="shared" si="10"/>
        <v>0.15929694000000003</v>
      </c>
      <c r="Y22" s="254">
        <f t="shared" si="11"/>
        <v>0.12389643750000001</v>
      </c>
      <c r="Z22" s="232"/>
      <c r="AA22" s="114">
        <v>10</v>
      </c>
      <c r="AB22" s="256">
        <f t="shared" si="12"/>
        <v>5.4981679999999998E-2</v>
      </c>
      <c r="AC22" s="256">
        <f t="shared" si="13"/>
        <v>7.8132959999999987E-2</v>
      </c>
      <c r="AD22" s="256">
        <f t="shared" si="14"/>
        <v>6.076949999999999E-2</v>
      </c>
      <c r="AE22" s="113"/>
      <c r="AF22" s="113"/>
    </row>
    <row r="23" spans="1:32" x14ac:dyDescent="0.2">
      <c r="A23" s="108">
        <v>73</v>
      </c>
      <c r="B23" s="109">
        <v>2.5409999999999999E-2</v>
      </c>
      <c r="C23" s="108">
        <v>80</v>
      </c>
      <c r="D23" s="109">
        <v>3.9002000000000002E-2</v>
      </c>
      <c r="E23" s="246"/>
      <c r="F23" s="246"/>
      <c r="G23" s="112">
        <v>11</v>
      </c>
      <c r="H23" s="120">
        <f t="shared" si="0"/>
        <v>5.0819999999999997E-2</v>
      </c>
      <c r="I23" s="120">
        <f t="shared" si="1"/>
        <v>7.8004000000000004E-2</v>
      </c>
      <c r="J23" s="120">
        <f t="shared" si="2"/>
        <v>5.7616000000000001E-2</v>
      </c>
      <c r="K23" s="232"/>
      <c r="L23" s="250">
        <v>11</v>
      </c>
      <c r="M23" s="251">
        <f t="shared" si="3"/>
        <v>0.11434499999999999</v>
      </c>
      <c r="N23" s="251">
        <f t="shared" si="4"/>
        <v>0.175509</v>
      </c>
      <c r="O23" s="251">
        <f t="shared" si="5"/>
        <v>0.129636</v>
      </c>
      <c r="P23" s="232"/>
      <c r="Q23" s="117">
        <v>11</v>
      </c>
      <c r="R23" s="119">
        <f t="shared" si="6"/>
        <v>7.6229999999999992E-2</v>
      </c>
      <c r="S23" s="119">
        <f t="shared" si="7"/>
        <v>0.117006</v>
      </c>
      <c r="T23" s="119">
        <f t="shared" si="8"/>
        <v>8.6424000000000001E-2</v>
      </c>
      <c r="U23" s="232"/>
      <c r="V23" s="253">
        <v>11</v>
      </c>
      <c r="W23" s="254">
        <f t="shared" si="9"/>
        <v>0.1201893</v>
      </c>
      <c r="X23" s="254">
        <f t="shared" si="10"/>
        <v>0.18447946000000004</v>
      </c>
      <c r="Y23" s="254">
        <f t="shared" si="11"/>
        <v>0.13626184000000002</v>
      </c>
      <c r="Z23" s="232"/>
      <c r="AA23" s="114">
        <v>11</v>
      </c>
      <c r="AB23" s="256">
        <f t="shared" si="12"/>
        <v>5.8951199999999995E-2</v>
      </c>
      <c r="AC23" s="256">
        <f t="shared" si="13"/>
        <v>9.0484640000000005E-2</v>
      </c>
      <c r="AD23" s="256">
        <f t="shared" si="14"/>
        <v>6.6834560000000001E-2</v>
      </c>
      <c r="AE23" s="113"/>
      <c r="AF23" s="113"/>
    </row>
    <row r="24" spans="1:32" x14ac:dyDescent="0.2">
      <c r="A24" s="108">
        <v>74</v>
      </c>
      <c r="B24" s="109">
        <v>2.7562E-2</v>
      </c>
      <c r="C24" s="108">
        <v>81</v>
      </c>
      <c r="D24" s="109">
        <v>4.4073000000000001E-2</v>
      </c>
      <c r="E24" s="246"/>
      <c r="F24" s="246"/>
      <c r="G24" s="112">
        <v>12</v>
      </c>
      <c r="H24" s="120">
        <f t="shared" si="0"/>
        <v>5.5123999999999999E-2</v>
      </c>
      <c r="I24" s="120">
        <f t="shared" si="1"/>
        <v>8.8146000000000002E-2</v>
      </c>
      <c r="J24" s="120">
        <f t="shared" si="2"/>
        <v>6.3379500000000005E-2</v>
      </c>
      <c r="K24" s="232"/>
      <c r="L24" s="250">
        <v>12</v>
      </c>
      <c r="M24" s="251">
        <f t="shared" si="3"/>
        <v>0.124029</v>
      </c>
      <c r="N24" s="251">
        <f t="shared" si="4"/>
        <v>0.19832850000000002</v>
      </c>
      <c r="O24" s="251">
        <f t="shared" si="5"/>
        <v>0.14260387499999999</v>
      </c>
      <c r="P24" s="232"/>
      <c r="Q24" s="117">
        <v>12</v>
      </c>
      <c r="R24" s="119">
        <f t="shared" si="6"/>
        <v>8.2685999999999996E-2</v>
      </c>
      <c r="S24" s="119">
        <f t="shared" si="7"/>
        <v>0.132219</v>
      </c>
      <c r="T24" s="119">
        <f t="shared" si="8"/>
        <v>9.5069249999999994E-2</v>
      </c>
      <c r="U24" s="232"/>
      <c r="V24" s="253">
        <v>12</v>
      </c>
      <c r="W24" s="254">
        <f t="shared" si="9"/>
        <v>0.13036826000000001</v>
      </c>
      <c r="X24" s="254">
        <f t="shared" si="10"/>
        <v>0.20846529000000003</v>
      </c>
      <c r="Y24" s="254">
        <f t="shared" si="11"/>
        <v>0.14989251750000002</v>
      </c>
      <c r="Z24" s="232"/>
      <c r="AA24" s="114">
        <v>12</v>
      </c>
      <c r="AB24" s="256">
        <f t="shared" si="12"/>
        <v>6.3943840000000002E-2</v>
      </c>
      <c r="AC24" s="256">
        <f t="shared" si="13"/>
        <v>0.10224936</v>
      </c>
      <c r="AD24" s="256">
        <f t="shared" si="14"/>
        <v>7.3520219999999997E-2</v>
      </c>
      <c r="AE24" s="113"/>
      <c r="AF24" s="113"/>
    </row>
    <row r="25" spans="1:32" x14ac:dyDescent="0.2">
      <c r="A25" s="108">
        <v>75</v>
      </c>
      <c r="B25" s="109">
        <v>3.0558999999999999E-2</v>
      </c>
      <c r="C25" s="108">
        <v>82</v>
      </c>
      <c r="D25" s="109">
        <v>4.9797000000000001E-2</v>
      </c>
      <c r="E25" s="246"/>
      <c r="F25" s="246"/>
      <c r="G25" s="112">
        <v>13</v>
      </c>
      <c r="H25" s="120">
        <f t="shared" si="0"/>
        <v>6.1117999999999999E-2</v>
      </c>
      <c r="I25" s="120">
        <f t="shared" si="1"/>
        <v>9.9594000000000002E-2</v>
      </c>
      <c r="J25" s="120">
        <f t="shared" si="2"/>
        <v>7.0736999999999994E-2</v>
      </c>
      <c r="K25" s="232"/>
      <c r="L25" s="250">
        <v>13</v>
      </c>
      <c r="M25" s="251">
        <f t="shared" si="3"/>
        <v>0.13751549999999998</v>
      </c>
      <c r="N25" s="251">
        <f t="shared" si="4"/>
        <v>0.22408649999999999</v>
      </c>
      <c r="O25" s="251">
        <f t="shared" si="5"/>
        <v>0.15915824999999997</v>
      </c>
      <c r="P25" s="232"/>
      <c r="Q25" s="117">
        <v>13</v>
      </c>
      <c r="R25" s="119">
        <f t="shared" si="6"/>
        <v>9.1676999999999995E-2</v>
      </c>
      <c r="S25" s="119">
        <f t="shared" si="7"/>
        <v>0.149391</v>
      </c>
      <c r="T25" s="119">
        <f t="shared" si="8"/>
        <v>0.10610549999999999</v>
      </c>
      <c r="U25" s="232"/>
      <c r="V25" s="253">
        <v>13</v>
      </c>
      <c r="W25" s="254">
        <f t="shared" si="9"/>
        <v>0.14454407</v>
      </c>
      <c r="X25" s="254">
        <f t="shared" si="10"/>
        <v>0.23553981000000002</v>
      </c>
      <c r="Y25" s="254">
        <f t="shared" si="11"/>
        <v>0.16729300499999999</v>
      </c>
      <c r="Z25" s="232"/>
      <c r="AA25" s="114">
        <v>13</v>
      </c>
      <c r="AB25" s="256">
        <f t="shared" si="12"/>
        <v>7.0896879999999995E-2</v>
      </c>
      <c r="AC25" s="256">
        <f t="shared" si="13"/>
        <v>0.11552904</v>
      </c>
      <c r="AD25" s="256">
        <f t="shared" si="14"/>
        <v>8.2054920000000003E-2</v>
      </c>
      <c r="AE25" s="113"/>
      <c r="AF25" s="113"/>
    </row>
    <row r="26" spans="1:32" x14ac:dyDescent="0.2">
      <c r="A26" s="108">
        <v>76</v>
      </c>
      <c r="B26" s="109">
        <v>3.4411999999999998E-2</v>
      </c>
      <c r="C26" s="108">
        <v>83</v>
      </c>
      <c r="D26" s="109">
        <v>5.5957E-2</v>
      </c>
      <c r="E26" s="246"/>
      <c r="F26" s="246"/>
      <c r="G26" s="112">
        <v>14</v>
      </c>
      <c r="H26" s="120">
        <f t="shared" si="0"/>
        <v>6.8823999999999996E-2</v>
      </c>
      <c r="I26" s="120">
        <f t="shared" si="1"/>
        <v>0.111914</v>
      </c>
      <c r="J26" s="120">
        <f t="shared" si="2"/>
        <v>7.9596500000000001E-2</v>
      </c>
      <c r="K26" s="232"/>
      <c r="L26" s="250">
        <v>14</v>
      </c>
      <c r="M26" s="251">
        <f t="shared" si="3"/>
        <v>0.15485399999999999</v>
      </c>
      <c r="N26" s="251">
        <f t="shared" si="4"/>
        <v>0.25180649999999999</v>
      </c>
      <c r="O26" s="251">
        <f t="shared" si="5"/>
        <v>0.17909212499999999</v>
      </c>
      <c r="P26" s="232"/>
      <c r="Q26" s="117">
        <v>14</v>
      </c>
      <c r="R26" s="119">
        <f t="shared" si="6"/>
        <v>0.10323599999999999</v>
      </c>
      <c r="S26" s="119">
        <f t="shared" si="7"/>
        <v>0.16787099999999999</v>
      </c>
      <c r="T26" s="119">
        <f t="shared" si="8"/>
        <v>0.11939474999999999</v>
      </c>
      <c r="U26" s="232"/>
      <c r="V26" s="253">
        <v>14</v>
      </c>
      <c r="W26" s="254">
        <f t="shared" si="9"/>
        <v>0.16276876000000001</v>
      </c>
      <c r="X26" s="254">
        <f t="shared" si="10"/>
        <v>0.26467661000000003</v>
      </c>
      <c r="Y26" s="254">
        <f t="shared" si="11"/>
        <v>0.18824572250000002</v>
      </c>
      <c r="Z26" s="232"/>
      <c r="AA26" s="114">
        <v>14</v>
      </c>
      <c r="AB26" s="256">
        <f t="shared" si="12"/>
        <v>7.9835839999999991E-2</v>
      </c>
      <c r="AC26" s="256">
        <f t="shared" si="13"/>
        <v>0.12982024</v>
      </c>
      <c r="AD26" s="256">
        <f t="shared" si="14"/>
        <v>9.2331940000000001E-2</v>
      </c>
      <c r="AE26" s="113"/>
      <c r="AF26" s="113"/>
    </row>
    <row r="27" spans="1:32" x14ac:dyDescent="0.2">
      <c r="A27" s="108">
        <v>77</v>
      </c>
      <c r="B27" s="109">
        <v>3.8379000000000003E-2</v>
      </c>
      <c r="C27" s="108">
        <v>84</v>
      </c>
      <c r="D27" s="109">
        <v>6.3022999999999996E-2</v>
      </c>
      <c r="E27" s="246"/>
      <c r="F27" s="246"/>
      <c r="G27" s="112">
        <v>15</v>
      </c>
      <c r="H27" s="120">
        <f t="shared" si="0"/>
        <v>7.6758000000000007E-2</v>
      </c>
      <c r="I27" s="120">
        <f t="shared" si="1"/>
        <v>0.12604599999999999</v>
      </c>
      <c r="J27" s="120">
        <f t="shared" si="2"/>
        <v>8.9080000000000006E-2</v>
      </c>
      <c r="K27" s="232"/>
      <c r="L27" s="250">
        <v>15</v>
      </c>
      <c r="M27" s="251">
        <f t="shared" si="3"/>
        <v>0.17270550000000001</v>
      </c>
      <c r="N27" s="251">
        <f t="shared" si="4"/>
        <v>0.28360350000000001</v>
      </c>
      <c r="O27" s="251">
        <f t="shared" si="5"/>
        <v>0.20043000000000002</v>
      </c>
      <c r="P27" s="232"/>
      <c r="Q27" s="117">
        <v>15</v>
      </c>
      <c r="R27" s="119">
        <f t="shared" si="6"/>
        <v>0.11513700000000002</v>
      </c>
      <c r="S27" s="119">
        <f t="shared" si="7"/>
        <v>0.18906899999999999</v>
      </c>
      <c r="T27" s="119">
        <f t="shared" si="8"/>
        <v>0.13362000000000002</v>
      </c>
      <c r="U27" s="232"/>
      <c r="V27" s="253">
        <v>15</v>
      </c>
      <c r="W27" s="254">
        <f t="shared" si="9"/>
        <v>0.18153267000000003</v>
      </c>
      <c r="X27" s="254">
        <f t="shared" si="10"/>
        <v>0.29809879</v>
      </c>
      <c r="Y27" s="254">
        <f t="shared" si="11"/>
        <v>0.21067420000000003</v>
      </c>
      <c r="Z27" s="232"/>
      <c r="AA27" s="114">
        <v>15</v>
      </c>
      <c r="AB27" s="256">
        <f t="shared" si="12"/>
        <v>8.9039279999999998E-2</v>
      </c>
      <c r="AC27" s="256">
        <f t="shared" si="13"/>
        <v>0.14621335999999999</v>
      </c>
      <c r="AD27" s="256">
        <f t="shared" si="14"/>
        <v>0.1033328</v>
      </c>
      <c r="AE27" s="113"/>
      <c r="AF27" s="113"/>
    </row>
    <row r="28" spans="1:32" x14ac:dyDescent="0.2">
      <c r="A28" s="108">
        <v>78</v>
      </c>
      <c r="B28" s="109">
        <v>4.3246E-2</v>
      </c>
      <c r="C28" s="108">
        <v>85</v>
      </c>
      <c r="D28" s="109">
        <v>7.1139999999999995E-2</v>
      </c>
      <c r="E28" s="246"/>
      <c r="F28" s="246"/>
      <c r="G28" s="112">
        <v>16</v>
      </c>
      <c r="H28" s="120">
        <f t="shared" si="0"/>
        <v>8.6491999999999999E-2</v>
      </c>
      <c r="I28" s="120">
        <f t="shared" si="1"/>
        <v>0.14227999999999999</v>
      </c>
      <c r="J28" s="120">
        <f t="shared" si="2"/>
        <v>0.100439</v>
      </c>
      <c r="K28" s="232"/>
      <c r="L28" s="250">
        <v>16</v>
      </c>
      <c r="M28" s="251">
        <f t="shared" si="3"/>
        <v>0.194607</v>
      </c>
      <c r="N28" s="251">
        <f t="shared" si="4"/>
        <v>0.32012999999999997</v>
      </c>
      <c r="O28" s="251">
        <f t="shared" si="5"/>
        <v>0.22598774999999999</v>
      </c>
      <c r="P28" s="232"/>
      <c r="Q28" s="117">
        <v>16</v>
      </c>
      <c r="R28" s="119">
        <f t="shared" si="6"/>
        <v>0.12973799999999999</v>
      </c>
      <c r="S28" s="119">
        <f t="shared" si="7"/>
        <v>0.21342</v>
      </c>
      <c r="T28" s="119">
        <f t="shared" si="8"/>
        <v>0.15065849999999997</v>
      </c>
      <c r="U28" s="232"/>
      <c r="V28" s="253">
        <v>16</v>
      </c>
      <c r="W28" s="254">
        <f t="shared" si="9"/>
        <v>0.20455358000000001</v>
      </c>
      <c r="X28" s="254">
        <f t="shared" si="10"/>
        <v>0.33649220000000002</v>
      </c>
      <c r="Y28" s="254">
        <f t="shared" si="11"/>
        <v>0.23753823500000001</v>
      </c>
      <c r="Z28" s="232"/>
      <c r="AA28" s="114">
        <v>16</v>
      </c>
      <c r="AB28" s="256">
        <f t="shared" si="12"/>
        <v>0.10033072</v>
      </c>
      <c r="AC28" s="256">
        <f t="shared" si="13"/>
        <v>0.16504479999999996</v>
      </c>
      <c r="AD28" s="256">
        <f t="shared" si="14"/>
        <v>0.11650923999999999</v>
      </c>
      <c r="AE28" s="113"/>
      <c r="AF28" s="113"/>
    </row>
    <row r="29" spans="1:32" x14ac:dyDescent="0.2">
      <c r="A29" s="108">
        <v>79</v>
      </c>
      <c r="B29" s="109">
        <v>4.7924000000000001E-2</v>
      </c>
      <c r="C29" s="108">
        <v>86</v>
      </c>
      <c r="D29" s="109">
        <v>8.1536999999999998E-2</v>
      </c>
      <c r="E29" s="246"/>
      <c r="F29" s="246"/>
      <c r="G29" s="112">
        <v>17</v>
      </c>
      <c r="H29" s="120">
        <f t="shared" si="0"/>
        <v>9.5848000000000003E-2</v>
      </c>
      <c r="I29" s="120">
        <f t="shared" si="1"/>
        <v>0.163074</v>
      </c>
      <c r="J29" s="120">
        <f t="shared" si="2"/>
        <v>0.1126545</v>
      </c>
      <c r="K29" s="232"/>
      <c r="L29" s="250">
        <v>17</v>
      </c>
      <c r="M29" s="251">
        <f t="shared" si="3"/>
        <v>0.21565800000000002</v>
      </c>
      <c r="N29" s="251">
        <f t="shared" si="4"/>
        <v>0.36691649999999998</v>
      </c>
      <c r="O29" s="251">
        <f t="shared" si="5"/>
        <v>0.25347262500000001</v>
      </c>
      <c r="P29" s="232"/>
      <c r="Q29" s="117">
        <v>17</v>
      </c>
      <c r="R29" s="119">
        <f t="shared" si="6"/>
        <v>0.14377200000000001</v>
      </c>
      <c r="S29" s="119">
        <f t="shared" si="7"/>
        <v>0.244611</v>
      </c>
      <c r="T29" s="119">
        <f t="shared" si="8"/>
        <v>0.16898175000000001</v>
      </c>
      <c r="U29" s="232"/>
      <c r="V29" s="253">
        <v>17</v>
      </c>
      <c r="W29" s="254">
        <f t="shared" si="9"/>
        <v>0.22668052000000002</v>
      </c>
      <c r="X29" s="254">
        <f t="shared" si="10"/>
        <v>0.38567001000000001</v>
      </c>
      <c r="Y29" s="254">
        <f t="shared" si="11"/>
        <v>0.26642789249999999</v>
      </c>
      <c r="Z29" s="232"/>
      <c r="AA29" s="114">
        <v>17</v>
      </c>
      <c r="AB29" s="256">
        <f t="shared" si="12"/>
        <v>0.11118367999999999</v>
      </c>
      <c r="AC29" s="256">
        <f t="shared" si="13"/>
        <v>0.18916583999999997</v>
      </c>
      <c r="AD29" s="256">
        <f t="shared" si="14"/>
        <v>0.13067921999999998</v>
      </c>
      <c r="AE29" s="113"/>
      <c r="AF29" s="113"/>
    </row>
    <row r="30" spans="1:32" x14ac:dyDescent="0.2">
      <c r="A30" s="108">
        <v>80</v>
      </c>
      <c r="B30" s="109">
        <v>5.4809999999999998E-2</v>
      </c>
      <c r="C30" s="108">
        <v>87</v>
      </c>
      <c r="D30" s="109">
        <v>9.1619999999999993E-2</v>
      </c>
      <c r="E30" s="246"/>
      <c r="F30" s="246"/>
      <c r="G30" s="112">
        <v>18</v>
      </c>
      <c r="H30" s="120">
        <f t="shared" si="0"/>
        <v>0.10962</v>
      </c>
      <c r="I30" s="120">
        <f t="shared" si="1"/>
        <v>0.18323999999999999</v>
      </c>
      <c r="J30" s="120">
        <f t="shared" si="2"/>
        <v>0.128025</v>
      </c>
      <c r="K30" s="232"/>
      <c r="L30" s="250">
        <v>18</v>
      </c>
      <c r="M30" s="251">
        <f t="shared" si="3"/>
        <v>0.246645</v>
      </c>
      <c r="N30" s="251">
        <f t="shared" si="4"/>
        <v>0.41228999999999999</v>
      </c>
      <c r="O30" s="251">
        <f t="shared" si="5"/>
        <v>0.28805625000000001</v>
      </c>
      <c r="P30" s="232"/>
      <c r="Q30" s="117">
        <v>18</v>
      </c>
      <c r="R30" s="119">
        <f t="shared" si="6"/>
        <v>0.16442999999999999</v>
      </c>
      <c r="S30" s="119">
        <f t="shared" si="7"/>
        <v>0.27485999999999999</v>
      </c>
      <c r="T30" s="119">
        <f t="shared" si="8"/>
        <v>0.1920375</v>
      </c>
      <c r="U30" s="232"/>
      <c r="V30" s="253">
        <v>18</v>
      </c>
      <c r="W30" s="254">
        <f t="shared" si="9"/>
        <v>0.25925130000000002</v>
      </c>
      <c r="X30" s="254">
        <f t="shared" si="10"/>
        <v>0.43336259999999999</v>
      </c>
      <c r="Y30" s="254">
        <f t="shared" si="11"/>
        <v>0.30277912499999998</v>
      </c>
      <c r="Z30" s="232"/>
      <c r="AA30" s="114">
        <v>18</v>
      </c>
      <c r="AB30" s="256">
        <f t="shared" si="12"/>
        <v>0.12715919999999997</v>
      </c>
      <c r="AC30" s="256">
        <f t="shared" si="13"/>
        <v>0.21255839999999998</v>
      </c>
      <c r="AD30" s="256">
        <f t="shared" si="14"/>
        <v>0.14850899999999997</v>
      </c>
      <c r="AE30" s="113"/>
      <c r="AF30" s="113"/>
    </row>
    <row r="31" spans="1:32" x14ac:dyDescent="0.2">
      <c r="A31" s="108">
        <v>81</v>
      </c>
      <c r="B31" s="109">
        <v>6.0928999999999997E-2</v>
      </c>
      <c r="C31" s="108">
        <v>88</v>
      </c>
      <c r="D31" s="109">
        <v>0.105934</v>
      </c>
      <c r="E31" s="246"/>
      <c r="F31" s="246"/>
      <c r="G31" s="112">
        <v>19</v>
      </c>
      <c r="H31" s="120">
        <f t="shared" si="0"/>
        <v>0.12185799999999999</v>
      </c>
      <c r="I31" s="120">
        <f t="shared" si="1"/>
        <v>0.211868</v>
      </c>
      <c r="J31" s="120">
        <f t="shared" si="2"/>
        <v>0.1443605</v>
      </c>
      <c r="K31" s="232"/>
      <c r="L31" s="250">
        <v>19</v>
      </c>
      <c r="M31" s="251">
        <f t="shared" si="3"/>
        <v>0.27418049999999999</v>
      </c>
      <c r="N31" s="251">
        <f t="shared" si="4"/>
        <v>0.47670299999999999</v>
      </c>
      <c r="O31" s="251">
        <f t="shared" si="5"/>
        <v>0.32481112499999998</v>
      </c>
      <c r="P31" s="232"/>
      <c r="Q31" s="117">
        <v>19</v>
      </c>
      <c r="R31" s="119">
        <f t="shared" si="6"/>
        <v>0.18278699999999998</v>
      </c>
      <c r="S31" s="119">
        <f t="shared" si="7"/>
        <v>0.31780200000000003</v>
      </c>
      <c r="T31" s="119">
        <f t="shared" si="8"/>
        <v>0.21654074999999998</v>
      </c>
      <c r="U31" s="232"/>
      <c r="V31" s="253">
        <v>19</v>
      </c>
      <c r="W31" s="254">
        <f t="shared" si="9"/>
        <v>0.28819417000000003</v>
      </c>
      <c r="X31" s="254">
        <f t="shared" si="10"/>
        <v>0.50106782000000005</v>
      </c>
      <c r="Y31" s="254">
        <f t="shared" si="11"/>
        <v>0.34141258250000006</v>
      </c>
      <c r="Z31" s="232"/>
      <c r="AA31" s="114">
        <v>19</v>
      </c>
      <c r="AB31" s="256">
        <f t="shared" si="12"/>
        <v>0.14135527999999997</v>
      </c>
      <c r="AC31" s="256">
        <f t="shared" si="13"/>
        <v>0.24576687999999999</v>
      </c>
      <c r="AD31" s="256">
        <f t="shared" si="14"/>
        <v>0.16745817999999998</v>
      </c>
      <c r="AE31" s="113"/>
      <c r="AF31" s="113"/>
    </row>
    <row r="32" spans="1:32" x14ac:dyDescent="0.2">
      <c r="A32" s="108">
        <v>82</v>
      </c>
      <c r="B32" s="109">
        <v>6.9091E-2</v>
      </c>
      <c r="C32" s="108">
        <v>89</v>
      </c>
      <c r="D32" s="109">
        <v>0.11817800000000001</v>
      </c>
      <c r="E32" s="246"/>
      <c r="F32" s="246"/>
      <c r="G32" s="112">
        <v>20</v>
      </c>
      <c r="H32" s="120">
        <f t="shared" si="0"/>
        <v>0.138182</v>
      </c>
      <c r="I32" s="120">
        <f t="shared" si="1"/>
        <v>0.23635600000000001</v>
      </c>
      <c r="J32" s="120">
        <f t="shared" si="2"/>
        <v>0.1627255</v>
      </c>
      <c r="K32" s="232"/>
      <c r="L32" s="250">
        <v>20</v>
      </c>
      <c r="M32" s="251">
        <f t="shared" si="3"/>
        <v>0.31090950000000001</v>
      </c>
      <c r="N32" s="251">
        <f t="shared" si="4"/>
        <v>0.53180099999999997</v>
      </c>
      <c r="O32" s="251">
        <f t="shared" si="5"/>
        <v>0.36613237500000001</v>
      </c>
      <c r="P32" s="232"/>
      <c r="Q32" s="117">
        <v>20</v>
      </c>
      <c r="R32" s="119">
        <f t="shared" si="6"/>
        <v>0.20727299999999999</v>
      </c>
      <c r="S32" s="119">
        <f t="shared" si="7"/>
        <v>0.35453400000000002</v>
      </c>
      <c r="T32" s="119">
        <f t="shared" si="8"/>
        <v>0.24408824999999998</v>
      </c>
      <c r="U32" s="232"/>
      <c r="V32" s="253">
        <v>20</v>
      </c>
      <c r="W32" s="254">
        <f t="shared" si="9"/>
        <v>0.32680043000000003</v>
      </c>
      <c r="X32" s="254">
        <f t="shared" si="10"/>
        <v>0.55898194000000012</v>
      </c>
      <c r="Y32" s="254">
        <f t="shared" si="11"/>
        <v>0.38484580750000008</v>
      </c>
      <c r="Z32" s="232"/>
      <c r="AA32" s="114">
        <v>20</v>
      </c>
      <c r="AB32" s="256">
        <f t="shared" si="12"/>
        <v>0.16029111999999998</v>
      </c>
      <c r="AC32" s="256">
        <f t="shared" si="13"/>
        <v>0.27417295999999997</v>
      </c>
      <c r="AD32" s="256">
        <f t="shared" si="14"/>
        <v>0.18876157999999998</v>
      </c>
      <c r="AE32" s="113"/>
      <c r="AF32" s="113"/>
    </row>
    <row r="33" spans="1:32" x14ac:dyDescent="0.2">
      <c r="A33" s="108">
        <v>83</v>
      </c>
      <c r="B33" s="109">
        <v>7.5578000000000006E-2</v>
      </c>
      <c r="C33" s="108">
        <v>90</v>
      </c>
      <c r="D33" s="109">
        <v>0.134099</v>
      </c>
      <c r="E33" s="246"/>
      <c r="F33" s="246"/>
      <c r="G33" s="112">
        <v>21</v>
      </c>
      <c r="H33" s="120">
        <f t="shared" si="0"/>
        <v>0.15115600000000001</v>
      </c>
      <c r="I33" s="120">
        <f t="shared" si="1"/>
        <v>0.26819799999999999</v>
      </c>
      <c r="J33" s="120">
        <f t="shared" si="2"/>
        <v>0.18041650000000001</v>
      </c>
      <c r="K33" s="232"/>
      <c r="L33" s="250">
        <v>21</v>
      </c>
      <c r="M33" s="251">
        <f t="shared" si="3"/>
        <v>0.34010100000000004</v>
      </c>
      <c r="N33" s="251">
        <f t="shared" si="4"/>
        <v>0.60344549999999997</v>
      </c>
      <c r="O33" s="251">
        <f t="shared" si="5"/>
        <v>0.40593712500000001</v>
      </c>
      <c r="P33" s="232"/>
      <c r="Q33" s="117">
        <v>21</v>
      </c>
      <c r="R33" s="119">
        <f t="shared" si="6"/>
        <v>0.22673400000000002</v>
      </c>
      <c r="S33" s="119">
        <f t="shared" si="7"/>
        <v>0.40229700000000002</v>
      </c>
      <c r="T33" s="119">
        <f t="shared" si="8"/>
        <v>0.27062475000000003</v>
      </c>
      <c r="U33" s="232"/>
      <c r="V33" s="253">
        <v>21</v>
      </c>
      <c r="W33" s="254">
        <f t="shared" si="9"/>
        <v>0.35748394000000006</v>
      </c>
      <c r="X33" s="254">
        <f t="shared" si="10"/>
        <v>0.63428826999999999</v>
      </c>
      <c r="Y33" s="254">
        <f t="shared" si="11"/>
        <v>0.42668502250000007</v>
      </c>
      <c r="Z33" s="232"/>
      <c r="AA33" s="114">
        <v>21</v>
      </c>
      <c r="AB33" s="256">
        <f t="shared" si="12"/>
        <v>0.17534095999999999</v>
      </c>
      <c r="AC33" s="256">
        <f t="shared" si="13"/>
        <v>0.31110967999999994</v>
      </c>
      <c r="AD33" s="256">
        <f t="shared" si="14"/>
        <v>0.20928313999999998</v>
      </c>
      <c r="AE33" s="113"/>
      <c r="AF33" s="113"/>
    </row>
    <row r="34" spans="1:32" x14ac:dyDescent="0.2">
      <c r="A34" s="108">
        <v>84</v>
      </c>
      <c r="B34" s="109">
        <v>8.4871000000000002E-2</v>
      </c>
      <c r="C34" s="108">
        <v>91</v>
      </c>
      <c r="D34" s="109">
        <v>0.15221799999999999</v>
      </c>
      <c r="E34" s="246"/>
      <c r="F34" s="246"/>
      <c r="G34" s="112">
        <v>22</v>
      </c>
      <c r="H34" s="120">
        <f t="shared" si="0"/>
        <v>0.169742</v>
      </c>
      <c r="I34" s="120">
        <f t="shared" si="1"/>
        <v>0.30443599999999998</v>
      </c>
      <c r="J34" s="120">
        <f t="shared" si="2"/>
        <v>0.20341549999999997</v>
      </c>
      <c r="K34" s="232"/>
      <c r="L34" s="250">
        <v>22</v>
      </c>
      <c r="M34" s="251">
        <f t="shared" si="3"/>
        <v>0.38191950000000002</v>
      </c>
      <c r="N34" s="251">
        <f t="shared" si="4"/>
        <v>0.68498099999999995</v>
      </c>
      <c r="O34" s="251">
        <f t="shared" si="5"/>
        <v>0.45768487499999999</v>
      </c>
      <c r="P34" s="232"/>
      <c r="Q34" s="117">
        <v>22</v>
      </c>
      <c r="R34" s="119">
        <f t="shared" si="6"/>
        <v>0.25461299999999998</v>
      </c>
      <c r="S34" s="119">
        <f t="shared" si="7"/>
        <v>0.456654</v>
      </c>
      <c r="T34" s="119">
        <f t="shared" si="8"/>
        <v>0.30512324999999996</v>
      </c>
      <c r="U34" s="232"/>
      <c r="V34" s="253">
        <v>22</v>
      </c>
      <c r="W34" s="254">
        <f t="shared" si="9"/>
        <v>0.40143983000000005</v>
      </c>
      <c r="X34" s="254">
        <f t="shared" si="10"/>
        <v>0.71999113999999997</v>
      </c>
      <c r="Y34" s="254">
        <f t="shared" si="11"/>
        <v>0.48107765749999998</v>
      </c>
      <c r="Z34" s="232"/>
      <c r="AA34" s="114">
        <v>22</v>
      </c>
      <c r="AB34" s="256">
        <f t="shared" si="12"/>
        <v>0.19690072</v>
      </c>
      <c r="AC34" s="256">
        <f t="shared" si="13"/>
        <v>0.35314575999999998</v>
      </c>
      <c r="AD34" s="256">
        <f t="shared" si="14"/>
        <v>0.23596197999999999</v>
      </c>
      <c r="AE34" s="113"/>
      <c r="AF34" s="113"/>
    </row>
    <row r="35" spans="1:32" x14ac:dyDescent="0.2">
      <c r="A35" s="108">
        <v>85</v>
      </c>
      <c r="B35" s="109">
        <v>9.4935000000000005E-2</v>
      </c>
      <c r="C35" s="108">
        <v>92</v>
      </c>
      <c r="D35" s="109">
        <v>0.17122799999999999</v>
      </c>
      <c r="E35" s="246"/>
      <c r="F35" s="246"/>
      <c r="G35" s="112">
        <v>23</v>
      </c>
      <c r="H35" s="120">
        <f t="shared" si="0"/>
        <v>0.18987000000000001</v>
      </c>
      <c r="I35" s="120">
        <f t="shared" si="1"/>
        <v>0.34245599999999998</v>
      </c>
      <c r="J35" s="120">
        <f t="shared" si="2"/>
        <v>0.22801650000000001</v>
      </c>
      <c r="K35" s="232"/>
      <c r="L35" s="250">
        <v>23</v>
      </c>
      <c r="M35" s="251">
        <f t="shared" si="3"/>
        <v>0.42720750000000002</v>
      </c>
      <c r="N35" s="251">
        <f t="shared" si="4"/>
        <v>0.77052599999999993</v>
      </c>
      <c r="O35" s="251">
        <f t="shared" si="5"/>
        <v>0.51303712499999998</v>
      </c>
      <c r="P35" s="232"/>
      <c r="Q35" s="117">
        <v>23</v>
      </c>
      <c r="R35" s="119">
        <f t="shared" si="6"/>
        <v>0.28480500000000003</v>
      </c>
      <c r="S35" s="119">
        <f t="shared" si="7"/>
        <v>0.51368400000000003</v>
      </c>
      <c r="T35" s="119">
        <f t="shared" si="8"/>
        <v>0.34202475000000004</v>
      </c>
      <c r="U35" s="232"/>
      <c r="V35" s="253">
        <v>23</v>
      </c>
      <c r="W35" s="254">
        <f t="shared" si="9"/>
        <v>0.44904255000000004</v>
      </c>
      <c r="X35" s="254">
        <f t="shared" si="10"/>
        <v>0.80990844000000006</v>
      </c>
      <c r="Y35" s="254">
        <f t="shared" si="11"/>
        <v>0.53925902250000002</v>
      </c>
      <c r="Z35" s="232"/>
      <c r="AA35" s="114">
        <v>23</v>
      </c>
      <c r="AB35" s="256">
        <f t="shared" si="12"/>
        <v>0.22024920000000001</v>
      </c>
      <c r="AC35" s="256">
        <f t="shared" si="13"/>
        <v>0.39724895999999993</v>
      </c>
      <c r="AD35" s="256">
        <f t="shared" si="14"/>
        <v>0.26449913999999997</v>
      </c>
      <c r="AE35" s="113"/>
      <c r="AF35" s="113"/>
    </row>
    <row r="36" spans="1:32" x14ac:dyDescent="0.2">
      <c r="A36" s="108">
        <v>86</v>
      </c>
      <c r="B36" s="109">
        <v>0.106503</v>
      </c>
      <c r="C36" s="108">
        <v>93</v>
      </c>
      <c r="D36" s="109">
        <v>0.19035099999999999</v>
      </c>
      <c r="E36" s="246"/>
      <c r="F36" s="246"/>
      <c r="G36" s="112">
        <v>24</v>
      </c>
      <c r="H36" s="120">
        <f t="shared" si="0"/>
        <v>0.213006</v>
      </c>
      <c r="I36" s="120">
        <f t="shared" si="1"/>
        <v>0.38070199999999998</v>
      </c>
      <c r="J36" s="120">
        <f t="shared" si="2"/>
        <v>0.25492999999999999</v>
      </c>
      <c r="K36" s="232"/>
      <c r="L36" s="250">
        <v>24</v>
      </c>
      <c r="M36" s="251">
        <f t="shared" si="3"/>
        <v>0.47926350000000001</v>
      </c>
      <c r="N36" s="251">
        <f t="shared" si="4"/>
        <v>0.85657949999999994</v>
      </c>
      <c r="O36" s="251">
        <f t="shared" si="5"/>
        <v>0.57359249999999995</v>
      </c>
      <c r="P36" s="232"/>
      <c r="Q36" s="117">
        <v>24</v>
      </c>
      <c r="R36" s="119">
        <f t="shared" si="6"/>
        <v>0.31950899999999999</v>
      </c>
      <c r="S36" s="119">
        <f t="shared" si="7"/>
        <v>0.57105300000000003</v>
      </c>
      <c r="T36" s="119">
        <f t="shared" si="8"/>
        <v>0.38239499999999998</v>
      </c>
      <c r="U36" s="232"/>
      <c r="V36" s="253">
        <v>24</v>
      </c>
      <c r="W36" s="254">
        <f t="shared" si="9"/>
        <v>0.50375919000000002</v>
      </c>
      <c r="X36" s="254">
        <f t="shared" si="10"/>
        <v>0.90036023000000009</v>
      </c>
      <c r="Y36" s="254">
        <f t="shared" si="11"/>
        <v>0.60290945000000007</v>
      </c>
      <c r="Z36" s="232"/>
      <c r="AA36" s="114">
        <v>24</v>
      </c>
      <c r="AB36" s="256">
        <f t="shared" si="12"/>
        <v>0.24708695999999999</v>
      </c>
      <c r="AC36" s="256">
        <f t="shared" si="13"/>
        <v>0.44161431999999995</v>
      </c>
      <c r="AD36" s="256">
        <f t="shared" si="14"/>
        <v>0.2957188</v>
      </c>
      <c r="AE36" s="113"/>
      <c r="AF36" s="113"/>
    </row>
    <row r="37" spans="1:32" x14ac:dyDescent="0.2">
      <c r="A37" s="108">
        <v>87</v>
      </c>
      <c r="B37" s="109">
        <v>0.12002400000000001</v>
      </c>
      <c r="C37" s="108">
        <v>94</v>
      </c>
      <c r="D37" s="109">
        <v>0.210095</v>
      </c>
      <c r="E37" s="246"/>
      <c r="F37" s="246"/>
      <c r="G37" s="112">
        <v>25</v>
      </c>
      <c r="H37" s="120">
        <f t="shared" si="0"/>
        <v>0.24004800000000001</v>
      </c>
      <c r="I37" s="120">
        <f t="shared" si="1"/>
        <v>0.42019000000000001</v>
      </c>
      <c r="J37" s="120">
        <f t="shared" si="2"/>
        <v>0.28508349999999999</v>
      </c>
      <c r="K37" s="232"/>
      <c r="L37" s="250">
        <v>25</v>
      </c>
      <c r="M37" s="251">
        <f t="shared" si="3"/>
        <v>0.54010800000000003</v>
      </c>
      <c r="N37" s="251">
        <f t="shared" si="4"/>
        <v>0.94542749999999998</v>
      </c>
      <c r="O37" s="251">
        <f t="shared" si="5"/>
        <v>0.64143787500000005</v>
      </c>
      <c r="P37" s="232"/>
      <c r="Q37" s="117">
        <v>25</v>
      </c>
      <c r="R37" s="119">
        <f t="shared" si="6"/>
        <v>0.360072</v>
      </c>
      <c r="S37" s="119">
        <f t="shared" si="7"/>
        <v>0.63028499999999998</v>
      </c>
      <c r="T37" s="119">
        <f t="shared" si="8"/>
        <v>0.42762525000000001</v>
      </c>
      <c r="U37" s="232"/>
      <c r="V37" s="253">
        <v>25</v>
      </c>
      <c r="W37" s="254">
        <f t="shared" si="9"/>
        <v>0.56771352000000008</v>
      </c>
      <c r="X37" s="254">
        <f t="shared" si="10"/>
        <v>0.99374935000000009</v>
      </c>
      <c r="Y37" s="254">
        <f t="shared" si="11"/>
        <v>0.67422247750000008</v>
      </c>
      <c r="Z37" s="232"/>
      <c r="AA37" s="114">
        <v>25</v>
      </c>
      <c r="AB37" s="256">
        <f t="shared" si="12"/>
        <v>0.27845567999999998</v>
      </c>
      <c r="AC37" s="256">
        <f t="shared" si="13"/>
        <v>0.48742039999999998</v>
      </c>
      <c r="AD37" s="256">
        <f t="shared" si="14"/>
        <v>0.33069685999999998</v>
      </c>
      <c r="AE37" s="113"/>
      <c r="AF37" s="113"/>
    </row>
    <row r="38" spans="1:32" x14ac:dyDescent="0.2">
      <c r="A38" s="108">
        <v>88</v>
      </c>
      <c r="B38" s="109">
        <v>0.13526099999999999</v>
      </c>
      <c r="C38" s="108">
        <v>95</v>
      </c>
      <c r="D38" s="109">
        <v>0.230103</v>
      </c>
      <c r="E38" s="246"/>
      <c r="F38" s="246"/>
      <c r="G38" s="112">
        <v>26</v>
      </c>
      <c r="H38" s="120">
        <f t="shared" si="0"/>
        <v>0.27052199999999998</v>
      </c>
      <c r="I38" s="120">
        <f t="shared" si="1"/>
        <v>0.460206</v>
      </c>
      <c r="J38" s="120">
        <f t="shared" si="2"/>
        <v>0.31794299999999998</v>
      </c>
      <c r="K38" s="232"/>
      <c r="L38" s="250">
        <v>26</v>
      </c>
      <c r="M38" s="251">
        <f t="shared" si="3"/>
        <v>0.60867450000000001</v>
      </c>
      <c r="N38" s="251">
        <f t="shared" si="4"/>
        <v>1</v>
      </c>
      <c r="O38" s="251">
        <f t="shared" si="5"/>
        <v>0.70650587499999995</v>
      </c>
      <c r="P38" s="232"/>
      <c r="Q38" s="117">
        <v>26</v>
      </c>
      <c r="R38" s="119">
        <f t="shared" si="6"/>
        <v>0.405783</v>
      </c>
      <c r="S38" s="119">
        <f t="shared" si="7"/>
        <v>0.69030900000000006</v>
      </c>
      <c r="T38" s="119">
        <f t="shared" si="8"/>
        <v>0.47691450000000002</v>
      </c>
      <c r="U38" s="232"/>
      <c r="V38" s="253">
        <v>26</v>
      </c>
      <c r="W38" s="254">
        <f t="shared" si="9"/>
        <v>0.63978453000000002</v>
      </c>
      <c r="X38" s="254">
        <f t="shared" si="10"/>
        <v>1</v>
      </c>
      <c r="Y38" s="254">
        <f t="shared" si="11"/>
        <v>0.72983839750000001</v>
      </c>
      <c r="Z38" s="232"/>
      <c r="AA38" s="114">
        <v>26</v>
      </c>
      <c r="AB38" s="256">
        <f t="shared" si="12"/>
        <v>0.31380551999999995</v>
      </c>
      <c r="AC38" s="256">
        <f t="shared" si="13"/>
        <v>0.53383895999999997</v>
      </c>
      <c r="AD38" s="256">
        <f t="shared" si="14"/>
        <v>0.36881387999999993</v>
      </c>
      <c r="AE38" s="113"/>
      <c r="AF38" s="113"/>
    </row>
    <row r="39" spans="1:32" x14ac:dyDescent="0.2">
      <c r="A39" s="108">
        <v>89</v>
      </c>
      <c r="B39" s="109">
        <v>0.150561</v>
      </c>
      <c r="C39" s="108">
        <v>96</v>
      </c>
      <c r="D39" s="109">
        <v>0.251247</v>
      </c>
      <c r="E39" s="246"/>
      <c r="F39" s="246"/>
      <c r="G39" s="112">
        <v>27</v>
      </c>
      <c r="H39" s="120">
        <f t="shared" si="0"/>
        <v>0.301122</v>
      </c>
      <c r="I39" s="120">
        <f t="shared" si="1"/>
        <v>0.502494</v>
      </c>
      <c r="J39" s="120">
        <f t="shared" si="2"/>
        <v>0.35146500000000003</v>
      </c>
      <c r="K39" s="232"/>
      <c r="L39" s="250">
        <v>27</v>
      </c>
      <c r="M39" s="251">
        <f t="shared" si="3"/>
        <v>0.67752449999999997</v>
      </c>
      <c r="N39" s="251">
        <f t="shared" si="4"/>
        <v>1</v>
      </c>
      <c r="O39" s="251">
        <f t="shared" si="5"/>
        <v>0.75814337499999995</v>
      </c>
      <c r="P39" s="232"/>
      <c r="Q39" s="117">
        <v>27</v>
      </c>
      <c r="R39" s="119">
        <f t="shared" si="6"/>
        <v>0.451683</v>
      </c>
      <c r="S39" s="119">
        <f t="shared" si="7"/>
        <v>0.75374099999999999</v>
      </c>
      <c r="T39" s="119">
        <f t="shared" si="8"/>
        <v>0.52719749999999999</v>
      </c>
      <c r="U39" s="232"/>
      <c r="V39" s="253">
        <v>27</v>
      </c>
      <c r="W39" s="254">
        <f t="shared" si="9"/>
        <v>0.71215353000000003</v>
      </c>
      <c r="X39" s="254">
        <f t="shared" si="10"/>
        <v>1</v>
      </c>
      <c r="Y39" s="254">
        <f t="shared" si="11"/>
        <v>0.7841151475</v>
      </c>
      <c r="Z39" s="232"/>
      <c r="AA39" s="114">
        <v>27</v>
      </c>
      <c r="AB39" s="256">
        <f t="shared" si="12"/>
        <v>0.34930151999999998</v>
      </c>
      <c r="AC39" s="256">
        <f t="shared" si="13"/>
        <v>0.58289303999999997</v>
      </c>
      <c r="AD39" s="256">
        <f t="shared" si="14"/>
        <v>0.40769939999999993</v>
      </c>
      <c r="AE39" s="113"/>
      <c r="AF39" s="113"/>
    </row>
    <row r="40" spans="1:32" x14ac:dyDescent="0.2">
      <c r="A40" s="108">
        <v>90</v>
      </c>
      <c r="B40" s="109">
        <v>0.17042299999999999</v>
      </c>
      <c r="C40" s="108">
        <v>97</v>
      </c>
      <c r="D40" s="109">
        <v>0.278312</v>
      </c>
      <c r="E40" s="246"/>
      <c r="F40" s="246"/>
      <c r="G40" s="112">
        <v>28</v>
      </c>
      <c r="H40" s="120">
        <f t="shared" si="0"/>
        <v>0.34084599999999998</v>
      </c>
      <c r="I40" s="120">
        <f t="shared" si="1"/>
        <v>0.55662400000000001</v>
      </c>
      <c r="J40" s="120">
        <f t="shared" si="2"/>
        <v>0.39479049999999999</v>
      </c>
      <c r="K40" s="232"/>
      <c r="L40" s="250">
        <v>28</v>
      </c>
      <c r="M40" s="251">
        <f t="shared" si="3"/>
        <v>0.76690349999999996</v>
      </c>
      <c r="N40" s="251">
        <f t="shared" si="4"/>
        <v>1</v>
      </c>
      <c r="O40" s="251">
        <f t="shared" si="5"/>
        <v>0.82517762500000003</v>
      </c>
      <c r="P40" s="232"/>
      <c r="Q40" s="117">
        <v>28</v>
      </c>
      <c r="R40" s="119">
        <f t="shared" si="6"/>
        <v>0.51126899999999997</v>
      </c>
      <c r="S40" s="119">
        <f t="shared" si="7"/>
        <v>0.83493600000000001</v>
      </c>
      <c r="T40" s="119">
        <f t="shared" si="8"/>
        <v>0.59218574999999996</v>
      </c>
      <c r="U40" s="232"/>
      <c r="V40" s="253">
        <v>28</v>
      </c>
      <c r="W40" s="254">
        <f t="shared" si="9"/>
        <v>0.80610079000000001</v>
      </c>
      <c r="X40" s="254">
        <f t="shared" si="10"/>
        <v>1</v>
      </c>
      <c r="Y40" s="254">
        <f t="shared" si="11"/>
        <v>0.85457559250000004</v>
      </c>
      <c r="Z40" s="232"/>
      <c r="AA40" s="114">
        <v>28</v>
      </c>
      <c r="AB40" s="256">
        <f t="shared" si="12"/>
        <v>0.39538135999999996</v>
      </c>
      <c r="AC40" s="256">
        <f t="shared" si="13"/>
        <v>0.64568384000000001</v>
      </c>
      <c r="AD40" s="256">
        <f t="shared" si="14"/>
        <v>0.45795697999999996</v>
      </c>
      <c r="AE40" s="113"/>
      <c r="AF40" s="113"/>
    </row>
    <row r="41" spans="1:32" x14ac:dyDescent="0.2">
      <c r="A41" s="108">
        <v>91</v>
      </c>
      <c r="B41" s="109">
        <v>0.18754000000000001</v>
      </c>
      <c r="C41" s="108">
        <v>98</v>
      </c>
      <c r="D41" s="109">
        <v>0.304062</v>
      </c>
      <c r="E41" s="246"/>
      <c r="F41" s="246"/>
      <c r="G41" s="112">
        <v>29</v>
      </c>
      <c r="H41" s="120">
        <f t="shared" si="0"/>
        <v>0.37508000000000002</v>
      </c>
      <c r="I41" s="120">
        <f t="shared" si="1"/>
        <v>0.608124</v>
      </c>
      <c r="J41" s="120">
        <f t="shared" si="2"/>
        <v>0.43334099999999998</v>
      </c>
      <c r="K41" s="232"/>
      <c r="L41" s="250">
        <v>29</v>
      </c>
      <c r="M41" s="251">
        <f t="shared" si="3"/>
        <v>0.84393000000000007</v>
      </c>
      <c r="N41" s="251">
        <f t="shared" si="4"/>
        <v>1</v>
      </c>
      <c r="O41" s="251">
        <f t="shared" si="5"/>
        <v>0.8829475</v>
      </c>
      <c r="P41" s="232"/>
      <c r="Q41" s="117">
        <v>29</v>
      </c>
      <c r="R41" s="119">
        <f t="shared" si="6"/>
        <v>0.56262000000000001</v>
      </c>
      <c r="S41" s="119">
        <f t="shared" si="7"/>
        <v>0.91218599999999994</v>
      </c>
      <c r="T41" s="119">
        <f t="shared" si="8"/>
        <v>0.65001149999999996</v>
      </c>
      <c r="U41" s="232"/>
      <c r="V41" s="253">
        <v>29</v>
      </c>
      <c r="W41" s="254">
        <f t="shared" si="9"/>
        <v>0.88706420000000019</v>
      </c>
      <c r="X41" s="254">
        <f t="shared" si="10"/>
        <v>1</v>
      </c>
      <c r="Y41" s="254">
        <f t="shared" si="11"/>
        <v>0.91529815000000014</v>
      </c>
      <c r="Z41" s="232"/>
      <c r="AA41" s="114">
        <v>29</v>
      </c>
      <c r="AB41" s="256">
        <f t="shared" si="12"/>
        <v>0.4350928</v>
      </c>
      <c r="AC41" s="256">
        <f t="shared" si="13"/>
        <v>0.70542383999999991</v>
      </c>
      <c r="AD41" s="256">
        <f t="shared" si="14"/>
        <v>0.50267555999999991</v>
      </c>
      <c r="AE41" s="113"/>
      <c r="AF41" s="113"/>
    </row>
    <row r="42" spans="1:32" x14ac:dyDescent="0.2">
      <c r="A42" s="108">
        <v>92</v>
      </c>
      <c r="B42" s="109">
        <v>0.20976600000000001</v>
      </c>
      <c r="C42" s="108">
        <v>99</v>
      </c>
      <c r="D42" s="109">
        <v>0.32394400000000001</v>
      </c>
      <c r="E42" s="246"/>
      <c r="F42" s="246"/>
      <c r="G42" s="112">
        <v>30</v>
      </c>
      <c r="H42" s="120">
        <f t="shared" si="0"/>
        <v>0.41953200000000002</v>
      </c>
      <c r="I42" s="120">
        <f t="shared" si="1"/>
        <v>0.64788800000000002</v>
      </c>
      <c r="J42" s="120">
        <f t="shared" si="2"/>
        <v>0.47662100000000002</v>
      </c>
      <c r="K42" s="232"/>
      <c r="L42" s="250">
        <v>30</v>
      </c>
      <c r="M42" s="251">
        <f t="shared" si="3"/>
        <v>0.94394700000000009</v>
      </c>
      <c r="N42" s="251">
        <f t="shared" si="4"/>
        <v>1</v>
      </c>
      <c r="O42" s="251">
        <f t="shared" si="5"/>
        <v>0.95796025000000007</v>
      </c>
      <c r="P42" s="232"/>
      <c r="Q42" s="117">
        <v>30</v>
      </c>
      <c r="R42" s="119">
        <f t="shared" si="6"/>
        <v>0.62929800000000002</v>
      </c>
      <c r="S42" s="119">
        <f t="shared" si="7"/>
        <v>0.97183200000000003</v>
      </c>
      <c r="T42" s="119">
        <f t="shared" si="8"/>
        <v>0.71493150000000005</v>
      </c>
      <c r="U42" s="232"/>
      <c r="V42" s="253">
        <v>30</v>
      </c>
      <c r="W42" s="254">
        <f t="shared" si="9"/>
        <v>0.99219318000000012</v>
      </c>
      <c r="X42" s="254">
        <f t="shared" si="10"/>
        <v>1</v>
      </c>
      <c r="Y42" s="254">
        <f t="shared" si="11"/>
        <v>0.99414488500000009</v>
      </c>
      <c r="Z42" s="232"/>
      <c r="AA42" s="114">
        <v>30</v>
      </c>
      <c r="AB42" s="256">
        <f t="shared" si="12"/>
        <v>0.48665712</v>
      </c>
      <c r="AC42" s="256">
        <f t="shared" si="13"/>
        <v>0.75155008000000001</v>
      </c>
      <c r="AD42" s="256">
        <f t="shared" si="14"/>
        <v>0.55288035999999996</v>
      </c>
      <c r="AE42" s="113"/>
      <c r="AF42" s="113"/>
    </row>
    <row r="43" spans="1:32" x14ac:dyDescent="0.2">
      <c r="A43" s="108">
        <v>93</v>
      </c>
      <c r="B43" s="109">
        <v>0.22975899999999999</v>
      </c>
      <c r="C43" s="108">
        <v>100</v>
      </c>
      <c r="D43" s="84">
        <v>0.35231099999999999</v>
      </c>
      <c r="G43" s="112">
        <v>31</v>
      </c>
      <c r="H43" s="120">
        <f t="shared" si="0"/>
        <v>0.45951799999999998</v>
      </c>
      <c r="I43" s="120">
        <f t="shared" si="1"/>
        <v>0.70462199999999997</v>
      </c>
      <c r="J43" s="120">
        <f t="shared" si="2"/>
        <v>0.52079399999999998</v>
      </c>
      <c r="K43" s="232"/>
      <c r="L43" s="250">
        <v>31</v>
      </c>
      <c r="M43" s="251">
        <f t="shared" si="3"/>
        <v>1</v>
      </c>
      <c r="N43" s="251">
        <f t="shared" si="4"/>
        <v>1</v>
      </c>
      <c r="O43" s="251">
        <f t="shared" si="5"/>
        <v>1</v>
      </c>
      <c r="P43" s="232"/>
      <c r="Q43" s="117">
        <v>31</v>
      </c>
      <c r="R43" s="119">
        <f t="shared" si="6"/>
        <v>0.68927699999999992</v>
      </c>
      <c r="S43" s="119">
        <f t="shared" si="7"/>
        <v>1</v>
      </c>
      <c r="T43" s="119">
        <f t="shared" si="8"/>
        <v>0.76695774999999999</v>
      </c>
      <c r="U43" s="232"/>
      <c r="V43" s="253">
        <v>31</v>
      </c>
      <c r="W43" s="254">
        <f t="shared" si="9"/>
        <v>1</v>
      </c>
      <c r="X43" s="254">
        <f t="shared" si="10"/>
        <v>1</v>
      </c>
      <c r="Y43" s="254">
        <f t="shared" si="11"/>
        <v>1</v>
      </c>
      <c r="Z43" s="232"/>
      <c r="AA43" s="114">
        <v>31</v>
      </c>
      <c r="AB43" s="256">
        <f t="shared" si="12"/>
        <v>0.53304087999999994</v>
      </c>
      <c r="AC43" s="256">
        <f t="shared" si="13"/>
        <v>0.81736151999999995</v>
      </c>
      <c r="AD43" s="256">
        <f t="shared" si="14"/>
        <v>0.60412103999999989</v>
      </c>
      <c r="AE43" s="113"/>
      <c r="AF43" s="113"/>
    </row>
    <row r="44" spans="1:32" x14ac:dyDescent="0.2">
      <c r="A44" s="108">
        <v>94</v>
      </c>
      <c r="B44" s="109">
        <v>0.25412299999999999</v>
      </c>
      <c r="C44" s="108">
        <v>101</v>
      </c>
      <c r="D44" s="84">
        <v>0.35231099999999999</v>
      </c>
      <c r="G44" s="112">
        <v>32</v>
      </c>
      <c r="H44" s="120">
        <f t="shared" si="0"/>
        <v>0.50824599999999998</v>
      </c>
      <c r="I44" s="120">
        <f t="shared" si="1"/>
        <v>0.70462199999999997</v>
      </c>
      <c r="J44" s="120">
        <f t="shared" si="2"/>
        <v>0.55733999999999995</v>
      </c>
      <c r="K44" s="232"/>
      <c r="L44" s="250">
        <v>32</v>
      </c>
      <c r="M44" s="251">
        <f t="shared" si="3"/>
        <v>1</v>
      </c>
      <c r="N44" s="251">
        <f t="shared" si="4"/>
        <v>1</v>
      </c>
      <c r="O44" s="251">
        <f t="shared" si="5"/>
        <v>1</v>
      </c>
      <c r="P44" s="232"/>
      <c r="Q44" s="117">
        <v>32</v>
      </c>
      <c r="R44" s="119">
        <f t="shared" si="6"/>
        <v>0.76236899999999996</v>
      </c>
      <c r="S44" s="119">
        <f t="shared" si="7"/>
        <v>1</v>
      </c>
      <c r="T44" s="119">
        <f t="shared" si="8"/>
        <v>0.82177674999999994</v>
      </c>
      <c r="U44" s="232"/>
      <c r="V44" s="253">
        <v>32</v>
      </c>
      <c r="W44" s="254">
        <f t="shared" si="9"/>
        <v>1</v>
      </c>
      <c r="X44" s="254">
        <f t="shared" si="10"/>
        <v>1</v>
      </c>
      <c r="Y44" s="254">
        <f t="shared" si="11"/>
        <v>1</v>
      </c>
      <c r="Z44" s="232"/>
      <c r="AA44" s="114">
        <v>32</v>
      </c>
      <c r="AB44" s="256">
        <f t="shared" si="12"/>
        <v>0.58956535999999993</v>
      </c>
      <c r="AC44" s="256">
        <f t="shared" si="13"/>
        <v>0.81736151999999995</v>
      </c>
      <c r="AD44" s="256">
        <f t="shared" si="14"/>
        <v>0.64651439999999993</v>
      </c>
      <c r="AE44" s="113"/>
      <c r="AF44" s="113"/>
    </row>
    <row r="45" spans="1:32" x14ac:dyDescent="0.2">
      <c r="A45" s="108">
        <v>95</v>
      </c>
      <c r="B45" s="109">
        <v>0.27496500000000001</v>
      </c>
      <c r="C45" s="108">
        <v>102</v>
      </c>
      <c r="D45" s="84">
        <v>0.35231099999999999</v>
      </c>
      <c r="G45" s="112">
        <v>33</v>
      </c>
      <c r="H45" s="120">
        <f t="shared" si="0"/>
        <v>0.54993000000000003</v>
      </c>
      <c r="I45" s="120">
        <f t="shared" si="1"/>
        <v>0.70462199999999997</v>
      </c>
      <c r="J45" s="120">
        <f t="shared" si="2"/>
        <v>0.58860299999999999</v>
      </c>
      <c r="K45" s="232"/>
      <c r="L45" s="250">
        <v>33</v>
      </c>
      <c r="M45" s="251">
        <f t="shared" si="3"/>
        <v>1</v>
      </c>
      <c r="N45" s="251">
        <f t="shared" si="4"/>
        <v>1</v>
      </c>
      <c r="O45" s="251">
        <f t="shared" si="5"/>
        <v>1</v>
      </c>
      <c r="P45" s="232"/>
      <c r="Q45" s="117">
        <v>33</v>
      </c>
      <c r="R45" s="119">
        <f t="shared" si="6"/>
        <v>0.82489500000000004</v>
      </c>
      <c r="S45" s="119">
        <f t="shared" si="7"/>
        <v>1</v>
      </c>
      <c r="T45" s="119">
        <f t="shared" si="8"/>
        <v>0.86867125000000001</v>
      </c>
      <c r="U45" s="232"/>
      <c r="V45" s="253">
        <v>33</v>
      </c>
      <c r="W45" s="254">
        <f t="shared" si="9"/>
        <v>1</v>
      </c>
      <c r="X45" s="254">
        <f t="shared" si="10"/>
        <v>1</v>
      </c>
      <c r="Y45" s="254">
        <f t="shared" si="11"/>
        <v>1</v>
      </c>
      <c r="Z45" s="232"/>
      <c r="AA45" s="114">
        <v>33</v>
      </c>
      <c r="AB45" s="256">
        <f t="shared" si="12"/>
        <v>0.63791880000000001</v>
      </c>
      <c r="AC45" s="256">
        <f t="shared" si="13"/>
        <v>0.81736151999999995</v>
      </c>
      <c r="AD45" s="256">
        <f t="shared" si="14"/>
        <v>0.68277947999999999</v>
      </c>
      <c r="AE45" s="113"/>
      <c r="AF45" s="113"/>
    </row>
    <row r="46" spans="1:32" x14ac:dyDescent="0.2">
      <c r="A46" s="108">
        <v>96</v>
      </c>
      <c r="B46" s="109">
        <v>0.29870200000000002</v>
      </c>
      <c r="C46" s="108">
        <v>103</v>
      </c>
      <c r="D46" s="84">
        <v>0.35231099999999999</v>
      </c>
      <c r="G46" s="112">
        <v>34</v>
      </c>
      <c r="H46" s="120">
        <f t="shared" si="0"/>
        <v>0.59740400000000005</v>
      </c>
      <c r="I46" s="120">
        <f t="shared" si="1"/>
        <v>0.70462199999999997</v>
      </c>
      <c r="J46" s="120">
        <f t="shared" si="2"/>
        <v>0.62420850000000005</v>
      </c>
      <c r="K46" s="232"/>
      <c r="L46" s="250">
        <v>34</v>
      </c>
      <c r="M46" s="251">
        <f t="shared" si="3"/>
        <v>1</v>
      </c>
      <c r="N46" s="251">
        <f t="shared" si="4"/>
        <v>1</v>
      </c>
      <c r="O46" s="251">
        <f t="shared" si="5"/>
        <v>1</v>
      </c>
      <c r="P46" s="232"/>
      <c r="Q46" s="117">
        <v>34</v>
      </c>
      <c r="R46" s="119">
        <f t="shared" si="6"/>
        <v>0.89610600000000007</v>
      </c>
      <c r="S46" s="119">
        <f t="shared" si="7"/>
        <v>1</v>
      </c>
      <c r="T46" s="119">
        <f t="shared" si="8"/>
        <v>0.92207950000000005</v>
      </c>
      <c r="U46" s="232"/>
      <c r="V46" s="253">
        <v>34</v>
      </c>
      <c r="W46" s="254">
        <f t="shared" si="9"/>
        <v>1</v>
      </c>
      <c r="X46" s="254">
        <f t="shared" si="10"/>
        <v>1</v>
      </c>
      <c r="Y46" s="254">
        <f t="shared" si="11"/>
        <v>1</v>
      </c>
      <c r="Z46" s="232"/>
      <c r="AA46" s="114">
        <v>34</v>
      </c>
      <c r="AB46" s="256">
        <f t="shared" si="12"/>
        <v>0.69298864000000004</v>
      </c>
      <c r="AC46" s="256">
        <f t="shared" si="13"/>
        <v>0.81736151999999995</v>
      </c>
      <c r="AD46" s="256">
        <f t="shared" si="14"/>
        <v>0.72408185999999997</v>
      </c>
      <c r="AE46" s="113"/>
      <c r="AF46" s="113"/>
    </row>
    <row r="47" spans="1:32" x14ac:dyDescent="0.2">
      <c r="A47" s="108">
        <v>97</v>
      </c>
      <c r="B47" s="109">
        <v>0.32780599999999999</v>
      </c>
      <c r="C47" s="108">
        <v>104</v>
      </c>
      <c r="D47" s="84">
        <v>0.35231099999999999</v>
      </c>
      <c r="G47" s="112">
        <v>35</v>
      </c>
      <c r="H47" s="120">
        <f t="shared" si="0"/>
        <v>0.65561199999999997</v>
      </c>
      <c r="I47" s="120">
        <f t="shared" si="1"/>
        <v>0.70462199999999997</v>
      </c>
      <c r="J47" s="120">
        <f t="shared" si="2"/>
        <v>0.66786449999999997</v>
      </c>
      <c r="K47" s="232"/>
      <c r="L47" s="250">
        <v>35</v>
      </c>
      <c r="M47" s="251">
        <f t="shared" si="3"/>
        <v>1</v>
      </c>
      <c r="N47" s="251">
        <f t="shared" si="4"/>
        <v>1</v>
      </c>
      <c r="O47" s="251">
        <f t="shared" si="5"/>
        <v>1</v>
      </c>
      <c r="P47" s="232"/>
      <c r="Q47" s="117">
        <v>35</v>
      </c>
      <c r="R47" s="119">
        <f t="shared" si="6"/>
        <v>0.9834179999999999</v>
      </c>
      <c r="S47" s="119">
        <f t="shared" si="7"/>
        <v>1</v>
      </c>
      <c r="T47" s="119">
        <f t="shared" si="8"/>
        <v>0.98756349999999993</v>
      </c>
      <c r="U47" s="232"/>
      <c r="V47" s="253">
        <v>35</v>
      </c>
      <c r="W47" s="254">
        <f t="shared" si="9"/>
        <v>1</v>
      </c>
      <c r="X47" s="254">
        <f t="shared" si="10"/>
        <v>1</v>
      </c>
      <c r="Y47" s="254">
        <f t="shared" si="11"/>
        <v>1</v>
      </c>
      <c r="Z47" s="232"/>
      <c r="AA47" s="114">
        <v>35</v>
      </c>
      <c r="AB47" s="256">
        <f t="shared" si="12"/>
        <v>0.76050991999999995</v>
      </c>
      <c r="AC47" s="256">
        <f t="shared" si="13"/>
        <v>0.81736151999999995</v>
      </c>
      <c r="AD47" s="256">
        <f t="shared" si="14"/>
        <v>0.77472281999999992</v>
      </c>
      <c r="AE47" s="113"/>
      <c r="AF47" s="113"/>
    </row>
    <row r="48" spans="1:32" x14ac:dyDescent="0.2">
      <c r="A48" s="108">
        <v>98</v>
      </c>
      <c r="B48" s="109">
        <v>0.337947</v>
      </c>
      <c r="C48" s="108">
        <v>105</v>
      </c>
      <c r="D48" s="84">
        <v>0.35231099999999999</v>
      </c>
      <c r="G48" s="112">
        <v>36</v>
      </c>
      <c r="H48" s="120">
        <f t="shared" si="0"/>
        <v>0.67589399999999999</v>
      </c>
      <c r="I48" s="120">
        <f t="shared" si="1"/>
        <v>0.70462199999999997</v>
      </c>
      <c r="J48" s="120">
        <f t="shared" si="2"/>
        <v>0.68307600000000002</v>
      </c>
      <c r="K48" s="232"/>
      <c r="L48" s="250">
        <v>36</v>
      </c>
      <c r="M48" s="251">
        <f t="shared" si="3"/>
        <v>1</v>
      </c>
      <c r="N48" s="251">
        <f t="shared" si="4"/>
        <v>1</v>
      </c>
      <c r="O48" s="251">
        <f t="shared" si="5"/>
        <v>1</v>
      </c>
      <c r="P48" s="232"/>
      <c r="Q48" s="117">
        <v>36</v>
      </c>
      <c r="R48" s="119">
        <f t="shared" si="6"/>
        <v>1</v>
      </c>
      <c r="S48" s="119">
        <f t="shared" si="7"/>
        <v>1</v>
      </c>
      <c r="T48" s="119">
        <f t="shared" si="8"/>
        <v>1</v>
      </c>
      <c r="U48" s="232"/>
      <c r="V48" s="253">
        <v>36</v>
      </c>
      <c r="W48" s="254">
        <f t="shared" si="9"/>
        <v>1</v>
      </c>
      <c r="X48" s="254">
        <f t="shared" si="10"/>
        <v>1</v>
      </c>
      <c r="Y48" s="254">
        <f t="shared" si="11"/>
        <v>1</v>
      </c>
      <c r="Z48" s="232"/>
      <c r="AA48" s="114">
        <v>36</v>
      </c>
      <c r="AB48" s="256">
        <f t="shared" si="12"/>
        <v>0.78403703999999996</v>
      </c>
      <c r="AC48" s="256">
        <f t="shared" si="13"/>
        <v>0.81736151999999995</v>
      </c>
      <c r="AD48" s="256">
        <f t="shared" si="14"/>
        <v>0.79236815999999999</v>
      </c>
      <c r="AE48" s="113"/>
      <c r="AF48" s="113"/>
    </row>
    <row r="49" spans="1:32" x14ac:dyDescent="0.2">
      <c r="A49" s="108">
        <v>99</v>
      </c>
      <c r="B49" s="109">
        <v>0.37825900000000001</v>
      </c>
      <c r="C49" s="108">
        <v>106</v>
      </c>
      <c r="D49" s="84">
        <v>0.35231099999999999</v>
      </c>
      <c r="G49" s="112">
        <v>37</v>
      </c>
      <c r="H49" s="120">
        <f t="shared" si="0"/>
        <v>0.75651800000000002</v>
      </c>
      <c r="I49" s="120">
        <f t="shared" si="1"/>
        <v>0.70462199999999997</v>
      </c>
      <c r="J49" s="120">
        <f t="shared" si="2"/>
        <v>0.74354400000000009</v>
      </c>
      <c r="K49" s="232"/>
      <c r="L49" s="250">
        <v>37</v>
      </c>
      <c r="M49" s="251">
        <f t="shared" si="3"/>
        <v>1</v>
      </c>
      <c r="N49" s="251">
        <f t="shared" si="4"/>
        <v>1</v>
      </c>
      <c r="O49" s="251">
        <f t="shared" si="5"/>
        <v>1</v>
      </c>
      <c r="P49" s="232"/>
      <c r="Q49" s="117">
        <v>37</v>
      </c>
      <c r="R49" s="119">
        <f t="shared" si="6"/>
        <v>1</v>
      </c>
      <c r="S49" s="119">
        <f t="shared" si="7"/>
        <v>1</v>
      </c>
      <c r="T49" s="119">
        <f t="shared" si="8"/>
        <v>1</v>
      </c>
      <c r="U49" s="232"/>
      <c r="V49" s="253">
        <v>37</v>
      </c>
      <c r="W49" s="254">
        <f t="shared" si="9"/>
        <v>1</v>
      </c>
      <c r="X49" s="254">
        <f t="shared" si="10"/>
        <v>1</v>
      </c>
      <c r="Y49" s="254">
        <f t="shared" si="11"/>
        <v>1</v>
      </c>
      <c r="Z49" s="232"/>
      <c r="AA49" s="114">
        <v>37</v>
      </c>
      <c r="AB49" s="256">
        <f t="shared" si="12"/>
        <v>0.87756087999999999</v>
      </c>
      <c r="AC49" s="256">
        <f t="shared" si="13"/>
        <v>0.81736151999999995</v>
      </c>
      <c r="AD49" s="256">
        <f t="shared" si="14"/>
        <v>0.86251104000000001</v>
      </c>
      <c r="AE49" s="113"/>
      <c r="AF49" s="113"/>
    </row>
    <row r="50" spans="1:32" x14ac:dyDescent="0.2">
      <c r="A50" s="108">
        <v>100</v>
      </c>
      <c r="B50" s="84">
        <v>0.40347499999999997</v>
      </c>
      <c r="C50" s="108">
        <v>107</v>
      </c>
      <c r="D50" s="84">
        <v>0.35231099999999999</v>
      </c>
      <c r="G50" s="112">
        <v>38</v>
      </c>
      <c r="H50" s="120">
        <f t="shared" si="0"/>
        <v>0.80694999999999995</v>
      </c>
      <c r="I50" s="120">
        <f t="shared" si="1"/>
        <v>0.70462199999999997</v>
      </c>
      <c r="J50" s="120">
        <f t="shared" si="2"/>
        <v>0.78136799999999995</v>
      </c>
      <c r="K50" s="232"/>
      <c r="L50" s="250">
        <v>38</v>
      </c>
      <c r="M50" s="251">
        <f t="shared" si="3"/>
        <v>1</v>
      </c>
      <c r="N50" s="251">
        <f t="shared" si="4"/>
        <v>1</v>
      </c>
      <c r="O50" s="251">
        <f t="shared" si="5"/>
        <v>1</v>
      </c>
      <c r="P50" s="232"/>
      <c r="Q50" s="117">
        <v>38</v>
      </c>
      <c r="R50" s="119">
        <f t="shared" si="6"/>
        <v>1</v>
      </c>
      <c r="S50" s="119">
        <f t="shared" si="7"/>
        <v>1</v>
      </c>
      <c r="T50" s="119">
        <f t="shared" si="8"/>
        <v>1</v>
      </c>
      <c r="U50" s="232"/>
      <c r="V50" s="253">
        <v>38</v>
      </c>
      <c r="W50" s="254">
        <f t="shared" si="9"/>
        <v>1</v>
      </c>
      <c r="X50" s="254">
        <f t="shared" si="10"/>
        <v>1</v>
      </c>
      <c r="Y50" s="254">
        <f t="shared" si="11"/>
        <v>1</v>
      </c>
      <c r="Z50" s="232"/>
      <c r="AA50" s="114">
        <v>38</v>
      </c>
      <c r="AB50" s="256">
        <f t="shared" si="12"/>
        <v>0.93606199999999984</v>
      </c>
      <c r="AC50" s="256">
        <f t="shared" si="13"/>
        <v>0.81736151999999995</v>
      </c>
      <c r="AD50" s="256">
        <f t="shared" si="14"/>
        <v>0.90638687999999989</v>
      </c>
    </row>
    <row r="51" spans="1:32" x14ac:dyDescent="0.2">
      <c r="A51" s="108">
        <v>101</v>
      </c>
      <c r="B51" s="84">
        <v>0.40347499999999997</v>
      </c>
      <c r="C51" s="108">
        <v>107</v>
      </c>
      <c r="D51" s="84">
        <v>0.35231099999999999</v>
      </c>
      <c r="G51" s="112">
        <v>39</v>
      </c>
      <c r="H51" s="120">
        <f t="shared" si="0"/>
        <v>0.80694999999999995</v>
      </c>
      <c r="I51" s="120">
        <f t="shared" si="1"/>
        <v>0.70462199999999997</v>
      </c>
      <c r="J51" s="120">
        <f t="shared" si="2"/>
        <v>0.78136799999999995</v>
      </c>
      <c r="K51" s="232"/>
      <c r="L51" s="250">
        <v>39</v>
      </c>
      <c r="M51" s="251">
        <f t="shared" si="3"/>
        <v>1</v>
      </c>
      <c r="N51" s="251">
        <f t="shared" si="4"/>
        <v>1</v>
      </c>
      <c r="O51" s="251">
        <f t="shared" si="5"/>
        <v>1</v>
      </c>
      <c r="P51" s="232"/>
      <c r="Q51" s="117">
        <v>39</v>
      </c>
      <c r="R51" s="119">
        <f t="shared" si="6"/>
        <v>1</v>
      </c>
      <c r="S51" s="119">
        <f t="shared" si="7"/>
        <v>1</v>
      </c>
      <c r="T51" s="119">
        <f t="shared" si="8"/>
        <v>1</v>
      </c>
      <c r="U51" s="232"/>
      <c r="V51" s="253">
        <v>39</v>
      </c>
      <c r="W51" s="254">
        <f t="shared" si="9"/>
        <v>1</v>
      </c>
      <c r="X51" s="254">
        <f t="shared" si="10"/>
        <v>1</v>
      </c>
      <c r="Y51" s="254">
        <f t="shared" si="11"/>
        <v>1</v>
      </c>
      <c r="Z51" s="232"/>
      <c r="AA51" s="114">
        <v>39</v>
      </c>
      <c r="AB51" s="256">
        <f t="shared" si="12"/>
        <v>0.93606199999999984</v>
      </c>
      <c r="AC51" s="256">
        <f t="shared" si="13"/>
        <v>0.81736151999999995</v>
      </c>
      <c r="AD51" s="256">
        <f t="shared" si="14"/>
        <v>0.90638687999999989</v>
      </c>
    </row>
    <row r="52" spans="1:32" x14ac:dyDescent="0.2">
      <c r="A52" s="108">
        <v>102</v>
      </c>
      <c r="B52" s="84">
        <v>0.40347499999999997</v>
      </c>
      <c r="C52" s="108">
        <v>107</v>
      </c>
      <c r="D52" s="84">
        <v>0.35231099999999999</v>
      </c>
      <c r="G52" s="112">
        <v>40</v>
      </c>
      <c r="H52" s="120">
        <f t="shared" si="0"/>
        <v>0.80694999999999995</v>
      </c>
      <c r="I52" s="120">
        <f t="shared" si="1"/>
        <v>0.70462199999999997</v>
      </c>
      <c r="J52" s="120">
        <f t="shared" si="2"/>
        <v>0.78136799999999995</v>
      </c>
      <c r="K52" s="232"/>
      <c r="L52" s="250">
        <v>40</v>
      </c>
      <c r="M52" s="251">
        <f t="shared" si="3"/>
        <v>1</v>
      </c>
      <c r="N52" s="251">
        <f t="shared" si="4"/>
        <v>1</v>
      </c>
      <c r="O52" s="251">
        <f t="shared" si="5"/>
        <v>1</v>
      </c>
      <c r="P52" s="232"/>
      <c r="Q52" s="117">
        <v>40</v>
      </c>
      <c r="R52" s="119">
        <f t="shared" si="6"/>
        <v>1</v>
      </c>
      <c r="S52" s="119">
        <f t="shared" si="7"/>
        <v>1</v>
      </c>
      <c r="T52" s="119">
        <f t="shared" si="8"/>
        <v>1</v>
      </c>
      <c r="U52" s="232"/>
      <c r="V52" s="118">
        <v>40</v>
      </c>
      <c r="W52" s="254">
        <f t="shared" si="9"/>
        <v>1</v>
      </c>
      <c r="X52" s="254">
        <f t="shared" si="10"/>
        <v>1</v>
      </c>
      <c r="Y52" s="254">
        <f t="shared" si="11"/>
        <v>1</v>
      </c>
      <c r="Z52" s="232"/>
      <c r="AA52" s="114">
        <v>40</v>
      </c>
      <c r="AB52" s="256">
        <f t="shared" si="12"/>
        <v>0.93606199999999984</v>
      </c>
      <c r="AC52" s="256">
        <f t="shared" si="13"/>
        <v>0.81736151999999995</v>
      </c>
      <c r="AD52" s="256">
        <f t="shared" si="14"/>
        <v>0.90638687999999989</v>
      </c>
    </row>
    <row r="53" spans="1:32" x14ac:dyDescent="0.2">
      <c r="B53" s="104"/>
    </row>
    <row r="54" spans="1:32" x14ac:dyDescent="0.2">
      <c r="B54" s="104"/>
    </row>
    <row r="55" spans="1:32" x14ac:dyDescent="0.2">
      <c r="B55" s="104"/>
    </row>
    <row r="56" spans="1:32" x14ac:dyDescent="0.2">
      <c r="B56" s="104"/>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2"/>
  <sheetViews>
    <sheetView workbookViewId="0">
      <selection activeCell="G13" sqref="G13"/>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83203125" customWidth="1"/>
    <col min="9" max="9" width="11.1640625" customWidth="1"/>
    <col min="10" max="10" width="9.83203125" customWidth="1"/>
    <col min="11" max="11" width="11.1640625" customWidth="1"/>
    <col min="12" max="12" width="12.33203125" customWidth="1"/>
    <col min="13" max="13" width="4.33203125" customWidth="1"/>
    <col min="14" max="14" width="11.6640625" style="3" customWidth="1"/>
    <col min="15" max="17" width="8.83203125" style="3"/>
    <col min="18" max="18" width="3.6640625" customWidth="1"/>
    <col min="19" max="19" width="8.5" style="3" customWidth="1"/>
    <col min="20" max="20" width="10.6640625" style="3" customWidth="1"/>
    <col min="21" max="21" width="10.83203125" style="3" customWidth="1"/>
    <col min="22" max="22" width="11.83203125" style="3" customWidth="1"/>
    <col min="23" max="23" width="5" style="3" customWidth="1"/>
    <col min="24" max="24" width="11.1640625" style="3" customWidth="1"/>
    <col min="25" max="25" width="10.6640625" style="3" customWidth="1"/>
    <col min="26" max="26" width="8.83203125" style="3"/>
    <col min="27" max="27" width="10.1640625" style="3" customWidth="1"/>
  </cols>
  <sheetData>
    <row r="2" spans="1:27" x14ac:dyDescent="0.2"/>
    <row r="3" spans="1:27" x14ac:dyDescent="0.2">
      <c r="A3" s="47" t="s">
        <v>506</v>
      </c>
      <c r="B3" s="74">
        <v>0.84199999999999997</v>
      </c>
      <c r="C3" s="76"/>
    </row>
    <row r="4" spans="1:27" x14ac:dyDescent="0.2">
      <c r="A4" s="47" t="s">
        <v>502</v>
      </c>
      <c r="B4" s="74">
        <v>0.77900000000000003</v>
      </c>
      <c r="C4" s="76"/>
    </row>
    <row r="5" spans="1:27" x14ac:dyDescent="0.2">
      <c r="A5" s="47" t="s">
        <v>507</v>
      </c>
      <c r="B5" s="74">
        <v>0.82099999999999995</v>
      </c>
      <c r="C5" s="76"/>
    </row>
    <row r="6" spans="1:27" x14ac:dyDescent="0.2">
      <c r="A6" s="47" t="s">
        <v>508</v>
      </c>
      <c r="B6" s="74">
        <v>0.70299999999999996</v>
      </c>
      <c r="C6" s="76"/>
    </row>
    <row r="7" spans="1:27" x14ac:dyDescent="0.2">
      <c r="A7" s="47" t="s">
        <v>509</v>
      </c>
      <c r="B7" s="74">
        <v>0.70299999999999996</v>
      </c>
      <c r="C7" s="76"/>
    </row>
    <row r="8" spans="1:27" x14ac:dyDescent="0.2">
      <c r="A8" s="47" t="s">
        <v>488</v>
      </c>
      <c r="B8" s="74">
        <v>0.75</v>
      </c>
      <c r="C8" s="76"/>
      <c r="L8" s="124"/>
      <c r="M8" s="124"/>
    </row>
    <row r="9" spans="1:27" x14ac:dyDescent="0.2">
      <c r="B9" s="76"/>
      <c r="C9" s="76"/>
    </row>
    <row r="10" spans="1:27" x14ac:dyDescent="0.2">
      <c r="B10" s="76"/>
      <c r="C10" s="76"/>
    </row>
    <row r="11" spans="1:27" x14ac:dyDescent="0.2">
      <c r="D11" s="461" t="s">
        <v>499</v>
      </c>
      <c r="E11" s="461"/>
      <c r="F11" s="461"/>
      <c r="G11" s="461"/>
      <c r="H11" s="3"/>
      <c r="I11" s="457" t="s">
        <v>502</v>
      </c>
      <c r="J11" s="457"/>
      <c r="K11" s="457"/>
      <c r="L11" s="457"/>
      <c r="M11" s="3"/>
      <c r="N11" s="458" t="s">
        <v>505</v>
      </c>
      <c r="O11" s="458"/>
      <c r="P11" s="458"/>
      <c r="Q11" s="458"/>
      <c r="R11" s="3"/>
      <c r="S11" s="459" t="s">
        <v>504</v>
      </c>
      <c r="T11" s="459"/>
      <c r="U11" s="459"/>
      <c r="V11" s="459"/>
      <c r="X11" s="460" t="s">
        <v>687</v>
      </c>
      <c r="Y11" s="460"/>
      <c r="Z11" s="460"/>
      <c r="AA11" s="460"/>
    </row>
    <row r="12" spans="1:27" x14ac:dyDescent="0.2">
      <c r="A12" s="106" t="s">
        <v>489</v>
      </c>
      <c r="B12" s="106" t="s">
        <v>493</v>
      </c>
      <c r="C12" s="106"/>
      <c r="D12" s="267" t="s">
        <v>677</v>
      </c>
      <c r="E12" s="268" t="s">
        <v>329</v>
      </c>
      <c r="F12" s="268" t="s">
        <v>500</v>
      </c>
      <c r="G12" s="269" t="s">
        <v>503</v>
      </c>
      <c r="H12" s="3"/>
      <c r="I12" t="s">
        <v>677</v>
      </c>
      <c r="J12" s="3" t="s">
        <v>329</v>
      </c>
      <c r="K12" s="3" t="s">
        <v>500</v>
      </c>
      <c r="L12" s="3" t="s">
        <v>501</v>
      </c>
      <c r="M12" s="3"/>
      <c r="N12" s="3" t="s">
        <v>677</v>
      </c>
      <c r="O12" s="3" t="s">
        <v>329</v>
      </c>
      <c r="P12" s="3" t="s">
        <v>500</v>
      </c>
      <c r="Q12" s="3" t="s">
        <v>501</v>
      </c>
      <c r="R12" s="3"/>
      <c r="S12" s="3" t="s">
        <v>677</v>
      </c>
      <c r="T12" s="3" t="s">
        <v>329</v>
      </c>
      <c r="U12" s="3" t="s">
        <v>500</v>
      </c>
      <c r="V12" s="3" t="s">
        <v>501</v>
      </c>
      <c r="X12" s="3" t="s">
        <v>677</v>
      </c>
      <c r="Y12" s="3" t="s">
        <v>329</v>
      </c>
      <c r="Z12" s="3" t="s">
        <v>500</v>
      </c>
      <c r="AA12" s="3" t="s">
        <v>501</v>
      </c>
    </row>
    <row r="13" spans="1:27" x14ac:dyDescent="0.2">
      <c r="A13" s="108">
        <v>63</v>
      </c>
      <c r="B13" s="108">
        <v>70</v>
      </c>
      <c r="C13" s="3"/>
      <c r="D13" s="270">
        <v>1</v>
      </c>
      <c r="E13" s="271">
        <f t="shared" ref="E13:E52" si="0">u_noevent*(0.9508566 + (0.0212126*1) - (0.0002587*A13)- (0.0000332*(A13^2)))</f>
        <v>0.69380825260000012</v>
      </c>
      <c r="F13" s="271">
        <f t="shared" ref="F13:F52" si="1">u_noevent*(0.9508566 + (0.0212126*0) - (0.0002587*B13)- (0.0000332*(B13^2)))</f>
        <v>0.64839691919999998</v>
      </c>
      <c r="G13" s="272">
        <f t="shared" ref="G13:G52" si="2">(E13*male_proportion_STEMI)+(F13*(1-male_proportion_STEMI))</f>
        <v>0.68245541925000008</v>
      </c>
      <c r="H13" s="171"/>
      <c r="I13" s="147">
        <v>1</v>
      </c>
      <c r="J13" s="121">
        <f>u_rinfar*(0.9508566 + (0.0212126*1) - (0.0002587*A13)- (0.0000332*(A13^2)))</f>
        <v>0.64189623370000015</v>
      </c>
      <c r="K13" s="121">
        <f>u_rinfar*(0.9508566 + (0.0212126*0) - (0.0002587*B13)- (0.0000332*(B13^2)))</f>
        <v>0.59988266040000005</v>
      </c>
      <c r="L13" s="121">
        <f t="shared" ref="L13:L52" si="3">(J13*male_proportion_STEMI)+(K13*(1-male_proportion_STEMI))</f>
        <v>0.6313928403750001</v>
      </c>
      <c r="M13" s="171"/>
      <c r="N13" s="75">
        <v>1</v>
      </c>
      <c r="O13" s="78">
        <f t="shared" ref="O13:O52" si="4">u_post_rinfar*(0.9508566 + (0.0212126*1) - (0.0002587*A13)- (0.0000332*(A13^2)))</f>
        <v>0.67650424630000006</v>
      </c>
      <c r="P13" s="78">
        <f t="shared" ref="P13:P52" si="5">u_post_rinfar*(0.9508566 + (0.0212126*0) - (0.0002587*B13)- (0.0000332*(B13^2)))</f>
        <v>0.63222549959999996</v>
      </c>
      <c r="Q13" s="78">
        <f t="shared" ref="Q13:Q52" si="6">(O13*male_proportion_STEMI)+(P13*(1-male_proportion_STEMI))</f>
        <v>0.66543455962500009</v>
      </c>
      <c r="R13" s="171"/>
      <c r="S13" s="148">
        <v>1</v>
      </c>
      <c r="T13" s="122">
        <f t="shared" ref="T13:T52" si="7">u_stk*(0.9508566 + (0.0212126*1) - (0.0002587*A13)- (0.0000332*(A13^2)))</f>
        <v>0.57927221090000003</v>
      </c>
      <c r="U13" s="122">
        <f t="shared" ref="U13:U52" si="8">u_stk*(0.9508566 + (0.0212126*0) - (0.0002587*B13)- (0.0000332*(B13^2)))</f>
        <v>0.54135752279999994</v>
      </c>
      <c r="V13" s="122">
        <f t="shared" ref="V13:V52" si="9">(T13*male_proportion_STEMI)+(U13*(1-male_proportion_STEMI))</f>
        <v>0.56979353887499995</v>
      </c>
      <c r="W13" s="171"/>
      <c r="X13" s="149">
        <v>1</v>
      </c>
      <c r="Y13" s="123">
        <f t="shared" ref="Y13:Y52" si="10">u_post_stk*(0.9508566 + (0.0212126*1) - (0.0002587*A13)- (0.0000332*(A13^2)))</f>
        <v>0.57927221090000003</v>
      </c>
      <c r="Z13" s="123">
        <f t="shared" ref="Z13:Z52" si="11">u_post_stk*(0.9508566 + (0.0212126*0) - (0.0002587*B13)- (0.0000332*(B13^2)))</f>
        <v>0.54135752279999994</v>
      </c>
      <c r="AA13" s="123">
        <f t="shared" ref="AA13:AA52" si="12">(Y13*male_proportion_STEMI)+(Z13*(1-male_proportion_STEMI))</f>
        <v>0.56979353887499995</v>
      </c>
    </row>
    <row r="14" spans="1:27" x14ac:dyDescent="0.2">
      <c r="A14" s="108">
        <v>64</v>
      </c>
      <c r="B14" s="108">
        <v>71</v>
      </c>
      <c r="C14" s="3"/>
      <c r="D14" s="270">
        <v>2</v>
      </c>
      <c r="E14" s="271">
        <f t="shared" si="0"/>
        <v>0.69004021840000007</v>
      </c>
      <c r="F14" s="271">
        <f t="shared" si="1"/>
        <v>0.64423752340000007</v>
      </c>
      <c r="G14" s="272">
        <f t="shared" si="2"/>
        <v>0.6785895446500001</v>
      </c>
      <c r="H14" s="171"/>
      <c r="I14" s="147">
        <v>2</v>
      </c>
      <c r="J14" s="121">
        <f t="shared" ref="J14:J52" si="13">u_rinfar*(0.9508566 + (0.0212126*1) - (0.0002587*A14)- (0.0000332*(A14^2)))</f>
        <v>0.63841013080000009</v>
      </c>
      <c r="K14" s="121">
        <f t="shared" ref="K14:K52" si="14">u_rinfar*(0.9508566 + (0.0212126*0) - (0.0002587*B14)- (0.0000332*(B14^2)))</f>
        <v>0.59603447830000011</v>
      </c>
      <c r="L14" s="121">
        <f t="shared" si="3"/>
        <v>0.62781621767500007</v>
      </c>
      <c r="M14" s="171"/>
      <c r="N14" s="75">
        <v>2</v>
      </c>
      <c r="O14" s="78">
        <f t="shared" si="4"/>
        <v>0.67283018920000004</v>
      </c>
      <c r="P14" s="78">
        <f t="shared" si="5"/>
        <v>0.62816984170000001</v>
      </c>
      <c r="Q14" s="78">
        <f t="shared" si="6"/>
        <v>0.66166510232500009</v>
      </c>
      <c r="R14" s="171"/>
      <c r="S14" s="148">
        <v>2</v>
      </c>
      <c r="T14" s="122">
        <f t="shared" si="7"/>
        <v>0.57612621559999999</v>
      </c>
      <c r="U14" s="122">
        <f t="shared" si="8"/>
        <v>0.53788477310000005</v>
      </c>
      <c r="V14" s="122">
        <f t="shared" si="9"/>
        <v>0.56656585497500001</v>
      </c>
      <c r="W14" s="171"/>
      <c r="X14" s="149">
        <v>2</v>
      </c>
      <c r="Y14" s="123">
        <f t="shared" si="10"/>
        <v>0.57612621559999999</v>
      </c>
      <c r="Z14" s="123">
        <f t="shared" si="11"/>
        <v>0.53788477310000005</v>
      </c>
      <c r="AA14" s="123">
        <f t="shared" si="12"/>
        <v>0.56656585497500001</v>
      </c>
    </row>
    <row r="15" spans="1:27" x14ac:dyDescent="0.2">
      <c r="A15" s="108">
        <v>65</v>
      </c>
      <c r="B15" s="108">
        <v>72</v>
      </c>
      <c r="C15" s="3"/>
      <c r="D15" s="270">
        <v>3</v>
      </c>
      <c r="E15" s="271">
        <f t="shared" si="0"/>
        <v>0.68621627540000008</v>
      </c>
      <c r="F15" s="271">
        <f t="shared" si="1"/>
        <v>0.64002221879999999</v>
      </c>
      <c r="G15" s="272">
        <f t="shared" si="2"/>
        <v>0.67466776125000005</v>
      </c>
      <c r="H15" s="171"/>
      <c r="I15" s="147">
        <v>3</v>
      </c>
      <c r="J15" s="121">
        <f t="shared" si="13"/>
        <v>0.63487230230000014</v>
      </c>
      <c r="K15" s="121">
        <f t="shared" si="14"/>
        <v>0.59213457060000008</v>
      </c>
      <c r="L15" s="121">
        <f t="shared" si="3"/>
        <v>0.62418786937500004</v>
      </c>
      <c r="M15" s="171"/>
      <c r="N15" s="75">
        <v>3</v>
      </c>
      <c r="O15" s="78">
        <f t="shared" si="4"/>
        <v>0.66910161769999998</v>
      </c>
      <c r="P15" s="78">
        <f t="shared" si="5"/>
        <v>0.62405966940000002</v>
      </c>
      <c r="Q15" s="78">
        <f t="shared" si="6"/>
        <v>0.65784113062500005</v>
      </c>
      <c r="R15" s="171"/>
      <c r="S15" s="148">
        <v>3</v>
      </c>
      <c r="T15" s="122">
        <f t="shared" si="7"/>
        <v>0.57293354110000005</v>
      </c>
      <c r="U15" s="122">
        <f t="shared" si="8"/>
        <v>0.53436534420000004</v>
      </c>
      <c r="V15" s="122">
        <f t="shared" si="9"/>
        <v>0.56329149187500005</v>
      </c>
      <c r="W15" s="171"/>
      <c r="X15" s="149">
        <v>3</v>
      </c>
      <c r="Y15" s="123">
        <f t="shared" si="10"/>
        <v>0.57293354110000005</v>
      </c>
      <c r="Z15" s="123">
        <f t="shared" si="11"/>
        <v>0.53436534420000004</v>
      </c>
      <c r="AA15" s="123">
        <f t="shared" si="12"/>
        <v>0.56329149187500005</v>
      </c>
    </row>
    <row r="16" spans="1:27" x14ac:dyDescent="0.2">
      <c r="A16" s="108">
        <v>66</v>
      </c>
      <c r="B16" s="108">
        <v>73</v>
      </c>
      <c r="C16" s="3"/>
      <c r="D16" s="270">
        <v>4</v>
      </c>
      <c r="E16" s="271">
        <f t="shared" si="0"/>
        <v>0.68233642360000002</v>
      </c>
      <c r="F16" s="271">
        <f t="shared" si="1"/>
        <v>0.63575100540000007</v>
      </c>
      <c r="G16" s="272">
        <f t="shared" si="2"/>
        <v>0.67069006905000006</v>
      </c>
      <c r="H16" s="171"/>
      <c r="I16" s="147">
        <v>4</v>
      </c>
      <c r="J16" s="121">
        <f t="shared" si="13"/>
        <v>0.63128274820000008</v>
      </c>
      <c r="K16" s="121">
        <f t="shared" si="14"/>
        <v>0.58818293730000015</v>
      </c>
      <c r="L16" s="121">
        <f t="shared" si="3"/>
        <v>0.62050779547500012</v>
      </c>
      <c r="M16" s="171"/>
      <c r="N16" s="75">
        <v>4</v>
      </c>
      <c r="O16" s="78">
        <f t="shared" si="4"/>
        <v>0.6653185318</v>
      </c>
      <c r="P16" s="78">
        <f t="shared" si="5"/>
        <v>0.6198949827000001</v>
      </c>
      <c r="Q16" s="78">
        <f t="shared" si="6"/>
        <v>0.65396264452499997</v>
      </c>
      <c r="R16" s="171"/>
      <c r="S16" s="148">
        <v>4</v>
      </c>
      <c r="T16" s="122">
        <f t="shared" si="7"/>
        <v>0.5696941874</v>
      </c>
      <c r="U16" s="122">
        <f t="shared" si="8"/>
        <v>0.53079923610000002</v>
      </c>
      <c r="V16" s="122">
        <f t="shared" si="9"/>
        <v>0.55997044957499997</v>
      </c>
      <c r="W16" s="171"/>
      <c r="X16" s="149">
        <v>4</v>
      </c>
      <c r="Y16" s="123">
        <f t="shared" si="10"/>
        <v>0.5696941874</v>
      </c>
      <c r="Z16" s="123">
        <f t="shared" si="11"/>
        <v>0.53079923610000002</v>
      </c>
      <c r="AA16" s="123">
        <f t="shared" si="12"/>
        <v>0.55997044957499997</v>
      </c>
    </row>
    <row r="17" spans="1:27" x14ac:dyDescent="0.2">
      <c r="A17" s="108">
        <v>67</v>
      </c>
      <c r="B17" s="108">
        <v>74</v>
      </c>
      <c r="C17" s="3"/>
      <c r="D17" s="270">
        <v>5</v>
      </c>
      <c r="E17" s="271">
        <f t="shared" si="0"/>
        <v>0.67840066300000001</v>
      </c>
      <c r="F17" s="271">
        <f t="shared" si="1"/>
        <v>0.63142388319999998</v>
      </c>
      <c r="G17" s="272">
        <f t="shared" si="2"/>
        <v>0.66665646805000001</v>
      </c>
      <c r="H17" s="171"/>
      <c r="I17" s="147">
        <v>5</v>
      </c>
      <c r="J17" s="121">
        <f t="shared" si="13"/>
        <v>0.62764146850000002</v>
      </c>
      <c r="K17" s="121">
        <f t="shared" si="14"/>
        <v>0.58417957840000012</v>
      </c>
      <c r="L17" s="121">
        <f t="shared" si="3"/>
        <v>0.6167759959750001</v>
      </c>
      <c r="M17" s="171"/>
      <c r="N17" s="75">
        <v>5</v>
      </c>
      <c r="O17" s="78">
        <f t="shared" si="4"/>
        <v>0.66148093149999998</v>
      </c>
      <c r="P17" s="78">
        <f t="shared" si="5"/>
        <v>0.61567578160000003</v>
      </c>
      <c r="Q17" s="78">
        <f t="shared" si="6"/>
        <v>0.65002964402499996</v>
      </c>
      <c r="R17" s="171"/>
      <c r="S17" s="148">
        <v>5</v>
      </c>
      <c r="T17" s="122">
        <f t="shared" si="7"/>
        <v>0.56640815450000004</v>
      </c>
      <c r="U17" s="122">
        <f t="shared" si="8"/>
        <v>0.52718644879999998</v>
      </c>
      <c r="V17" s="122">
        <f t="shared" si="9"/>
        <v>0.55660272807500011</v>
      </c>
      <c r="W17" s="171"/>
      <c r="X17" s="149">
        <v>5</v>
      </c>
      <c r="Y17" s="123">
        <f t="shared" si="10"/>
        <v>0.56640815450000004</v>
      </c>
      <c r="Z17" s="123">
        <f t="shared" si="11"/>
        <v>0.52718644879999998</v>
      </c>
      <c r="AA17" s="123">
        <f t="shared" si="12"/>
        <v>0.55660272807500011</v>
      </c>
    </row>
    <row r="18" spans="1:27" x14ac:dyDescent="0.2">
      <c r="A18" s="108">
        <v>68</v>
      </c>
      <c r="B18" s="108">
        <v>75</v>
      </c>
      <c r="C18" s="3"/>
      <c r="D18" s="270">
        <v>6</v>
      </c>
      <c r="E18" s="271">
        <f t="shared" si="0"/>
        <v>0.67440899359999995</v>
      </c>
      <c r="F18" s="271">
        <f t="shared" si="1"/>
        <v>0.62704085220000005</v>
      </c>
      <c r="G18" s="272">
        <f t="shared" si="2"/>
        <v>0.66256695824999989</v>
      </c>
      <c r="H18" s="171"/>
      <c r="I18" s="147">
        <v>6</v>
      </c>
      <c r="J18" s="121">
        <f t="shared" si="13"/>
        <v>0.62394846320000008</v>
      </c>
      <c r="K18" s="121">
        <f t="shared" si="14"/>
        <v>0.58012449390000009</v>
      </c>
      <c r="L18" s="121">
        <f t="shared" si="3"/>
        <v>0.61299247087500008</v>
      </c>
      <c r="M18" s="171"/>
      <c r="N18" s="75">
        <v>6</v>
      </c>
      <c r="O18" s="78">
        <f t="shared" si="4"/>
        <v>0.65758881680000003</v>
      </c>
      <c r="P18" s="78">
        <f t="shared" si="5"/>
        <v>0.61140206610000003</v>
      </c>
      <c r="Q18" s="78">
        <f t="shared" si="6"/>
        <v>0.64604212912500003</v>
      </c>
      <c r="R18" s="171"/>
      <c r="S18" s="148">
        <v>6</v>
      </c>
      <c r="T18" s="122">
        <f t="shared" si="7"/>
        <v>0.56307544239999996</v>
      </c>
      <c r="U18" s="122">
        <f t="shared" si="8"/>
        <v>0.52352698230000005</v>
      </c>
      <c r="V18" s="122">
        <f t="shared" si="9"/>
        <v>0.55318832737500001</v>
      </c>
      <c r="W18" s="171"/>
      <c r="X18" s="149">
        <v>6</v>
      </c>
      <c r="Y18" s="123">
        <f t="shared" si="10"/>
        <v>0.56307544239999996</v>
      </c>
      <c r="Z18" s="123">
        <f t="shared" si="11"/>
        <v>0.52352698230000005</v>
      </c>
      <c r="AA18" s="123">
        <f t="shared" si="12"/>
        <v>0.55318832737500001</v>
      </c>
    </row>
    <row r="19" spans="1:27" x14ac:dyDescent="0.2">
      <c r="A19" s="108">
        <v>69</v>
      </c>
      <c r="B19" s="108">
        <v>76</v>
      </c>
      <c r="C19" s="3"/>
      <c r="D19" s="270">
        <v>7</v>
      </c>
      <c r="E19" s="271">
        <f t="shared" si="0"/>
        <v>0.67036141540000005</v>
      </c>
      <c r="F19" s="271">
        <f t="shared" si="1"/>
        <v>0.62260191239999996</v>
      </c>
      <c r="G19" s="272">
        <f t="shared" si="2"/>
        <v>0.65842153965000005</v>
      </c>
      <c r="H19" s="171"/>
      <c r="I19" s="147">
        <v>7</v>
      </c>
      <c r="J19" s="121">
        <f t="shared" si="13"/>
        <v>0.62020373230000003</v>
      </c>
      <c r="K19" s="121">
        <f t="shared" si="14"/>
        <v>0.57601768379999996</v>
      </c>
      <c r="L19" s="121">
        <f t="shared" si="3"/>
        <v>0.60915722017499996</v>
      </c>
      <c r="M19" s="171"/>
      <c r="N19" s="75">
        <v>7</v>
      </c>
      <c r="O19" s="78">
        <f t="shared" si="4"/>
        <v>0.65364218770000004</v>
      </c>
      <c r="P19" s="78">
        <f t="shared" si="5"/>
        <v>0.60707383619999999</v>
      </c>
      <c r="Q19" s="78">
        <f t="shared" si="6"/>
        <v>0.64200009982500006</v>
      </c>
      <c r="R19" s="171"/>
      <c r="S19" s="148">
        <v>7</v>
      </c>
      <c r="T19" s="122">
        <f t="shared" si="7"/>
        <v>0.55969605109999998</v>
      </c>
      <c r="U19" s="122">
        <f t="shared" si="8"/>
        <v>0.5198208366</v>
      </c>
      <c r="V19" s="122">
        <f t="shared" si="9"/>
        <v>0.54972724747500001</v>
      </c>
      <c r="W19" s="171"/>
      <c r="X19" s="149">
        <v>7</v>
      </c>
      <c r="Y19" s="123">
        <f t="shared" si="10"/>
        <v>0.55969605109999998</v>
      </c>
      <c r="Z19" s="123">
        <f t="shared" si="11"/>
        <v>0.5198208366</v>
      </c>
      <c r="AA19" s="123">
        <f t="shared" si="12"/>
        <v>0.54972724747500001</v>
      </c>
    </row>
    <row r="20" spans="1:27" x14ac:dyDescent="0.2">
      <c r="A20" s="108">
        <v>70</v>
      </c>
      <c r="B20" s="108">
        <v>77</v>
      </c>
      <c r="C20" s="3"/>
      <c r="D20" s="270">
        <v>8</v>
      </c>
      <c r="E20" s="271">
        <f t="shared" si="0"/>
        <v>0.66625792840000009</v>
      </c>
      <c r="F20" s="271">
        <f t="shared" si="1"/>
        <v>0.61810706380000002</v>
      </c>
      <c r="G20" s="272">
        <f t="shared" si="2"/>
        <v>0.65422021225000004</v>
      </c>
      <c r="H20" s="171"/>
      <c r="I20" s="147">
        <v>8</v>
      </c>
      <c r="J20" s="121">
        <f t="shared" si="13"/>
        <v>0.6164072758000001</v>
      </c>
      <c r="K20" s="121">
        <f t="shared" si="14"/>
        <v>0.57185914810000005</v>
      </c>
      <c r="L20" s="121">
        <f t="shared" si="3"/>
        <v>0.60527024387500006</v>
      </c>
      <c r="M20" s="171"/>
      <c r="N20" s="75">
        <v>8</v>
      </c>
      <c r="O20" s="78">
        <f t="shared" si="4"/>
        <v>0.64964104420000002</v>
      </c>
      <c r="P20" s="78">
        <f t="shared" si="5"/>
        <v>0.60269109190000003</v>
      </c>
      <c r="Q20" s="78">
        <f t="shared" si="6"/>
        <v>0.63790355612500005</v>
      </c>
      <c r="R20" s="171"/>
      <c r="S20" s="148">
        <v>8</v>
      </c>
      <c r="T20" s="122">
        <f t="shared" si="7"/>
        <v>0.55626998059999999</v>
      </c>
      <c r="U20" s="122">
        <f t="shared" si="8"/>
        <v>0.51606801170000005</v>
      </c>
      <c r="V20" s="122">
        <f t="shared" si="9"/>
        <v>0.54621948837500001</v>
      </c>
      <c r="W20" s="171"/>
      <c r="X20" s="149">
        <v>8</v>
      </c>
      <c r="Y20" s="123">
        <f t="shared" si="10"/>
        <v>0.55626998059999999</v>
      </c>
      <c r="Z20" s="123">
        <f t="shared" si="11"/>
        <v>0.51606801170000005</v>
      </c>
      <c r="AA20" s="123">
        <f t="shared" si="12"/>
        <v>0.54621948837500001</v>
      </c>
    </row>
    <row r="21" spans="1:27" x14ac:dyDescent="0.2">
      <c r="A21" s="108">
        <v>71</v>
      </c>
      <c r="B21" s="108">
        <v>78</v>
      </c>
      <c r="C21" s="3"/>
      <c r="D21" s="270">
        <v>9</v>
      </c>
      <c r="E21" s="271">
        <f t="shared" si="0"/>
        <v>0.66209853260000007</v>
      </c>
      <c r="F21" s="271">
        <f t="shared" si="1"/>
        <v>0.61355630640000003</v>
      </c>
      <c r="G21" s="272">
        <f t="shared" si="2"/>
        <v>0.64996297605000009</v>
      </c>
      <c r="H21" s="171"/>
      <c r="I21" s="147">
        <v>9</v>
      </c>
      <c r="J21" s="121">
        <f t="shared" si="13"/>
        <v>0.61255909370000006</v>
      </c>
      <c r="K21" s="121">
        <f t="shared" si="14"/>
        <v>0.56764888680000003</v>
      </c>
      <c r="L21" s="121">
        <f t="shared" si="3"/>
        <v>0.60133154197500005</v>
      </c>
      <c r="M21" s="171"/>
      <c r="N21" s="75">
        <v>9</v>
      </c>
      <c r="O21" s="78">
        <f t="shared" si="4"/>
        <v>0.64558538630000006</v>
      </c>
      <c r="P21" s="78">
        <f t="shared" si="5"/>
        <v>0.59825383320000003</v>
      </c>
      <c r="Q21" s="78">
        <f t="shared" si="6"/>
        <v>0.633752498025</v>
      </c>
      <c r="R21" s="171"/>
      <c r="S21" s="148">
        <v>9</v>
      </c>
      <c r="T21" s="122">
        <f t="shared" si="7"/>
        <v>0.55279723089999999</v>
      </c>
      <c r="U21" s="122">
        <f t="shared" si="8"/>
        <v>0.51226850759999998</v>
      </c>
      <c r="V21" s="122">
        <f t="shared" si="9"/>
        <v>0.54266505007499999</v>
      </c>
      <c r="W21" s="171"/>
      <c r="X21" s="149">
        <v>9</v>
      </c>
      <c r="Y21" s="123">
        <f t="shared" si="10"/>
        <v>0.55279723089999999</v>
      </c>
      <c r="Z21" s="123">
        <f t="shared" si="11"/>
        <v>0.51226850759999998</v>
      </c>
      <c r="AA21" s="123">
        <f t="shared" si="12"/>
        <v>0.54266505007499999</v>
      </c>
    </row>
    <row r="22" spans="1:27" x14ac:dyDescent="0.2">
      <c r="A22" s="108">
        <v>72</v>
      </c>
      <c r="B22" s="108">
        <v>79</v>
      </c>
      <c r="C22" s="3"/>
      <c r="D22" s="270">
        <v>10</v>
      </c>
      <c r="E22" s="271">
        <f t="shared" si="0"/>
        <v>0.65788322799999999</v>
      </c>
      <c r="F22" s="271">
        <f t="shared" si="1"/>
        <v>0.60894964020000009</v>
      </c>
      <c r="G22" s="272">
        <f t="shared" si="2"/>
        <v>0.64564983105000007</v>
      </c>
      <c r="H22" s="171"/>
      <c r="I22" s="147">
        <v>10</v>
      </c>
      <c r="J22" s="121">
        <f t="shared" si="13"/>
        <v>0.60865918600000002</v>
      </c>
      <c r="K22" s="121">
        <f t="shared" si="14"/>
        <v>0.56338689990000013</v>
      </c>
      <c r="L22" s="121">
        <f t="shared" si="3"/>
        <v>0.59734111447500005</v>
      </c>
      <c r="M22" s="171"/>
      <c r="N22" s="75">
        <v>10</v>
      </c>
      <c r="O22" s="78">
        <f t="shared" si="4"/>
        <v>0.64147521399999996</v>
      </c>
      <c r="P22" s="78">
        <f t="shared" si="5"/>
        <v>0.59376206009999999</v>
      </c>
      <c r="Q22" s="78">
        <f t="shared" si="6"/>
        <v>0.62954692552499991</v>
      </c>
      <c r="R22" s="171"/>
      <c r="S22" s="148">
        <v>10</v>
      </c>
      <c r="T22" s="122">
        <f t="shared" si="7"/>
        <v>0.54927780199999998</v>
      </c>
      <c r="U22" s="122">
        <f t="shared" si="8"/>
        <v>0.50842232430000001</v>
      </c>
      <c r="V22" s="122">
        <f t="shared" si="9"/>
        <v>0.53906393257499996</v>
      </c>
      <c r="W22" s="171"/>
      <c r="X22" s="149">
        <v>10</v>
      </c>
      <c r="Y22" s="123">
        <f t="shared" si="10"/>
        <v>0.54927780199999998</v>
      </c>
      <c r="Z22" s="123">
        <f t="shared" si="11"/>
        <v>0.50842232430000001</v>
      </c>
      <c r="AA22" s="123">
        <f t="shared" si="12"/>
        <v>0.53906393257499996</v>
      </c>
    </row>
    <row r="23" spans="1:27" x14ac:dyDescent="0.2">
      <c r="A23" s="108">
        <v>73</v>
      </c>
      <c r="B23" s="108">
        <v>80</v>
      </c>
      <c r="C23" s="3"/>
      <c r="D23" s="270">
        <v>11</v>
      </c>
      <c r="E23" s="271">
        <f t="shared" si="0"/>
        <v>0.65361201460000007</v>
      </c>
      <c r="F23" s="271">
        <f t="shared" si="1"/>
        <v>0.60428706519999997</v>
      </c>
      <c r="G23" s="272">
        <f t="shared" si="2"/>
        <v>0.64128077724999999</v>
      </c>
      <c r="H23" s="171"/>
      <c r="I23" s="147">
        <v>11</v>
      </c>
      <c r="J23" s="121">
        <f t="shared" si="13"/>
        <v>0.60470755270000009</v>
      </c>
      <c r="K23" s="121">
        <f t="shared" si="14"/>
        <v>0.5590731874</v>
      </c>
      <c r="L23" s="121">
        <f t="shared" si="3"/>
        <v>0.59329896137500004</v>
      </c>
      <c r="M23" s="171"/>
      <c r="N23" s="75">
        <v>11</v>
      </c>
      <c r="O23" s="78">
        <f t="shared" si="4"/>
        <v>0.63731052730000004</v>
      </c>
      <c r="P23" s="78">
        <f t="shared" si="5"/>
        <v>0.58921577260000002</v>
      </c>
      <c r="Q23" s="78">
        <f t="shared" si="6"/>
        <v>0.62528683862500012</v>
      </c>
      <c r="R23" s="171"/>
      <c r="S23" s="148">
        <v>11</v>
      </c>
      <c r="T23" s="122">
        <f t="shared" si="7"/>
        <v>0.54571169389999996</v>
      </c>
      <c r="U23" s="122">
        <f t="shared" si="8"/>
        <v>0.50452946180000002</v>
      </c>
      <c r="V23" s="122">
        <f t="shared" si="9"/>
        <v>0.53541613587500003</v>
      </c>
      <c r="W23" s="171"/>
      <c r="X23" s="149">
        <v>11</v>
      </c>
      <c r="Y23" s="123">
        <f t="shared" si="10"/>
        <v>0.54571169389999996</v>
      </c>
      <c r="Z23" s="123">
        <f t="shared" si="11"/>
        <v>0.50452946180000002</v>
      </c>
      <c r="AA23" s="123">
        <f t="shared" si="12"/>
        <v>0.53541613587500003</v>
      </c>
    </row>
    <row r="24" spans="1:27" x14ac:dyDescent="0.2">
      <c r="A24" s="108">
        <v>74</v>
      </c>
      <c r="B24" s="108">
        <v>81</v>
      </c>
      <c r="C24" s="3"/>
      <c r="D24" s="270">
        <v>12</v>
      </c>
      <c r="E24" s="271">
        <f t="shared" si="0"/>
        <v>0.64928489239999998</v>
      </c>
      <c r="F24" s="271">
        <f t="shared" si="1"/>
        <v>0.59956858140000013</v>
      </c>
      <c r="G24" s="272">
        <f t="shared" si="2"/>
        <v>0.63685581465000007</v>
      </c>
      <c r="H24" s="171"/>
      <c r="I24" s="147">
        <v>12</v>
      </c>
      <c r="J24" s="121">
        <f t="shared" si="13"/>
        <v>0.60070419379999995</v>
      </c>
      <c r="K24" s="121">
        <f t="shared" si="14"/>
        <v>0.55470774930000011</v>
      </c>
      <c r="L24" s="121">
        <f t="shared" si="3"/>
        <v>0.58920508267499994</v>
      </c>
      <c r="M24" s="171"/>
      <c r="N24" s="75">
        <v>12</v>
      </c>
      <c r="O24" s="78">
        <f t="shared" si="4"/>
        <v>0.63309132619999997</v>
      </c>
      <c r="P24" s="78">
        <f t="shared" si="5"/>
        <v>0.58461497070000001</v>
      </c>
      <c r="Q24" s="78">
        <f t="shared" si="6"/>
        <v>0.62097223732499995</v>
      </c>
      <c r="R24" s="171"/>
      <c r="S24" s="148">
        <v>12</v>
      </c>
      <c r="T24" s="122">
        <f t="shared" si="7"/>
        <v>0.54209890659999993</v>
      </c>
      <c r="U24" s="122">
        <f t="shared" si="8"/>
        <v>0.50058992010000003</v>
      </c>
      <c r="V24" s="122">
        <f t="shared" si="9"/>
        <v>0.53172165997499998</v>
      </c>
      <c r="W24" s="171"/>
      <c r="X24" s="149">
        <v>12</v>
      </c>
      <c r="Y24" s="123">
        <f t="shared" si="10"/>
        <v>0.54209890659999993</v>
      </c>
      <c r="Z24" s="123">
        <f t="shared" si="11"/>
        <v>0.50058992010000003</v>
      </c>
      <c r="AA24" s="123">
        <f t="shared" si="12"/>
        <v>0.53172165997499998</v>
      </c>
    </row>
    <row r="25" spans="1:27" x14ac:dyDescent="0.2">
      <c r="A25" s="108">
        <v>75</v>
      </c>
      <c r="B25" s="108">
        <v>82</v>
      </c>
      <c r="C25" s="3"/>
      <c r="D25" s="270">
        <v>13</v>
      </c>
      <c r="E25" s="271">
        <f t="shared" si="0"/>
        <v>0.64490186140000005</v>
      </c>
      <c r="F25" s="271">
        <f t="shared" si="1"/>
        <v>0.59479418880000001</v>
      </c>
      <c r="G25" s="272">
        <f t="shared" si="2"/>
        <v>0.63237494324999999</v>
      </c>
      <c r="H25" s="171"/>
      <c r="I25" s="147">
        <v>13</v>
      </c>
      <c r="J25" s="121">
        <f t="shared" si="13"/>
        <v>0.59664910930000015</v>
      </c>
      <c r="K25" s="121">
        <f t="shared" si="14"/>
        <v>0.55029058559999999</v>
      </c>
      <c r="L25" s="121">
        <f t="shared" si="3"/>
        <v>0.58505947837500005</v>
      </c>
      <c r="M25" s="171"/>
      <c r="N25" s="75">
        <v>13</v>
      </c>
      <c r="O25" s="78">
        <f t="shared" si="4"/>
        <v>0.62881761070000008</v>
      </c>
      <c r="P25" s="78">
        <f t="shared" si="5"/>
        <v>0.57995965439999997</v>
      </c>
      <c r="Q25" s="78">
        <f t="shared" si="6"/>
        <v>0.61660312162500008</v>
      </c>
      <c r="R25" s="171"/>
      <c r="S25" s="148">
        <v>13</v>
      </c>
      <c r="T25" s="122">
        <f t="shared" si="7"/>
        <v>0.5384394401</v>
      </c>
      <c r="U25" s="122">
        <f t="shared" si="8"/>
        <v>0.49660369919999997</v>
      </c>
      <c r="V25" s="122">
        <f t="shared" si="9"/>
        <v>0.52798050487500003</v>
      </c>
      <c r="W25" s="171"/>
      <c r="X25" s="149">
        <v>13</v>
      </c>
      <c r="Y25" s="123">
        <f t="shared" si="10"/>
        <v>0.5384394401</v>
      </c>
      <c r="Z25" s="123">
        <f t="shared" si="11"/>
        <v>0.49660369919999997</v>
      </c>
      <c r="AA25" s="123">
        <f t="shared" si="12"/>
        <v>0.52798050487500003</v>
      </c>
    </row>
    <row r="26" spans="1:27" x14ac:dyDescent="0.2">
      <c r="A26" s="108">
        <v>76</v>
      </c>
      <c r="B26" s="108">
        <v>83</v>
      </c>
      <c r="C26" s="3"/>
      <c r="D26" s="270">
        <v>14</v>
      </c>
      <c r="E26" s="271">
        <f t="shared" si="0"/>
        <v>0.64046292159999996</v>
      </c>
      <c r="F26" s="271">
        <f t="shared" si="1"/>
        <v>0.58996388740000005</v>
      </c>
      <c r="G26" s="272">
        <f t="shared" si="2"/>
        <v>0.62783816304999995</v>
      </c>
      <c r="H26" s="171"/>
      <c r="I26" s="147">
        <v>14</v>
      </c>
      <c r="J26" s="121">
        <f t="shared" si="13"/>
        <v>0.59254229920000001</v>
      </c>
      <c r="K26" s="121">
        <f t="shared" si="14"/>
        <v>0.5458216963000001</v>
      </c>
      <c r="L26" s="121">
        <f t="shared" si="3"/>
        <v>0.58086214847500006</v>
      </c>
      <c r="M26" s="171"/>
      <c r="N26" s="75">
        <v>14</v>
      </c>
      <c r="O26" s="78">
        <f t="shared" si="4"/>
        <v>0.62448938079999994</v>
      </c>
      <c r="P26" s="78">
        <f t="shared" si="5"/>
        <v>0.5752498237</v>
      </c>
      <c r="Q26" s="78">
        <f t="shared" si="6"/>
        <v>0.61217949152499995</v>
      </c>
      <c r="R26" s="171"/>
      <c r="S26" s="148">
        <v>14</v>
      </c>
      <c r="T26" s="122">
        <f t="shared" si="7"/>
        <v>0.53473329439999995</v>
      </c>
      <c r="U26" s="122">
        <f t="shared" si="8"/>
        <v>0.49257079910000001</v>
      </c>
      <c r="V26" s="122">
        <f t="shared" si="9"/>
        <v>0.52419267057499996</v>
      </c>
      <c r="W26" s="171"/>
      <c r="X26" s="149">
        <v>14</v>
      </c>
      <c r="Y26" s="123">
        <f t="shared" si="10"/>
        <v>0.53473329439999995</v>
      </c>
      <c r="Z26" s="123">
        <f t="shared" si="11"/>
        <v>0.49257079910000001</v>
      </c>
      <c r="AA26" s="123">
        <f t="shared" si="12"/>
        <v>0.52419267057499996</v>
      </c>
    </row>
    <row r="27" spans="1:27" x14ac:dyDescent="0.2">
      <c r="A27" s="108">
        <v>77</v>
      </c>
      <c r="B27" s="108">
        <v>84</v>
      </c>
      <c r="C27" s="3"/>
      <c r="D27" s="270">
        <v>15</v>
      </c>
      <c r="E27" s="271">
        <f t="shared" si="0"/>
        <v>0.63596807300000002</v>
      </c>
      <c r="F27" s="271">
        <f t="shared" si="1"/>
        <v>0.58507767720000003</v>
      </c>
      <c r="G27" s="272">
        <f t="shared" si="2"/>
        <v>0.62324547405000008</v>
      </c>
      <c r="H27" s="171"/>
      <c r="I27" s="147">
        <v>15</v>
      </c>
      <c r="J27" s="121">
        <f t="shared" si="13"/>
        <v>0.5883837635000001</v>
      </c>
      <c r="K27" s="121">
        <f t="shared" si="14"/>
        <v>0.54130108139999999</v>
      </c>
      <c r="L27" s="121">
        <f t="shared" si="3"/>
        <v>0.57661309297500007</v>
      </c>
      <c r="M27" s="171"/>
      <c r="N27" s="75">
        <v>15</v>
      </c>
      <c r="O27" s="78">
        <f t="shared" si="4"/>
        <v>0.62010663650000009</v>
      </c>
      <c r="P27" s="78">
        <f t="shared" si="5"/>
        <v>0.57048547859999998</v>
      </c>
      <c r="Q27" s="78">
        <f t="shared" si="6"/>
        <v>0.60770134702500012</v>
      </c>
      <c r="R27" s="171"/>
      <c r="S27" s="148">
        <v>15</v>
      </c>
      <c r="T27" s="122">
        <f t="shared" si="7"/>
        <v>0.5309804695</v>
      </c>
      <c r="U27" s="122">
        <f t="shared" si="8"/>
        <v>0.48849121979999999</v>
      </c>
      <c r="V27" s="122">
        <f t="shared" si="9"/>
        <v>0.52035815707499999</v>
      </c>
      <c r="W27" s="171"/>
      <c r="X27" s="149">
        <v>15</v>
      </c>
      <c r="Y27" s="123">
        <f t="shared" si="10"/>
        <v>0.5309804695</v>
      </c>
      <c r="Z27" s="123">
        <f t="shared" si="11"/>
        <v>0.48849121979999999</v>
      </c>
      <c r="AA27" s="123">
        <f t="shared" si="12"/>
        <v>0.52035815707499999</v>
      </c>
    </row>
    <row r="28" spans="1:27" x14ac:dyDescent="0.2">
      <c r="A28" s="108">
        <v>78</v>
      </c>
      <c r="B28" s="108">
        <v>85</v>
      </c>
      <c r="C28" s="3"/>
      <c r="D28" s="270">
        <v>16</v>
      </c>
      <c r="E28" s="271">
        <f t="shared" si="0"/>
        <v>0.63141731560000003</v>
      </c>
      <c r="F28" s="271">
        <f t="shared" si="1"/>
        <v>0.58013555819999996</v>
      </c>
      <c r="G28" s="272">
        <f t="shared" si="2"/>
        <v>0.61859687625000004</v>
      </c>
      <c r="H28" s="171"/>
      <c r="I28" s="147">
        <v>16</v>
      </c>
      <c r="J28" s="121">
        <f t="shared" si="13"/>
        <v>0.58417350220000008</v>
      </c>
      <c r="K28" s="121">
        <f t="shared" si="14"/>
        <v>0.5367287409</v>
      </c>
      <c r="L28" s="121">
        <f t="shared" si="3"/>
        <v>0.57231231187500009</v>
      </c>
      <c r="M28" s="171"/>
      <c r="N28" s="75">
        <v>16</v>
      </c>
      <c r="O28" s="78">
        <f t="shared" si="4"/>
        <v>0.61566937779999997</v>
      </c>
      <c r="P28" s="78">
        <f t="shared" si="5"/>
        <v>0.56566661910000005</v>
      </c>
      <c r="Q28" s="78">
        <f t="shared" si="6"/>
        <v>0.60316868812500002</v>
      </c>
      <c r="R28" s="171"/>
      <c r="S28" s="148">
        <v>16</v>
      </c>
      <c r="T28" s="122">
        <f t="shared" si="7"/>
        <v>0.52718096540000003</v>
      </c>
      <c r="U28" s="122">
        <f t="shared" si="8"/>
        <v>0.48436496130000001</v>
      </c>
      <c r="V28" s="122">
        <f t="shared" si="9"/>
        <v>0.51647696437500001</v>
      </c>
      <c r="W28" s="171"/>
      <c r="X28" s="149">
        <v>16</v>
      </c>
      <c r="Y28" s="123">
        <f t="shared" si="10"/>
        <v>0.52718096540000003</v>
      </c>
      <c r="Z28" s="123">
        <f t="shared" si="11"/>
        <v>0.48436496130000001</v>
      </c>
      <c r="AA28" s="123">
        <f t="shared" si="12"/>
        <v>0.51647696437500001</v>
      </c>
    </row>
    <row r="29" spans="1:27" x14ac:dyDescent="0.2">
      <c r="A29" s="108">
        <v>79</v>
      </c>
      <c r="B29" s="108">
        <v>86</v>
      </c>
      <c r="C29" s="3"/>
      <c r="D29" s="270">
        <v>17</v>
      </c>
      <c r="E29" s="271">
        <f t="shared" si="0"/>
        <v>0.62681064940000009</v>
      </c>
      <c r="F29" s="271">
        <f t="shared" si="1"/>
        <v>0.57513753040000004</v>
      </c>
      <c r="G29" s="272">
        <f t="shared" si="2"/>
        <v>0.61389236965000005</v>
      </c>
      <c r="H29" s="171"/>
      <c r="I29" s="147">
        <v>17</v>
      </c>
      <c r="J29" s="121">
        <f t="shared" si="13"/>
        <v>0.57991151530000007</v>
      </c>
      <c r="K29" s="121">
        <f t="shared" si="14"/>
        <v>0.53210467480000001</v>
      </c>
      <c r="L29" s="121">
        <f t="shared" si="3"/>
        <v>0.56795980517500011</v>
      </c>
      <c r="M29" s="171"/>
      <c r="N29" s="75">
        <v>17</v>
      </c>
      <c r="O29" s="78">
        <f t="shared" si="4"/>
        <v>0.61117760470000004</v>
      </c>
      <c r="P29" s="78">
        <f t="shared" si="5"/>
        <v>0.56079324519999996</v>
      </c>
      <c r="Q29" s="78">
        <f t="shared" si="6"/>
        <v>0.59858151482499999</v>
      </c>
      <c r="R29" s="171"/>
      <c r="S29" s="148">
        <v>17</v>
      </c>
      <c r="T29" s="122">
        <f t="shared" si="7"/>
        <v>0.52333478210000006</v>
      </c>
      <c r="U29" s="122">
        <f t="shared" si="8"/>
        <v>0.48019202360000002</v>
      </c>
      <c r="V29" s="122">
        <f t="shared" si="9"/>
        <v>0.51254909247500002</v>
      </c>
      <c r="W29" s="171"/>
      <c r="X29" s="149">
        <v>17</v>
      </c>
      <c r="Y29" s="123">
        <f t="shared" si="10"/>
        <v>0.52333478210000006</v>
      </c>
      <c r="Z29" s="123">
        <f t="shared" si="11"/>
        <v>0.48019202360000002</v>
      </c>
      <c r="AA29" s="123">
        <f t="shared" si="12"/>
        <v>0.51254909247500002</v>
      </c>
    </row>
    <row r="30" spans="1:27" x14ac:dyDescent="0.2">
      <c r="A30" s="108">
        <v>80</v>
      </c>
      <c r="B30" s="108">
        <v>87</v>
      </c>
      <c r="C30" s="3"/>
      <c r="D30" s="270">
        <v>18</v>
      </c>
      <c r="E30" s="271">
        <f t="shared" si="0"/>
        <v>0.62214807439999997</v>
      </c>
      <c r="F30" s="271">
        <f t="shared" si="1"/>
        <v>0.57008359379999995</v>
      </c>
      <c r="G30" s="272">
        <f t="shared" si="2"/>
        <v>0.60913195425</v>
      </c>
      <c r="H30" s="171"/>
      <c r="I30" s="147">
        <v>18</v>
      </c>
      <c r="J30" s="121">
        <f t="shared" si="13"/>
        <v>0.57559780280000006</v>
      </c>
      <c r="K30" s="121">
        <f t="shared" si="14"/>
        <v>0.52742888310000002</v>
      </c>
      <c r="L30" s="121">
        <f t="shared" si="3"/>
        <v>0.56355557287500013</v>
      </c>
      <c r="M30" s="171"/>
      <c r="N30" s="75">
        <v>18</v>
      </c>
      <c r="O30" s="78">
        <f t="shared" si="4"/>
        <v>0.60663131719999996</v>
      </c>
      <c r="P30" s="78">
        <f t="shared" si="5"/>
        <v>0.55586535689999994</v>
      </c>
      <c r="Q30" s="78">
        <f t="shared" si="6"/>
        <v>0.59393982712499993</v>
      </c>
      <c r="R30" s="171"/>
      <c r="S30" s="148">
        <v>18</v>
      </c>
      <c r="T30" s="122">
        <f t="shared" si="7"/>
        <v>0.51944191959999997</v>
      </c>
      <c r="U30" s="122">
        <f t="shared" si="8"/>
        <v>0.47597240669999996</v>
      </c>
      <c r="V30" s="122">
        <f t="shared" si="9"/>
        <v>0.50857454137500002</v>
      </c>
      <c r="W30" s="171"/>
      <c r="X30" s="149">
        <v>18</v>
      </c>
      <c r="Y30" s="123">
        <f t="shared" si="10"/>
        <v>0.51944191959999997</v>
      </c>
      <c r="Z30" s="123">
        <f t="shared" si="11"/>
        <v>0.47597240669999996</v>
      </c>
      <c r="AA30" s="123">
        <f t="shared" si="12"/>
        <v>0.50857454137500002</v>
      </c>
    </row>
    <row r="31" spans="1:27" x14ac:dyDescent="0.2">
      <c r="A31" s="108">
        <v>81</v>
      </c>
      <c r="B31" s="108">
        <v>88</v>
      </c>
      <c r="C31" s="3"/>
      <c r="D31" s="270">
        <v>19</v>
      </c>
      <c r="E31" s="271">
        <f t="shared" si="0"/>
        <v>0.61742959060000002</v>
      </c>
      <c r="F31" s="271">
        <f t="shared" si="1"/>
        <v>0.56497374839999992</v>
      </c>
      <c r="G31" s="272">
        <f t="shared" si="2"/>
        <v>0.60431563005</v>
      </c>
      <c r="H31" s="171"/>
      <c r="I31" s="147">
        <v>19</v>
      </c>
      <c r="J31" s="121">
        <f t="shared" si="13"/>
        <v>0.57123236470000005</v>
      </c>
      <c r="K31" s="121">
        <f t="shared" si="14"/>
        <v>0.52270136580000004</v>
      </c>
      <c r="L31" s="121">
        <f t="shared" si="3"/>
        <v>0.55909961497500005</v>
      </c>
      <c r="M31" s="171"/>
      <c r="N31" s="75">
        <v>19</v>
      </c>
      <c r="O31" s="78">
        <f t="shared" si="4"/>
        <v>0.60203051529999996</v>
      </c>
      <c r="P31" s="78">
        <f t="shared" si="5"/>
        <v>0.5508829542</v>
      </c>
      <c r="Q31" s="78">
        <f t="shared" si="6"/>
        <v>0.58924362502499994</v>
      </c>
      <c r="R31" s="171"/>
      <c r="S31" s="148">
        <v>19</v>
      </c>
      <c r="T31" s="122">
        <f t="shared" si="7"/>
        <v>0.51550237789999998</v>
      </c>
      <c r="U31" s="122">
        <f t="shared" si="8"/>
        <v>0.47170611059999995</v>
      </c>
      <c r="V31" s="122">
        <f t="shared" si="9"/>
        <v>0.50455331107500001</v>
      </c>
      <c r="W31" s="171"/>
      <c r="X31" s="149">
        <v>19</v>
      </c>
      <c r="Y31" s="123">
        <f t="shared" si="10"/>
        <v>0.51550237789999998</v>
      </c>
      <c r="Z31" s="123">
        <f t="shared" si="11"/>
        <v>0.47170611059999995</v>
      </c>
      <c r="AA31" s="123">
        <f t="shared" si="12"/>
        <v>0.50455331107500001</v>
      </c>
    </row>
    <row r="32" spans="1:27" x14ac:dyDescent="0.2">
      <c r="A32" s="108">
        <v>82</v>
      </c>
      <c r="B32" s="108">
        <v>89</v>
      </c>
      <c r="C32" s="3"/>
      <c r="D32" s="270">
        <v>20</v>
      </c>
      <c r="E32" s="271">
        <f t="shared" si="0"/>
        <v>0.61265519800000001</v>
      </c>
      <c r="F32" s="271">
        <f t="shared" si="1"/>
        <v>0.55980799420000005</v>
      </c>
      <c r="G32" s="272">
        <f t="shared" si="2"/>
        <v>0.59944339704999994</v>
      </c>
      <c r="H32" s="171"/>
      <c r="I32" s="147">
        <v>20</v>
      </c>
      <c r="J32" s="121">
        <f t="shared" si="13"/>
        <v>0.56681520100000005</v>
      </c>
      <c r="K32" s="121">
        <f t="shared" si="14"/>
        <v>0.51792212290000006</v>
      </c>
      <c r="L32" s="121">
        <f t="shared" si="3"/>
        <v>0.55459193147500008</v>
      </c>
      <c r="M32" s="171"/>
      <c r="N32" s="75">
        <v>20</v>
      </c>
      <c r="O32" s="78">
        <f t="shared" si="4"/>
        <v>0.59737519900000002</v>
      </c>
      <c r="P32" s="78">
        <f t="shared" si="5"/>
        <v>0.54584603710000001</v>
      </c>
      <c r="Q32" s="78">
        <f t="shared" si="6"/>
        <v>0.58449290852500002</v>
      </c>
      <c r="R32" s="171"/>
      <c r="S32" s="148">
        <v>20</v>
      </c>
      <c r="T32" s="122">
        <f t="shared" si="7"/>
        <v>0.51151615699999997</v>
      </c>
      <c r="U32" s="122">
        <f t="shared" si="8"/>
        <v>0.46739313529999998</v>
      </c>
      <c r="V32" s="122">
        <f t="shared" si="9"/>
        <v>0.50048540157499999</v>
      </c>
      <c r="W32" s="171"/>
      <c r="X32" s="149">
        <v>20</v>
      </c>
      <c r="Y32" s="123">
        <f t="shared" si="10"/>
        <v>0.51151615699999997</v>
      </c>
      <c r="Z32" s="123">
        <f t="shared" si="11"/>
        <v>0.46739313529999998</v>
      </c>
      <c r="AA32" s="123">
        <f t="shared" si="12"/>
        <v>0.50048540157499999</v>
      </c>
    </row>
    <row r="33" spans="1:27" x14ac:dyDescent="0.2">
      <c r="A33" s="108">
        <v>83</v>
      </c>
      <c r="B33" s="108">
        <v>90</v>
      </c>
      <c r="C33" s="3"/>
      <c r="D33" s="270">
        <v>21</v>
      </c>
      <c r="E33" s="271">
        <f t="shared" si="0"/>
        <v>0.60782489660000005</v>
      </c>
      <c r="F33" s="271">
        <f t="shared" si="1"/>
        <v>0.5545863312</v>
      </c>
      <c r="G33" s="272">
        <f t="shared" si="2"/>
        <v>0.59451525525000004</v>
      </c>
      <c r="H33" s="171"/>
      <c r="I33" s="147">
        <v>21</v>
      </c>
      <c r="J33" s="121">
        <f t="shared" si="13"/>
        <v>0.56234631170000005</v>
      </c>
      <c r="K33" s="121">
        <f t="shared" si="14"/>
        <v>0.51309115440000008</v>
      </c>
      <c r="L33" s="121">
        <f t="shared" si="3"/>
        <v>0.550032522375</v>
      </c>
      <c r="M33" s="171"/>
      <c r="N33" s="75">
        <v>21</v>
      </c>
      <c r="O33" s="78">
        <f t="shared" si="4"/>
        <v>0.59266536830000005</v>
      </c>
      <c r="P33" s="78">
        <f t="shared" si="5"/>
        <v>0.54075460559999999</v>
      </c>
      <c r="Q33" s="78">
        <f t="shared" si="6"/>
        <v>0.57968767762500006</v>
      </c>
      <c r="R33" s="171"/>
      <c r="S33" s="148">
        <v>21</v>
      </c>
      <c r="T33" s="122">
        <f t="shared" si="7"/>
        <v>0.50748325690000007</v>
      </c>
      <c r="U33" s="122">
        <f t="shared" si="8"/>
        <v>0.46303348080000001</v>
      </c>
      <c r="V33" s="122">
        <f t="shared" si="9"/>
        <v>0.49637081287500007</v>
      </c>
      <c r="W33" s="171"/>
      <c r="X33" s="149">
        <v>21</v>
      </c>
      <c r="Y33" s="123">
        <f t="shared" si="10"/>
        <v>0.50748325690000007</v>
      </c>
      <c r="Z33" s="123">
        <f t="shared" si="11"/>
        <v>0.46303348080000001</v>
      </c>
      <c r="AA33" s="123">
        <f t="shared" si="12"/>
        <v>0.49637081287500007</v>
      </c>
    </row>
    <row r="34" spans="1:27" x14ac:dyDescent="0.2">
      <c r="A34" s="108">
        <v>84</v>
      </c>
      <c r="B34" s="108">
        <v>91</v>
      </c>
      <c r="C34" s="3"/>
      <c r="D34" s="270">
        <v>22</v>
      </c>
      <c r="E34" s="271">
        <f t="shared" si="0"/>
        <v>0.60293868640000003</v>
      </c>
      <c r="F34" s="271">
        <f t="shared" si="1"/>
        <v>0.54930875940000001</v>
      </c>
      <c r="G34" s="272">
        <f t="shared" si="2"/>
        <v>0.58953120465000008</v>
      </c>
      <c r="H34" s="171"/>
      <c r="I34" s="147">
        <v>22</v>
      </c>
      <c r="J34" s="121">
        <f t="shared" si="13"/>
        <v>0.55782569680000005</v>
      </c>
      <c r="K34" s="121">
        <f t="shared" si="14"/>
        <v>0.50820846030000011</v>
      </c>
      <c r="L34" s="121">
        <f t="shared" si="3"/>
        <v>0.54542138767500004</v>
      </c>
      <c r="M34" s="171"/>
      <c r="N34" s="75">
        <v>22</v>
      </c>
      <c r="O34" s="78">
        <f t="shared" si="4"/>
        <v>0.58790102320000004</v>
      </c>
      <c r="P34" s="78">
        <f t="shared" si="5"/>
        <v>0.53560865970000004</v>
      </c>
      <c r="Q34" s="78">
        <f t="shared" si="6"/>
        <v>0.57482793232500007</v>
      </c>
      <c r="R34" s="171"/>
      <c r="S34" s="148">
        <v>22</v>
      </c>
      <c r="T34" s="122">
        <f t="shared" si="7"/>
        <v>0.50340367760000004</v>
      </c>
      <c r="U34" s="122">
        <f t="shared" si="8"/>
        <v>0.45862714710000002</v>
      </c>
      <c r="V34" s="122">
        <f t="shared" si="9"/>
        <v>0.49220954497500002</v>
      </c>
      <c r="W34" s="171"/>
      <c r="X34" s="149">
        <v>22</v>
      </c>
      <c r="Y34" s="123">
        <f t="shared" si="10"/>
        <v>0.50340367760000004</v>
      </c>
      <c r="Z34" s="123">
        <f t="shared" si="11"/>
        <v>0.45862714710000002</v>
      </c>
      <c r="AA34" s="123">
        <f t="shared" si="12"/>
        <v>0.49220954497500002</v>
      </c>
    </row>
    <row r="35" spans="1:27" x14ac:dyDescent="0.2">
      <c r="A35" s="108">
        <v>85</v>
      </c>
      <c r="B35" s="108">
        <v>92</v>
      </c>
      <c r="C35" s="3"/>
      <c r="D35" s="270">
        <v>23</v>
      </c>
      <c r="E35" s="271">
        <f t="shared" si="0"/>
        <v>0.59799656740000007</v>
      </c>
      <c r="F35" s="271">
        <f t="shared" si="1"/>
        <v>0.54397527879999996</v>
      </c>
      <c r="G35" s="272">
        <f t="shared" si="2"/>
        <v>0.58449124525000007</v>
      </c>
      <c r="H35" s="171"/>
      <c r="I35" s="147">
        <v>23</v>
      </c>
      <c r="J35" s="121">
        <f t="shared" si="13"/>
        <v>0.55325335630000005</v>
      </c>
      <c r="K35" s="121">
        <f t="shared" si="14"/>
        <v>0.50327404059999992</v>
      </c>
      <c r="L35" s="121">
        <f t="shared" si="3"/>
        <v>0.54075852737500008</v>
      </c>
      <c r="M35" s="171"/>
      <c r="N35" s="75">
        <v>23</v>
      </c>
      <c r="O35" s="78">
        <f t="shared" si="4"/>
        <v>0.58308216369999999</v>
      </c>
      <c r="P35" s="78">
        <f t="shared" si="5"/>
        <v>0.53040819939999995</v>
      </c>
      <c r="Q35" s="78">
        <f t="shared" si="6"/>
        <v>0.56991367262500003</v>
      </c>
      <c r="R35" s="171"/>
      <c r="S35" s="148">
        <v>23</v>
      </c>
      <c r="T35" s="122">
        <f t="shared" si="7"/>
        <v>0.49927741910000001</v>
      </c>
      <c r="U35" s="122">
        <f t="shared" si="8"/>
        <v>0.45417413419999991</v>
      </c>
      <c r="V35" s="122">
        <f t="shared" si="9"/>
        <v>0.48800159787499997</v>
      </c>
      <c r="W35" s="171"/>
      <c r="X35" s="149">
        <v>23</v>
      </c>
      <c r="Y35" s="123">
        <f t="shared" si="10"/>
        <v>0.49927741910000001</v>
      </c>
      <c r="Z35" s="123">
        <f t="shared" si="11"/>
        <v>0.45417413419999991</v>
      </c>
      <c r="AA35" s="123">
        <f t="shared" si="12"/>
        <v>0.48800159787499997</v>
      </c>
    </row>
    <row r="36" spans="1:27" x14ac:dyDescent="0.2">
      <c r="A36" s="108">
        <v>86</v>
      </c>
      <c r="B36" s="108">
        <v>93</v>
      </c>
      <c r="C36" s="3"/>
      <c r="D36" s="270">
        <v>24</v>
      </c>
      <c r="E36" s="271">
        <f t="shared" si="0"/>
        <v>0.59299853960000004</v>
      </c>
      <c r="F36" s="271">
        <f t="shared" si="1"/>
        <v>0.53858588939999996</v>
      </c>
      <c r="G36" s="272">
        <f t="shared" si="2"/>
        <v>0.57939537704999999</v>
      </c>
      <c r="H36" s="171"/>
      <c r="I36" s="147">
        <v>24</v>
      </c>
      <c r="J36" s="121">
        <f t="shared" si="13"/>
        <v>0.54862929020000006</v>
      </c>
      <c r="K36" s="121">
        <f t="shared" si="14"/>
        <v>0.49828789530000001</v>
      </c>
      <c r="L36" s="121">
        <f t="shared" si="3"/>
        <v>0.53604394147500001</v>
      </c>
      <c r="M36" s="171"/>
      <c r="N36" s="75">
        <v>24</v>
      </c>
      <c r="O36" s="78">
        <f t="shared" si="4"/>
        <v>0.57820878980000001</v>
      </c>
      <c r="P36" s="78">
        <f t="shared" si="5"/>
        <v>0.52515322470000003</v>
      </c>
      <c r="Q36" s="78">
        <f t="shared" si="6"/>
        <v>0.56494489852499996</v>
      </c>
      <c r="R36" s="171"/>
      <c r="S36" s="148">
        <v>24</v>
      </c>
      <c r="T36" s="122">
        <f t="shared" si="7"/>
        <v>0.49510448140000002</v>
      </c>
      <c r="U36" s="122">
        <f t="shared" si="8"/>
        <v>0.44967444209999996</v>
      </c>
      <c r="V36" s="122">
        <f t="shared" si="9"/>
        <v>0.48374697157500002</v>
      </c>
      <c r="W36" s="171"/>
      <c r="X36" s="149">
        <v>24</v>
      </c>
      <c r="Y36" s="123">
        <f t="shared" si="10"/>
        <v>0.49510448140000002</v>
      </c>
      <c r="Z36" s="123">
        <f t="shared" si="11"/>
        <v>0.44967444209999996</v>
      </c>
      <c r="AA36" s="123">
        <f t="shared" si="12"/>
        <v>0.48374697157500002</v>
      </c>
    </row>
    <row r="37" spans="1:27" x14ac:dyDescent="0.2">
      <c r="A37" s="108">
        <v>87</v>
      </c>
      <c r="B37" s="108">
        <v>94</v>
      </c>
      <c r="C37" s="3"/>
      <c r="D37" s="270">
        <v>25</v>
      </c>
      <c r="E37" s="271">
        <f t="shared" si="0"/>
        <v>0.58794460300000007</v>
      </c>
      <c r="F37" s="271">
        <f t="shared" si="1"/>
        <v>0.53314059120000012</v>
      </c>
      <c r="G37" s="272">
        <f t="shared" si="2"/>
        <v>0.57424360005000008</v>
      </c>
      <c r="H37" s="171"/>
      <c r="I37" s="147">
        <v>25</v>
      </c>
      <c r="J37" s="121">
        <f t="shared" si="13"/>
        <v>0.54395349850000019</v>
      </c>
      <c r="K37" s="121">
        <f t="shared" si="14"/>
        <v>0.49325002440000015</v>
      </c>
      <c r="L37" s="121">
        <f t="shared" si="3"/>
        <v>0.53127762997500017</v>
      </c>
      <c r="M37" s="171"/>
      <c r="N37" s="75">
        <v>25</v>
      </c>
      <c r="O37" s="78">
        <f t="shared" si="4"/>
        <v>0.57328090150000011</v>
      </c>
      <c r="P37" s="78">
        <f t="shared" si="5"/>
        <v>0.51984373560000008</v>
      </c>
      <c r="Q37" s="78">
        <f t="shared" si="6"/>
        <v>0.55992161002500018</v>
      </c>
      <c r="R37" s="171"/>
      <c r="S37" s="148">
        <v>25</v>
      </c>
      <c r="T37" s="122">
        <f t="shared" si="7"/>
        <v>0.49088486450000007</v>
      </c>
      <c r="U37" s="122">
        <f t="shared" si="8"/>
        <v>0.44512807080000011</v>
      </c>
      <c r="V37" s="122">
        <f t="shared" si="9"/>
        <v>0.47944566607500005</v>
      </c>
      <c r="W37" s="171"/>
      <c r="X37" s="149">
        <v>25</v>
      </c>
      <c r="Y37" s="123">
        <f t="shared" si="10"/>
        <v>0.49088486450000007</v>
      </c>
      <c r="Z37" s="123">
        <f t="shared" si="11"/>
        <v>0.44512807080000011</v>
      </c>
      <c r="AA37" s="123">
        <f t="shared" si="12"/>
        <v>0.47944566607500005</v>
      </c>
    </row>
    <row r="38" spans="1:27" x14ac:dyDescent="0.2">
      <c r="A38" s="108">
        <v>88</v>
      </c>
      <c r="B38" s="108">
        <v>95</v>
      </c>
      <c r="C38" s="3"/>
      <c r="D38" s="270">
        <v>26</v>
      </c>
      <c r="E38" s="271">
        <f t="shared" si="0"/>
        <v>0.58283475760000003</v>
      </c>
      <c r="F38" s="271">
        <f t="shared" si="1"/>
        <v>0.52763938420000001</v>
      </c>
      <c r="G38" s="272">
        <f t="shared" si="2"/>
        <v>0.56903591425</v>
      </c>
      <c r="H38" s="171"/>
      <c r="I38" s="147">
        <v>26</v>
      </c>
      <c r="J38" s="121">
        <f t="shared" si="13"/>
        <v>0.53922598119999998</v>
      </c>
      <c r="K38" s="121">
        <f t="shared" si="14"/>
        <v>0.48816042790000003</v>
      </c>
      <c r="L38" s="121">
        <f t="shared" si="3"/>
        <v>0.52645959287499999</v>
      </c>
      <c r="M38" s="171"/>
      <c r="N38" s="75">
        <v>26</v>
      </c>
      <c r="O38" s="78">
        <f t="shared" si="4"/>
        <v>0.56829849879999994</v>
      </c>
      <c r="P38" s="78">
        <f t="shared" si="5"/>
        <v>0.51447973209999998</v>
      </c>
      <c r="Q38" s="78">
        <f t="shared" si="6"/>
        <v>0.55484380712499992</v>
      </c>
      <c r="R38" s="171"/>
      <c r="S38" s="148">
        <v>26</v>
      </c>
      <c r="T38" s="122">
        <f t="shared" si="7"/>
        <v>0.48661856839999995</v>
      </c>
      <c r="U38" s="122">
        <f t="shared" si="8"/>
        <v>0.44053502029999997</v>
      </c>
      <c r="V38" s="122">
        <f t="shared" si="9"/>
        <v>0.47509768137499997</v>
      </c>
      <c r="W38" s="171"/>
      <c r="X38" s="149">
        <v>26</v>
      </c>
      <c r="Y38" s="123">
        <f t="shared" si="10"/>
        <v>0.48661856839999995</v>
      </c>
      <c r="Z38" s="123">
        <f t="shared" si="11"/>
        <v>0.44053502029999997</v>
      </c>
      <c r="AA38" s="123">
        <f t="shared" si="12"/>
        <v>0.47509768137499997</v>
      </c>
    </row>
    <row r="39" spans="1:27" x14ac:dyDescent="0.2">
      <c r="A39" s="108">
        <v>89</v>
      </c>
      <c r="B39" s="108">
        <v>96</v>
      </c>
      <c r="C39" s="3"/>
      <c r="D39" s="270">
        <v>27</v>
      </c>
      <c r="E39" s="271">
        <f t="shared" si="0"/>
        <v>0.57766900340000005</v>
      </c>
      <c r="F39" s="271">
        <f t="shared" si="1"/>
        <v>0.52208226839999994</v>
      </c>
      <c r="G39" s="272">
        <f t="shared" si="2"/>
        <v>0.56377231964999996</v>
      </c>
      <c r="H39" s="171"/>
      <c r="I39" s="147">
        <v>27</v>
      </c>
      <c r="J39" s="121">
        <f t="shared" si="13"/>
        <v>0.53444673830000011</v>
      </c>
      <c r="K39" s="121">
        <f t="shared" si="14"/>
        <v>0.48301910580000001</v>
      </c>
      <c r="L39" s="121">
        <f t="shared" si="3"/>
        <v>0.52158983017500005</v>
      </c>
      <c r="M39" s="171"/>
      <c r="N39" s="75">
        <v>27</v>
      </c>
      <c r="O39" s="78">
        <f t="shared" si="4"/>
        <v>0.56326158170000007</v>
      </c>
      <c r="P39" s="78">
        <f t="shared" si="5"/>
        <v>0.50906121419999995</v>
      </c>
      <c r="Q39" s="78">
        <f t="shared" si="6"/>
        <v>0.54971148982500007</v>
      </c>
      <c r="R39" s="171"/>
      <c r="S39" s="148">
        <v>27</v>
      </c>
      <c r="T39" s="122">
        <f t="shared" si="7"/>
        <v>0.48230559309999999</v>
      </c>
      <c r="U39" s="122">
        <f t="shared" si="8"/>
        <v>0.43589529059999998</v>
      </c>
      <c r="V39" s="122">
        <f t="shared" si="9"/>
        <v>0.47070301747499999</v>
      </c>
      <c r="W39" s="171"/>
      <c r="X39" s="149">
        <v>27</v>
      </c>
      <c r="Y39" s="123">
        <f t="shared" si="10"/>
        <v>0.48230559309999999</v>
      </c>
      <c r="Z39" s="123">
        <f t="shared" si="11"/>
        <v>0.43589529059999998</v>
      </c>
      <c r="AA39" s="123">
        <f t="shared" si="12"/>
        <v>0.47070301747499999</v>
      </c>
    </row>
    <row r="40" spans="1:27" x14ac:dyDescent="0.2">
      <c r="A40" s="108">
        <v>90</v>
      </c>
      <c r="B40" s="108">
        <v>97</v>
      </c>
      <c r="C40" s="3"/>
      <c r="D40" s="270">
        <v>28</v>
      </c>
      <c r="E40" s="271">
        <f t="shared" si="0"/>
        <v>0.5724473404</v>
      </c>
      <c r="F40" s="271">
        <f t="shared" si="1"/>
        <v>0.51646924380000003</v>
      </c>
      <c r="G40" s="272">
        <f t="shared" si="2"/>
        <v>0.55845281624999998</v>
      </c>
      <c r="H40" s="171"/>
      <c r="I40" s="147">
        <v>28</v>
      </c>
      <c r="J40" s="121">
        <f t="shared" si="13"/>
        <v>0.52961576980000002</v>
      </c>
      <c r="K40" s="121">
        <f t="shared" si="14"/>
        <v>0.47782605810000006</v>
      </c>
      <c r="L40" s="121">
        <f t="shared" si="3"/>
        <v>0.5166683418750001</v>
      </c>
      <c r="M40" s="171"/>
      <c r="N40" s="75">
        <v>28</v>
      </c>
      <c r="O40" s="78">
        <f t="shared" si="4"/>
        <v>0.55817015019999994</v>
      </c>
      <c r="P40" s="78">
        <f t="shared" si="5"/>
        <v>0.5035881819000001</v>
      </c>
      <c r="Q40" s="78">
        <f t="shared" si="6"/>
        <v>0.54452465812499995</v>
      </c>
      <c r="R40" s="171"/>
      <c r="S40" s="148">
        <v>28</v>
      </c>
      <c r="T40" s="122">
        <f t="shared" si="7"/>
        <v>0.47794593859999995</v>
      </c>
      <c r="U40" s="122">
        <f t="shared" si="8"/>
        <v>0.43120888170000005</v>
      </c>
      <c r="V40" s="122">
        <f t="shared" si="9"/>
        <v>0.46626167437499999</v>
      </c>
      <c r="W40" s="171"/>
      <c r="X40" s="149">
        <v>28</v>
      </c>
      <c r="Y40" s="123">
        <f t="shared" si="10"/>
        <v>0.47794593859999995</v>
      </c>
      <c r="Z40" s="123">
        <f t="shared" si="11"/>
        <v>0.43120888170000005</v>
      </c>
      <c r="AA40" s="123">
        <f t="shared" si="12"/>
        <v>0.46626167437499999</v>
      </c>
    </row>
    <row r="41" spans="1:27" x14ac:dyDescent="0.2">
      <c r="A41" s="108">
        <v>91</v>
      </c>
      <c r="B41" s="108">
        <v>98</v>
      </c>
      <c r="C41" s="3"/>
      <c r="D41" s="270">
        <v>29</v>
      </c>
      <c r="E41" s="271">
        <f t="shared" si="0"/>
        <v>0.56716976860000001</v>
      </c>
      <c r="F41" s="271">
        <f t="shared" si="1"/>
        <v>0.51080031040000007</v>
      </c>
      <c r="G41" s="272">
        <f t="shared" si="2"/>
        <v>0.55307740405000005</v>
      </c>
      <c r="H41" s="171"/>
      <c r="I41" s="147">
        <v>29</v>
      </c>
      <c r="J41" s="121">
        <f t="shared" si="13"/>
        <v>0.52473307570000005</v>
      </c>
      <c r="K41" s="121">
        <f t="shared" si="14"/>
        <v>0.47258128480000017</v>
      </c>
      <c r="L41" s="121">
        <f t="shared" si="3"/>
        <v>0.51169512797500016</v>
      </c>
      <c r="M41" s="171"/>
      <c r="N41" s="75">
        <v>29</v>
      </c>
      <c r="O41" s="78">
        <f t="shared" si="4"/>
        <v>0.5530242043000001</v>
      </c>
      <c r="P41" s="78">
        <f t="shared" si="5"/>
        <v>0.4980606352000001</v>
      </c>
      <c r="Q41" s="78">
        <f t="shared" si="6"/>
        <v>0.53928331202500002</v>
      </c>
      <c r="R41" s="171"/>
      <c r="S41" s="148">
        <v>29</v>
      </c>
      <c r="T41" s="122">
        <f t="shared" si="7"/>
        <v>0.47353960490000002</v>
      </c>
      <c r="U41" s="122">
        <f t="shared" si="8"/>
        <v>0.4264757936000001</v>
      </c>
      <c r="V41" s="122">
        <f t="shared" si="9"/>
        <v>0.46177365207500004</v>
      </c>
      <c r="W41" s="171"/>
      <c r="X41" s="149">
        <v>29</v>
      </c>
      <c r="Y41" s="123">
        <f t="shared" si="10"/>
        <v>0.47353960490000002</v>
      </c>
      <c r="Z41" s="123">
        <f t="shared" si="11"/>
        <v>0.4264757936000001</v>
      </c>
      <c r="AA41" s="123">
        <f t="shared" si="12"/>
        <v>0.46177365207500004</v>
      </c>
    </row>
    <row r="42" spans="1:27" x14ac:dyDescent="0.2">
      <c r="A42" s="108">
        <v>92</v>
      </c>
      <c r="B42" s="108">
        <v>99</v>
      </c>
      <c r="C42" s="3"/>
      <c r="D42" s="270">
        <v>30</v>
      </c>
      <c r="E42" s="271">
        <f t="shared" si="0"/>
        <v>0.56183628800000007</v>
      </c>
      <c r="F42" s="271">
        <f t="shared" si="1"/>
        <v>0.50507546820000004</v>
      </c>
      <c r="G42" s="272">
        <f t="shared" si="2"/>
        <v>0.54764608305000007</v>
      </c>
      <c r="H42" s="171"/>
      <c r="I42" s="147">
        <v>30</v>
      </c>
      <c r="J42" s="121">
        <f t="shared" si="13"/>
        <v>0.51979865600000008</v>
      </c>
      <c r="K42" s="121">
        <f t="shared" si="14"/>
        <v>0.46728478590000011</v>
      </c>
      <c r="L42" s="121">
        <f t="shared" si="3"/>
        <v>0.50667018847500012</v>
      </c>
      <c r="M42" s="171"/>
      <c r="N42" s="75">
        <v>30</v>
      </c>
      <c r="O42" s="78">
        <f t="shared" si="4"/>
        <v>0.547823744</v>
      </c>
      <c r="P42" s="78">
        <f t="shared" si="5"/>
        <v>0.49247857410000007</v>
      </c>
      <c r="Q42" s="78">
        <f t="shared" si="6"/>
        <v>0.53398745152500005</v>
      </c>
      <c r="R42" s="171"/>
      <c r="S42" s="148">
        <v>30</v>
      </c>
      <c r="T42" s="122">
        <f t="shared" si="7"/>
        <v>0.46908659200000002</v>
      </c>
      <c r="U42" s="122">
        <f t="shared" si="8"/>
        <v>0.42169602630000003</v>
      </c>
      <c r="V42" s="122">
        <f t="shared" si="9"/>
        <v>0.45723895057500002</v>
      </c>
      <c r="W42" s="171"/>
      <c r="X42" s="149">
        <v>30</v>
      </c>
      <c r="Y42" s="123">
        <f t="shared" si="10"/>
        <v>0.46908659200000002</v>
      </c>
      <c r="Z42" s="123">
        <f t="shared" si="11"/>
        <v>0.42169602630000003</v>
      </c>
      <c r="AA42" s="123">
        <f t="shared" si="12"/>
        <v>0.45723895057500002</v>
      </c>
    </row>
    <row r="43" spans="1:27" x14ac:dyDescent="0.2">
      <c r="A43" s="108">
        <v>93</v>
      </c>
      <c r="B43" s="108">
        <v>100</v>
      </c>
      <c r="C43" s="3"/>
      <c r="D43" s="270">
        <v>31</v>
      </c>
      <c r="E43" s="271">
        <f t="shared" si="0"/>
        <v>0.55644689860000007</v>
      </c>
      <c r="F43" s="271">
        <f t="shared" si="1"/>
        <v>0.49929471720000013</v>
      </c>
      <c r="G43" s="272">
        <f t="shared" si="2"/>
        <v>0.54215885325000013</v>
      </c>
      <c r="H43" s="171"/>
      <c r="I43" s="147">
        <v>31</v>
      </c>
      <c r="J43" s="121">
        <f t="shared" si="13"/>
        <v>0.51481251070000011</v>
      </c>
      <c r="K43" s="121">
        <f t="shared" si="14"/>
        <v>0.46193656140000011</v>
      </c>
      <c r="L43" s="121">
        <f t="shared" si="3"/>
        <v>0.50159352337500007</v>
      </c>
      <c r="M43" s="171"/>
      <c r="N43" s="75">
        <v>31</v>
      </c>
      <c r="O43" s="78">
        <f t="shared" si="4"/>
        <v>0.54256876930000009</v>
      </c>
      <c r="P43" s="78">
        <f t="shared" si="5"/>
        <v>0.4868419986000001</v>
      </c>
      <c r="Q43" s="78">
        <f t="shared" si="6"/>
        <v>0.52863707662500015</v>
      </c>
      <c r="R43" s="171"/>
      <c r="S43" s="148">
        <v>31</v>
      </c>
      <c r="T43" s="122">
        <f t="shared" si="7"/>
        <v>0.46458689990000007</v>
      </c>
      <c r="U43" s="122">
        <f t="shared" si="8"/>
        <v>0.41686957980000006</v>
      </c>
      <c r="V43" s="122">
        <f t="shared" si="9"/>
        <v>0.45265756987500005</v>
      </c>
      <c r="W43" s="171"/>
      <c r="X43" s="149">
        <v>31</v>
      </c>
      <c r="Y43" s="123">
        <f t="shared" si="10"/>
        <v>0.46458689990000007</v>
      </c>
      <c r="Z43" s="123">
        <f t="shared" si="11"/>
        <v>0.41686957980000006</v>
      </c>
      <c r="AA43" s="123">
        <f t="shared" si="12"/>
        <v>0.45265756987500005</v>
      </c>
    </row>
    <row r="44" spans="1:27" x14ac:dyDescent="0.2">
      <c r="A44" s="108">
        <v>94</v>
      </c>
      <c r="B44" s="108">
        <v>101</v>
      </c>
      <c r="C44" s="3"/>
      <c r="D44" s="270">
        <v>32</v>
      </c>
      <c r="E44" s="271">
        <f t="shared" si="0"/>
        <v>0.55100160040000001</v>
      </c>
      <c r="F44" s="271">
        <f t="shared" si="1"/>
        <v>0.49345805740000004</v>
      </c>
      <c r="G44" s="272">
        <f t="shared" si="2"/>
        <v>0.53661571465000002</v>
      </c>
      <c r="H44" s="171"/>
      <c r="I44" s="147">
        <v>32</v>
      </c>
      <c r="J44" s="121">
        <f t="shared" si="13"/>
        <v>0.50977463980000004</v>
      </c>
      <c r="K44" s="121">
        <f t="shared" si="14"/>
        <v>0.45653661130000006</v>
      </c>
      <c r="L44" s="121">
        <f t="shared" si="3"/>
        <v>0.49646513267500003</v>
      </c>
      <c r="M44" s="171"/>
      <c r="N44" s="75">
        <v>32</v>
      </c>
      <c r="O44" s="78">
        <f t="shared" si="4"/>
        <v>0.53725928020000002</v>
      </c>
      <c r="P44" s="78">
        <f t="shared" si="5"/>
        <v>0.48115090869999999</v>
      </c>
      <c r="Q44" s="78">
        <f t="shared" si="6"/>
        <v>0.52323218732499999</v>
      </c>
      <c r="R44" s="171"/>
      <c r="S44" s="148">
        <v>32</v>
      </c>
      <c r="T44" s="122">
        <f t="shared" si="7"/>
        <v>0.46004052860000005</v>
      </c>
      <c r="U44" s="122">
        <f t="shared" si="8"/>
        <v>0.41199645410000002</v>
      </c>
      <c r="V44" s="122">
        <f t="shared" si="9"/>
        <v>0.44802950997500007</v>
      </c>
      <c r="W44" s="171"/>
      <c r="X44" s="149">
        <v>32</v>
      </c>
      <c r="Y44" s="123">
        <f t="shared" si="10"/>
        <v>0.46004052860000005</v>
      </c>
      <c r="Z44" s="123">
        <f t="shared" si="11"/>
        <v>0.41199645410000002</v>
      </c>
      <c r="AA44" s="123">
        <f t="shared" si="12"/>
        <v>0.44802950997500007</v>
      </c>
    </row>
    <row r="45" spans="1:27" x14ac:dyDescent="0.2">
      <c r="A45" s="108">
        <v>95</v>
      </c>
      <c r="B45" s="108">
        <v>102</v>
      </c>
      <c r="C45" s="3"/>
      <c r="D45" s="270">
        <v>33</v>
      </c>
      <c r="E45" s="271">
        <f t="shared" si="0"/>
        <v>0.54550039340000012</v>
      </c>
      <c r="F45" s="271">
        <f t="shared" si="1"/>
        <v>0.4875654888</v>
      </c>
      <c r="G45" s="272">
        <f t="shared" si="2"/>
        <v>0.53101666725000007</v>
      </c>
      <c r="H45" s="171"/>
      <c r="I45" s="147">
        <v>33</v>
      </c>
      <c r="J45" s="121">
        <f t="shared" si="13"/>
        <v>0.50468504330000008</v>
      </c>
      <c r="K45" s="121">
        <f t="shared" si="14"/>
        <v>0.45108493560000001</v>
      </c>
      <c r="L45" s="121">
        <f t="shared" si="3"/>
        <v>0.49128501637500005</v>
      </c>
      <c r="M45" s="171"/>
      <c r="N45" s="75">
        <v>33</v>
      </c>
      <c r="O45" s="78">
        <f t="shared" si="4"/>
        <v>0.53189527670000003</v>
      </c>
      <c r="P45" s="78">
        <f t="shared" si="5"/>
        <v>0.47540530440000001</v>
      </c>
      <c r="Q45" s="78">
        <f t="shared" si="6"/>
        <v>0.51777278362500001</v>
      </c>
      <c r="R45" s="171"/>
      <c r="S45" s="148">
        <v>33</v>
      </c>
      <c r="T45" s="122">
        <f t="shared" si="7"/>
        <v>0.45544747810000008</v>
      </c>
      <c r="U45" s="122">
        <f t="shared" si="8"/>
        <v>0.40707664919999997</v>
      </c>
      <c r="V45" s="122">
        <f t="shared" si="9"/>
        <v>0.44335477087500008</v>
      </c>
      <c r="W45" s="171"/>
      <c r="X45" s="149">
        <v>33</v>
      </c>
      <c r="Y45" s="123">
        <f t="shared" si="10"/>
        <v>0.45544747810000008</v>
      </c>
      <c r="Z45" s="123">
        <f t="shared" si="11"/>
        <v>0.40707664919999997</v>
      </c>
      <c r="AA45" s="123">
        <f t="shared" si="12"/>
        <v>0.44335477087500008</v>
      </c>
    </row>
    <row r="46" spans="1:27" x14ac:dyDescent="0.2">
      <c r="A46" s="108">
        <v>96</v>
      </c>
      <c r="B46" s="108">
        <v>103</v>
      </c>
      <c r="C46" s="3"/>
      <c r="D46" s="270">
        <v>34</v>
      </c>
      <c r="E46" s="271">
        <f t="shared" si="0"/>
        <v>0.53994327760000005</v>
      </c>
      <c r="F46" s="271">
        <f t="shared" si="1"/>
        <v>0.48161701140000007</v>
      </c>
      <c r="G46" s="272">
        <f t="shared" si="2"/>
        <v>0.52536171105000007</v>
      </c>
      <c r="H46" s="171"/>
      <c r="I46" s="147">
        <v>34</v>
      </c>
      <c r="J46" s="121">
        <f t="shared" si="13"/>
        <v>0.49954372120000012</v>
      </c>
      <c r="K46" s="121">
        <f t="shared" si="14"/>
        <v>0.44558153430000008</v>
      </c>
      <c r="L46" s="121">
        <f t="shared" si="3"/>
        <v>0.48605317447500007</v>
      </c>
      <c r="M46" s="171"/>
      <c r="N46" s="75">
        <v>34</v>
      </c>
      <c r="O46" s="78">
        <f t="shared" si="4"/>
        <v>0.52647675880000011</v>
      </c>
      <c r="P46" s="78">
        <f t="shared" si="5"/>
        <v>0.46960518570000004</v>
      </c>
      <c r="Q46" s="78">
        <f t="shared" si="6"/>
        <v>0.51225886552500011</v>
      </c>
      <c r="R46" s="171"/>
      <c r="S46" s="148">
        <v>34</v>
      </c>
      <c r="T46" s="122">
        <f t="shared" si="7"/>
        <v>0.45080774840000004</v>
      </c>
      <c r="U46" s="122">
        <f t="shared" si="8"/>
        <v>0.40211016510000003</v>
      </c>
      <c r="V46" s="122">
        <f t="shared" si="9"/>
        <v>0.43863335257500008</v>
      </c>
      <c r="W46" s="171"/>
      <c r="X46" s="149">
        <v>34</v>
      </c>
      <c r="Y46" s="123">
        <f t="shared" si="10"/>
        <v>0.45080774840000004</v>
      </c>
      <c r="Z46" s="123">
        <f t="shared" si="11"/>
        <v>0.40211016510000003</v>
      </c>
      <c r="AA46" s="123">
        <f t="shared" si="12"/>
        <v>0.43863335257500008</v>
      </c>
    </row>
    <row r="47" spans="1:27" x14ac:dyDescent="0.2">
      <c r="A47" s="108">
        <v>97</v>
      </c>
      <c r="B47" s="108">
        <v>104</v>
      </c>
      <c r="C47" s="3"/>
      <c r="D47" s="270">
        <v>35</v>
      </c>
      <c r="E47" s="271">
        <f t="shared" si="0"/>
        <v>0.53433025300000003</v>
      </c>
      <c r="F47" s="271">
        <f t="shared" si="1"/>
        <v>0.47561262520000003</v>
      </c>
      <c r="G47" s="272">
        <f t="shared" si="2"/>
        <v>0.51965084605</v>
      </c>
      <c r="H47" s="171"/>
      <c r="I47" s="147">
        <v>35</v>
      </c>
      <c r="J47" s="121">
        <f t="shared" si="13"/>
        <v>0.4943506735</v>
      </c>
      <c r="K47" s="121">
        <f t="shared" si="14"/>
        <v>0.44002640740000004</v>
      </c>
      <c r="L47" s="121">
        <f t="shared" si="3"/>
        <v>0.48076960697499999</v>
      </c>
      <c r="M47" s="171"/>
      <c r="N47" s="75">
        <v>35</v>
      </c>
      <c r="O47" s="78">
        <f t="shared" si="4"/>
        <v>0.52100372649999993</v>
      </c>
      <c r="P47" s="78">
        <f t="shared" si="5"/>
        <v>0.46375055260000003</v>
      </c>
      <c r="Q47" s="78">
        <f t="shared" si="6"/>
        <v>0.50669043302499994</v>
      </c>
      <c r="R47" s="171"/>
      <c r="S47" s="148">
        <v>35</v>
      </c>
      <c r="T47" s="122">
        <f t="shared" si="7"/>
        <v>0.44612133949999999</v>
      </c>
      <c r="U47" s="122">
        <f t="shared" si="8"/>
        <v>0.39709700180000002</v>
      </c>
      <c r="V47" s="122">
        <f t="shared" si="9"/>
        <v>0.43386525507500001</v>
      </c>
      <c r="W47" s="171"/>
      <c r="X47" s="149">
        <v>35</v>
      </c>
      <c r="Y47" s="123">
        <f t="shared" si="10"/>
        <v>0.44612133949999999</v>
      </c>
      <c r="Z47" s="123">
        <f t="shared" si="11"/>
        <v>0.39709700180000002</v>
      </c>
      <c r="AA47" s="123">
        <f t="shared" si="12"/>
        <v>0.43386525507500001</v>
      </c>
    </row>
    <row r="48" spans="1:27" x14ac:dyDescent="0.2">
      <c r="A48" s="108">
        <v>98</v>
      </c>
      <c r="B48" s="108">
        <v>105</v>
      </c>
      <c r="C48" s="3"/>
      <c r="D48" s="270">
        <v>36</v>
      </c>
      <c r="E48" s="271">
        <f t="shared" si="0"/>
        <v>0.52866131960000007</v>
      </c>
      <c r="F48" s="271">
        <f t="shared" si="1"/>
        <v>0.46955233020000003</v>
      </c>
      <c r="G48" s="272">
        <f t="shared" si="2"/>
        <v>0.5138840722500001</v>
      </c>
      <c r="H48" s="171"/>
      <c r="I48" s="147">
        <v>36</v>
      </c>
      <c r="J48" s="121">
        <f t="shared" si="13"/>
        <v>0.48910590020000005</v>
      </c>
      <c r="K48" s="121">
        <f t="shared" si="14"/>
        <v>0.43441955490000006</v>
      </c>
      <c r="L48" s="121">
        <f t="shared" si="3"/>
        <v>0.47543431387500007</v>
      </c>
      <c r="M48" s="171"/>
      <c r="N48" s="75">
        <v>36</v>
      </c>
      <c r="O48" s="78">
        <f t="shared" si="4"/>
        <v>0.51547617980000005</v>
      </c>
      <c r="P48" s="78">
        <f t="shared" si="5"/>
        <v>0.45784140510000004</v>
      </c>
      <c r="Q48" s="78">
        <f t="shared" si="6"/>
        <v>0.50106748612500007</v>
      </c>
      <c r="R48" s="171"/>
      <c r="S48" s="148">
        <v>36</v>
      </c>
      <c r="T48" s="122">
        <f t="shared" si="7"/>
        <v>0.44138825140000004</v>
      </c>
      <c r="U48" s="122">
        <f t="shared" si="8"/>
        <v>0.39203715930000005</v>
      </c>
      <c r="V48" s="122">
        <f t="shared" si="9"/>
        <v>0.42905047837500004</v>
      </c>
      <c r="W48" s="171"/>
      <c r="X48" s="149">
        <v>36</v>
      </c>
      <c r="Y48" s="123">
        <f t="shared" si="10"/>
        <v>0.44138825140000004</v>
      </c>
      <c r="Z48" s="123">
        <f t="shared" si="11"/>
        <v>0.39203715930000005</v>
      </c>
      <c r="AA48" s="123">
        <f t="shared" si="12"/>
        <v>0.42905047837500004</v>
      </c>
    </row>
    <row r="49" spans="1:27" x14ac:dyDescent="0.2">
      <c r="A49" s="108">
        <v>99</v>
      </c>
      <c r="B49" s="108">
        <v>106</v>
      </c>
      <c r="C49" s="3"/>
      <c r="D49" s="270">
        <v>37</v>
      </c>
      <c r="E49" s="271">
        <f t="shared" si="0"/>
        <v>0.52293647740000004</v>
      </c>
      <c r="F49" s="271">
        <f t="shared" si="1"/>
        <v>0.46343612640000004</v>
      </c>
      <c r="G49" s="272">
        <f t="shared" si="2"/>
        <v>0.50806138965000003</v>
      </c>
      <c r="H49" s="171"/>
      <c r="I49" s="147">
        <v>37</v>
      </c>
      <c r="J49" s="121">
        <f t="shared" si="13"/>
        <v>0.48380940130000005</v>
      </c>
      <c r="K49" s="121">
        <f t="shared" si="14"/>
        <v>0.42876097680000008</v>
      </c>
      <c r="L49" s="121">
        <f t="shared" si="3"/>
        <v>0.47004729517500005</v>
      </c>
      <c r="M49" s="171"/>
      <c r="N49" s="75">
        <v>37</v>
      </c>
      <c r="O49" s="78">
        <f t="shared" si="4"/>
        <v>0.50989411870000001</v>
      </c>
      <c r="P49" s="78">
        <f t="shared" si="5"/>
        <v>0.45187774320000007</v>
      </c>
      <c r="Q49" s="78">
        <f t="shared" si="6"/>
        <v>0.495390024825</v>
      </c>
      <c r="R49" s="171"/>
      <c r="S49" s="148">
        <v>37</v>
      </c>
      <c r="T49" s="122">
        <f t="shared" si="7"/>
        <v>0.43660848409999997</v>
      </c>
      <c r="U49" s="122">
        <f t="shared" si="8"/>
        <v>0.38693063760000002</v>
      </c>
      <c r="V49" s="122">
        <f t="shared" si="9"/>
        <v>0.42418902247500001</v>
      </c>
      <c r="W49" s="171"/>
      <c r="X49" s="149">
        <v>37</v>
      </c>
      <c r="Y49" s="123">
        <f t="shared" si="10"/>
        <v>0.43660848409999997</v>
      </c>
      <c r="Z49" s="123">
        <f t="shared" si="11"/>
        <v>0.38693063760000002</v>
      </c>
      <c r="AA49" s="123">
        <f t="shared" si="12"/>
        <v>0.42418902247500001</v>
      </c>
    </row>
    <row r="50" spans="1:27" x14ac:dyDescent="0.2">
      <c r="A50" s="108">
        <v>100</v>
      </c>
      <c r="B50" s="108">
        <v>107</v>
      </c>
      <c r="C50" s="3"/>
      <c r="D50" s="270">
        <v>38</v>
      </c>
      <c r="E50" s="271">
        <f t="shared" si="0"/>
        <v>0.51715572640000007</v>
      </c>
      <c r="F50" s="271">
        <f t="shared" si="1"/>
        <v>0.45726401379999998</v>
      </c>
      <c r="G50" s="272">
        <f t="shared" si="2"/>
        <v>0.50218279825000012</v>
      </c>
      <c r="H50" s="171"/>
      <c r="I50" s="147">
        <v>38</v>
      </c>
      <c r="J50" s="121">
        <f t="shared" si="13"/>
        <v>0.47846117680000005</v>
      </c>
      <c r="K50" s="121">
        <f t="shared" si="14"/>
        <v>0.4230506731</v>
      </c>
      <c r="L50" s="121">
        <f t="shared" si="3"/>
        <v>0.46460855087500008</v>
      </c>
      <c r="M50" s="171"/>
      <c r="N50" s="75">
        <v>38</v>
      </c>
      <c r="O50" s="78">
        <f t="shared" si="4"/>
        <v>0.50425754320000005</v>
      </c>
      <c r="P50" s="78">
        <f t="shared" si="5"/>
        <v>0.44585956689999995</v>
      </c>
      <c r="Q50" s="78">
        <f t="shared" si="6"/>
        <v>0.48965804912499999</v>
      </c>
      <c r="R50" s="171"/>
      <c r="S50" s="148">
        <v>38</v>
      </c>
      <c r="T50" s="122">
        <f t="shared" si="7"/>
        <v>0.4317820376</v>
      </c>
      <c r="U50" s="122">
        <f t="shared" si="8"/>
        <v>0.38177743669999997</v>
      </c>
      <c r="V50" s="122">
        <f t="shared" si="9"/>
        <v>0.41928088737499997</v>
      </c>
      <c r="W50" s="171"/>
      <c r="X50" s="149">
        <v>38</v>
      </c>
      <c r="Y50" s="123">
        <f t="shared" si="10"/>
        <v>0.4317820376</v>
      </c>
      <c r="Z50" s="123">
        <f t="shared" si="11"/>
        <v>0.38177743669999997</v>
      </c>
      <c r="AA50" s="123">
        <f t="shared" si="12"/>
        <v>0.41928088737499997</v>
      </c>
    </row>
    <row r="51" spans="1:27" x14ac:dyDescent="0.2">
      <c r="A51" s="108">
        <v>101</v>
      </c>
      <c r="B51" s="108">
        <v>108</v>
      </c>
      <c r="D51" s="270">
        <v>39</v>
      </c>
      <c r="E51" s="271">
        <f t="shared" si="0"/>
        <v>0.51131906660000004</v>
      </c>
      <c r="F51" s="271">
        <f t="shared" si="1"/>
        <v>0.45103599240000003</v>
      </c>
      <c r="G51" s="272">
        <f t="shared" si="2"/>
        <v>0.49624829805000004</v>
      </c>
      <c r="H51" s="171"/>
      <c r="I51" s="147">
        <v>39</v>
      </c>
      <c r="J51" s="121">
        <f t="shared" si="13"/>
        <v>0.47306122670000006</v>
      </c>
      <c r="K51" s="121">
        <f t="shared" si="14"/>
        <v>0.41728864380000003</v>
      </c>
      <c r="L51" s="121">
        <f t="shared" si="3"/>
        <v>0.45911808097500006</v>
      </c>
      <c r="M51" s="171"/>
      <c r="N51" s="75">
        <v>39</v>
      </c>
      <c r="O51" s="78">
        <f t="shared" si="4"/>
        <v>0.49856645330000005</v>
      </c>
      <c r="P51" s="78">
        <f t="shared" si="5"/>
        <v>0.43978687620000001</v>
      </c>
      <c r="Q51" s="78">
        <f t="shared" si="6"/>
        <v>0.48387155902500001</v>
      </c>
      <c r="R51" s="171"/>
      <c r="S51" s="148">
        <v>39</v>
      </c>
      <c r="T51" s="122">
        <f t="shared" si="7"/>
        <v>0.42690891190000002</v>
      </c>
      <c r="U51" s="122">
        <f t="shared" si="8"/>
        <v>0.37657755660000003</v>
      </c>
      <c r="V51" s="122">
        <f t="shared" si="9"/>
        <v>0.41432607307500002</v>
      </c>
      <c r="W51" s="171"/>
      <c r="X51" s="149">
        <v>39</v>
      </c>
      <c r="Y51" s="123">
        <f t="shared" si="10"/>
        <v>0.42690891190000002</v>
      </c>
      <c r="Z51" s="123">
        <f t="shared" si="11"/>
        <v>0.37657755660000003</v>
      </c>
      <c r="AA51" s="123">
        <f t="shared" si="12"/>
        <v>0.41432607307500002</v>
      </c>
    </row>
    <row r="52" spans="1:27" x14ac:dyDescent="0.2">
      <c r="A52" s="108">
        <v>102</v>
      </c>
      <c r="B52" s="108">
        <v>109</v>
      </c>
      <c r="D52" s="273">
        <v>40</v>
      </c>
      <c r="E52" s="274">
        <f t="shared" si="0"/>
        <v>0.50542649800000017</v>
      </c>
      <c r="F52" s="274">
        <f t="shared" si="1"/>
        <v>0.44475206219999996</v>
      </c>
      <c r="G52" s="275">
        <f t="shared" si="2"/>
        <v>0.49025788905000012</v>
      </c>
      <c r="H52" s="171"/>
      <c r="I52" s="147">
        <v>40</v>
      </c>
      <c r="J52" s="121">
        <f t="shared" si="13"/>
        <v>0.46760955100000012</v>
      </c>
      <c r="K52" s="121">
        <f t="shared" si="14"/>
        <v>0.4114748889</v>
      </c>
      <c r="L52" s="121">
        <f t="shared" si="3"/>
        <v>0.45357588547500005</v>
      </c>
      <c r="M52" s="171"/>
      <c r="N52" s="75">
        <v>40</v>
      </c>
      <c r="O52" s="78">
        <f t="shared" si="4"/>
        <v>0.49282084900000012</v>
      </c>
      <c r="P52" s="78">
        <f t="shared" si="5"/>
        <v>0.43365967109999998</v>
      </c>
      <c r="Q52" s="78">
        <f t="shared" si="6"/>
        <v>0.4780305545250001</v>
      </c>
      <c r="R52" s="171"/>
      <c r="S52" s="148">
        <v>40</v>
      </c>
      <c r="T52" s="122">
        <f t="shared" si="7"/>
        <v>0.42198910700000009</v>
      </c>
      <c r="U52" s="122">
        <f t="shared" si="8"/>
        <v>0.37133099729999997</v>
      </c>
      <c r="V52" s="122">
        <f t="shared" si="9"/>
        <v>0.40932457957500001</v>
      </c>
      <c r="W52" s="171"/>
      <c r="X52" s="149">
        <v>40</v>
      </c>
      <c r="Y52" s="123">
        <f t="shared" si="10"/>
        <v>0.42198910700000009</v>
      </c>
      <c r="Z52" s="123">
        <f t="shared" si="11"/>
        <v>0.37133099729999997</v>
      </c>
      <c r="AA52" s="123">
        <f t="shared" si="12"/>
        <v>0.40932457957500001</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sqref="A1:XFD1048576"/>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 customHeight="1" x14ac:dyDescent="0.2">
      <c r="A1" s="65" t="s">
        <v>324</v>
      </c>
      <c r="B1" s="65" t="s">
        <v>325</v>
      </c>
      <c r="C1" s="67" t="s">
        <v>377</v>
      </c>
      <c r="D1" s="462" t="s">
        <v>326</v>
      </c>
      <c r="E1" s="462"/>
      <c r="F1" s="70" t="s">
        <v>458</v>
      </c>
      <c r="G1" s="65" t="s">
        <v>383</v>
      </c>
    </row>
    <row r="2" spans="1:8" ht="32" x14ac:dyDescent="0.2">
      <c r="A2" s="72" t="s">
        <v>327</v>
      </c>
      <c r="B2" s="66" t="s">
        <v>478</v>
      </c>
      <c r="C2" s="52"/>
      <c r="D2" s="52"/>
      <c r="E2" s="52"/>
      <c r="F2" s="52"/>
      <c r="G2" s="71" t="s">
        <v>345</v>
      </c>
    </row>
    <row r="3" spans="1:8" x14ac:dyDescent="0.2">
      <c r="A3" s="73" t="s">
        <v>480</v>
      </c>
      <c r="B3" s="103">
        <v>0.72</v>
      </c>
      <c r="C3" s="52"/>
      <c r="D3" s="52"/>
      <c r="E3" s="52"/>
      <c r="F3" s="52"/>
      <c r="G3" s="71" t="s">
        <v>481</v>
      </c>
    </row>
    <row r="4" spans="1:8" ht="16.5" customHeight="1" x14ac:dyDescent="0.2">
      <c r="A4" s="52" t="s">
        <v>337</v>
      </c>
      <c r="B4" s="187">
        <v>0.5005588376177551</v>
      </c>
      <c r="E4" s="52" t="s">
        <v>350</v>
      </c>
      <c r="F4" s="52"/>
      <c r="G4" t="s">
        <v>622</v>
      </c>
      <c r="H4" s="186" t="s">
        <v>619</v>
      </c>
    </row>
    <row r="5" spans="1:8" ht="14" customHeight="1" x14ac:dyDescent="0.2">
      <c r="A5" s="52" t="s">
        <v>338</v>
      </c>
      <c r="B5" s="187">
        <v>0.47421363563787322</v>
      </c>
      <c r="C5" s="52" t="s">
        <v>350</v>
      </c>
      <c r="D5" s="52" t="s">
        <v>350</v>
      </c>
      <c r="E5" s="52" t="s">
        <v>350</v>
      </c>
      <c r="F5" s="52"/>
      <c r="G5" t="s">
        <v>622</v>
      </c>
      <c r="H5" s="186" t="s">
        <v>620</v>
      </c>
    </row>
    <row r="6" spans="1:8" ht="14.5" customHeight="1" x14ac:dyDescent="0.2">
      <c r="A6" s="52" t="s">
        <v>339</v>
      </c>
      <c r="B6" s="187">
        <v>2.5227526744371707E-2</v>
      </c>
      <c r="C6" s="52" t="s">
        <v>350</v>
      </c>
      <c r="D6" s="52" t="s">
        <v>350</v>
      </c>
      <c r="E6" s="52" t="s">
        <v>350</v>
      </c>
      <c r="F6" s="52"/>
      <c r="G6" t="s">
        <v>622</v>
      </c>
      <c r="H6" s="186" t="s">
        <v>621</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463" t="s">
        <v>470</v>
      </c>
      <c r="D4" s="464"/>
      <c r="E4" s="464"/>
      <c r="F4" s="465"/>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1:A32"/>
  <sheetViews>
    <sheetView topLeftCell="A5" workbookViewId="0">
      <selection activeCell="G17" sqref="G17"/>
    </sheetView>
  </sheetViews>
  <sheetFormatPr baseColWidth="10" defaultColWidth="8.83203125" defaultRowHeight="15" x14ac:dyDescent="0.2"/>
  <cols>
    <col min="1" max="1" width="15.83203125" customWidth="1"/>
    <col min="2" max="2" width="31.33203125" customWidth="1"/>
  </cols>
  <sheetData>
    <row r="1" spans="1:1" x14ac:dyDescent="0.2">
      <c r="A1" t="s">
        <v>962</v>
      </c>
    </row>
    <row r="2" spans="1:1" x14ac:dyDescent="0.2">
      <c r="A2" s="84" t="s">
        <v>837</v>
      </c>
    </row>
    <row r="3" spans="1:1" x14ac:dyDescent="0.2">
      <c r="A3" s="84" t="s">
        <v>861</v>
      </c>
    </row>
    <row r="4" spans="1:1" x14ac:dyDescent="0.2">
      <c r="A4" s="84" t="s">
        <v>838</v>
      </c>
    </row>
    <row r="5" spans="1:1" x14ac:dyDescent="0.2">
      <c r="A5" s="84" t="s">
        <v>839</v>
      </c>
    </row>
    <row r="7" spans="1:1" ht="48" x14ac:dyDescent="0.2">
      <c r="A7" s="285" t="s">
        <v>849</v>
      </c>
    </row>
    <row r="8" spans="1:1" x14ac:dyDescent="0.2">
      <c r="A8" s="287" t="s">
        <v>860</v>
      </c>
    </row>
    <row r="9" spans="1:1" x14ac:dyDescent="0.2">
      <c r="A9" s="287" t="s">
        <v>850</v>
      </c>
    </row>
    <row r="10" spans="1:1" x14ac:dyDescent="0.2">
      <c r="A10" s="287" t="s">
        <v>851</v>
      </c>
    </row>
    <row r="12" spans="1:1" x14ac:dyDescent="0.2">
      <c r="A12" s="87" t="s">
        <v>852</v>
      </c>
    </row>
    <row r="13" spans="1:1" x14ac:dyDescent="0.2">
      <c r="A13" s="87" t="s">
        <v>859</v>
      </c>
    </row>
    <row r="14" spans="1:1" x14ac:dyDescent="0.2">
      <c r="A14" s="87" t="s">
        <v>853</v>
      </c>
    </row>
    <row r="15" spans="1:1" x14ac:dyDescent="0.2">
      <c r="A15" s="87" t="s">
        <v>854</v>
      </c>
    </row>
    <row r="17" spans="1:1" x14ac:dyDescent="0.2">
      <c r="A17" s="9" t="s">
        <v>862</v>
      </c>
    </row>
    <row r="19" spans="1:1" x14ac:dyDescent="0.2">
      <c r="A19" s="288" t="s">
        <v>857</v>
      </c>
    </row>
    <row r="20" spans="1:1" x14ac:dyDescent="0.2">
      <c r="A20" s="288" t="s">
        <v>858</v>
      </c>
    </row>
    <row r="21" spans="1:1" x14ac:dyDescent="0.2">
      <c r="A21" s="288" t="s">
        <v>840</v>
      </c>
    </row>
    <row r="22" spans="1:1" x14ac:dyDescent="0.2">
      <c r="A22" s="288" t="s">
        <v>841</v>
      </c>
    </row>
    <row r="24" spans="1:1" x14ac:dyDescent="0.2">
      <c r="A24" s="289" t="s">
        <v>842</v>
      </c>
    </row>
    <row r="25" spans="1:1" x14ac:dyDescent="0.2">
      <c r="A25" s="290" t="s">
        <v>863</v>
      </c>
    </row>
    <row r="26" spans="1:1" x14ac:dyDescent="0.2">
      <c r="A26" s="290" t="s">
        <v>843</v>
      </c>
    </row>
    <row r="27" spans="1:1" x14ac:dyDescent="0.2">
      <c r="A27" s="290" t="s">
        <v>844</v>
      </c>
    </row>
    <row r="29" spans="1:1" x14ac:dyDescent="0.2">
      <c r="A29" s="291" t="s">
        <v>845</v>
      </c>
    </row>
    <row r="30" spans="1:1" x14ac:dyDescent="0.2">
      <c r="A30" s="291" t="s">
        <v>846</v>
      </c>
    </row>
    <row r="31" spans="1:1" x14ac:dyDescent="0.2">
      <c r="A31" s="291" t="s">
        <v>847</v>
      </c>
    </row>
    <row r="32" spans="1:1" x14ac:dyDescent="0.2">
      <c r="A32" s="291" t="s">
        <v>848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4" customWidth="1"/>
    <col min="9" max="9" width="8.83203125" style="84"/>
    <col min="10" max="10" width="2.6640625" customWidth="1"/>
    <col min="11" max="13" width="8.83203125" style="85"/>
    <col min="14" max="14" width="2.1640625" customWidth="1"/>
    <col min="15" max="20" width="8.83203125" style="87"/>
    <col min="21" max="21" width="2.1640625" customWidth="1"/>
  </cols>
  <sheetData>
    <row r="1" spans="4:25" x14ac:dyDescent="0.2">
      <c r="D1"/>
      <c r="E1"/>
      <c r="F1"/>
      <c r="H1"/>
      <c r="I1"/>
      <c r="K1"/>
      <c r="L1"/>
      <c r="M1"/>
      <c r="O1"/>
      <c r="P1"/>
      <c r="Q1"/>
      <c r="R1"/>
      <c r="S1"/>
      <c r="T1"/>
    </row>
    <row r="2" spans="4:25" x14ac:dyDescent="0.2">
      <c r="V2" s="466" t="s">
        <v>477</v>
      </c>
      <c r="W2" s="466"/>
      <c r="X2" s="466"/>
      <c r="Y2" s="466"/>
    </row>
    <row r="3" spans="4:25" ht="21" x14ac:dyDescent="0.25">
      <c r="D3" s="472" t="s">
        <v>474</v>
      </c>
      <c r="E3" s="472"/>
      <c r="F3" s="472"/>
      <c r="G3" s="86"/>
      <c r="H3" s="470" t="s">
        <v>472</v>
      </c>
      <c r="I3" s="470"/>
      <c r="J3" s="86"/>
      <c r="K3" s="473" t="s">
        <v>473</v>
      </c>
      <c r="L3" s="473"/>
      <c r="M3" s="473"/>
      <c r="O3" s="468" t="s">
        <v>475</v>
      </c>
      <c r="P3" s="468"/>
      <c r="Q3" s="468"/>
      <c r="R3" s="468"/>
      <c r="S3" s="468"/>
      <c r="T3" s="468"/>
      <c r="V3" s="87"/>
      <c r="W3" s="87"/>
      <c r="X3" s="87"/>
      <c r="Y3" s="87"/>
    </row>
    <row r="4" spans="4:25" x14ac:dyDescent="0.2">
      <c r="D4" s="83"/>
      <c r="K4" s="471"/>
      <c r="L4" s="471"/>
      <c r="M4" s="471"/>
      <c r="V4" s="87"/>
      <c r="W4" s="87"/>
      <c r="X4" s="87"/>
      <c r="Y4" s="87"/>
    </row>
    <row r="5" spans="4:25" x14ac:dyDescent="0.2">
      <c r="D5" s="83"/>
      <c r="V5" s="87"/>
      <c r="W5" s="87"/>
      <c r="X5" s="87"/>
      <c r="Y5" s="87"/>
    </row>
    <row r="6" spans="4:25" x14ac:dyDescent="0.2">
      <c r="D6" s="83"/>
      <c r="V6" s="87"/>
      <c r="W6" s="87"/>
      <c r="X6" s="87"/>
      <c r="Y6" s="87"/>
    </row>
    <row r="7" spans="4:25" x14ac:dyDescent="0.2">
      <c r="D7" s="83"/>
      <c r="V7" s="87"/>
      <c r="W7" s="87"/>
      <c r="X7" s="87"/>
      <c r="Y7" s="87"/>
    </row>
    <row r="8" spans="4:25" x14ac:dyDescent="0.2">
      <c r="V8" s="87"/>
      <c r="W8" s="87"/>
      <c r="X8" s="87"/>
      <c r="Y8" s="87"/>
    </row>
    <row r="9" spans="4:25" x14ac:dyDescent="0.2">
      <c r="V9" s="87"/>
      <c r="W9" s="87"/>
      <c r="X9" s="87"/>
      <c r="Y9" s="87"/>
    </row>
    <row r="10" spans="4:25" x14ac:dyDescent="0.2">
      <c r="V10" s="87"/>
      <c r="W10" s="102"/>
      <c r="X10" s="87"/>
      <c r="Y10" s="87"/>
    </row>
    <row r="11" spans="4:25" x14ac:dyDescent="0.2">
      <c r="V11" s="87"/>
      <c r="W11" s="87"/>
      <c r="X11" s="87"/>
      <c r="Y11" s="87"/>
    </row>
    <row r="12" spans="4:25" x14ac:dyDescent="0.2">
      <c r="V12" s="87"/>
      <c r="W12" s="87"/>
      <c r="X12" s="87"/>
      <c r="Y12" s="87"/>
    </row>
    <row r="13" spans="4:25" x14ac:dyDescent="0.2">
      <c r="V13" s="87"/>
      <c r="W13" s="87"/>
      <c r="X13" s="87"/>
      <c r="Y13" s="87"/>
    </row>
    <row r="14" spans="4:25" x14ac:dyDescent="0.2">
      <c r="V14" s="87"/>
      <c r="W14" s="87"/>
      <c r="X14" s="87"/>
      <c r="Y14" s="87"/>
    </row>
    <row r="15" spans="4:25" x14ac:dyDescent="0.2">
      <c r="V15" s="87"/>
      <c r="W15" s="87"/>
      <c r="X15" s="87"/>
      <c r="Y15" s="87"/>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467" t="s">
        <v>477</v>
      </c>
      <c r="W22" s="467"/>
      <c r="X22" s="467"/>
      <c r="Y22" s="467"/>
    </row>
    <row r="23" spans="4:25" ht="19" x14ac:dyDescent="0.25">
      <c r="D23" s="469" t="s">
        <v>474</v>
      </c>
      <c r="E23" s="469"/>
      <c r="F23" s="469"/>
      <c r="H23" s="470" t="s">
        <v>472</v>
      </c>
      <c r="I23" s="470"/>
      <c r="J23" s="84"/>
      <c r="K23" s="84"/>
      <c r="L23" s="471" t="s">
        <v>476</v>
      </c>
      <c r="M23" s="471"/>
      <c r="V23" s="87"/>
      <c r="W23" s="87"/>
      <c r="X23" s="87"/>
      <c r="Y23" s="87"/>
    </row>
    <row r="24" spans="4:25" x14ac:dyDescent="0.2">
      <c r="D24" s="88"/>
      <c r="E24" s="88"/>
      <c r="F24" s="88"/>
      <c r="J24" s="84"/>
      <c r="K24" s="84"/>
      <c r="V24" s="87"/>
      <c r="W24" s="87"/>
      <c r="X24" s="87"/>
      <c r="Y24" s="87"/>
    </row>
    <row r="25" spans="4:25" x14ac:dyDescent="0.2">
      <c r="D25" s="88"/>
      <c r="E25" s="88"/>
      <c r="F25" s="88"/>
      <c r="J25" s="84"/>
      <c r="K25" s="84"/>
      <c r="V25" s="87"/>
      <c r="W25" s="87"/>
      <c r="X25" s="87"/>
      <c r="Y25" s="87"/>
    </row>
    <row r="26" spans="4:25" x14ac:dyDescent="0.2">
      <c r="D26" s="88"/>
      <c r="E26" s="88"/>
      <c r="F26" s="88"/>
      <c r="J26" s="84"/>
      <c r="K26" s="84"/>
      <c r="V26" s="87"/>
      <c r="W26" s="87"/>
      <c r="X26" s="87"/>
      <c r="Y26" s="87"/>
    </row>
    <row r="27" spans="4:25" x14ac:dyDescent="0.2">
      <c r="D27" s="88"/>
      <c r="E27" s="88"/>
      <c r="F27" s="88"/>
      <c r="J27" s="84"/>
      <c r="K27" s="84"/>
      <c r="V27" s="87"/>
      <c r="W27" s="87"/>
      <c r="X27" s="87"/>
      <c r="Y27" s="87"/>
    </row>
    <row r="28" spans="4:25" x14ac:dyDescent="0.2">
      <c r="D28" s="88"/>
      <c r="E28" s="88"/>
      <c r="F28" s="88"/>
      <c r="J28" s="84"/>
      <c r="K28" s="84"/>
      <c r="V28" s="87"/>
      <c r="W28" s="87"/>
      <c r="X28" s="87"/>
      <c r="Y28" s="87"/>
    </row>
    <row r="29" spans="4:25" x14ac:dyDescent="0.2">
      <c r="D29" s="88"/>
      <c r="E29" s="88"/>
      <c r="F29" s="88"/>
      <c r="J29" s="84"/>
      <c r="K29" s="84"/>
      <c r="V29" s="87"/>
      <c r="W29" s="87"/>
      <c r="X29" s="87"/>
      <c r="Y29" s="87"/>
    </row>
    <row r="30" spans="4:25" x14ac:dyDescent="0.2">
      <c r="D30" s="88"/>
      <c r="E30" s="88"/>
      <c r="F30" s="88"/>
      <c r="J30" s="84"/>
      <c r="K30" s="84"/>
      <c r="V30" s="87"/>
      <c r="W30" s="87"/>
      <c r="X30" s="87"/>
      <c r="Y30" s="87"/>
    </row>
    <row r="31" spans="4:25" x14ac:dyDescent="0.2">
      <c r="D31" s="88"/>
      <c r="E31" s="88"/>
      <c r="F31" s="88"/>
      <c r="J31" s="84"/>
      <c r="K31" s="84"/>
      <c r="V31" s="87"/>
      <c r="W31" s="87"/>
      <c r="X31" s="87"/>
      <c r="Y31" s="87"/>
    </row>
    <row r="32" spans="4:25" x14ac:dyDescent="0.2">
      <c r="D32" s="88"/>
      <c r="E32" s="88"/>
      <c r="F32" s="88"/>
      <c r="J32" s="84"/>
      <c r="K32" s="84"/>
      <c r="V32" s="87"/>
      <c r="W32" s="87"/>
      <c r="X32" s="87"/>
      <c r="Y32" s="87"/>
    </row>
    <row r="33" spans="4:25" x14ac:dyDescent="0.2">
      <c r="D33" s="88"/>
      <c r="E33" s="88"/>
      <c r="F33" s="88"/>
      <c r="J33" s="84"/>
      <c r="K33" s="84"/>
      <c r="V33" s="87"/>
      <c r="W33" s="87"/>
      <c r="X33" s="87"/>
      <c r="Y33" s="87"/>
    </row>
    <row r="34" spans="4:25" x14ac:dyDescent="0.2">
      <c r="D34" s="88"/>
      <c r="E34" s="88"/>
      <c r="F34" s="88"/>
      <c r="J34" s="84"/>
      <c r="K34" s="84"/>
      <c r="V34" s="87"/>
      <c r="W34" s="87"/>
      <c r="X34" s="87"/>
      <c r="Y34" s="87"/>
    </row>
    <row r="35" spans="4:25" x14ac:dyDescent="0.2">
      <c r="D35" s="88"/>
      <c r="E35" s="88"/>
      <c r="F35" s="88"/>
      <c r="J35" s="84"/>
      <c r="K35" s="84"/>
      <c r="V35" s="87"/>
      <c r="W35" s="87"/>
      <c r="X35" s="87"/>
      <c r="Y35" s="87"/>
    </row>
    <row r="36" spans="4:25" x14ac:dyDescent="0.2">
      <c r="D36" s="88"/>
      <c r="E36" s="88"/>
      <c r="F36" s="88"/>
      <c r="J36" s="84"/>
      <c r="K36" s="84"/>
      <c r="V36" s="87"/>
      <c r="W36" s="87"/>
      <c r="X36" s="87"/>
      <c r="Y36" s="87"/>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99E41-8DA4-48A1-B91E-898FA923E28D}">
  <dimension ref="X4:AJ34"/>
  <sheetViews>
    <sheetView showGridLines="0" zoomScale="51" zoomScaleNormal="85" workbookViewId="0">
      <selection activeCell="U47" sqref="U47"/>
    </sheetView>
  </sheetViews>
  <sheetFormatPr baseColWidth="10" defaultColWidth="8.83203125" defaultRowHeight="15" x14ac:dyDescent="0.2"/>
  <cols>
    <col min="10" max="10" width="8.83203125" customWidth="1"/>
    <col min="11" max="11" width="8.16406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152</vt:i4>
      </vt:variant>
    </vt:vector>
  </HeadingPairs>
  <TitlesOfParts>
    <vt:vector size="170" baseType="lpstr">
      <vt:lpstr>Time Table</vt:lpstr>
      <vt:lpstr>PGX ACS studies </vt:lpstr>
      <vt:lpstr>Previous Model Structures </vt:lpstr>
      <vt:lpstr>Model structure </vt:lpstr>
      <vt:lpstr>assumptions</vt:lpstr>
      <vt:lpstr>Parameters.STEMI</vt:lpstr>
      <vt:lpstr>Intitial-Calculations</vt:lpstr>
      <vt:lpstr>computation_tree</vt:lpstr>
      <vt:lpstr>1-way SA</vt:lpstr>
      <vt:lpstr>costs</vt:lpstr>
      <vt:lpstr>markov_transition</vt:lpstr>
      <vt:lpstr>age_sex_dependant_mortality</vt:lpstr>
      <vt:lpstr>age_sex_dependant_utility</vt:lpstr>
      <vt:lpstr>Parameters.NSTEMI</vt:lpstr>
      <vt:lpstr>Data from Pufulete 2022</vt:lpstr>
      <vt:lpstr>Sheet2</vt:lpstr>
      <vt:lpstr>timeline</vt:lpstr>
      <vt:lpstr>DT_estimation</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c_post_rinfar_markov</vt:lpstr>
      <vt:lpstr>c_post_stk_markov</vt:lpstr>
      <vt:lpstr>c_rinfar_markov</vt:lpstr>
      <vt:lpstr>c_stk_markov</vt:lpstr>
      <vt:lpstr>c_stk_tree</vt:lpstr>
      <vt:lpstr>cost_diff</vt:lpstr>
      <vt:lpstr>cost_poc</vt:lpstr>
      <vt:lpstr>cost_st</vt:lpstr>
      <vt:lpstr>day_cost_asa</vt:lpstr>
      <vt:lpstr>day_cost_clop</vt:lpstr>
      <vt:lpstr>day_cost_pras</vt:lpstr>
      <vt:lpstr>day_cost_pras_10mg</vt:lpstr>
      <vt:lpstr>day_cost_pras_5mg</vt:lpstr>
      <vt:lpstr>day_cost_tica</vt:lpstr>
      <vt:lpstr>duration_dys</vt:lpstr>
      <vt:lpstr>duration_maj_bleed</vt:lpstr>
      <vt:lpstr>duration_min_bleed</vt:lpstr>
      <vt:lpstr>hr_dead_ac_lof</vt:lpstr>
      <vt:lpstr>hr_dead_ac_nlof</vt:lpstr>
      <vt:lpstr>hr_maj_bleed_ac_nlof</vt:lpstr>
      <vt:lpstr>hr_mi_ac_lof</vt:lpstr>
      <vt:lpstr>hr_mi_ac_nlof</vt:lpstr>
      <vt:lpstr>hr_min_bleed_ac_nlof</vt:lpstr>
      <vt:lpstr>hr_stk_ac_lof</vt:lpstr>
      <vt:lpstr>hr_stk_ac_nlof</vt:lpstr>
      <vt:lpstr>ICER</vt:lpstr>
      <vt:lpstr>ld_clop_300</vt:lpstr>
      <vt:lpstr>ld_clop_600</vt:lpstr>
      <vt:lpstr>ld_pras_60</vt:lpstr>
      <vt:lpstr>ld_tica_180</vt:lpstr>
      <vt:lpstr>male_proportion_STEMI</vt:lpstr>
      <vt:lpstr>md_328_day</vt:lpstr>
      <vt:lpstr>md_360_day</vt:lpstr>
      <vt:lpstr>md_365_day</vt:lpstr>
      <vt:lpstr>md_5_day</vt:lpstr>
      <vt:lpstr>md_halfway</vt:lpstr>
      <vt:lpstr>or_dead_pras_clop</vt:lpstr>
      <vt:lpstr>or_dead_tica_clop</vt:lpstr>
      <vt:lpstr>or_dys_at_ac</vt:lpstr>
      <vt:lpstr>or_maj_bleed__tica_clop</vt:lpstr>
      <vt:lpstr>or_maj_bleed_pras_clop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prob_stk_ac</vt:lpstr>
      <vt:lpstr>prob_stk_ac_nlof</vt:lpstr>
      <vt:lpstr>prob_stk_ap</vt:lpstr>
      <vt:lpstr>prob_stk_at</vt:lpstr>
      <vt:lpstr>prob_test_follow</vt:lpstr>
      <vt:lpstr>prob_test_order</vt:lpstr>
      <vt:lpstr>proportion_ac_st</vt:lpstr>
      <vt:lpstr>proportion_ap_lof</vt:lpstr>
      <vt:lpstr>proportion_ap_st</vt:lpstr>
      <vt:lpstr>proportion_at_lof</vt:lpstr>
      <vt:lpstr>proportion_at_st</vt:lpstr>
      <vt:lpstr>proportion_pras_5mg</vt:lpstr>
      <vt:lpstr>qaly_diff</vt:lpstr>
      <vt:lpstr>qaly_poc</vt:lpstr>
      <vt:lpstr>qaly_st</vt:lpstr>
      <vt:lpstr>rate_maj_bleed_ac_nlof</vt:lpstr>
      <vt:lpstr>rate_min_bleed_ac_nlof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u_reinfarction_tree</vt:lpstr>
      <vt:lpstr>u_rinfar</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2025-05-21T14:20:16Z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ies>
</file>