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mc:AlternateContent xmlns:mc="http://schemas.openxmlformats.org/markup-compatibility/2006">
    <mc:Choice Requires="x15">
      <x15ac:absPath xmlns:x15ac="http://schemas.microsoft.com/office/spreadsheetml/2010/11/ac" url="/Users/user/Documents/GitHub/pg-ap-analytics/"/>
    </mc:Choice>
  </mc:AlternateContent>
  <xr:revisionPtr revIDLastSave="0" documentId="13_ncr:1_{8825D052-C5B8-FC44-BD7B-1E5A6F4639E4}" xr6:coauthVersionLast="47" xr6:coauthVersionMax="47" xr10:uidLastSave="{00000000-0000-0000-0000-000000000000}"/>
  <bookViews>
    <workbookView xWindow="0" yWindow="760" windowWidth="19420" windowHeight="10300" firstSheet="3" activeTab="5"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rameters.STEMI" sheetId="16" r:id="rId6"/>
    <sheet name="formula" sheetId="31" r:id="rId7"/>
    <sheet name="Intitial-Calculations" sheetId="17" r:id="rId8"/>
    <sheet name="markov_transition" sheetId="30" r:id="rId9"/>
    <sheet name="costs" sheetId="24" r:id="rId10"/>
    <sheet name="age_sex_dependant_mortality" sheetId="23" r:id="rId11"/>
    <sheet name="age_sex_dependant_utility" sheetId="26" r:id="rId12"/>
    <sheet name="Prameters.NSTEMI" sheetId="19" r:id="rId13"/>
    <sheet name="Data from Pufulete 2022" sheetId="29" r:id="rId14"/>
    <sheet name="timeline" sheetId="22" r:id="rId15"/>
  </sheets>
  <definedNames>
    <definedName name="cost_AC_ld300_md_365">Prameters.STEMI!$D$72</definedName>
    <definedName name="cost_AC_ld600_md_365">Prameters.STEMI!$D$71</definedName>
    <definedName name="cost_AC_md_328">Prameters.STEMI!$D$74</definedName>
    <definedName name="cost_AC_md_360">Prameters.STEMI!$D$73</definedName>
    <definedName name="cost_AP_10mg">Prameters.STEMI!$D$76</definedName>
    <definedName name="cost_AP_5mg">Prameters.STEMI!$D$75</definedName>
    <definedName name="cost_AP_ld60_365md">Prameters.STEMI!$D$78</definedName>
    <definedName name="cost_AP_md_328">Prameters.STEMI!$D$80</definedName>
    <definedName name="cost_AP_md_360">Prameters.STEMI!$D$79</definedName>
    <definedName name="cost_AP_md_halfway">Prameters.STEMI!$D$81</definedName>
    <definedName name="cost_AT_ld180_md_365">Prameters.STEMI!$D$82</definedName>
    <definedName name="cost_AT_md_328">Prameters.STEMI!$D$84</definedName>
    <definedName name="cost_AT_md_360">Prameters.STEMI!$D$83</definedName>
    <definedName name="cost_AT_md_halfway">Prameters.STEMI!$D$85</definedName>
    <definedName name="cost_death_tree">costs!$Y$13</definedName>
    <definedName name="cost_maj_bleed">costs!$AH$13</definedName>
    <definedName name="cost_MI_tree">costs!$W$13</definedName>
    <definedName name="cost_min_bleed">costs!$AG$13</definedName>
    <definedName name="cost_no_event_markov">costs!$AC$13</definedName>
    <definedName name="cost_no_event_tree">costs!$V$13</definedName>
    <definedName name="cost_PCI">costs!$P$23</definedName>
    <definedName name="cost_PoCT">Prameters.STEMI!$D$59</definedName>
    <definedName name="cost_post_reinfarction_markov">costs!$AE$13</definedName>
    <definedName name="cost_post_stroke_markov">costs!$AB$13</definedName>
    <definedName name="cost_pras_weighted">formula!$A$49</definedName>
    <definedName name="cost_reinfarction_markov">costs!$AD$13</definedName>
    <definedName name="cost_stroke_markov">costs!$AA$13</definedName>
    <definedName name="cost_stroke_tree">costs!$X$13</definedName>
    <definedName name="day_cost_ASA">costs!$B$14</definedName>
    <definedName name="day_cost_clop">costs!$B$15</definedName>
    <definedName name="day_cost_pras_10mg">costs!$B$17</definedName>
    <definedName name="day_cost_pras_5mg">costs!$B$16</definedName>
    <definedName name="day_cost_tica">costs!$B$18</definedName>
    <definedName name="duration_maj_bleed">Prameters.STEMI!$D$49</definedName>
    <definedName name="duration_min_bleed">Prameters.STEMI!$D$48</definedName>
    <definedName name="HR_death_AC_no_LOF">'Intitial-Calculations'!$AZ$6</definedName>
    <definedName name="HR_death_lof_AC">'Intitial-Calculations'!$AZ$6</definedName>
    <definedName name="HR_MI_AC_no_LOF">'Intitial-Calculations'!$AZ$7</definedName>
    <definedName name="HR_MI_lof_AC">'Intitial-Calculations'!$AZ$7</definedName>
    <definedName name="HR_stroke_AC_no_LOF">'Intitial-Calculations'!$AZ$8</definedName>
    <definedName name="HR_stroke_lof_AC">'Intitial-Calculations'!$AZ$8</definedName>
    <definedName name="ld_clop_300">costs!$B$19</definedName>
    <definedName name="ld_clop_600">costs!$B$20</definedName>
    <definedName name="ld_pras_60">costs!$B$21</definedName>
    <definedName name="ld_tica_180">costs!$B$22</definedName>
    <definedName name="male_proportion_STEMI">age_sex_dependant_mortality!$B$9</definedName>
    <definedName name="md_328">Prameters.STEMI!$D$63</definedName>
    <definedName name="md_360_day">Prameters.STEMI!$D$62</definedName>
    <definedName name="md_365_day">Prameters.STEMI!$D$61</definedName>
    <definedName name="md_halfway">Prameters.STEMI!$D$64</definedName>
    <definedName name="OR_death_pras_vs_clop">'Intitial-Calculations'!$AK$21</definedName>
    <definedName name="OR_death_tica_vs_clop">'Intitial-Calculations'!$AK$13</definedName>
    <definedName name="OR_maj_bleed__tica_vs_clop">'Intitial-Calculations'!$AK$16</definedName>
    <definedName name="OR_maj_bleed_pras_vs_clop">'Intitial-Calculations'!$AK$24</definedName>
    <definedName name="OR_MI_pras_vs_clop">'Intitial-Calculations'!$AK$22</definedName>
    <definedName name="OR_MI_tica_vs_clop">'Intitial-Calculations'!$AK$14</definedName>
    <definedName name="OR_min_bleed__tica_vs_clop">'Intitial-Calculations'!$AK$17</definedName>
    <definedName name="OR_min_bleed_pras_vs_clop">'Intitial-Calculations'!$AK$25</definedName>
    <definedName name="OR_stroke_pras_vs_clop">'Intitial-Calculations'!$AK$23</definedName>
    <definedName name="OR_stroke_tica_vs_clop">'Intitial-Calculations'!$AK$15</definedName>
    <definedName name="prev_LOF_base_case">Prameters.STEMI!$D$29</definedName>
    <definedName name="prev_LOF_sensitivity">'Intitial-Calculations'!$AU$15</definedName>
    <definedName name="prob_death_AC">'Intitial-Calculations'!$M$23</definedName>
    <definedName name="prob_death_AC_noLOF">Prameters.STEMI!$D$35</definedName>
    <definedName name="prob_death_AP">'Intitial-Calculations'!$AD$35</definedName>
    <definedName name="prob_death_AT">'Intitial-Calculations'!$AD$29</definedName>
    <definedName name="prob_maj_bleed_AC">'Intitial-Calculations'!$M$26</definedName>
    <definedName name="prob_maj_bleed_AP">'Intitial-Calculations'!$AD$38</definedName>
    <definedName name="prob_maj_bleed_AT">'Intitial-Calculations'!$AD$32</definedName>
    <definedName name="prob_MI_AC">'Intitial-Calculations'!$M$24</definedName>
    <definedName name="prob_MI_AC_noLOF">Prameters.STEMI!$D$36</definedName>
    <definedName name="prob_MI_AP">'Intitial-Calculations'!$AD$36</definedName>
    <definedName name="prob_MI_AT">'Intitial-Calculations'!$AD$30</definedName>
    <definedName name="prob_min_bleed_AC">'Intitial-Calculations'!$M$27</definedName>
    <definedName name="prob_min_bleed_AP">'Intitial-Calculations'!$AD$39</definedName>
    <definedName name="prob_min_bleed_AT">'Intitial-Calculations'!$AD$33</definedName>
    <definedName name="prob_stroke_AC">'Intitial-Calculations'!$M$25</definedName>
    <definedName name="prob_stroke_AC_noLOF">Prameters.STEMI!$D$37</definedName>
    <definedName name="prob_stroke_AP">'Intitial-Calculations'!$AD$37</definedName>
    <definedName name="prob_stroke_AT">'Intitial-Calculations'!$AD$31</definedName>
    <definedName name="prob_test_followed">Prameters.STEMI!$D$9</definedName>
    <definedName name="prob_test_order">Prameters.STEMI!$D$8</definedName>
    <definedName name="proportion_AC_standard">'Intitial-Calculations'!$D$29</definedName>
    <definedName name="proportion_AP_lof">Prameters.STEMI!$D$32</definedName>
    <definedName name="proportion_AP_standard">'Intitial-Calculations'!$D$31</definedName>
    <definedName name="proportion_AT_lof">Prameters.STEMI!$D$31</definedName>
    <definedName name="proportion_AT_standard">'Intitial-Calculations'!$D$30</definedName>
    <definedName name="proportion_pras_5mg">Prameters.STEMI!$D$77</definedName>
    <definedName name="rate_maj_bleed_AC_noLOF">Prameters.STEMI!$D$38</definedName>
    <definedName name="rate_min_bleed_AC_noLOF">Prameters.STEMI!$D$39</definedName>
    <definedName name="SMR_no_further_event">age_sex_dependant_mortality!$B$4</definedName>
    <definedName name="SMR_post_reinfarction">age_sex_dependant_mortality!$B$6</definedName>
    <definedName name="SMR_post_stroke">age_sex_dependant_mortality!$B$8</definedName>
    <definedName name="SMR_reinfarction">age_sex_dependant_mortality!$B$5</definedName>
    <definedName name="SMR_stroke">age_sex_dependant_mortality!$B$7</definedName>
    <definedName name="STEMI_cohort_size">Prameters.STEMI!$D$3</definedName>
    <definedName name="u_dec_maj_bleed">Prameters.STEMI!$D$47</definedName>
    <definedName name="u_dec_min_bleed">Prameters.STEMI!$D$46</definedName>
    <definedName name="u_no_event">age_sex_dependant_utility!$B$3</definedName>
    <definedName name="u_no_event_tree">age_sex_dependant_utility!$G$13</definedName>
    <definedName name="u_post_reinfarction">age_sex_dependant_utility!$B$5</definedName>
    <definedName name="u_post_reinfarction_tree">age_sex_dependant_utility!$Q$13</definedName>
    <definedName name="u_post_stroke">age_sex_dependant_utility!$B$7</definedName>
    <definedName name="u_post_stroke_tree">age_sex_dependant_utility!$AA$13</definedName>
    <definedName name="u_reinfarction">age_sex_dependant_utility!$B$4</definedName>
    <definedName name="u_reinfarction_tree">age_sex_dependant_utility!$L$13</definedName>
    <definedName name="u_stroke">age_sex_dependant_utility!$B$6</definedName>
    <definedName name="u_stroke_tree">age_sex_dependant_utility!$V$13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1" l="1"/>
  <c r="D78" i="16"/>
  <c r="B8" i="31"/>
  <c r="B30" i="31"/>
  <c r="B29" i="31"/>
  <c r="B15" i="31"/>
  <c r="D39" i="16"/>
  <c r="D38" i="16"/>
  <c r="D84" i="16"/>
  <c r="D79" i="16"/>
  <c r="D80" i="16"/>
  <c r="B14" i="31"/>
  <c r="B13" i="31"/>
  <c r="B12" i="31"/>
  <c r="D73" i="16"/>
  <c r="D74" i="16" s="1"/>
  <c r="D72" i="16"/>
  <c r="D70" i="16"/>
  <c r="D69" i="16"/>
  <c r="D68" i="16"/>
  <c r="D67" i="16"/>
  <c r="D66" i="16"/>
  <c r="D5" i="16"/>
  <c r="H13" i="23"/>
  <c r="AV37" i="17"/>
  <c r="D83" i="16"/>
  <c r="D65" i="16"/>
  <c r="D75" i="16"/>
  <c r="B9" i="31"/>
  <c r="B7" i="31"/>
  <c r="D82" i="16"/>
  <c r="D64" i="16"/>
  <c r="B10" i="31" s="1"/>
  <c r="B4" i="31"/>
  <c r="B3" i="31"/>
  <c r="D71" i="16"/>
  <c r="D31" i="16"/>
  <c r="B22" i="31" s="1"/>
  <c r="D119" i="16"/>
  <c r="D118" i="16"/>
  <c r="D117" i="16"/>
  <c r="K13" i="26"/>
  <c r="J13" i="26"/>
  <c r="D99" i="16"/>
  <c r="D98" i="16"/>
  <c r="D97" i="16"/>
  <c r="D96" i="16"/>
  <c r="D95" i="16"/>
  <c r="D93" i="16"/>
  <c r="D92" i="16"/>
  <c r="D91" i="16"/>
  <c r="D90" i="16"/>
  <c r="D89" i="16"/>
  <c r="D88" i="16"/>
  <c r="D87" i="16"/>
  <c r="D57" i="16"/>
  <c r="D56" i="16"/>
  <c r="D55" i="16"/>
  <c r="D54" i="16"/>
  <c r="D53" i="16"/>
  <c r="H7" i="17"/>
  <c r="D27" i="16"/>
  <c r="D26" i="16"/>
  <c r="D25" i="16"/>
  <c r="D24" i="16"/>
  <c r="D23" i="16"/>
  <c r="AD39" i="17"/>
  <c r="AD38" i="17"/>
  <c r="AD37" i="17"/>
  <c r="AD36" i="17"/>
  <c r="AD35" i="17"/>
  <c r="D21" i="16"/>
  <c r="D20" i="16"/>
  <c r="D19" i="16"/>
  <c r="D18" i="16"/>
  <c r="D17" i="16"/>
  <c r="AD33" i="17"/>
  <c r="AD32" i="17"/>
  <c r="AD31" i="17"/>
  <c r="AD30" i="17"/>
  <c r="AD29" i="17"/>
  <c r="D115" i="16"/>
  <c r="D114" i="16"/>
  <c r="D113" i="16"/>
  <c r="D112" i="16"/>
  <c r="D111" i="16"/>
  <c r="D109" i="16"/>
  <c r="D108" i="16"/>
  <c r="D107" i="16"/>
  <c r="D106" i="16"/>
  <c r="D105" i="16"/>
  <c r="D15" i="16"/>
  <c r="D14" i="16"/>
  <c r="D13" i="16"/>
  <c r="D12" i="16"/>
  <c r="D11" i="16"/>
  <c r="M27" i="17"/>
  <c r="M26" i="17"/>
  <c r="M25" i="17"/>
  <c r="M24" i="17"/>
  <c r="M23" i="17"/>
  <c r="B20" i="31" l="1"/>
  <c r="B19" i="31"/>
  <c r="B21" i="31"/>
  <c r="B32" i="31"/>
  <c r="D81" i="16"/>
  <c r="D85" i="16"/>
  <c r="B5" i="31"/>
  <c r="D32" i="16"/>
  <c r="D7" i="16"/>
  <c r="D6" i="16"/>
  <c r="D31" i="17"/>
  <c r="D30" i="17"/>
  <c r="D29" i="17"/>
  <c r="Z51" i="26"/>
  <c r="Z52" i="26"/>
  <c r="Y51" i="26"/>
  <c r="AA51" i="26" s="1"/>
  <c r="Y52" i="26"/>
  <c r="U51" i="26"/>
  <c r="U52" i="26"/>
  <c r="T51" i="26"/>
  <c r="T52" i="26"/>
  <c r="P51" i="26"/>
  <c r="P52" i="26"/>
  <c r="O51" i="26"/>
  <c r="O52" i="26"/>
  <c r="K51" i="26"/>
  <c r="K52" i="26"/>
  <c r="J51" i="26"/>
  <c r="J52" i="26"/>
  <c r="F51" i="26"/>
  <c r="F52" i="26"/>
  <c r="E51" i="26"/>
  <c r="E52"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B24" i="31" l="1"/>
  <c r="B25" i="31"/>
  <c r="B27" i="31"/>
  <c r="B26" i="31"/>
  <c r="J52" i="23"/>
  <c r="Y52" i="23"/>
  <c r="AD52" i="23"/>
  <c r="AD51" i="23"/>
  <c r="V51" i="26"/>
  <c r="G51" i="26"/>
  <c r="AA52" i="26"/>
  <c r="Q52" i="26"/>
  <c r="V52" i="26"/>
  <c r="L51" i="26"/>
  <c r="Q51" i="26"/>
  <c r="L52" i="26"/>
  <c r="G52" i="26"/>
  <c r="Y51" i="23"/>
  <c r="T52" i="23"/>
  <c r="T51" i="23"/>
  <c r="O52" i="23"/>
  <c r="O51" i="23"/>
  <c r="J51" i="23"/>
  <c r="AE6" i="17"/>
  <c r="AI6" i="17" s="1"/>
  <c r="AJ6" i="17"/>
  <c r="AJ7" i="17"/>
  <c r="AE8" i="17"/>
  <c r="AN8" i="17" s="1"/>
  <c r="AJ8" i="17"/>
  <c r="AE9" i="17"/>
  <c r="AI9" i="17" s="1"/>
  <c r="AJ9" i="17"/>
  <c r="AE10" i="17"/>
  <c r="AN10" i="17" s="1"/>
  <c r="AJ10" i="17"/>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AI10" i="17" l="1"/>
  <c r="AN6" i="17"/>
  <c r="AI8" i="17"/>
  <c r="AN9" i="17"/>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O23" i="24" l="1"/>
  <c r="I10" i="24" l="1"/>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AA25" i="26" s="1"/>
  <c r="Y26" i="26"/>
  <c r="Y27" i="26"/>
  <c r="Y28" i="26"/>
  <c r="Y29" i="26"/>
  <c r="Y30" i="26"/>
  <c r="Y31" i="26"/>
  <c r="Y32" i="26"/>
  <c r="Y33" i="26"/>
  <c r="Y34" i="26"/>
  <c r="Y35" i="26"/>
  <c r="Y36" i="26"/>
  <c r="Y37" i="26"/>
  <c r="AA37" i="26" s="1"/>
  <c r="Y38" i="26"/>
  <c r="Y39" i="26"/>
  <c r="Y40" i="26"/>
  <c r="Y41" i="26"/>
  <c r="Y42" i="26"/>
  <c r="Y43" i="26"/>
  <c r="Y44" i="26"/>
  <c r="Y45" i="26"/>
  <c r="Y46" i="26"/>
  <c r="Y47" i="26"/>
  <c r="Y48" i="26"/>
  <c r="Y49" i="26"/>
  <c r="AA49" i="26" s="1"/>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13" i="26"/>
  <c r="AD24"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W20" i="23"/>
  <c r="Y20" i="23" s="1"/>
  <c r="W21" i="23"/>
  <c r="W22" i="23"/>
  <c r="Y22" i="23" s="1"/>
  <c r="W23" i="23"/>
  <c r="Y23" i="23" s="1"/>
  <c r="W24" i="23"/>
  <c r="W25" i="23"/>
  <c r="W26" i="23"/>
  <c r="W27" i="23"/>
  <c r="W28" i="23"/>
  <c r="W29" i="23"/>
  <c r="W30" i="23"/>
  <c r="W31" i="23"/>
  <c r="Y31" i="23" s="1"/>
  <c r="W32" i="23"/>
  <c r="Y32" i="23" s="1"/>
  <c r="W33" i="23"/>
  <c r="W34" i="23"/>
  <c r="Y34" i="23" s="1"/>
  <c r="W35" i="23"/>
  <c r="Y35" i="23" s="1"/>
  <c r="W36" i="23"/>
  <c r="W37" i="23"/>
  <c r="W38" i="23"/>
  <c r="W39" i="23"/>
  <c r="W40" i="23"/>
  <c r="W41" i="23"/>
  <c r="W42" i="23"/>
  <c r="W43" i="23"/>
  <c r="Y43" i="23" s="1"/>
  <c r="W44" i="23"/>
  <c r="Y44" i="23" s="1"/>
  <c r="W45" i="23"/>
  <c r="W46" i="23"/>
  <c r="Y46" i="23" s="1"/>
  <c r="W47" i="23"/>
  <c r="Y47" i="23"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O17" i="23" s="1"/>
  <c r="M18" i="23"/>
  <c r="O18" i="23" s="1"/>
  <c r="M19" i="23"/>
  <c r="M20" i="23"/>
  <c r="M21" i="23"/>
  <c r="M22" i="23"/>
  <c r="M23" i="23"/>
  <c r="M24" i="23"/>
  <c r="M25" i="23"/>
  <c r="M26" i="23"/>
  <c r="M27" i="23"/>
  <c r="M28" i="23"/>
  <c r="M29" i="23"/>
  <c r="O29" i="23" s="1"/>
  <c r="M30" i="23"/>
  <c r="O30" i="23" s="1"/>
  <c r="M31" i="23"/>
  <c r="M32" i="23"/>
  <c r="M33" i="23"/>
  <c r="M34" i="23"/>
  <c r="M35" i="23"/>
  <c r="M36" i="23"/>
  <c r="M37" i="23"/>
  <c r="M38" i="23"/>
  <c r="M39" i="23"/>
  <c r="M40" i="23"/>
  <c r="M41" i="23"/>
  <c r="O41" i="23" s="1"/>
  <c r="M42" i="23"/>
  <c r="O42" i="23" s="1"/>
  <c r="M43" i="23"/>
  <c r="M44" i="23"/>
  <c r="O44" i="23" s="1"/>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AB15" i="23"/>
  <c r="AB16" i="23"/>
  <c r="AB17" i="23"/>
  <c r="AB18" i="23"/>
  <c r="AB19" i="23"/>
  <c r="AB20" i="23"/>
  <c r="AB21" i="23"/>
  <c r="AB22" i="23"/>
  <c r="AB23" i="23"/>
  <c r="AB24" i="23"/>
  <c r="AB25" i="23"/>
  <c r="AB26" i="23"/>
  <c r="AD26" i="23" s="1"/>
  <c r="AB27" i="23"/>
  <c r="AB28" i="23"/>
  <c r="AB29" i="23"/>
  <c r="AB30" i="23"/>
  <c r="AB31" i="23"/>
  <c r="AB32" i="23"/>
  <c r="AB33" i="23"/>
  <c r="AD33" i="23" s="1"/>
  <c r="AB34" i="23"/>
  <c r="AB35" i="23"/>
  <c r="AB36" i="23"/>
  <c r="AB37" i="23"/>
  <c r="AB38" i="23"/>
  <c r="AD38" i="23" s="1"/>
  <c r="AB39" i="23"/>
  <c r="AB40" i="23"/>
  <c r="AB41" i="23"/>
  <c r="AB42" i="23"/>
  <c r="AB43" i="23"/>
  <c r="AB44" i="23"/>
  <c r="AB45" i="23"/>
  <c r="AD45" i="23" s="1"/>
  <c r="AB46" i="23"/>
  <c r="AB47" i="23"/>
  <c r="AB48" i="23"/>
  <c r="AB49" i="23"/>
  <c r="AB50" i="23"/>
  <c r="AD50" i="23" s="1"/>
  <c r="X13" i="23"/>
  <c r="W13" i="23"/>
  <c r="Y13" i="23"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L17" i="26" l="1"/>
  <c r="Q43" i="26"/>
  <c r="Q31" i="26"/>
  <c r="Q19" i="26"/>
  <c r="Q30" i="26"/>
  <c r="Q42" i="26"/>
  <c r="Q18" i="26"/>
  <c r="Q25" i="26"/>
  <c r="L45" i="26"/>
  <c r="L33" i="26"/>
  <c r="L21" i="26"/>
  <c r="G41" i="26"/>
  <c r="G29" i="26"/>
  <c r="L44" i="26"/>
  <c r="L32" i="26"/>
  <c r="L20" i="26"/>
  <c r="Q40" i="26"/>
  <c r="Q16" i="26"/>
  <c r="Q37" i="26"/>
  <c r="G38" i="26"/>
  <c r="L41" i="26"/>
  <c r="V50" i="26"/>
  <c r="AA44" i="26"/>
  <c r="AA32" i="26"/>
  <c r="AA20" i="26"/>
  <c r="Q28" i="26"/>
  <c r="G50" i="26"/>
  <c r="G26" i="26"/>
  <c r="L29" i="26"/>
  <c r="AA15" i="26"/>
  <c r="Q38" i="26"/>
  <c r="Q49" i="26"/>
  <c r="Q48" i="26"/>
  <c r="Q36" i="26"/>
  <c r="Q24" i="26"/>
  <c r="AA46" i="26"/>
  <c r="AA34" i="26"/>
  <c r="AA22" i="26"/>
  <c r="Q26" i="26"/>
  <c r="Q50" i="26"/>
  <c r="Q14" i="26"/>
  <c r="V32" i="26"/>
  <c r="AA14" i="26"/>
  <c r="Q39" i="26"/>
  <c r="Q47" i="26"/>
  <c r="Q35" i="26"/>
  <c r="Q23" i="26"/>
  <c r="AA45" i="26"/>
  <c r="AA33" i="26"/>
  <c r="AA21" i="26"/>
  <c r="Q27" i="26"/>
  <c r="G48" i="26"/>
  <c r="Q46" i="26"/>
  <c r="Q34" i="26"/>
  <c r="Q22" i="26"/>
  <c r="Q13" i="26"/>
  <c r="D43" i="16" s="1"/>
  <c r="Q15" i="26"/>
  <c r="Q45" i="26"/>
  <c r="Q33" i="26"/>
  <c r="Q21" i="26"/>
  <c r="Q41" i="26"/>
  <c r="Q29" i="26"/>
  <c r="Q17" i="26"/>
  <c r="G22" i="26"/>
  <c r="Q44" i="26"/>
  <c r="Q32" i="26"/>
  <c r="Q20" i="26"/>
  <c r="G14" i="26"/>
  <c r="V13" i="26" s="1"/>
  <c r="D44" i="16" s="1"/>
  <c r="L43" i="26"/>
  <c r="L31" i="26"/>
  <c r="L19" i="26"/>
  <c r="AA48" i="26"/>
  <c r="AA36" i="26"/>
  <c r="AA24" i="26"/>
  <c r="G17" i="26"/>
  <c r="L42" i="26"/>
  <c r="L30" i="26"/>
  <c r="L18" i="26"/>
  <c r="G47" i="26"/>
  <c r="L48" i="26"/>
  <c r="L36" i="26"/>
  <c r="L24" i="26"/>
  <c r="AA41" i="26"/>
  <c r="AA29" i="26"/>
  <c r="AA17" i="26"/>
  <c r="G46" i="26"/>
  <c r="G34" i="26"/>
  <c r="AA40" i="26"/>
  <c r="AA28" i="26"/>
  <c r="AA16" i="26"/>
  <c r="L46" i="26"/>
  <c r="L34" i="26"/>
  <c r="L22" i="26"/>
  <c r="AA13" i="26"/>
  <c r="D45" i="16" s="1"/>
  <c r="AA39" i="26"/>
  <c r="AA27" i="26"/>
  <c r="AD49" i="23"/>
  <c r="AD37" i="23"/>
  <c r="AD25" i="23"/>
  <c r="O40" i="23"/>
  <c r="O28" i="23"/>
  <c r="O16" i="23"/>
  <c r="AD21" i="23"/>
  <c r="J34" i="23"/>
  <c r="O49" i="23"/>
  <c r="O37" i="23"/>
  <c r="O25" i="23"/>
  <c r="Y39" i="23"/>
  <c r="Y27" i="23"/>
  <c r="Y15" i="23"/>
  <c r="T36" i="23"/>
  <c r="AD27" i="23"/>
  <c r="AD15" i="23"/>
  <c r="O43" i="23"/>
  <c r="Y45" i="23"/>
  <c r="Y33" i="23"/>
  <c r="Y21" i="23"/>
  <c r="Y40" i="23"/>
  <c r="Y28" i="23"/>
  <c r="Y16" i="23"/>
  <c r="AD48" i="23"/>
  <c r="AD36" i="23"/>
  <c r="O39" i="23"/>
  <c r="O27" i="23"/>
  <c r="O15" i="23"/>
  <c r="O48" i="23"/>
  <c r="O36" i="23"/>
  <c r="O24" i="23"/>
  <c r="Y50" i="23"/>
  <c r="Y38" i="23"/>
  <c r="Y26" i="23"/>
  <c r="Y14" i="23"/>
  <c r="T35" i="23"/>
  <c r="O46" i="23"/>
  <c r="O34" i="23"/>
  <c r="O22" i="23"/>
  <c r="T50" i="23"/>
  <c r="T38" i="23"/>
  <c r="T26" i="23"/>
  <c r="T14" i="23"/>
  <c r="AD42" i="23"/>
  <c r="AD30" i="23"/>
  <c r="AD18" i="23"/>
  <c r="T47" i="23"/>
  <c r="T49" i="23"/>
  <c r="T37" i="23"/>
  <c r="T25" i="23"/>
  <c r="T13" i="23"/>
  <c r="AD41" i="23"/>
  <c r="AD29" i="23"/>
  <c r="AD17" i="23"/>
  <c r="O45" i="23"/>
  <c r="O33" i="23"/>
  <c r="O21" i="23"/>
  <c r="T48" i="23"/>
  <c r="O19" i="23"/>
  <c r="Y49" i="23"/>
  <c r="Y37" i="23"/>
  <c r="Y25" i="23"/>
  <c r="T45" i="23"/>
  <c r="T33" i="23"/>
  <c r="T21" i="23"/>
  <c r="AD39" i="23"/>
  <c r="AD13" i="23"/>
  <c r="T29" i="23"/>
  <c r="T40" i="23"/>
  <c r="T28" i="23"/>
  <c r="AD44" i="23"/>
  <c r="AD32" i="23"/>
  <c r="AD20" i="23"/>
  <c r="T24" i="23"/>
  <c r="T23" i="23"/>
  <c r="T41" i="23"/>
  <c r="T39" i="23"/>
  <c r="T27" i="23"/>
  <c r="T15" i="23"/>
  <c r="AD43" i="23"/>
  <c r="AD31" i="23"/>
  <c r="AD19" i="23"/>
  <c r="O47" i="23"/>
  <c r="O35" i="23"/>
  <c r="O23" i="23"/>
  <c r="Y41" i="23"/>
  <c r="Y29" i="23"/>
  <c r="Y17" i="23"/>
  <c r="AD40" i="23"/>
  <c r="AD28" i="23"/>
  <c r="AD16" i="23"/>
  <c r="O31" i="23"/>
  <c r="O32" i="23"/>
  <c r="O20" i="23"/>
  <c r="Y42" i="23"/>
  <c r="Y30" i="23"/>
  <c r="Y18" i="23"/>
  <c r="Y24" i="23"/>
  <c r="T46" i="23"/>
  <c r="T22" i="23"/>
  <c r="T17" i="23"/>
  <c r="AD47" i="23"/>
  <c r="AD35" i="23"/>
  <c r="AD23" i="23"/>
  <c r="Y48" i="23"/>
  <c r="Y36" i="23"/>
  <c r="T34" i="23"/>
  <c r="O13" i="23"/>
  <c r="T16" i="23"/>
  <c r="AD46" i="23"/>
  <c r="AD34" i="23"/>
  <c r="AD22" i="23"/>
  <c r="O50" i="23"/>
  <c r="O38" i="23"/>
  <c r="O26" i="23"/>
  <c r="O14" i="23"/>
  <c r="I9" i="24"/>
  <c r="I7" i="24"/>
  <c r="I8" i="24"/>
  <c r="I11" i="24"/>
  <c r="K7" i="24"/>
  <c r="B15" i="24" s="1"/>
  <c r="G35" i="26"/>
  <c r="G23" i="26"/>
  <c r="L47" i="26"/>
  <c r="L35" i="26"/>
  <c r="L23" i="26"/>
  <c r="AA50" i="26"/>
  <c r="AA38" i="26"/>
  <c r="AA26" i="26"/>
  <c r="G44" i="26"/>
  <c r="G32" i="26"/>
  <c r="G20" i="26"/>
  <c r="G43" i="26"/>
  <c r="G31" i="26"/>
  <c r="G19" i="26"/>
  <c r="G42" i="26"/>
  <c r="G30" i="26"/>
  <c r="G18" i="26"/>
  <c r="AA47" i="26"/>
  <c r="AA35" i="26"/>
  <c r="AA23" i="26"/>
  <c r="G49" i="26"/>
  <c r="G37" i="26"/>
  <c r="G25" i="26"/>
  <c r="L50" i="26"/>
  <c r="L38" i="26"/>
  <c r="L26" i="26"/>
  <c r="L14" i="26"/>
  <c r="L40" i="26"/>
  <c r="L28" i="26"/>
  <c r="L16" i="26"/>
  <c r="AA43" i="26"/>
  <c r="AA31" i="26"/>
  <c r="AA19" i="26"/>
  <c r="G13" i="26"/>
  <c r="D41" i="16" s="1"/>
  <c r="G15" i="26"/>
  <c r="G36" i="26"/>
  <c r="G24" i="26"/>
  <c r="L49" i="26"/>
  <c r="L37" i="26"/>
  <c r="L25" i="26"/>
  <c r="L13" i="26"/>
  <c r="D42" i="16" s="1"/>
  <c r="L39" i="26"/>
  <c r="L27" i="26"/>
  <c r="L15" i="26"/>
  <c r="AA42" i="26"/>
  <c r="AA30" i="26"/>
  <c r="AA18" i="26"/>
  <c r="G45" i="26"/>
  <c r="G33" i="26"/>
  <c r="G21" i="26"/>
  <c r="G40" i="26"/>
  <c r="G28" i="26"/>
  <c r="G16" i="26"/>
  <c r="G39" i="26"/>
  <c r="G27" i="26"/>
  <c r="V38" i="26"/>
  <c r="V26" i="26"/>
  <c r="V14" i="26"/>
  <c r="V22" i="26"/>
  <c r="V35" i="26"/>
  <c r="V34" i="26"/>
  <c r="V23" i="26"/>
  <c r="V49" i="26"/>
  <c r="V47" i="26"/>
  <c r="V46" i="26"/>
  <c r="V48" i="26"/>
  <c r="V28" i="26"/>
  <c r="V40" i="26"/>
  <c r="V31" i="26"/>
  <c r="V20" i="26"/>
  <c r="V43" i="26"/>
  <c r="V42" i="26"/>
  <c r="V41" i="26"/>
  <c r="V29" i="26"/>
  <c r="V44" i="26"/>
  <c r="V30" i="26"/>
  <c r="V45" i="26"/>
  <c r="V33" i="26"/>
  <c r="V21" i="26"/>
  <c r="V19" i="26"/>
  <c r="V17" i="26"/>
  <c r="V39" i="26"/>
  <c r="V27" i="26"/>
  <c r="V37" i="26"/>
  <c r="V25" i="26"/>
  <c r="V36" i="26"/>
  <c r="V24" i="26"/>
  <c r="V18" i="26"/>
  <c r="V16" i="26"/>
  <c r="V15" i="26"/>
  <c r="J22" i="23"/>
  <c r="J27" i="23"/>
  <c r="J15" i="23"/>
  <c r="J50" i="23"/>
  <c r="J38" i="23"/>
  <c r="J26" i="23"/>
  <c r="J14" i="23"/>
  <c r="T44" i="23"/>
  <c r="T32" i="23"/>
  <c r="T20" i="23"/>
  <c r="T43" i="23"/>
  <c r="T31" i="23"/>
  <c r="T19" i="23"/>
  <c r="T42" i="23"/>
  <c r="T30" i="23"/>
  <c r="T18" i="23"/>
  <c r="J28" i="23"/>
  <c r="J29" i="23"/>
  <c r="J35" i="23"/>
  <c r="J23" i="23"/>
  <c r="J41" i="23"/>
  <c r="J17" i="23"/>
  <c r="J33" i="23"/>
  <c r="J44" i="23"/>
  <c r="J32" i="23"/>
  <c r="J45" i="23"/>
  <c r="J40" i="23"/>
  <c r="J16" i="23"/>
  <c r="J13" i="23"/>
  <c r="J39" i="23"/>
  <c r="J21" i="23"/>
  <c r="J20" i="23"/>
  <c r="J48" i="23"/>
  <c r="J47" i="23"/>
  <c r="J46" i="23"/>
  <c r="J49" i="23"/>
  <c r="J37" i="23"/>
  <c r="J25" i="23"/>
  <c r="J36" i="23"/>
  <c r="J24" i="23"/>
  <c r="J43" i="23"/>
  <c r="J19" i="23"/>
  <c r="J18" i="23"/>
  <c r="J31" i="23"/>
  <c r="J42" i="23"/>
  <c r="J30" i="23"/>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O10" i="17"/>
  <c r="AO9" i="17"/>
  <c r="AO8" i="17"/>
  <c r="AO7" i="17"/>
  <c r="AD7" i="17"/>
  <c r="AE7" i="17" s="1"/>
  <c r="AO6" i="17"/>
  <c r="D76" i="16" l="1"/>
  <c r="BE7" i="17"/>
  <c r="BF7" i="17" s="1"/>
  <c r="BG7" i="17" s="1"/>
  <c r="BE8" i="17"/>
  <c r="BF8" i="17" s="1"/>
  <c r="BG8" i="17" s="1"/>
  <c r="BE6" i="17"/>
  <c r="BF6" i="17" s="1"/>
  <c r="BG6" i="17" s="1"/>
  <c r="AI7" i="17"/>
  <c r="AN7" i="17"/>
  <c r="AG23" i="17"/>
  <c r="AG26" i="17"/>
  <c r="AG25" i="17"/>
  <c r="AG24" i="17"/>
  <c r="AH27" i="17"/>
  <c r="AH18" i="17"/>
  <c r="AG15" i="17"/>
  <c r="AG19" i="17"/>
  <c r="AG17" i="17"/>
  <c r="AG16" i="17"/>
  <c r="Q20" i="17"/>
  <c r="P19" i="17"/>
  <c r="R7" i="17" l="1"/>
  <c r="S7" i="17"/>
  <c r="T7" i="17"/>
  <c r="R8" i="17"/>
  <c r="S8" i="17"/>
  <c r="T8" i="17"/>
  <c r="M9" i="17"/>
  <c r="N7" i="17" s="1"/>
  <c r="N8" i="17" l="1"/>
  <c r="N9" i="17" l="1"/>
  <c r="R9" i="17"/>
  <c r="S9" i="17"/>
  <c r="Q9" i="17"/>
  <c r="P9" i="17"/>
  <c r="T9" i="17"/>
  <c r="O9" i="17"/>
  <c r="D50" i="16" l="1"/>
  <c r="D51" i="16"/>
  <c r="B31" i="31"/>
  <c r="A1" i="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<sst xmlns="http://schemas.openxmlformats.org/spreadsheetml/2006/main" count="1629" uniqueCount="1033">
  <si>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</si>
  <si>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</si>
  <si>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</si>
  <si>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</si>
  <si>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</si>
  <si>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</si>
  <si>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</si>
  <si>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</si>
  <si>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</si>
  <si>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</si>
  <si>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</si>
  <si>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</si>
  <si>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</si>
  <si>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</si>
  <si>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</si>
  <si>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</si>
  <si>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</si>
  <si>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</si>
  <si>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</si>
  <si>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</si>
  <si>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</si>
  <si>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</si>
  <si>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</si>
  <si>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</si>
  <si>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</si>
  <si>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</si>
  <si>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</si>
  <si>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</si>
  <si>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</si>
  <si>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</si>
  <si>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</si>
  <si>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</si>
  <si>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</si>
  <si>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</si>
  <si>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</si>
  <si>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</si>
  <si>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</si>
  <si>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</si>
  <si>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</si>
  <si>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</si>
  <si>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</si>
  <si>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</si>
  <si>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</si>
  <si>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</si>
  <si>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</si>
  <si>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</si>
  <si>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</si>
  <si>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</si>
  <si>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</si>
  <si>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</si>
  <si>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</si>
  <si>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</si>
  <si>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</si>
  <si>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</si>
  <si>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</si>
  <si>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</si>
  <si>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</si>
  <si>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</si>
  <si>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</si>
  <si>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</si>
  <si>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</si>
  <si>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</si>
  <si>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</si>
  <si>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</si>
  <si>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</si>
  <si>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</si>
  <si>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</si>
  <si>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</si>
  <si>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</si>
  <si>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</si>
  <si>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</si>
  <si>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</si>
  <si>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</si>
  <si>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</si>
  <si>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</si>
  <si>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</si>
  <si>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</si>
  <si>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</si>
  <si>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</si>
  <si>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</si>
  <si>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</si>
  <si>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</si>
  <si>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</si>
  <si>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</si>
  <si>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</si>
  <si>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</si>
  <si>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</si>
  <si>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</si>
  <si>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</si>
  <si>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</si>
  <si>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</si>
  <si>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</si>
  <si>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</si>
  <si>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</si>
  <si>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</si>
  <si>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</si>
  <si>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</si>
  <si>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</si>
  <si>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</si>
  <si>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</si>
  <si>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</si>
  <si>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</si>
  <si>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</si>
  <si>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</si>
  <si>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</si>
  <si>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</si>
  <si>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</si>
  <si>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</si>
  <si>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</si>
  <si>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</si>
  <si>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</si>
  <si>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</si>
  <si>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</si>
  <si>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</si>
  <si>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</si>
  <si>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</si>
  <si>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</si>
  <si>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</si>
  <si>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</si>
  <si>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</si>
  <si>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</si>
  <si>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</si>
  <si>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</si>
  <si>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</si>
  <si>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</si>
  <si>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</si>
  <si>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</si>
  <si>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</si>
  <si>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</si>
  <si>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</si>
  <si>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</si>
  <si>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</si>
  <si>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</si>
  <si>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</si>
  <si>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</si>
  <si>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</si>
  <si>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</si>
  <si>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</si>
  <si>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</si>
  <si>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</si>
  <si>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</si>
  <si>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</si>
  <si>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</si>
  <si>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</si>
  <si>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</si>
  <si>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</si>
  <si>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</si>
  <si>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</si>
  <si>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</si>
  <si>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</si>
  <si>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</si>
  <si>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</si>
  <si>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</si>
  <si>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</si>
  <si>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</si>
  <si>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</si>
  <si>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</si>
  <si>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</si>
  <si>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</si>
  <si>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</si>
  <si>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</si>
  <si>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</si>
  <si>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</si>
  <si>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</si>
  <si>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</si>
  <si>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</si>
  <si>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</si>
  <si>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</si>
  <si>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</si>
  <si>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</si>
  <si>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</si>
  <si>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</si>
  <si>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</si>
  <si>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</si>
  <si>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</si>
  <si>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</si>
  <si>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</si>
  <si>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</si>
  <si>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</si>
  <si>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</si>
  <si>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</si>
  <si>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</si>
  <si>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</si>
  <si>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</si>
  <si>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</si>
  <si>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</si>
  <si>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</si>
  <si>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</si>
  <si>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</si>
  <si>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</si>
  <si>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</si>
  <si>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</si>
  <si>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</si>
  <si>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</si>
  <si>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</si>
  <si>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</si>
  <si>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</si>
  <si>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</si>
  <si>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</si>
  <si>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</si>
  <si>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</si>
  <si>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</si>
  <si>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</si>
  <si>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</si>
  <si>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</si>
  <si>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</si>
  <si>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</si>
  <si>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</si>
  <si>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</si>
  <si>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</si>
  <si>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</si>
  <si>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</si>
  <si>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</si>
  <si>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</si>
  <si>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</si>
  <si>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</si>
  <si>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</si>
  <si>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</si>
  <si>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</si>
  <si>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</si>
  <si>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</si>
  <si>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</si>
  <si>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</si>
  <si>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</si>
  <si>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</si>
  <si>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</si>
  <si>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</si>
  <si>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</si>
  <si>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</si>
  <si>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</si>
  <si>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</si>
  <si>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</si>
  <si>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</si>
  <si>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</si>
  <si>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</si>
  <si>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</si>
  <si>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</si>
  <si>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</si>
  <si>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</si>
  <si>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</si>
  <si>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</si>
  <si>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</si>
  <si>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</si>
  <si>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</si>
  <si>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</si>
  <si>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</si>
  <si>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</si>
  <si>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</si>
  <si>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</si>
  <si>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</si>
  <si>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</si>
  <si>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</si>
  <si>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</si>
  <si>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</si>
  <si>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</si>
  <si>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</si>
  <si>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</si>
  <si>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</si>
  <si>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</si>
  <si>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</si>
  <si>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</si>
  <si>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</si>
  <si>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</si>
  <si>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</si>
  <si>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</si>
  <si>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</si>
  <si>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</si>
  <si>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</si>
  <si>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</si>
  <si>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</si>
  <si>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</si>
  <si>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</si>
  <si>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</si>
  <si>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</si>
  <si>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</si>
  <si>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</si>
  <si>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</si>
  <si>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</si>
  <si>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</si>
  <si>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</si>
  <si>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</si>
  <si>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</si>
  <si>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</si>
  <si>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</si>
  <si>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</si>
  <si>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</si>
  <si>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</si>
  <si>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</si>
  <si>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</si>
  <si>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</si>
  <si>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</si>
  <si>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</si>
  <si>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</si>
  <si>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</si>
  <si>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</si>
  <si>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</si>
  <si>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</si>
  <si>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</si>
  <si>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</si>
  <si>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</si>
  <si>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</si>
  <si>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</si>
  <si>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</si>
  <si>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</si>
  <si>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</si>
  <si>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</si>
  <si>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</si>
  <si>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</si>
  <si>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</si>
  <si>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</si>
  <si>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</si>
  <si>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</si>
  <si>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</si>
  <si>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</si>
  <si>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</si>
  <si>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</si>
  <si>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</si>
  <si>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</si>
  <si>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</si>
  <si>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</si>
  <si>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</si>
  <si>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</si>
  <si>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</si>
  <si>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</si>
  <si>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</si>
  <si>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</si>
  <si>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</si>
  <si>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</si>
  <si>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</si>
  <si>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</si>
  <si>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</si>
  <si>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</si>
  <si>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</si>
  <si>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</si>
  <si>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</si>
  <si>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</si>
  <si>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</si>
  <si>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</si>
  <si>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</si>
  <si>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</si>
  <si>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</si>
  <si>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</si>
  <si>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</si>
  <si>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</si>
  <si>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</si>
  <si>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</si>
  <si>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</si>
  <si>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</si>
  <si>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</si>
  <si>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</si>
  <si>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</si>
  <si>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</si>
  <si>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</si>
  <si>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</si>
  <si>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</si>
  <si>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</si>
  <si>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</si>
  <si>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</si>
  <si>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</si>
  <si>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</si>
  <si>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</si>
  <si>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</si>
  <si>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</si>
  <si>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</si>
  <si>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</si>
  <si>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</si>
  <si>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</si>
  <si>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</si>
  <si>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</si>
  <si>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</si>
  <si>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</si>
  <si>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</si>
  <si>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</si>
  <si>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</si>
  <si>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</si>
  <si>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</si>
  <si>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</si>
  <si>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</si>
  <si>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</si>
  <si>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</si>
  <si>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</si>
  <si>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</si>
  <si>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</si>
  <si>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</si>
  <si>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</si>
  <si>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</si>
  <si>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</si>
  <si>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</si>
  <si>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</si>
  <si>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</si>
  <si>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</si>
  <si>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</si>
  <si>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</si>
  <si>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</si>
  <si>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</si>
  <si>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</si>
  <si>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</si>
  <si>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</si>
  <si>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</si>
  <si>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</si>
  <si>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</si>
  <si>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</si>
  <si>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</si>
  <si>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</si>
  <si>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</si>
  <si>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</si>
  <si>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</si>
  <si>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</si>
  <si>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</si>
  <si>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</si>
  <si>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</si>
  <si>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</si>
  <si>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</si>
  <si>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</si>
  <si>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</si>
  <si>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</si>
  <si>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</si>
  <si>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</si>
  <si>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</si>
  <si>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</si>
  <si>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</si>
  <si>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</si>
  <si>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</si>
  <si>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</si>
  <si>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</si>
  <si>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</si>
  <si>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</si>
  <si>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</si>
  <si>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</si>
  <si>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</si>
  <si>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</si>
  <si>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</si>
  <si>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</si>
  <si>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</si>
  <si>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</si>
  <si>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</si>
  <si>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</si>
  <si>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</si>
  <si>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</si>
  <si>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</si>
  <si>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</si>
  <si>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</si>
  <si>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</si>
  <si>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</si>
  <si>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</si>
  <si>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</si>
  <si>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</si>
  <si>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</si>
  <si>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</si>
  <si>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</si>
  <si>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</si>
  <si>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</si>
  <si>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Hazard Rate_No_LOF</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</si>
  <si>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</si>
  <si>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</si>
  <si>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</si>
  <si>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</si>
  <si>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</si>
  <si>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</si>
  <si>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</si>
  <si>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</si>
  <si>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</si>
  <si>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</si>
  <si>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</si>
  <si>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</si>
  <si>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</si>
  <si>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</si>
  <si>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</si>
  <si>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</si>
  <si>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Biswas et al</t>
  </si>
  <si>
    <t>value</t>
  </si>
  <si>
    <t>L</t>
  </si>
  <si>
    <t>H</t>
  </si>
  <si>
    <t xml:space="preserve">outcomes reported by Pufulete et al 2021 </t>
  </si>
  <si>
    <t>Test turnaround</t>
  </si>
  <si>
    <t>POC</t>
  </si>
  <si>
    <t>72 Minuts</t>
  </si>
  <si>
    <t>Lab test</t>
  </si>
  <si>
    <t xml:space="preserve">1 - 4 weeks </t>
  </si>
  <si>
    <t xml:space="preserve">Bristol Survey </t>
  </si>
  <si>
    <t>Burke et al</t>
  </si>
  <si>
    <t xml:space="preserve">Model assumptions </t>
  </si>
  <si>
    <t>PCI</t>
  </si>
  <si>
    <t xml:space="preserve">Discharge </t>
  </si>
  <si>
    <t>Diagnosis</t>
  </si>
  <si>
    <t>short-term follow up</t>
  </si>
  <si>
    <t>Discharge</t>
  </si>
  <si>
    <t>Post 1 Year</t>
  </si>
  <si>
    <t>Male : 65
Female : 70</t>
  </si>
  <si>
    <t>Male : 63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</si>
  <si>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</si>
  <si>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</si>
  <si>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</si>
  <si>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</si>
  <si>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</si>
  <si>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</si>
  <si>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</si>
  <si>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</si>
  <si>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</si>
  <si>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</si>
  <si>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</si>
  <si>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</si>
  <si>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</si>
  <si>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parmeter (STEMI)</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</si>
  <si>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</si>
  <si>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</si>
  <si>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</si>
  <si>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</si>
  <si>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</si>
  <si>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</si>
  <si>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</si>
  <si>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</si>
  <si>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</si>
  <si>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</si>
  <si>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</si>
  <si>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</si>
  <si>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 of post-reinfarction</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</si>
  <si>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</si>
  <si>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</si>
  <si>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</si>
  <si>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</si>
  <si>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</si>
  <si>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</si>
  <si>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</si>
  <si>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</si>
  <si>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</si>
  <si>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</si>
  <si>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</si>
  <si>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</si>
  <si>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</si>
  <si>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</si>
  <si>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</si>
  <si>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</si>
  <si>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</si>
  <si>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</si>
  <si>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</si>
  <si>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</si>
  <si>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</si>
  <si>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</si>
  <si>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</si>
  <si>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</si>
  <si>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</si>
  <si>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</si>
  <si>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</si>
  <si>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</si>
  <si>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</si>
  <si>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</si>
  <si>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</si>
  <si>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</si>
  <si>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</si>
  <si>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</si>
  <si>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</si>
  <si>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</si>
  <si>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</si>
  <si>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</si>
  <si>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</si>
  <si>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</si>
  <si>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</si>
  <si>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</si>
  <si>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</si>
  <si>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</si>
  <si>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</si>
  <si>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</si>
  <si>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</si>
  <si>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</si>
  <si>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</si>
  <si>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</si>
  <si>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</si>
  <si>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</si>
  <si>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</si>
  <si>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</si>
  <si>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</si>
  <si>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</si>
  <si>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</si>
  <si>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</si>
  <si>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</si>
  <si>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</si>
  <si>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</si>
  <si>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</si>
  <si>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</si>
  <si>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</si>
  <si>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</si>
  <si>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</si>
  <si>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</si>
  <si>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</si>
  <si>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</si>
  <si>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</si>
  <si>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</si>
  <si>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</si>
  <si>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</si>
  <si>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</si>
  <si>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</si>
  <si>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</si>
  <si>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</si>
  <si>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</si>
  <si>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</si>
  <si>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</si>
  <si>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</si>
  <si>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</si>
  <si>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</si>
  <si>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</si>
  <si>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</si>
  <si>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</si>
  <si>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</si>
  <si>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</si>
  <si>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</si>
  <si>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</si>
  <si>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</si>
  <si>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</si>
  <si>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</si>
  <si>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</si>
  <si>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</si>
  <si>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</si>
  <si>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</si>
  <si>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</si>
  <si>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</si>
  <si>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</si>
  <si>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</si>
  <si>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</si>
  <si>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</si>
  <si>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</si>
  <si>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</si>
  <si>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</si>
  <si>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</si>
  <si>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</si>
  <si>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</si>
  <si>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</si>
  <si>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</si>
  <si>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</si>
  <si>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</si>
  <si>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</si>
  <si>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</si>
  <si>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</si>
  <si>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</si>
  <si>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</si>
  <si>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</si>
  <si>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</si>
  <si>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</si>
  <si>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</si>
  <si>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</si>
  <si>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</si>
  <si>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</si>
  <si>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</si>
  <si>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</si>
  <si>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</si>
  <si>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</si>
  <si>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</si>
  <si>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</si>
  <si>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</si>
  <si>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</si>
  <si>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</si>
  <si>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</si>
  <si>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</si>
  <si>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</si>
  <si>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</si>
  <si>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</si>
  <si>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</si>
  <si>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</si>
  <si>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</si>
  <si>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</si>
  <si>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</si>
  <si>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</si>
  <si>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</si>
  <si>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</si>
  <si>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</si>
  <si>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</si>
  <si>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</si>
  <si>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</si>
  <si>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</si>
  <si>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</si>
  <si>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</si>
  <si>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10.2217/pgs-2021-0098</t>
  </si>
  <si>
    <t xml:space="preserve">Biswal et al </t>
  </si>
  <si>
    <t>Inflation rate</t>
  </si>
  <si>
    <t xml:space="preserve">NHS national tariff - 2023/24 </t>
  </si>
  <si>
    <t xml:space="preserve">Gendrive test price </t>
  </si>
  <si>
    <t xml:space="preserve">company </t>
  </si>
  <si>
    <t>utility of no further event_t</t>
  </si>
  <si>
    <t>utility of reinfarction_t</t>
  </si>
  <si>
    <t>utility of Post-Stroke</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</si>
  <si>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</si>
  <si>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</si>
  <si>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</si>
  <si>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</si>
  <si>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</si>
  <si>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</si>
  <si>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</si>
  <si>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</si>
  <si>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</si>
  <si>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</si>
  <si>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</si>
  <si>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</si>
  <si>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</si>
  <si>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</si>
  <si>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</si>
  <si>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</si>
  <si>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</si>
  <si>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</si>
  <si>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</si>
  <si>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</si>
  <si>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</si>
  <si>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</si>
  <si>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</si>
  <si>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</si>
  <si>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</si>
  <si>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</si>
  <si>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</si>
  <si>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</si>
  <si>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</si>
  <si>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</si>
  <si>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</si>
  <si>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</si>
  <si>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</si>
  <si>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</si>
  <si>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</si>
  <si>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10.2217/pgs-2021-0099</t>
  </si>
  <si>
    <t>10.2217/pgs-2021-0100</t>
  </si>
  <si>
    <t>10.1056/NEJMoa0904327</t>
  </si>
  <si>
    <t>10.1056/NEJMoa0904326</t>
  </si>
  <si>
    <t>10.1056/NEJMoa0904328</t>
  </si>
  <si>
    <t>10.1056/NEJMoa0904329</t>
  </si>
  <si>
    <t>10.1056/NEJMoa0904330</t>
  </si>
  <si>
    <t>10.1186/s12955-018-1019-3</t>
  </si>
  <si>
    <t>10.1186/s12955-018-1019-4</t>
  </si>
  <si>
    <t>Doble 2016</t>
  </si>
  <si>
    <t>Doble 2017</t>
  </si>
  <si>
    <t>10.1161/CIRCOUTCOMES.111.964700</t>
  </si>
  <si>
    <t>10.1161/CIRCOUTCOMES.111.964701</t>
  </si>
  <si>
    <t>10.1191/135248506ms1280oa</t>
  </si>
  <si>
    <t xml:space="preserve">British National Formulary </t>
  </si>
  <si>
    <t>cost_minor_bleed</t>
  </si>
  <si>
    <t>cost_major_bleed</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</si>
  <si>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</si>
  <si>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</si>
  <si>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</si>
  <si>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</si>
  <si>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</si>
  <si>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</si>
  <si>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discount rate costs</t>
  </si>
  <si>
    <t>discount rate QALYs</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</si>
  <si>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</si>
  <si>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</si>
  <si>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</si>
  <si>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</si>
  <si>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</si>
  <si>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</si>
  <si>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</si>
  <si>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20000-30000</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</si>
  <si>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</si>
  <si>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</si>
  <si>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</si>
  <si>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</si>
  <si>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</si>
  <si>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 xml:space="preserve">cohort age assumed 63 for male and 70 female. </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</si>
  <si>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</si>
  <si>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</si>
  <si>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</si>
  <si>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</si>
  <si>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</si>
  <si>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</si>
  <si>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</si>
  <si>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</si>
  <si>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 xml:space="preserve">Proportion of patients prescribed prasugrel 5 mg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</si>
  <si>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</si>
  <si>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</si>
  <si>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</si>
  <si>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Prevalence of loss-of-function (LOF) alleles included in the base analysis</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</si>
  <si>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</si>
  <si>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</si>
  <si>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</si>
  <si>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</si>
  <si>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</si>
  <si>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</si>
  <si>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</si>
  <si>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time horison is assumed 40 years (12 month decision tree - 39 years markov with 1 year cycle length)</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</si>
  <si>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</si>
  <si>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</si>
  <si>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</si>
  <si>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</si>
  <si>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</si>
  <si>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</si>
  <si>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</si>
  <si>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</si>
  <si>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</si>
  <si>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</si>
  <si>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</si>
  <si>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</si>
  <si>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</si>
  <si>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</si>
  <si>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</si>
  <si>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</si>
  <si>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</si>
  <si>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</si>
  <si>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</si>
  <si>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</si>
  <si>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</si>
  <si>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</si>
  <si>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</si>
  <si>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</si>
  <si>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</si>
  <si>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</si>
  <si>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</si>
  <si>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</si>
  <si>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</si>
  <si>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</si>
  <si>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</si>
  <si>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</si>
  <si>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</si>
  <si>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</si>
  <si>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</si>
  <si>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</si>
  <si>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</si>
  <si>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</si>
  <si>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</si>
  <si>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</si>
  <si>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</si>
  <si>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</si>
  <si>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</si>
  <si>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</si>
  <si>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</si>
  <si>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</si>
  <si>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</si>
  <si>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</si>
  <si>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</si>
  <si>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</si>
  <si>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</si>
  <si>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</si>
  <si>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</si>
  <si>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</si>
  <si>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</si>
  <si>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</si>
  <si>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</si>
  <si>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</si>
  <si>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</si>
  <si>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</si>
  <si>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</si>
  <si>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</si>
  <si>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</si>
  <si>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</si>
  <si>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</si>
  <si>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</si>
  <si>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</si>
  <si>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</si>
  <si>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 with AT</t>
  </si>
  <si>
    <t>major bleeding with AT</t>
  </si>
  <si>
    <t>minor bleeding with AT</t>
  </si>
  <si>
    <t>all-cause mortality with AP</t>
  </si>
  <si>
    <t>major bleeding with AP</t>
  </si>
  <si>
    <t>minor bleeding with AP</t>
  </si>
  <si>
    <t>all-cause mortality</t>
  </si>
  <si>
    <t>major bleed</t>
  </si>
  <si>
    <t>minor bleed</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</si>
  <si>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</si>
  <si>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</si>
  <si>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</si>
  <si>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</si>
  <si>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odds ratio_all-cause mortality_ prasugrel vs clopidogrel </t>
  </si>
  <si>
    <t xml:space="preserve">odds ratio_all-cause mortality_ ticagrelor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</si>
  <si>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</si>
  <si>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</si>
  <si>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</si>
  <si>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</si>
  <si>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daily cost of DAPT ( £)</t>
  </si>
  <si>
    <t>type</t>
  </si>
  <si>
    <t>proportion</t>
  </si>
  <si>
    <t>risk</t>
  </si>
  <si>
    <t>hazard rate</t>
  </si>
  <si>
    <t xml:space="preserve">utility </t>
  </si>
  <si>
    <t>ratio</t>
  </si>
  <si>
    <t>cost</t>
  </si>
  <si>
    <t>Drate</t>
  </si>
  <si>
    <t>hazard_ratio_all-cause mortality_ AC_no-LOF</t>
  </si>
  <si>
    <t>hazard_ratio_MI_ AC_no-LOF</t>
  </si>
  <si>
    <t>hazard_ratio_stroke_ AC_no-LOF</t>
  </si>
  <si>
    <t>hazard_ratio_major_bleeding_ AC_no-LOF</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</si>
  <si>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</si>
  <si>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</si>
  <si>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</si>
  <si>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</si>
  <si>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</si>
  <si>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</si>
  <si>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</si>
  <si>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</si>
  <si>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</si>
  <si>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</si>
  <si>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</si>
  <si>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</si>
  <si>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</si>
  <si>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</si>
  <si>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</si>
  <si>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</si>
  <si>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</si>
  <si>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</si>
  <si>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</si>
  <si>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</si>
  <si>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</si>
  <si>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</si>
  <si>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</si>
  <si>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</si>
  <si>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</si>
  <si>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</si>
  <si>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</si>
  <si>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</si>
  <si>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</si>
  <si>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</si>
  <si>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</si>
  <si>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</si>
  <si>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prob_test_order * prob_test_followed * (costs the same as standard care + PoC test cost)</t>
  </si>
  <si>
    <t>MI with AC no-LOF</t>
  </si>
  <si>
    <t>Maintenance period 365</t>
  </si>
  <si>
    <t>Maintenance period 360</t>
  </si>
  <si>
    <t>Maintenance period 328</t>
  </si>
  <si>
    <t>number</t>
  </si>
  <si>
    <t>cost of AC, 600 loading dose, 365 maintenance</t>
  </si>
  <si>
    <t>cost of AC, 300 loading dose,  365 maintenance</t>
  </si>
  <si>
    <t>cost of AP, 60 loading dose,  365 maintenance</t>
  </si>
  <si>
    <t>cost of AT,  180 loading dose, 365 maintenance</t>
  </si>
  <si>
    <t xml:space="preserve">Maintenance period half way </t>
  </si>
  <si>
    <t xml:space="preserve">
</t>
  </si>
  <si>
    <t xml:space="preserve">daily cost prasugrel 5mg </t>
  </si>
  <si>
    <t xml:space="preserve">daily cost prasugrel 10mg </t>
  </si>
  <si>
    <t>proportion of prasugrel 5mg</t>
  </si>
  <si>
    <t xml:space="preserve">maintenance cost AC 360 day </t>
  </si>
  <si>
    <t xml:space="preserve">maintenance cost AC 328 day </t>
  </si>
  <si>
    <t xml:space="preserve">maintenance cost AP 360 day </t>
  </si>
  <si>
    <t xml:space="preserve">maintenance cost AP 328 day </t>
  </si>
  <si>
    <t xml:space="preserve">maintenance cost AT 360 day </t>
  </si>
  <si>
    <t xml:space="preserve">maintenance cost AT 328 day </t>
  </si>
  <si>
    <t>maintenance cost AP half way</t>
  </si>
  <si>
    <t xml:space="preserve">maintenance cost AT half way </t>
  </si>
  <si>
    <t>decision tree branches</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</si>
  <si>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</si>
  <si>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</si>
  <si>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</si>
  <si>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</si>
  <si>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</si>
  <si>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 xml:space="preserve">codes / formula </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</si>
  <si>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</si>
  <si>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</si>
  <si>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</si>
  <si>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</si>
  <si>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</si>
  <si>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</si>
  <si>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</si>
  <si>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</si>
  <si>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</si>
  <si>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</si>
  <si>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</si>
  <si>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</si>
  <si>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</si>
  <si>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</si>
  <si>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</si>
  <si>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</si>
  <si>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</si>
  <si>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</si>
  <si>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</si>
  <si>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</si>
  <si>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</si>
  <si>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utility_post_reinfarction_tree</t>
  </si>
  <si>
    <t>utility_stroke_tree</t>
  </si>
  <si>
    <t>utility_post_stroke_tree</t>
  </si>
  <si>
    <t>utility_dec_maj_bleed * (duration_maj_bleed/365)</t>
  </si>
  <si>
    <t>SMR_no_further_event</t>
  </si>
  <si>
    <t>SMR_reinfarction</t>
  </si>
  <si>
    <t>SMR_post_reinfarction</t>
  </si>
  <si>
    <t>SMR_post_stroke</t>
  </si>
  <si>
    <t>day_cost_ASA</t>
  </si>
  <si>
    <t xml:space="preserve"> ld_pras_60 + ((day_cost_ASA + day_cost_pras_5mg)*md_365_day)</t>
  </si>
  <si>
    <t>ld_pras_60 + ((day_cost_ASA + day_cost_pras_10mg)*md_365_day)</t>
  </si>
  <si>
    <t>ld_pras_60 + (day_cost_ASA + ((day_cost_pras_5mg)*proportion_prasu_5mg) + (day_cost_pras_10mg*(1-proportion_prasu_5mg)))*md_365_day</t>
  </si>
  <si>
    <t>(day_cost_ASA + ((day_cost_pras_5mg)*proportion_prasu_5mg) + (day_cost_pras_10mg*(1-proportion_prasu_5mg)))*md_360_day</t>
  </si>
  <si>
    <t>(day_cost_ASA + ((day_cost_pras_5mg)*proportion_prasu_5mg) + (day_cost_pras_10mg*(1-proportion_prasu_5mg)))*md_328</t>
  </si>
  <si>
    <t xml:space="preserve"> ld_tica_180 + ((day_cost_ASA + day_cost_tica)* md_365_day)</t>
  </si>
  <si>
    <t>(day_cost_ASA + day_cost_tica)* md_360_day</t>
  </si>
  <si>
    <t>(day_cost_ASA + day_cost_tica)* md_halfway</t>
  </si>
  <si>
    <t>cost_no_event_tree</t>
  </si>
  <si>
    <t>cost_min_bleed</t>
  </si>
  <si>
    <t>cost_maj_bleed</t>
  </si>
  <si>
    <t>cost_no_event_markov</t>
  </si>
  <si>
    <t>cost_post_stroke_markov</t>
  </si>
  <si>
    <t>cost_post_reinfarction_markov</t>
  </si>
  <si>
    <t>OR_death_tica_vs_clop</t>
  </si>
  <si>
    <t>OR_MI_tica_vs_clop</t>
  </si>
  <si>
    <t>OR_stroke_tica_vs_clop</t>
  </si>
  <si>
    <t>OR_maj_bleed__tica_vs_clop</t>
  </si>
  <si>
    <t>OR_min_bleed__tica_vs_clop</t>
  </si>
  <si>
    <t>OR_death_pras_vs_clop</t>
  </si>
  <si>
    <t>OR_MI_pras_vs_clop</t>
  </si>
  <si>
    <t>OR_stroke_pras_vs_clop</t>
  </si>
  <si>
    <t>OR_maj_bleed_pras_vs_clop</t>
  </si>
  <si>
    <t>OR_min_bleed_pras_vs_clop</t>
  </si>
  <si>
    <t>HR_death_AC_no_LOF</t>
  </si>
  <si>
    <t>HR_MI_AC_no_LOF</t>
  </si>
  <si>
    <t>HR_stroke_AC_no_LOF</t>
  </si>
  <si>
    <t xml:space="preserve">variable name </t>
  </si>
  <si>
    <t>prob_test_order</t>
  </si>
  <si>
    <t>prob_test_followed</t>
  </si>
  <si>
    <t>prevalence_LOF_base_case</t>
  </si>
  <si>
    <t>prevalence_LOF_sensitivity</t>
  </si>
  <si>
    <t>prob_death_AC_noLOF</t>
  </si>
  <si>
    <t>prob_MI_AC_noLOF</t>
  </si>
  <si>
    <t>prob_stroke_AC_noLOF</t>
  </si>
  <si>
    <t>rate_maj_bleed_AC_noLOF</t>
  </si>
  <si>
    <t>rate_min_bleed_AC_noLOF</t>
  </si>
  <si>
    <t>rate</t>
  </si>
  <si>
    <t xml:space="preserve">rate </t>
  </si>
  <si>
    <t>utility_dec_min_bleed</t>
  </si>
  <si>
    <t>utility_dec_maj_bleed</t>
  </si>
  <si>
    <t>duration_maj_bleed</t>
  </si>
  <si>
    <t>duration_min_bleed</t>
  </si>
  <si>
    <t>PoCT_cost</t>
  </si>
  <si>
    <t>md_365_day</t>
  </si>
  <si>
    <t>md_360_day</t>
  </si>
  <si>
    <t>md_328</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</si>
  <si>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</si>
  <si>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</si>
  <si>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</si>
  <si>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</si>
  <si>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</si>
  <si>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</si>
  <si>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</si>
  <si>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</si>
  <si>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</si>
  <si>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</si>
  <si>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</si>
  <si>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</si>
  <si>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utility_dec_min_bleed * (duration_min_bleed/365)</t>
  </si>
  <si>
    <t>proportion_prasu_5mg</t>
  </si>
  <si>
    <t>(day_cost_ASA + ((day_cost_pras_5mg)*proportion_pras_5mg) + (day_cost_pras_10mg*(1-proportion_prasu_5mg)))*md_halfway</t>
  </si>
  <si>
    <t>cost_AC_ld600_365md</t>
  </si>
  <si>
    <t>cost_AC_ld300_365md</t>
  </si>
  <si>
    <t>cost_AC_360md</t>
  </si>
  <si>
    <t>cost_AC_md328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</si>
</sst>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quot;£&quot;#,##0;[Red]\-&quot;£&quot;#,##0"/>
    <numFmt numFmtId="165" formatCode="0.000"/>
    <numFmt numFmtId="166" formatCode="0.0000"/>
    <numFmt numFmtId="167" formatCode="0.0"/>
    <numFmt numFmtId="168" formatCode="0.00000"/>
    <numFmt numFmtId="169" formatCode="0.000000"/>
    <numFmt numFmtId="170" formatCode="0.0%"/>
    <numFmt numFmtId="171" formatCode="&quot;£&quot;#,##0"/>
    <numFmt numFmtId="172" formatCode="#,##0_ ;[Red]\-#,##0\ "/>
    <numFmt numFmtId="173" formatCode="&quot;£&quot;#,##0.00"/>
    <numFmt numFmtId="174" formatCode="#,##0.000"/>
  </numFmts>
  <fonts count="22"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s>
  <fills count="21">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theme="0" tint="-0.14999847407452621"/>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0" fontId="3" fillId="0" borderId="0" applyNumberFormat="0" applyFill="0" applyBorder="0" applyAlignment="0" applyProtection="0"/>
  </cellStyleXfs>
  <cellXfs count="392">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5" fontId="0" fillId="0" borderId="1" xfId="0" applyNumberFormat="1" applyBorder="1" applyAlignment="1">
      <alignment horizontal="center"/>
    </xf>
    <xf numFmtId="166"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5"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7"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2" fontId="0" fillId="0" borderId="0" xfId="0" applyNumberFormat="1"/>
    <xf numFmtId="165" fontId="0" fillId="2" borderId="0" xfId="0" applyNumberFormat="1" applyFill="1" applyAlignment="1">
      <alignment horizontal="center"/>
    </xf>
    <xf numFmtId="166" fontId="0" fillId="2" borderId="0" xfId="0" applyNumberFormat="1" applyFill="1" applyAlignment="1">
      <alignment horizontal="center" vertical="center"/>
    </xf>
    <xf numFmtId="166" fontId="0" fillId="0" borderId="0" xfId="0" applyNumberFormat="1" applyAlignment="1">
      <alignment horizontal="center" vertical="center"/>
    </xf>
    <xf numFmtId="165" fontId="0" fillId="2" borderId="0" xfId="0" applyNumberFormat="1" applyFill="1" applyAlignment="1">
      <alignment horizontal="center" vertical="center"/>
    </xf>
    <xf numFmtId="165" fontId="0" fillId="0" borderId="0" xfId="0" applyNumberFormat="1" applyAlignment="1">
      <alignment horizontal="center" vertical="center"/>
    </xf>
    <xf numFmtId="2" fontId="0" fillId="0" borderId="0" xfId="0" applyNumberFormat="1" applyAlignment="1">
      <alignment horizontal="center" vertical="center"/>
    </xf>
    <xf numFmtId="167" fontId="0" fillId="2" borderId="0" xfId="0" applyNumberFormat="1" applyFill="1" applyAlignment="1">
      <alignment horizontal="center" vertical="center"/>
    </xf>
    <xf numFmtId="2" fontId="0" fillId="2" borderId="0" xfId="0" applyNumberFormat="1" applyFill="1" applyAlignment="1">
      <alignment horizontal="center" vertical="center"/>
    </xf>
    <xf numFmtId="0" fontId="0" fillId="0" borderId="0" xfId="0" applyAlignment="1">
      <alignment vertical="center"/>
    </xf>
    <xf numFmtId="168" fontId="0" fillId="0" borderId="0" xfId="0" applyNumberFormat="1"/>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69" fontId="0" fillId="0" borderId="0" xfId="0" applyNumberFormat="1" applyAlignment="1">
      <alignment horizontal="center"/>
    </xf>
    <xf numFmtId="0" fontId="0" fillId="0" borderId="0" xfId="0" applyAlignment="1">
      <alignment horizontal="left"/>
    </xf>
    <xf numFmtId="0" fontId="0" fillId="2" borderId="0" xfId="0" applyFill="1" applyAlignment="1">
      <alignment horizontal="left"/>
    </xf>
    <xf numFmtId="2" fontId="0" fillId="2" borderId="0" xfId="0" applyNumberFormat="1" applyFill="1" applyAlignment="1">
      <alignment horizontal="center" vertical="center" wrapText="1"/>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69"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0" fontId="16" fillId="17" borderId="0" xfId="0" applyFont="1" applyFill="1" applyAlignment="1">
      <alignment horizontal="center" wrapText="1"/>
    </xf>
    <xf numFmtId="166"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0" fontId="19" fillId="15" borderId="0" xfId="0" applyFont="1" applyFill="1" applyAlignment="1">
      <alignment vertical="center"/>
    </xf>
    <xf numFmtId="166" fontId="0" fillId="14" borderId="0" xfId="0" applyNumberFormat="1" applyFill="1" applyAlignment="1">
      <alignment horizontal="center"/>
    </xf>
    <xf numFmtId="166" fontId="0" fillId="17" borderId="0" xfId="0" applyNumberFormat="1" applyFill="1" applyAlignment="1">
      <alignment horizontal="center"/>
    </xf>
    <xf numFmtId="165" fontId="0" fillId="3" borderId="0" xfId="0" applyNumberFormat="1" applyFill="1" applyAlignment="1">
      <alignment horizontal="center"/>
    </xf>
    <xf numFmtId="165" fontId="0" fillId="18" borderId="0" xfId="0" applyNumberFormat="1" applyFill="1" applyAlignment="1">
      <alignment horizontal="center"/>
    </xf>
    <xf numFmtId="165" fontId="0" fillId="17" borderId="0" xfId="0" applyNumberFormat="1" applyFill="1" applyAlignment="1">
      <alignment horizontal="center"/>
    </xf>
    <xf numFmtId="165"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0" fontId="0" fillId="3"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5"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3" fillId="0" borderId="0" xfId="1" applyAlignment="1">
      <alignment horizontal="left" vertical="center" wrapText="1" indent="1"/>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170" fontId="0" fillId="2" borderId="0" xfId="0" applyNumberFormat="1" applyFill="1" applyAlignment="1">
      <alignment horizontal="center"/>
    </xf>
    <xf numFmtId="170" fontId="0" fillId="2" borderId="0" xfId="0" applyNumberFormat="1" applyFill="1" applyAlignment="1">
      <alignment horizontal="center" vertical="center"/>
    </xf>
    <xf numFmtId="0" fontId="3" fillId="0" borderId="17" xfId="1" applyBorder="1" applyAlignment="1">
      <alignment vertical="center" wrapText="1"/>
    </xf>
    <xf numFmtId="0" fontId="3" fillId="0" borderId="0"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5" fontId="0" fillId="0" borderId="26" xfId="0" applyNumberFormat="1" applyBorder="1" applyAlignment="1">
      <alignment horizontal="center"/>
    </xf>
    <xf numFmtId="0" fontId="0" fillId="0" borderId="17" xfId="0" applyBorder="1" applyAlignment="1">
      <alignment horizontal="center"/>
    </xf>
    <xf numFmtId="165"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8"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5"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5" fontId="19" fillId="0" borderId="26" xfId="0" applyNumberFormat="1" applyFont="1" applyBorder="1" applyAlignment="1">
      <alignment horizontal="center"/>
    </xf>
    <xf numFmtId="165"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6"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5" fontId="19" fillId="0" borderId="17" xfId="0" applyNumberFormat="1" applyFont="1" applyBorder="1" applyAlignment="1">
      <alignment horizontal="center"/>
    </xf>
    <xf numFmtId="165"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7" fontId="0" fillId="0" borderId="0" xfId="0" applyNumberFormat="1" applyAlignment="1">
      <alignment horizontal="center" vertical="center"/>
    </xf>
    <xf numFmtId="3" fontId="0" fillId="0" borderId="0" xfId="0" applyNumberFormat="1" applyAlignment="1">
      <alignment horizontal="center" vertical="center"/>
    </xf>
    <xf numFmtId="170" fontId="0" fillId="0" borderId="0" xfId="0" applyNumberFormat="1" applyAlignment="1">
      <alignment horizontal="center"/>
    </xf>
    <xf numFmtId="0" fontId="3" fillId="0" borderId="0" xfId="1" applyAlignment="1">
      <alignment horizontal="left" vertical="center" indent="1"/>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6" fontId="0" fillId="0" borderId="0" xfId="0" applyNumberFormat="1" applyAlignment="1">
      <alignment horizontal="center"/>
    </xf>
    <xf numFmtId="0" fontId="16" fillId="0" borderId="25" xfId="0" applyFont="1" applyBorder="1" applyAlignment="1">
      <alignment wrapText="1"/>
    </xf>
    <xf numFmtId="168" fontId="0" fillId="2" borderId="0" xfId="0" applyNumberFormat="1" applyFill="1" applyAlignment="1">
      <alignment horizontal="center" vertical="center"/>
    </xf>
    <xf numFmtId="171"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69" fontId="0" fillId="0" borderId="0" xfId="0" applyNumberFormat="1"/>
    <xf numFmtId="0" fontId="0" fillId="0" borderId="22" xfId="0" applyBorder="1" applyAlignment="1">
      <alignment horizontal="center"/>
    </xf>
    <xf numFmtId="166" fontId="0" fillId="0" borderId="26" xfId="0" applyNumberFormat="1" applyBorder="1" applyAlignment="1">
      <alignment horizontal="center"/>
    </xf>
    <xf numFmtId="0" fontId="0" fillId="0" borderId="27" xfId="0" applyBorder="1" applyAlignment="1">
      <alignment horizontal="center"/>
    </xf>
    <xf numFmtId="1" fontId="0" fillId="7" borderId="0" xfId="0" applyNumberFormat="1" applyFill="1" applyAlignment="1">
      <alignment horizontal="center"/>
    </xf>
    <xf numFmtId="166"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6" fontId="0" fillId="15" borderId="0" xfId="0" applyNumberFormat="1" applyFill="1" applyAlignment="1">
      <alignment horizontal="center"/>
    </xf>
    <xf numFmtId="0" fontId="16" fillId="12" borderId="0" xfId="0" applyFont="1" applyFill="1" applyAlignment="1">
      <alignment horizontal="center" vertical="center" wrapText="1"/>
    </xf>
    <xf numFmtId="166" fontId="0" fillId="12" borderId="0" xfId="0" applyNumberFormat="1" applyFill="1" applyAlignment="1">
      <alignment horizontal="center"/>
    </xf>
    <xf numFmtId="0" fontId="3" fillId="0" borderId="17" xfId="1" applyBorder="1" applyAlignment="1">
      <alignment horizontal="left" vertical="center" wrapText="1"/>
    </xf>
    <xf numFmtId="0" fontId="0" fillId="18" borderId="0" xfId="0" applyFill="1" applyAlignment="1">
      <alignment horizontal="left"/>
    </xf>
    <xf numFmtId="0" fontId="3" fillId="0" borderId="0" xfId="1" applyAlignment="1">
      <alignment horizontal="left"/>
    </xf>
    <xf numFmtId="0" fontId="3" fillId="0" borderId="0" xfId="1" applyAlignment="1">
      <alignment horizontal="left" vertical="center" wrapText="1"/>
    </xf>
    <xf numFmtId="0" fontId="0" fillId="0" borderId="0" xfId="0" applyAlignment="1">
      <alignment wrapText="1"/>
    </xf>
    <xf numFmtId="9" fontId="0" fillId="0" borderId="0" xfId="0" applyNumberFormat="1"/>
    <xf numFmtId="0" fontId="14" fillId="13" borderId="0" xfId="0" applyFont="1" applyFill="1"/>
    <xf numFmtId="0" fontId="0" fillId="0" borderId="0" xfId="0" applyAlignment="1">
      <alignment vertical="center" wrapText="1"/>
    </xf>
    <xf numFmtId="0" fontId="0" fillId="18" borderId="0" xfId="0" applyFill="1" applyAlignment="1">
      <alignment horizontal="center" vertical="center"/>
    </xf>
    <xf numFmtId="0" fontId="14" fillId="13" borderId="0" xfId="0" applyFont="1" applyFill="1" applyAlignment="1">
      <alignment vertical="top" wrapText="1"/>
    </xf>
    <xf numFmtId="0" fontId="14" fillId="13" borderId="0" xfId="0" applyFont="1" applyFill="1" applyAlignment="1">
      <alignment horizontal="left" vertical="center"/>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9" fillId="2" borderId="0" xfId="0" applyFont="1" applyFill="1" applyAlignment="1">
      <alignment horizontal="center"/>
    </xf>
    <xf numFmtId="0" fontId="16" fillId="2" borderId="0" xfId="0" applyFont="1" applyFill="1" applyAlignment="1">
      <alignment horizontal="left"/>
    </xf>
    <xf numFmtId="0" fontId="19" fillId="0" borderId="0" xfId="0" applyFont="1" applyAlignment="1">
      <alignment horizontal="center" wrapText="1"/>
    </xf>
    <xf numFmtId="0" fontId="19" fillId="2" borderId="17" xfId="0" applyFont="1" applyFill="1" applyBorder="1" applyAlignment="1">
      <alignment horizontal="center"/>
    </xf>
    <xf numFmtId="2" fontId="0" fillId="2" borderId="0" xfId="0" applyNumberFormat="1" applyFill="1" applyAlignment="1">
      <alignment horizontal="center"/>
    </xf>
    <xf numFmtId="0" fontId="0" fillId="2" borderId="22" xfId="0" applyFill="1" applyBorder="1"/>
    <xf numFmtId="0" fontId="19" fillId="0" borderId="23" xfId="0" applyFont="1" applyBorder="1" applyAlignment="1">
      <alignment horizontal="center"/>
    </xf>
    <xf numFmtId="165" fontId="0" fillId="0" borderId="23" xfId="0" applyNumberFormat="1" applyBorder="1"/>
    <xf numFmtId="0" fontId="19" fillId="0" borderId="24" xfId="0" applyFont="1" applyBorder="1" applyAlignment="1">
      <alignment horizontal="center"/>
    </xf>
    <xf numFmtId="0" fontId="0" fillId="2" borderId="25" xfId="0" applyFill="1" applyBorder="1"/>
    <xf numFmtId="0" fontId="0" fillId="2" borderId="27" xfId="0" applyFill="1" applyBorder="1"/>
    <xf numFmtId="165" fontId="0" fillId="0" borderId="17" xfId="0" applyNumberFormat="1" applyBorder="1"/>
    <xf numFmtId="0" fontId="19" fillId="0" borderId="28" xfId="0" applyFont="1" applyBorder="1" applyAlignment="1">
      <alignment horizontal="center"/>
    </xf>
    <xf numFmtId="2" fontId="0" fillId="0" borderId="24" xfId="0" applyNumberFormat="1" applyBorder="1"/>
    <xf numFmtId="2" fontId="0" fillId="0" borderId="26" xfId="0" applyNumberFormat="1" applyBorder="1"/>
    <xf numFmtId="2" fontId="0" fillId="0" borderId="28" xfId="0" applyNumberFormat="1" applyBorder="1"/>
    <xf numFmtId="0" fontId="14" fillId="0" borderId="0" xfId="0" applyFont="1" applyAlignment="1">
      <alignment horizontal="left" vertical="center"/>
    </xf>
    <xf numFmtId="172" fontId="0" fillId="0" borderId="0" xfId="0" applyNumberFormat="1" applyAlignment="1">
      <alignment horizontal="center"/>
    </xf>
    <xf numFmtId="164" fontId="0" fillId="3" borderId="26" xfId="0" applyNumberFormat="1" applyFill="1" applyBorder="1" applyAlignment="1">
      <alignment horizontal="center"/>
    </xf>
    <xf numFmtId="0" fontId="21" fillId="19" borderId="32" xfId="0" applyFont="1" applyFill="1" applyBorder="1"/>
    <xf numFmtId="0" fontId="21" fillId="19" borderId="33" xfId="0" applyFont="1" applyFill="1" applyBorder="1" applyAlignment="1">
      <alignment horizontal="center"/>
    </xf>
    <xf numFmtId="0" fontId="21" fillId="19" borderId="34" xfId="0" applyFont="1" applyFill="1" applyBorder="1" applyAlignment="1">
      <alignment horizontal="center"/>
    </xf>
    <xf numFmtId="0" fontId="0" fillId="10" borderId="32" xfId="0" applyFill="1" applyBorder="1"/>
    <xf numFmtId="165" fontId="0" fillId="10" borderId="33" xfId="0" applyNumberFormat="1" applyFill="1" applyBorder="1" applyAlignment="1">
      <alignment horizontal="center"/>
    </xf>
    <xf numFmtId="165" fontId="0" fillId="10" borderId="34" xfId="0" applyNumberFormat="1" applyFill="1" applyBorder="1" applyAlignment="1">
      <alignment horizontal="center"/>
    </xf>
    <xf numFmtId="0" fontId="0" fillId="10" borderId="29" xfId="0" applyFill="1" applyBorder="1"/>
    <xf numFmtId="165" fontId="0" fillId="10" borderId="30" xfId="0" applyNumberFormat="1" applyFill="1" applyBorder="1" applyAlignment="1">
      <alignment horizontal="center"/>
    </xf>
    <xf numFmtId="165" fontId="0" fillId="10" borderId="31" xfId="0" applyNumberFormat="1" applyFill="1" applyBorder="1" applyAlignment="1">
      <alignment horizontal="center"/>
    </xf>
    <xf numFmtId="171" fontId="0" fillId="2" borderId="0" xfId="0" applyNumberFormat="1" applyFill="1" applyAlignment="1">
      <alignment horizontal="center"/>
    </xf>
    <xf numFmtId="10" fontId="0" fillId="2" borderId="0" xfId="0" applyNumberFormat="1" applyFill="1" applyAlignment="1">
      <alignment horizontal="center"/>
    </xf>
    <xf numFmtId="0" fontId="0" fillId="20" borderId="0" xfId="0" applyFill="1"/>
    <xf numFmtId="0" fontId="0" fillId="20" borderId="0" xfId="0" applyFill="1" applyAlignment="1">
      <alignment horizontal="center" vertical="center"/>
    </xf>
    <xf numFmtId="166" fontId="0" fillId="20" borderId="0" xfId="0" applyNumberFormat="1" applyFill="1" applyAlignment="1">
      <alignment horizontal="center"/>
    </xf>
    <xf numFmtId="0" fontId="0" fillId="20" borderId="0" xfId="0" applyFill="1" applyAlignment="1">
      <alignment horizontal="center"/>
    </xf>
    <xf numFmtId="1" fontId="0" fillId="0" borderId="0" xfId="0" applyNumberFormat="1" applyAlignment="1">
      <alignment horizontal="center" wrapText="1"/>
    </xf>
    <xf numFmtId="0" fontId="3" fillId="0" borderId="0" xfId="1" applyBorder="1" applyAlignment="1">
      <alignment horizontal="left" vertical="center" wrapText="1"/>
    </xf>
    <xf numFmtId="9" fontId="0" fillId="2" borderId="0" xfId="0" applyNumberFormat="1" applyFill="1" applyAlignment="1">
      <alignment horizontal="center" vertical="center"/>
    </xf>
    <xf numFmtId="0" fontId="14" fillId="18" borderId="0" xfId="0" applyFont="1" applyFill="1" applyAlignment="1">
      <alignment horizontal="center"/>
    </xf>
    <xf numFmtId="2" fontId="0" fillId="2" borderId="0" xfId="0" applyNumberFormat="1" applyFill="1" applyAlignment="1">
      <alignment horizontal="left" vertical="center" wrapText="1"/>
    </xf>
    <xf numFmtId="170" fontId="0" fillId="2" borderId="0" xfId="0" applyNumberFormat="1" applyFill="1" applyAlignment="1">
      <alignment horizontal="left"/>
    </xf>
    <xf numFmtId="170" fontId="0" fillId="2" borderId="0" xfId="0" applyNumberFormat="1" applyFill="1" applyAlignment="1">
      <alignment horizontal="left" vertical="center"/>
    </xf>
    <xf numFmtId="166" fontId="0" fillId="0" borderId="0" xfId="0" applyNumberFormat="1" applyAlignment="1">
      <alignment horizontal="left" vertical="center"/>
    </xf>
    <xf numFmtId="165" fontId="0" fillId="2" borderId="0" xfId="0" applyNumberFormat="1" applyFill="1" applyAlignment="1">
      <alignment horizontal="left" vertical="center"/>
    </xf>
    <xf numFmtId="9" fontId="0" fillId="2" borderId="0" xfId="0" applyNumberFormat="1" applyFill="1" applyAlignment="1">
      <alignment horizontal="left" vertical="center"/>
    </xf>
    <xf numFmtId="167" fontId="0" fillId="2" borderId="0" xfId="0" applyNumberFormat="1" applyFill="1" applyAlignment="1">
      <alignment horizontal="left" vertical="center"/>
    </xf>
    <xf numFmtId="2" fontId="0" fillId="2" borderId="0" xfId="0" applyNumberFormat="1" applyFill="1" applyAlignment="1">
      <alignment horizontal="left" vertical="center"/>
    </xf>
    <xf numFmtId="0" fontId="0" fillId="2" borderId="0" xfId="0" applyFill="1" applyAlignment="1">
      <alignment horizontal="left" vertical="center"/>
    </xf>
    <xf numFmtId="166" fontId="0" fillId="2" borderId="0" xfId="0" applyNumberFormat="1" applyFill="1" applyAlignment="1">
      <alignment horizontal="left" vertical="center"/>
    </xf>
    <xf numFmtId="171" fontId="0" fillId="2" borderId="0" xfId="0" applyNumberFormat="1" applyFill="1" applyAlignment="1">
      <alignment horizontal="left"/>
    </xf>
    <xf numFmtId="171" fontId="0" fillId="0" borderId="0" xfId="0" applyNumberFormat="1" applyAlignment="1">
      <alignment horizontal="left"/>
    </xf>
    <xf numFmtId="1" fontId="0" fillId="0" borderId="0" xfId="0" applyNumberFormat="1" applyAlignment="1">
      <alignment horizontal="left"/>
    </xf>
    <xf numFmtId="10" fontId="0" fillId="2" borderId="0" xfId="0" applyNumberFormat="1" applyFill="1" applyAlignment="1">
      <alignment horizontal="left"/>
    </xf>
    <xf numFmtId="0" fontId="19" fillId="2" borderId="0" xfId="0" applyFont="1" applyFill="1" applyAlignment="1">
      <alignment horizontal="left"/>
    </xf>
    <xf numFmtId="0" fontId="19" fillId="2" borderId="17" xfId="0" applyFont="1" applyFill="1" applyBorder="1" applyAlignment="1">
      <alignment horizontal="left"/>
    </xf>
    <xf numFmtId="0" fontId="0" fillId="20" borderId="0" xfId="0" applyFill="1" applyAlignment="1">
      <alignment horizontal="left" vertical="center"/>
    </xf>
    <xf numFmtId="0" fontId="0" fillId="20" borderId="0" xfId="0" applyFill="1" applyAlignment="1">
      <alignment horizontal="left"/>
    </xf>
    <xf numFmtId="2" fontId="0" fillId="20" borderId="0" xfId="0" applyNumberFormat="1" applyFill="1" applyAlignment="1">
      <alignment horizontal="left" vertical="center"/>
    </xf>
    <xf numFmtId="3" fontId="0" fillId="20" borderId="0" xfId="0" applyNumberFormat="1" applyFill="1" applyAlignment="1">
      <alignment horizontal="left"/>
    </xf>
    <xf numFmtId="3" fontId="0" fillId="20" borderId="0" xfId="0" applyNumberFormat="1" applyFill="1" applyAlignment="1">
      <alignment horizontal="center"/>
    </xf>
    <xf numFmtId="174" fontId="0" fillId="20" borderId="0" xfId="0" applyNumberFormat="1" applyFill="1" applyAlignment="1">
      <alignment horizontal="left"/>
    </xf>
    <xf numFmtId="174" fontId="0" fillId="20" borderId="0" xfId="0" applyNumberFormat="1" applyFill="1" applyAlignment="1">
      <alignment horizontal="center"/>
    </xf>
    <xf numFmtId="2" fontId="0" fillId="20" borderId="0" xfId="0" applyNumberFormat="1" applyFill="1" applyAlignment="1">
      <alignment horizontal="center"/>
    </xf>
    <xf numFmtId="173" fontId="0" fillId="20" borderId="0" xfId="0" applyNumberFormat="1" applyFill="1" applyAlignment="1">
      <alignment horizontal="left"/>
    </xf>
    <xf numFmtId="173" fontId="0" fillId="20" borderId="0" xfId="0" applyNumberFormat="1" applyFill="1" applyAlignment="1">
      <alignment horizontal="center"/>
    </xf>
    <xf numFmtId="171" fontId="0" fillId="20" borderId="0" xfId="0" applyNumberFormat="1" applyFill="1" applyAlignment="1">
      <alignment horizontal="left"/>
    </xf>
    <xf numFmtId="171" fontId="0" fillId="20" borderId="0" xfId="0" applyNumberFormat="1" applyFill="1" applyAlignment="1">
      <alignment horizontal="center"/>
    </xf>
    <xf numFmtId="9" fontId="0" fillId="20" borderId="0" xfId="0" applyNumberFormat="1" applyFill="1" applyAlignment="1">
      <alignment horizontal="left"/>
    </xf>
    <xf numFmtId="9" fontId="0" fillId="20" borderId="0" xfId="0" applyNumberFormat="1" applyFill="1" applyAlignment="1">
      <alignment horizontal="center"/>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0" borderId="17" xfId="1" applyBorder="1" applyAlignment="1">
      <alignment horizontal="left" vertical="center" wrapText="1"/>
    </xf>
    <xf numFmtId="0" fontId="3" fillId="0" borderId="28" xfId="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xf numFmtId="0" fontId="20" fillId="18" borderId="0" xfId="0"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4.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263525</xdr:colOff>
      <xdr:row>23</xdr:row>
      <xdr:rowOff>84666</xdr:rowOff>
    </xdr:to>
    <xdr:pic>
      <xdr:nvPicPr>
        <xdr:cNvPr id="2"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0"/>
          <a:ext cx="6928556" cy="4120444"/>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0459358" y="90714"/>
          <a:ext cx="5460999" cy="362857"/>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3019366" y="4243608"/>
          <a:ext cx="1639718" cy="102448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11</xdr:col>
      <xdr:colOff>-1</xdr:colOff>
      <xdr:row>14</xdr:row>
      <xdr:rowOff>80117</xdr:rowOff>
    </xdr:from>
    <xdr:to>
      <xdr:col>13</xdr:col>
      <xdr:colOff>48173</xdr:colOff>
      <xdr:row>15</xdr:row>
      <xdr:rowOff>57322</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450666" y="2687850"/>
          <a:ext cx="1402840" cy="163472"/>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604972" y="92279"/>
          <a:ext cx="9754599" cy="3600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288954" y="846436"/>
          <a:ext cx="2936500" cy="1665173"/>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166108</xdr:rowOff>
    </xdr:from>
    <xdr:to>
      <xdr:col>12</xdr:col>
      <xdr:colOff>141194</xdr:colOff>
      <xdr:row>32</xdr:row>
      <xdr:rowOff>34020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112161" y="4822775"/>
          <a:ext cx="3157033" cy="1171778"/>
          <a:chOff x="4464844" y="3149355"/>
          <a:chExt cx="3134380"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4464844" y="3547121"/>
            <a:ext cx="1108595" cy="45445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573439" y="3149355"/>
            <a:ext cx="2025785" cy="1232661"/>
            <a:chOff x="5573439" y="3149355"/>
            <a:chExt cx="2025785"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573439" y="3149355"/>
              <a:ext cx="2025785" cy="1232661"/>
              <a:chOff x="3962126" y="2827886"/>
              <a:chExt cx="2025785"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stCxn id="99" idx="3"/>
              </xdr:cNvCxnSpPr>
            </xdr:nvCxnSpPr>
            <xdr:spPr>
              <a:xfrm>
                <a:off x="3962126" y="3452879"/>
                <a:ext cx="154952" cy="22160"/>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97731" y="1843507"/>
          <a:ext cx="507974" cy="210982"/>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628750" y="2673239"/>
          <a:ext cx="438427" cy="206145"/>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498929</xdr:colOff>
      <xdr:row>4</xdr:row>
      <xdr:rowOff>18144</xdr:rowOff>
    </xdr:from>
    <xdr:to>
      <xdr:col>22</xdr:col>
      <xdr:colOff>462643</xdr:colOff>
      <xdr:row>20</xdr:row>
      <xdr:rowOff>163287</xdr:rowOff>
    </xdr:to>
    <xdr:sp macro="" textlink="">
      <xdr:nvSpPr>
        <xdr:cNvPr id="147" name="Rectangle 146">
          <a:extLst>
            <a:ext uri="{FF2B5EF4-FFF2-40B4-BE49-F238E27FC236}">
              <a16:creationId xmlns:a16="http://schemas.microsoft.com/office/drawing/2014/main" id="{97EDB3F3-5BB8-4335-A09A-7DB7AC8077AD}"/>
            </a:ext>
          </a:extLst>
        </xdr:cNvPr>
        <xdr:cNvSpPr/>
      </xdr:nvSpPr>
      <xdr:spPr>
        <a:xfrm>
          <a:off x="4163786" y="381001"/>
          <a:ext cx="6041571" cy="3048000"/>
        </a:xfrm>
        <a:prstGeom prst="rect">
          <a:avLst/>
        </a:prstGeom>
        <a:noFill/>
        <a:ln w="19050">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12</xdr:col>
      <xdr:colOff>351117</xdr:colOff>
      <xdr:row>5</xdr:row>
      <xdr:rowOff>0</xdr:rowOff>
    </xdr:from>
    <xdr:to>
      <xdr:col>13</xdr:col>
      <xdr:colOff>36286</xdr:colOff>
      <xdr:row>6</xdr:row>
      <xdr:rowOff>136072</xdr:rowOff>
    </xdr:to>
    <xdr:sp macro="" textlink="">
      <xdr:nvSpPr>
        <xdr:cNvPr id="148" name="Oval 147">
          <a:extLst>
            <a:ext uri="{FF2B5EF4-FFF2-40B4-BE49-F238E27FC236}">
              <a16:creationId xmlns:a16="http://schemas.microsoft.com/office/drawing/2014/main" id="{1ED675A8-4C66-F561-4F4D-45BF91498686}"/>
            </a:ext>
          </a:extLst>
        </xdr:cNvPr>
        <xdr:cNvSpPr/>
      </xdr:nvSpPr>
      <xdr:spPr>
        <a:xfrm>
          <a:off x="7702176" y="933824"/>
          <a:ext cx="297757" cy="322836"/>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GB" sz="1100" kern="1200"/>
            <a:t>A</a:t>
          </a:r>
        </a:p>
      </xdr:txBody>
    </xdr: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86845" y="1305874"/>
          <a:ext cx="507974" cy="206143"/>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80801" y="3427505"/>
          <a:ext cx="789392" cy="179342"/>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13</xdr:col>
      <xdr:colOff>373530</xdr:colOff>
      <xdr:row>24</xdr:row>
      <xdr:rowOff>97118</xdr:rowOff>
    </xdr:from>
    <xdr:to>
      <xdr:col>17</xdr:col>
      <xdr:colOff>600697</xdr:colOff>
      <xdr:row>33</xdr:row>
      <xdr:rowOff>85891</xdr:rowOff>
    </xdr:to>
    <xdr:grpSp>
      <xdr:nvGrpSpPr>
        <xdr:cNvPr id="2" name="Group 1">
          <a:extLst>
            <a:ext uri="{FF2B5EF4-FFF2-40B4-BE49-F238E27FC236}">
              <a16:creationId xmlns:a16="http://schemas.microsoft.com/office/drawing/2014/main" id="{9404C183-F1F2-4F6B-90DE-F3B5440CD080}"/>
            </a:ext>
          </a:extLst>
        </xdr:cNvPr>
        <xdr:cNvGrpSpPr/>
      </xdr:nvGrpSpPr>
      <xdr:grpSpPr>
        <a:xfrm>
          <a:off x="9178863" y="4567518"/>
          <a:ext cx="2919567" cy="1665173"/>
          <a:chOff x="6935612" y="418869"/>
          <a:chExt cx="2658310" cy="1621630"/>
        </a:xfrm>
      </xdr:grpSpPr>
      <xdr:sp macro="" textlink="">
        <xdr:nvSpPr>
          <xdr:cNvPr id="12" name="Rectangle 11">
            <a:extLst>
              <a:ext uri="{FF2B5EF4-FFF2-40B4-BE49-F238E27FC236}">
                <a16:creationId xmlns:a16="http://schemas.microsoft.com/office/drawing/2014/main" id="{0B6E7CF5-5610-2712-35A3-216C4350E700}"/>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5" name="Straight Connector 14">
            <a:extLst>
              <a:ext uri="{FF2B5EF4-FFF2-40B4-BE49-F238E27FC236}">
                <a16:creationId xmlns:a16="http://schemas.microsoft.com/office/drawing/2014/main" id="{59F8AF98-F02C-239D-7D11-753B91DF8776}"/>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44F5FA98-AAA6-2D79-99DB-AAFD1AD70B52}"/>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7" name="TextBox 12">
            <a:extLst>
              <a:ext uri="{FF2B5EF4-FFF2-40B4-BE49-F238E27FC236}">
                <a16:creationId xmlns:a16="http://schemas.microsoft.com/office/drawing/2014/main" id="{B90D63FB-2940-8CBE-1A7F-B09A09D9E5E8}"/>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39" name="TextBox 12">
            <a:extLst>
              <a:ext uri="{FF2B5EF4-FFF2-40B4-BE49-F238E27FC236}">
                <a16:creationId xmlns:a16="http://schemas.microsoft.com/office/drawing/2014/main" id="{DC25B939-5302-C873-A1EC-51B087B0713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41" name="TextBox 12">
            <a:extLst>
              <a:ext uri="{FF2B5EF4-FFF2-40B4-BE49-F238E27FC236}">
                <a16:creationId xmlns:a16="http://schemas.microsoft.com/office/drawing/2014/main" id="{9A66DABE-BB87-53BE-B984-914B6A0B1987}"/>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3" name="Straight Connector 52">
            <a:extLst>
              <a:ext uri="{FF2B5EF4-FFF2-40B4-BE49-F238E27FC236}">
                <a16:creationId xmlns:a16="http://schemas.microsoft.com/office/drawing/2014/main" id="{678747F3-BD2A-46EA-54FA-5584560A935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8" name="Oval 17">
            <a:extLst>
              <a:ext uri="{FF2B5EF4-FFF2-40B4-BE49-F238E27FC236}">
                <a16:creationId xmlns:a16="http://schemas.microsoft.com/office/drawing/2014/main" id="{716EB463-CA91-8DEB-6BA8-0F514175E1BA}"/>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421BDA51-889E-9166-E374-D5F22B1845A3}"/>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412E33BC-158A-9704-B853-84488240F275}"/>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06B5A388-BE94-7311-7478-E9BA62E0B6A8}"/>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06A04590-2593-4328-1B12-82E8BBB44016}"/>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1" name="Straight Connector 70">
              <a:extLst>
                <a:ext uri="{FF2B5EF4-FFF2-40B4-BE49-F238E27FC236}">
                  <a16:creationId xmlns:a16="http://schemas.microsoft.com/office/drawing/2014/main" id="{FC940226-435E-A8BA-6F7E-C9451BE3EDAB}"/>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a:extLst>
                <a:ext uri="{FF2B5EF4-FFF2-40B4-BE49-F238E27FC236}">
                  <a16:creationId xmlns:a16="http://schemas.microsoft.com/office/drawing/2014/main" id="{D01FF1C8-A66A-DB54-4E8B-39FBE35B2D2B}"/>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3" name="TextBox 12">
              <a:extLst>
                <a:ext uri="{FF2B5EF4-FFF2-40B4-BE49-F238E27FC236}">
                  <a16:creationId xmlns:a16="http://schemas.microsoft.com/office/drawing/2014/main" id="{8AFF72B9-0BF5-3939-AA8A-7E8C4CD58B05}"/>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74" name="Straight Connector 73">
              <a:extLst>
                <a:ext uri="{FF2B5EF4-FFF2-40B4-BE49-F238E27FC236}">
                  <a16:creationId xmlns:a16="http://schemas.microsoft.com/office/drawing/2014/main" id="{5E6B5E44-6BC6-BFF4-CCD2-AEF07BCE656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9" name="TextBox 12">
              <a:extLst>
                <a:ext uri="{FF2B5EF4-FFF2-40B4-BE49-F238E27FC236}">
                  <a16:creationId xmlns:a16="http://schemas.microsoft.com/office/drawing/2014/main" id="{5E263E8F-2A92-F902-ADBA-F4FB5F6FBFC0}"/>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17" name="TextBox 12">
              <a:extLst>
                <a:ext uri="{FF2B5EF4-FFF2-40B4-BE49-F238E27FC236}">
                  <a16:creationId xmlns:a16="http://schemas.microsoft.com/office/drawing/2014/main" id="{98C8ED6E-742A-9CD6-ECAE-09B8E5567835}"/>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21" name="TextBox 12">
              <a:extLst>
                <a:ext uri="{FF2B5EF4-FFF2-40B4-BE49-F238E27FC236}">
                  <a16:creationId xmlns:a16="http://schemas.microsoft.com/office/drawing/2014/main" id="{4EA00E4A-2993-62F3-B9D7-55BBDD41C248}"/>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1" name="Straight Connector 13">
              <a:extLst>
                <a:ext uri="{FF2B5EF4-FFF2-40B4-BE49-F238E27FC236}">
                  <a16:creationId xmlns:a16="http://schemas.microsoft.com/office/drawing/2014/main" id="{7EC190CD-441A-9677-1033-1CCF4693A54F}"/>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520700</xdr:colOff>
      <xdr:row>1</xdr:row>
      <xdr:rowOff>148540</xdr:rowOff>
    </xdr:from>
    <xdr:to>
      <xdr:col>10</xdr:col>
      <xdr:colOff>736600</xdr:colOff>
      <xdr:row>6</xdr:row>
      <xdr:rowOff>146050</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895600" y="332690"/>
          <a:ext cx="4921250" cy="918260"/>
        </a:xfrm>
        <a:prstGeom prst="rect">
          <a:avLst/>
        </a:prstGeom>
      </xdr:spPr>
    </xdr:pic>
    <xdr:clientData/>
  </xdr:twoCellAnchor>
  <xdr:twoCellAnchor>
    <xdr:from>
      <xdr:col>3</xdr:col>
      <xdr:colOff>419100</xdr:colOff>
      <xdr:row>1</xdr:row>
      <xdr:rowOff>19050</xdr:rowOff>
    </xdr:from>
    <xdr:to>
      <xdr:col>16</xdr:col>
      <xdr:colOff>177800</xdr:colOff>
      <xdr:row>22</xdr:row>
      <xdr:rowOff>107950</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794000" y="203200"/>
          <a:ext cx="8445500" cy="395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4380</xdr:colOff>
      <xdr:row>10</xdr:row>
      <xdr:rowOff>4379</xdr:rowOff>
    </xdr:from>
    <xdr:to>
      <xdr:col>19</xdr:col>
      <xdr:colOff>7471</xdr:colOff>
      <xdr:row>10</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41731</xdr:colOff>
      <xdr:row>5</xdr:row>
      <xdr:rowOff>119530</xdr:rowOff>
    </xdr:from>
    <xdr:to>
      <xdr:col>3</xdr:col>
      <xdr:colOff>313764</xdr:colOff>
      <xdr:row>9</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3</xdr:col>
      <xdr:colOff>333083</xdr:colOff>
      <xdr:row>5</xdr:row>
      <xdr:rowOff>119531</xdr:rowOff>
    </xdr:from>
    <xdr:to>
      <xdr:col>4</xdr:col>
      <xdr:colOff>605117</xdr:colOff>
      <xdr:row>9</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6</xdr:col>
      <xdr:colOff>228499</xdr:colOff>
      <xdr:row>5</xdr:row>
      <xdr:rowOff>127001</xdr:rowOff>
    </xdr:from>
    <xdr:to>
      <xdr:col>7</xdr:col>
      <xdr:colOff>500533</xdr:colOff>
      <xdr:row>9</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132924</xdr:colOff>
      <xdr:row>9</xdr:row>
      <xdr:rowOff>14943</xdr:rowOff>
    </xdr:from>
    <xdr:to>
      <xdr:col>4</xdr:col>
      <xdr:colOff>134471</xdr:colOff>
      <xdr:row>12</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134470</xdr:colOff>
      <xdr:row>12</xdr:row>
      <xdr:rowOff>1</xdr:rowOff>
    </xdr:from>
    <xdr:to>
      <xdr:col>10</xdr:col>
      <xdr:colOff>156883</xdr:colOff>
      <xdr:row>12</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141941</xdr:colOff>
      <xdr:row>9</xdr:row>
      <xdr:rowOff>14941</xdr:rowOff>
    </xdr:from>
    <xdr:to>
      <xdr:col>10</xdr:col>
      <xdr:colOff>143382</xdr:colOff>
      <xdr:row>11</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328608</xdr:colOff>
      <xdr:row>5</xdr:row>
      <xdr:rowOff>107578</xdr:rowOff>
    </xdr:from>
    <xdr:to>
      <xdr:col>10</xdr:col>
      <xdr:colOff>600642</xdr:colOff>
      <xdr:row>7</xdr:row>
      <xdr:rowOff>37352</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52902" y="899460"/>
          <a:ext cx="884622"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No-LOF </a:t>
          </a:r>
        </a:p>
      </xdr:txBody>
    </xdr:sp>
    <xdr:clientData/>
  </xdr:twoCellAnchor>
  <xdr:twoCellAnchor>
    <xdr:from>
      <xdr:col>9</xdr:col>
      <xdr:colOff>331597</xdr:colOff>
      <xdr:row>7</xdr:row>
      <xdr:rowOff>118036</xdr:rowOff>
    </xdr:from>
    <xdr:to>
      <xdr:col>10</xdr:col>
      <xdr:colOff>603631</xdr:colOff>
      <xdr:row>9</xdr:row>
      <xdr:rowOff>47811</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55891" y="1283448"/>
          <a:ext cx="884622"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LOF </a:t>
          </a:r>
        </a:p>
      </xdr:txBody>
    </xdr:sp>
    <xdr:clientData/>
  </xdr:twoCellAnchor>
  <xdr:twoCellAnchor>
    <xdr:from>
      <xdr:col>13</xdr:col>
      <xdr:colOff>286775</xdr:colOff>
      <xdr:row>3</xdr:row>
      <xdr:rowOff>125507</xdr:rowOff>
    </xdr:from>
    <xdr:to>
      <xdr:col>14</xdr:col>
      <xdr:colOff>558810</xdr:colOff>
      <xdr:row>5</xdr:row>
      <xdr:rowOff>55282</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7324069" y="5438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13</xdr:col>
      <xdr:colOff>289764</xdr:colOff>
      <xdr:row>5</xdr:row>
      <xdr:rowOff>143435</xdr:rowOff>
    </xdr:from>
    <xdr:to>
      <xdr:col>14</xdr:col>
      <xdr:colOff>561799</xdr:colOff>
      <xdr:row>7</xdr:row>
      <xdr:rowOff>73209</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7327058" y="935317"/>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13</xdr:col>
      <xdr:colOff>300221</xdr:colOff>
      <xdr:row>7</xdr:row>
      <xdr:rowOff>153895</xdr:rowOff>
    </xdr:from>
    <xdr:to>
      <xdr:col>14</xdr:col>
      <xdr:colOff>572256</xdr:colOff>
      <xdr:row>9</xdr:row>
      <xdr:rowOff>83670</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7337515" y="1319307"/>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6</xdr:col>
      <xdr:colOff>194235</xdr:colOff>
      <xdr:row>11</xdr:row>
      <xdr:rowOff>37352</xdr:rowOff>
    </xdr:from>
    <xdr:to>
      <xdr:col>9</xdr:col>
      <xdr:colOff>194235</xdr:colOff>
      <xdr:row>12</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0</xdr:col>
      <xdr:colOff>582707</xdr:colOff>
      <xdr:row>1</xdr:row>
      <xdr:rowOff>0</xdr:rowOff>
    </xdr:from>
    <xdr:to>
      <xdr:col>2</xdr:col>
      <xdr:colOff>14942</xdr:colOff>
      <xdr:row>14</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STEMI</a:t>
          </a:r>
          <a:r>
            <a:rPr lang="en-GB" sz="3200" baseline="0"/>
            <a:t> - ACS</a:t>
          </a:r>
          <a:endParaRPr lang="en-GB" sz="3200"/>
        </a:p>
      </xdr:txBody>
    </xdr:sp>
    <xdr:clientData/>
  </xdr:twoCellAnchor>
  <xdr:twoCellAnchor>
    <xdr:from>
      <xdr:col>0</xdr:col>
      <xdr:colOff>518459</xdr:colOff>
      <xdr:row>20</xdr:row>
      <xdr:rowOff>182282</xdr:rowOff>
    </xdr:from>
    <xdr:to>
      <xdr:col>1</xdr:col>
      <xdr:colOff>563282</xdr:colOff>
      <xdr:row>35</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1</xdr:col>
      <xdr:colOff>564673</xdr:colOff>
      <xdr:row>27</xdr:row>
      <xdr:rowOff>168732</xdr:rowOff>
    </xdr:from>
    <xdr:to>
      <xdr:col>19</xdr:col>
      <xdr:colOff>14941</xdr:colOff>
      <xdr:row>28</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609496</xdr:colOff>
      <xdr:row>23</xdr:row>
      <xdr:rowOff>141942</xdr:rowOff>
    </xdr:from>
    <xdr:to>
      <xdr:col>3</xdr:col>
      <xdr:colOff>268941</xdr:colOff>
      <xdr:row>27</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3</xdr:col>
      <xdr:colOff>288260</xdr:colOff>
      <xdr:row>23</xdr:row>
      <xdr:rowOff>141943</xdr:rowOff>
    </xdr:from>
    <xdr:to>
      <xdr:col>4</xdr:col>
      <xdr:colOff>560294</xdr:colOff>
      <xdr:row>27</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4</xdr:col>
      <xdr:colOff>73156</xdr:colOff>
      <xdr:row>27</xdr:row>
      <xdr:rowOff>52307</xdr:rowOff>
    </xdr:from>
    <xdr:to>
      <xdr:col>4</xdr:col>
      <xdr:colOff>74703</xdr:colOff>
      <xdr:row>30</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74702</xdr:colOff>
      <xdr:row>30</xdr:row>
      <xdr:rowOff>29883</xdr:rowOff>
    </xdr:from>
    <xdr:to>
      <xdr:col>7</xdr:col>
      <xdr:colOff>14941</xdr:colOff>
      <xdr:row>30</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8908</xdr:colOff>
      <xdr:row>26</xdr:row>
      <xdr:rowOff>156882</xdr:rowOff>
    </xdr:from>
    <xdr:to>
      <xdr:col>7</xdr:col>
      <xdr:colOff>14941</xdr:colOff>
      <xdr:row>30</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164353</xdr:colOff>
      <xdr:row>29</xdr:row>
      <xdr:rowOff>104587</xdr:rowOff>
    </xdr:from>
    <xdr:to>
      <xdr:col>6</xdr:col>
      <xdr:colOff>530412</xdr:colOff>
      <xdr:row>30</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6</xdr:col>
      <xdr:colOff>171727</xdr:colOff>
      <xdr:row>24</xdr:row>
      <xdr:rowOff>14940</xdr:rowOff>
    </xdr:from>
    <xdr:to>
      <xdr:col>7</xdr:col>
      <xdr:colOff>89647</xdr:colOff>
      <xdr:row>25</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6</xdr:col>
      <xdr:colOff>174714</xdr:colOff>
      <xdr:row>25</xdr:row>
      <xdr:rowOff>89647</xdr:rowOff>
    </xdr:from>
    <xdr:to>
      <xdr:col>7</xdr:col>
      <xdr:colOff>104588</xdr:colOff>
      <xdr:row>26</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7</xdr:col>
      <xdr:colOff>264354</xdr:colOff>
      <xdr:row>21</xdr:row>
      <xdr:rowOff>170332</xdr:rowOff>
    </xdr:from>
    <xdr:to>
      <xdr:col>9</xdr:col>
      <xdr:colOff>349624</xdr:colOff>
      <xdr:row>23</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7</xdr:col>
      <xdr:colOff>267343</xdr:colOff>
      <xdr:row>23</xdr:row>
      <xdr:rowOff>143436</xdr:rowOff>
    </xdr:from>
    <xdr:to>
      <xdr:col>9</xdr:col>
      <xdr:colOff>352613</xdr:colOff>
      <xdr:row>25</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7</xdr:col>
      <xdr:colOff>277800</xdr:colOff>
      <xdr:row>25</xdr:row>
      <xdr:rowOff>153897</xdr:rowOff>
    </xdr:from>
    <xdr:to>
      <xdr:col>9</xdr:col>
      <xdr:colOff>363070</xdr:colOff>
      <xdr:row>27</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1</xdr:col>
      <xdr:colOff>612587</xdr:colOff>
      <xdr:row>0</xdr:row>
      <xdr:rowOff>0</xdr:rowOff>
    </xdr:from>
    <xdr:to>
      <xdr:col>12</xdr:col>
      <xdr:colOff>7469</xdr:colOff>
      <xdr:row>1</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13</xdr:col>
      <xdr:colOff>0</xdr:colOff>
      <xdr:row>0</xdr:row>
      <xdr:rowOff>10459</xdr:rowOff>
    </xdr:from>
    <xdr:to>
      <xdr:col>18</xdr:col>
      <xdr:colOff>605118</xdr:colOff>
      <xdr:row>0</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19</xdr:col>
      <xdr:colOff>212069</xdr:colOff>
      <xdr:row>5</xdr:row>
      <xdr:rowOff>118036</xdr:rowOff>
    </xdr:from>
    <xdr:to>
      <xdr:col>21</xdr:col>
      <xdr:colOff>156883</xdr:colOff>
      <xdr:row>7</xdr:row>
      <xdr:rowOff>47811</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499069" y="1134036"/>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0</xdr:col>
      <xdr:colOff>518457</xdr:colOff>
      <xdr:row>20</xdr:row>
      <xdr:rowOff>0</xdr:rowOff>
    </xdr:from>
    <xdr:to>
      <xdr:col>11</xdr:col>
      <xdr:colOff>605117</xdr:colOff>
      <xdr:row>20</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13</xdr:col>
      <xdr:colOff>25400</xdr:colOff>
      <xdr:row>19</xdr:row>
      <xdr:rowOff>170330</xdr:rowOff>
    </xdr:from>
    <xdr:to>
      <xdr:col>19</xdr:col>
      <xdr:colOff>17930</xdr:colOff>
      <xdr:row>20</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13</xdr:col>
      <xdr:colOff>481010</xdr:colOff>
      <xdr:row>21</xdr:row>
      <xdr:rowOff>170330</xdr:rowOff>
    </xdr:from>
    <xdr:to>
      <xdr:col>15</xdr:col>
      <xdr:colOff>140457</xdr:colOff>
      <xdr:row>23</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13</xdr:col>
      <xdr:colOff>484000</xdr:colOff>
      <xdr:row>25</xdr:row>
      <xdr:rowOff>143434</xdr:rowOff>
    </xdr:from>
    <xdr:to>
      <xdr:col>15</xdr:col>
      <xdr:colOff>143447</xdr:colOff>
      <xdr:row>27</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13</xdr:col>
      <xdr:colOff>479515</xdr:colOff>
      <xdr:row>23</xdr:row>
      <xdr:rowOff>124012</xdr:rowOff>
    </xdr:from>
    <xdr:to>
      <xdr:col>15</xdr:col>
      <xdr:colOff>138962</xdr:colOff>
      <xdr:row>25</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19</xdr:col>
      <xdr:colOff>229999</xdr:colOff>
      <xdr:row>27</xdr:row>
      <xdr:rowOff>1495</xdr:rowOff>
    </xdr:from>
    <xdr:to>
      <xdr:col>21</xdr:col>
      <xdr:colOff>174813</xdr:colOff>
      <xdr:row>28</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doi.org/10.1191/135248506ms1280oa" TargetMode="External"/><Relationship Id="rId21" Type="http://schemas.openxmlformats.org/officeDocument/2006/relationships/hyperlink" Target="https://hqlo.biomedcentral.com/articles/10.1186/s12955-018-1019-3" TargetMode="External"/><Relationship Id="rId34" Type="http://schemas.openxmlformats.org/officeDocument/2006/relationships/hyperlink" Target="https://www.ncbi.nlm.nih.gov/books/NBK565353/" TargetMode="External"/><Relationship Id="rId7"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doi.org/10.1056/nejmoa0904327" TargetMode="External"/><Relationship Id="rId25" Type="http://schemas.openxmlformats.org/officeDocument/2006/relationships/hyperlink" Target="https://doi.org/10.1191/135248506ms1280oa" TargetMode="External"/><Relationship Id="rId33" Type="http://schemas.openxmlformats.org/officeDocument/2006/relationships/hyperlink" Target="https://www.nice.org.uk/process/pmg36/chapter/economic-evaluation-2" TargetMode="External"/><Relationship Id="rId38" Type="http://schemas.openxmlformats.org/officeDocument/2006/relationships/printerSettings" Target="../printerSettings/printerSettings2.bin"/><Relationship Id="rId2" Type="http://schemas.openxmlformats.org/officeDocument/2006/relationships/hyperlink" Target="https://doi.org/10.1161/jaha.124.034414" TargetMode="External"/><Relationship Id="rId16" Type="http://schemas.openxmlformats.org/officeDocument/2006/relationships/hyperlink" Target="https://doi.org/10.1056/nejmoa0904327" TargetMode="External"/><Relationship Id="rId20" Type="http://schemas.openxmlformats.org/officeDocument/2006/relationships/hyperlink" Target="https://hqlo.biomedcentral.com/articles/10.1186/s12955-018-1019-3" TargetMode="External"/><Relationship Id="rId29" Type="http://schemas.openxmlformats.org/officeDocument/2006/relationships/hyperlink" Target="https://www.ncbi.nlm.nih.gov/books/NBK565353/"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 Id="rId11" Type="http://schemas.openxmlformats.org/officeDocument/2006/relationships/hyperlink" Target="https://doi.org/10.1111/cts.12830" TargetMode="External"/><Relationship Id="rId24" Type="http://schemas.openxmlformats.org/officeDocument/2006/relationships/hyperlink" Target="https://doi.org/10.1161/circoutcomes.111.964700" TargetMode="External"/><Relationship Id="rId32" Type="http://schemas.openxmlformats.org/officeDocument/2006/relationships/hyperlink" Target="https://www.nice.org.uk/process/pmg36/chapter/economic-evaluation-2" TargetMode="External"/><Relationship Id="rId37" Type="http://schemas.openxmlformats.org/officeDocument/2006/relationships/hyperlink" Target="https://www.ncbi.nlm.nih.gov/books/NBK565353/"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61/circoutcomes.111.964700" TargetMode="External"/><Relationship Id="rId28" Type="http://schemas.openxmlformats.org/officeDocument/2006/relationships/hyperlink" Target="https://www.ncbi.nlm.nih.gov/books/NBK565353/" TargetMode="External"/><Relationship Id="rId36" Type="http://schemas.openxmlformats.org/officeDocument/2006/relationships/hyperlink" Target="https://www.ncbi.nlm.nih.gov/books/NBK565353/" TargetMode="External"/><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cbi.nlm.nih.gov/books/NBK565353/" TargetMode="External"/><Relationship Id="rId35" Type="http://schemas.openxmlformats.org/officeDocument/2006/relationships/hyperlink" Target="https://www.ncbi.nlm.nih.gov/books/NBK565353/" TargetMode="External"/><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A27" sqref="A27"/>
    </sheetView>
  </sheetViews>
  <sheetFormatPr baseColWidth="10" defaultColWidth="8.83203125" defaultRowHeight="15" x14ac:dyDescent="0.2"/>
  <cols>
    <col min="1" max="1" width="37.83203125" customWidth="1"/>
    <col min="2" max="2" width="7.83203125" customWidth="1"/>
  </cols>
  <sheetData>
    <row r="1" spans="1:16" x14ac:dyDescent="0.2">
      <c r="A1" s="1" t="s">
        <v>0</v>
      </c>
      <c r="B1" s="355" t="s">
        <v>1</v>
      </c>
      <c r="C1" s="355"/>
      <c r="D1" s="355"/>
      <c r="E1" s="355"/>
      <c r="F1" s="356" t="s">
        <v>2</v>
      </c>
      <c r="G1" s="356"/>
      <c r="H1" s="356"/>
      <c r="I1" s="356"/>
      <c r="J1" s="357" t="s">
        <v>3</v>
      </c>
      <c r="K1" s="357"/>
      <c r="L1" s="357"/>
      <c r="M1" s="358"/>
      <c r="N1" s="359" t="s">
        <v>316</v>
      </c>
      <c r="O1" s="360"/>
      <c r="P1" s="360"/>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Z57"/>
  <sheetViews>
    <sheetView zoomScaleNormal="100" workbookViewId="0">
      <pane xSplit="4" ySplit="1" topLeftCell="T16" activePane="bottomRight" state="frozen"/>
      <selection pane="topRight" activeCell="E1" sqref="E1"/>
      <selection pane="bottomLeft" activeCell="A2" sqref="A2"/>
      <selection pane="bottomRight" activeCell="U16" sqref="U16"/>
    </sheetView>
  </sheetViews>
  <sheetFormatPr baseColWidth="10" defaultColWidth="8.83203125" defaultRowHeight="16" x14ac:dyDescent="0.2"/>
  <cols>
    <col min="1" max="1" width="8.83203125" style="18"/>
    <col min="2" max="2" width="33.5" style="20" customWidth="1"/>
    <col min="3" max="3" width="8.5" style="18" hidden="1" customWidth="1"/>
    <col min="4" max="5" width="16.1640625" style="18" hidden="1" customWidth="1"/>
    <col min="6" max="6" width="24.1640625" style="18" hidden="1" customWidth="1"/>
    <col min="7" max="7" width="12.5" style="18" hidden="1" customWidth="1"/>
    <col min="8" max="8" width="40.5" style="18" hidden="1" customWidth="1"/>
    <col min="9" max="9" width="35.5" style="18" hidden="1" customWidth="1"/>
    <col min="10" max="10" width="22.83203125" style="18" hidden="1" customWidth="1"/>
    <col min="11" max="11" width="26.5" style="18" hidden="1" customWidth="1"/>
    <col min="12" max="12" width="15.83203125" style="18" hidden="1" customWidth="1"/>
    <col min="13" max="13" width="30.1640625" style="18" hidden="1" customWidth="1"/>
    <col min="14" max="14" width="40.1640625" style="18" hidden="1" customWidth="1"/>
    <col min="15" max="15" width="64.83203125" style="18" hidden="1" customWidth="1"/>
    <col min="16" max="16" width="68.1640625" style="18" hidden="1" customWidth="1"/>
    <col min="17" max="17" width="16.83203125" style="18" hidden="1" customWidth="1"/>
    <col min="18" max="18" width="54.83203125" style="18" hidden="1" customWidth="1"/>
    <col min="19" max="19" width="75" style="18" hidden="1"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94"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103" t="s">
        <v>77</v>
      </c>
      <c r="U3" s="95"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96"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104" t="s">
        <v>112</v>
      </c>
      <c r="U5" s="97"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8"/>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9" t="s">
        <v>148</v>
      </c>
    </row>
    <row r="8" spans="1:26" ht="210.75" customHeight="1" x14ac:dyDescent="0.2">
      <c r="A8" s="18" t="s">
        <v>42</v>
      </c>
      <c r="B8" s="20" t="s">
        <v>149</v>
      </c>
      <c r="C8" s="20">
        <v>2019</v>
      </c>
      <c r="D8" s="20" t="s">
        <v>150</v>
      </c>
      <c r="E8" s="20" t="s">
        <v>64</v>
      </c>
      <c r="F8" s="20" t="s">
        <v>151</v>
      </c>
      <c r="G8" s="20" t="s">
        <v>152</v>
      </c>
      <c r="H8" s="20" t="s">
        <v>153</v>
      </c>
      <c r="I8" s="20" t="s">
        <v>154</v>
      </c>
      <c r="J8" s="105" t="s">
        <v>155</v>
      </c>
      <c r="K8" s="105" t="s">
        <v>156</v>
      </c>
      <c r="L8" s="20" t="s">
        <v>70</v>
      </c>
      <c r="M8" s="20" t="s">
        <v>157</v>
      </c>
      <c r="N8" s="20" t="s">
        <v>158</v>
      </c>
      <c r="O8" s="20" t="s">
        <v>159</v>
      </c>
      <c r="P8" s="20" t="s">
        <v>74</v>
      </c>
      <c r="Q8" s="20" t="s">
        <v>74</v>
      </c>
      <c r="R8" s="20" t="s">
        <v>160</v>
      </c>
      <c r="S8" s="20" t="s">
        <v>161</v>
      </c>
      <c r="T8" s="103" t="s">
        <v>162</v>
      </c>
      <c r="U8" s="96"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100"/>
      <c r="W9" s="34" t="s">
        <v>180</v>
      </c>
    </row>
    <row r="10" spans="1:26" ht="304.5" customHeight="1" x14ac:dyDescent="0.2">
      <c r="A10" s="18" t="s">
        <v>181</v>
      </c>
      <c r="B10" s="27" t="s">
        <v>182</v>
      </c>
      <c r="C10" s="19">
        <v>2016</v>
      </c>
      <c r="D10" s="19" t="s">
        <v>165</v>
      </c>
      <c r="E10" s="19" t="s">
        <v>64</v>
      </c>
      <c r="F10" s="106" t="s">
        <v>183</v>
      </c>
      <c r="G10" s="105" t="s">
        <v>99</v>
      </c>
      <c r="H10" s="106" t="s">
        <v>184</v>
      </c>
      <c r="I10" s="20" t="s">
        <v>185</v>
      </c>
      <c r="J10" s="20" t="s">
        <v>186</v>
      </c>
      <c r="K10" s="20" t="s">
        <v>187</v>
      </c>
      <c r="L10" s="106" t="s">
        <v>188</v>
      </c>
      <c r="M10" s="106" t="s">
        <v>189</v>
      </c>
      <c r="N10" s="20" t="s">
        <v>190</v>
      </c>
      <c r="O10" s="20"/>
      <c r="P10" s="20" t="s">
        <v>191</v>
      </c>
      <c r="Q10" s="20" t="s">
        <v>192</v>
      </c>
      <c r="R10" s="20" t="s">
        <v>193</v>
      </c>
      <c r="S10" s="20" t="s">
        <v>194</v>
      </c>
      <c r="T10" s="27" t="s">
        <v>195</v>
      </c>
      <c r="U10" s="96" t="s">
        <v>196</v>
      </c>
      <c r="V10" s="42" t="s">
        <v>197</v>
      </c>
      <c r="W10" s="18" t="e" vm="1">
        <v>#VALUE!</v>
      </c>
      <c r="X10" s="18" t="e" vm="2">
        <v>#VALUE!</v>
      </c>
      <c r="Y10" s="18" t="e" vm="3">
        <v>#VALUE!</v>
      </c>
    </row>
    <row r="11" spans="1:26" s="31" customFormat="1" ht="409.6"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101"/>
      <c r="V11" s="23" t="s">
        <v>212</v>
      </c>
      <c r="W11" s="31" t="e" vm="4">
        <v>#VALUE!</v>
      </c>
      <c r="X11" s="31" t="e" vm="5">
        <v>#VALUE!</v>
      </c>
      <c r="Y11" s="31" t="e" vm="6">
        <v>#VALUE!</v>
      </c>
    </row>
    <row r="12" spans="1:26" ht="404"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8"/>
      <c r="V12" s="20" t="s">
        <v>227</v>
      </c>
      <c r="Y12" s="18" t="e" vm="7">
        <v>#VALUE!</v>
      </c>
      <c r="Z12" s="18" t="e" vm="8">
        <v>#VALUE!</v>
      </c>
    </row>
    <row r="13" spans="1:26" s="31" customFormat="1" ht="136"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101"/>
      <c r="V13" s="31" t="s">
        <v>241</v>
      </c>
    </row>
    <row r="14" spans="1:26" ht="409.6" x14ac:dyDescent="0.2">
      <c r="A14" s="18" t="s">
        <v>181</v>
      </c>
      <c r="B14" s="27" t="s">
        <v>242</v>
      </c>
      <c r="C14" s="19">
        <v>2019</v>
      </c>
      <c r="D14" s="19" t="s">
        <v>229</v>
      </c>
      <c r="E14" s="19" t="s">
        <v>64</v>
      </c>
      <c r="F14" s="27" t="s">
        <v>243</v>
      </c>
      <c r="G14" s="105" t="s">
        <v>99</v>
      </c>
      <c r="H14" s="20" t="s">
        <v>244</v>
      </c>
      <c r="I14" s="20" t="s">
        <v>201</v>
      </c>
      <c r="J14" s="105" t="s">
        <v>218</v>
      </c>
      <c r="K14" s="20" t="s">
        <v>245</v>
      </c>
      <c r="L14" s="20" t="s">
        <v>246</v>
      </c>
      <c r="M14" s="20" t="s">
        <v>247</v>
      </c>
      <c r="N14" s="43" t="s">
        <v>248</v>
      </c>
      <c r="O14" s="20"/>
      <c r="P14" s="20" t="s">
        <v>249</v>
      </c>
      <c r="Q14" s="20" t="s">
        <v>250</v>
      </c>
      <c r="R14" s="20" t="s">
        <v>251</v>
      </c>
      <c r="S14" s="20" t="s">
        <v>252</v>
      </c>
      <c r="T14" s="46" t="s">
        <v>253</v>
      </c>
      <c r="U14" s="98"/>
      <c r="V14" s="20" t="s">
        <v>254</v>
      </c>
      <c r="W14" s="18" t="e" vm="9">
        <v>#VALUE!</v>
      </c>
      <c r="X14" s="18" t="e" vm="10">
        <v>#VALUE!</v>
      </c>
    </row>
    <row r="15" spans="1:26" s="31" customFormat="1" ht="356"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101"/>
      <c r="V15" s="23" t="s">
        <v>268</v>
      </c>
      <c r="W15" s="31" t="e" vm="11">
        <v>#VALUE!</v>
      </c>
      <c r="X15" s="31" t="e" vm="12">
        <v>#VALUE!</v>
      </c>
      <c r="Y15" s="31" t="e" vm="13">
        <v>#VALUE!</v>
      </c>
      <c r="Z15" s="31" t="e" vm="14">
        <v>#VALUE!</v>
      </c>
    </row>
    <row r="16" spans="1:26" s="20" customFormat="1" ht="306" x14ac:dyDescent="0.2">
      <c r="A16" s="20" t="s">
        <v>181</v>
      </c>
      <c r="B16" s="27" t="s">
        <v>269</v>
      </c>
      <c r="C16" s="48">
        <v>2014</v>
      </c>
      <c r="D16" s="48" t="s">
        <v>270</v>
      </c>
      <c r="E16" s="48" t="s">
        <v>64</v>
      </c>
      <c r="F16" s="27"/>
      <c r="G16" s="20" t="s">
        <v>99</v>
      </c>
      <c r="H16" s="20" t="s">
        <v>271</v>
      </c>
      <c r="I16" s="106" t="s">
        <v>272</v>
      </c>
      <c r="J16" s="20" t="s">
        <v>155</v>
      </c>
      <c r="K16" s="20" t="s">
        <v>273</v>
      </c>
      <c r="L16" s="20" t="s">
        <v>274</v>
      </c>
      <c r="S16" s="20" t="s">
        <v>275</v>
      </c>
      <c r="T16" s="27" t="s">
        <v>276</v>
      </c>
      <c r="U16" s="96" t="s">
        <v>277</v>
      </c>
      <c r="V16" s="20" t="s">
        <v>278</v>
      </c>
    </row>
    <row r="17" spans="1:24" s="31" customFormat="1" ht="340" x14ac:dyDescent="0.2">
      <c r="A17" s="31" t="s">
        <v>181</v>
      </c>
      <c r="B17" s="32" t="s">
        <v>279</v>
      </c>
      <c r="C17" s="33">
        <v>2018</v>
      </c>
      <c r="D17" s="33" t="s">
        <v>280</v>
      </c>
      <c r="E17" s="33" t="s">
        <v>281</v>
      </c>
      <c r="F17" s="32" t="s">
        <v>282</v>
      </c>
      <c r="G17" s="105"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102"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8"/>
    </row>
    <row r="19" spans="1:24" ht="409.6"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8"/>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361"/>
      <c r="I27" s="362"/>
      <c r="J27" s="44"/>
      <c r="K27" s="44"/>
      <c r="L27" s="20"/>
      <c r="M27" s="20"/>
      <c r="N27" s="20"/>
      <c r="O27" s="20"/>
      <c r="P27" s="20"/>
      <c r="Q27" s="20"/>
      <c r="R27" s="20"/>
      <c r="S27" s="20"/>
    </row>
    <row r="28" spans="1:24" x14ac:dyDescent="0.2">
      <c r="C28" s="20"/>
      <c r="D28" s="20"/>
      <c r="E28" s="20"/>
      <c r="F28" s="20"/>
      <c r="G28" s="20"/>
      <c r="H28" s="361"/>
      <c r="I28" s="362"/>
      <c r="J28" s="44"/>
      <c r="K28" s="44"/>
      <c r="L28" s="20"/>
      <c r="M28" s="20"/>
      <c r="N28" s="20"/>
      <c r="O28" s="20"/>
      <c r="P28" s="20"/>
      <c r="Q28" s="20"/>
      <c r="R28" s="45"/>
      <c r="S28" s="45"/>
    </row>
    <row r="29" spans="1:24" x14ac:dyDescent="0.2">
      <c r="C29" s="20"/>
      <c r="D29" s="20"/>
      <c r="E29" s="20"/>
      <c r="F29" s="20"/>
      <c r="G29" s="20"/>
      <c r="H29" s="361"/>
      <c r="I29" s="362"/>
      <c r="J29" s="20"/>
      <c r="K29" s="44"/>
      <c r="L29" s="20"/>
      <c r="M29" s="20"/>
      <c r="N29" s="20"/>
      <c r="O29" s="20"/>
      <c r="P29" s="20"/>
      <c r="Q29" s="20"/>
      <c r="R29" s="20"/>
      <c r="S29" s="20"/>
    </row>
    <row r="30" spans="1:24" x14ac:dyDescent="0.2">
      <c r="C30" s="20"/>
      <c r="D30" s="20"/>
      <c r="E30" s="20"/>
      <c r="F30" s="20"/>
      <c r="G30" s="20"/>
      <c r="H30" s="361"/>
      <c r="I30" s="362"/>
      <c r="J30" s="20"/>
      <c r="K30" s="44"/>
      <c r="L30" s="20"/>
      <c r="M30" s="20"/>
      <c r="N30" s="20"/>
      <c r="O30" s="20"/>
      <c r="P30" s="20"/>
      <c r="Q30" s="20"/>
      <c r="R30" s="20"/>
      <c r="S30" s="20"/>
    </row>
    <row r="31" spans="1:24" x14ac:dyDescent="0.2">
      <c r="C31" s="20"/>
      <c r="D31" s="20"/>
      <c r="E31" s="20"/>
      <c r="F31" s="20"/>
      <c r="G31" s="20"/>
      <c r="H31" s="361"/>
      <c r="I31" s="362"/>
      <c r="J31" s="20"/>
      <c r="K31" s="20"/>
      <c r="L31" s="20"/>
      <c r="M31" s="20"/>
      <c r="N31" s="20"/>
      <c r="O31" s="20"/>
      <c r="P31" s="20"/>
      <c r="Q31" s="20"/>
      <c r="R31" s="20"/>
      <c r="S31" s="20"/>
    </row>
    <row r="32" spans="1:24" x14ac:dyDescent="0.2">
      <c r="C32" s="20"/>
      <c r="D32" s="20"/>
      <c r="E32" s="20"/>
      <c r="F32" s="20"/>
      <c r="G32" s="20"/>
      <c r="H32" s="361"/>
      <c r="I32" s="362"/>
      <c r="J32" s="20"/>
      <c r="K32" s="20"/>
      <c r="L32" s="20"/>
      <c r="M32" s="20"/>
      <c r="N32" s="20"/>
      <c r="O32" s="20"/>
      <c r="P32" s="20"/>
      <c r="Q32" s="20"/>
      <c r="R32" s="45"/>
      <c r="S32" s="45"/>
    </row>
    <row r="33" spans="3:19" x14ac:dyDescent="0.2">
      <c r="C33" s="20"/>
      <c r="D33" s="20"/>
      <c r="E33" s="20"/>
      <c r="F33" s="20"/>
      <c r="G33" s="20"/>
      <c r="H33" s="361"/>
      <c r="I33" s="362"/>
      <c r="J33" s="20"/>
      <c r="K33" s="20"/>
      <c r="L33" s="20"/>
      <c r="M33" s="20"/>
      <c r="N33" s="20"/>
      <c r="O33" s="20"/>
      <c r="P33" s="20"/>
      <c r="Q33" s="20"/>
      <c r="R33" s="20"/>
      <c r="S33" s="20"/>
    </row>
    <row r="34" spans="3:19" x14ac:dyDescent="0.2">
      <c r="C34" s="20"/>
      <c r="D34" s="20"/>
      <c r="E34" s="20"/>
      <c r="F34" s="20"/>
      <c r="G34" s="20"/>
      <c r="H34" s="361"/>
      <c r="I34" s="362"/>
      <c r="J34" s="20"/>
      <c r="K34" s="20"/>
      <c r="L34" s="20"/>
      <c r="M34" s="20"/>
      <c r="N34" s="20"/>
      <c r="O34" s="20"/>
      <c r="P34" s="20"/>
      <c r="Q34" s="20"/>
      <c r="R34" s="20"/>
      <c r="S34" s="20"/>
    </row>
    <row r="35" spans="3:19" x14ac:dyDescent="0.2">
      <c r="C35" s="20"/>
      <c r="D35" s="20"/>
      <c r="E35" s="20"/>
      <c r="F35" s="20"/>
      <c r="G35" s="20"/>
      <c r="H35" s="361"/>
      <c r="I35" s="362"/>
      <c r="J35" s="20"/>
      <c r="K35" s="20"/>
      <c r="L35" s="20"/>
      <c r="M35" s="20"/>
      <c r="N35" s="20"/>
      <c r="O35" s="20"/>
      <c r="P35" s="20"/>
      <c r="Q35" s="20"/>
      <c r="R35" s="20"/>
      <c r="S35" s="20"/>
    </row>
    <row r="36" spans="3:19" x14ac:dyDescent="0.2">
      <c r="C36" s="20"/>
      <c r="D36" s="20"/>
      <c r="E36" s="20"/>
      <c r="F36" s="20"/>
      <c r="G36" s="20"/>
      <c r="H36" s="361"/>
      <c r="I36" s="362"/>
      <c r="J36" s="20"/>
      <c r="K36" s="20"/>
      <c r="L36" s="20"/>
      <c r="M36" s="20"/>
      <c r="N36" s="20"/>
      <c r="O36" s="20"/>
      <c r="P36" s="20"/>
      <c r="Q36" s="20"/>
      <c r="R36" s="20"/>
      <c r="S36" s="20"/>
    </row>
    <row r="37" spans="3:19" x14ac:dyDescent="0.2">
      <c r="C37" s="20"/>
      <c r="D37" s="20"/>
      <c r="E37" s="20"/>
      <c r="F37" s="20"/>
      <c r="G37" s="20"/>
      <c r="H37" s="361"/>
      <c r="I37" s="362"/>
      <c r="J37" s="20"/>
      <c r="K37" s="20"/>
      <c r="L37" s="20"/>
      <c r="M37" s="20"/>
      <c r="N37" s="20"/>
      <c r="O37" s="20"/>
      <c r="P37" s="20"/>
      <c r="Q37" s="20"/>
      <c r="R37" s="45"/>
      <c r="S37" s="45"/>
    </row>
    <row r="38" spans="3:19" x14ac:dyDescent="0.2">
      <c r="C38" s="20"/>
      <c r="D38" s="20"/>
      <c r="E38" s="20"/>
      <c r="F38" s="20"/>
      <c r="G38" s="20"/>
      <c r="H38" s="361"/>
      <c r="I38" s="362"/>
      <c r="J38" s="20"/>
      <c r="K38" s="20"/>
      <c r="L38" s="20"/>
      <c r="M38" s="20"/>
      <c r="N38" s="20"/>
      <c r="O38" s="20"/>
      <c r="P38" s="20"/>
      <c r="Q38" s="20"/>
      <c r="R38" s="20"/>
      <c r="S38" s="20"/>
    </row>
    <row r="39" spans="3:19" x14ac:dyDescent="0.2">
      <c r="C39" s="20"/>
      <c r="D39" s="20"/>
      <c r="E39" s="20"/>
      <c r="F39" s="20"/>
      <c r="G39" s="20"/>
      <c r="H39" s="361"/>
      <c r="I39" s="362"/>
      <c r="J39" s="20"/>
      <c r="K39" s="20"/>
      <c r="L39" s="20"/>
      <c r="M39" s="20"/>
      <c r="N39" s="20"/>
      <c r="O39" s="20"/>
      <c r="P39" s="20"/>
      <c r="Q39" s="20"/>
      <c r="R39" s="20"/>
      <c r="S39" s="20"/>
    </row>
    <row r="40" spans="3:19" x14ac:dyDescent="0.2">
      <c r="C40" s="20"/>
      <c r="D40" s="20"/>
      <c r="E40" s="20"/>
      <c r="F40" s="20"/>
      <c r="G40" s="20"/>
      <c r="H40" s="361"/>
      <c r="I40" s="362"/>
      <c r="J40" s="20"/>
      <c r="K40" s="20"/>
      <c r="L40" s="20"/>
      <c r="M40" s="20"/>
      <c r="N40" s="20"/>
      <c r="O40" s="20"/>
      <c r="P40" s="20"/>
      <c r="Q40" s="20"/>
      <c r="R40" s="45"/>
      <c r="S40" s="45"/>
    </row>
    <row r="41" spans="3:19" x14ac:dyDescent="0.2">
      <c r="C41" s="20"/>
      <c r="D41" s="20"/>
      <c r="E41" s="20"/>
      <c r="F41" s="20"/>
      <c r="G41" s="20"/>
      <c r="H41" s="361"/>
      <c r="I41" s="362"/>
      <c r="J41" s="20"/>
      <c r="K41" s="20"/>
      <c r="L41" s="20"/>
      <c r="M41" s="20"/>
      <c r="N41" s="20"/>
      <c r="O41" s="20"/>
      <c r="P41" s="20"/>
      <c r="Q41" s="20"/>
      <c r="R41" s="20"/>
      <c r="S41" s="20"/>
    </row>
    <row r="42" spans="3:19" x14ac:dyDescent="0.2">
      <c r="C42" s="20"/>
      <c r="D42" s="20"/>
      <c r="E42" s="20"/>
      <c r="F42" s="20"/>
      <c r="G42" s="20"/>
      <c r="H42" s="361"/>
      <c r="I42" s="362"/>
      <c r="J42" s="20"/>
      <c r="K42" s="20"/>
      <c r="L42" s="20"/>
      <c r="M42" s="20"/>
      <c r="N42" s="20"/>
      <c r="O42" s="20"/>
      <c r="P42" s="20"/>
      <c r="Q42" s="20"/>
      <c r="R42" s="20"/>
      <c r="S42" s="20"/>
    </row>
    <row r="43" spans="3:19" x14ac:dyDescent="0.2">
      <c r="C43" s="20"/>
      <c r="D43" s="20"/>
      <c r="E43" s="20"/>
      <c r="F43" s="20"/>
      <c r="G43" s="20"/>
      <c r="H43" s="361"/>
      <c r="I43" s="362"/>
      <c r="J43" s="20"/>
      <c r="K43" s="20"/>
      <c r="L43" s="20"/>
      <c r="M43" s="20"/>
      <c r="N43" s="20"/>
      <c r="O43" s="20"/>
      <c r="P43" s="20"/>
      <c r="Q43" s="20"/>
      <c r="R43" s="20"/>
      <c r="S43" s="20"/>
    </row>
    <row r="44" spans="3:19" x14ac:dyDescent="0.2">
      <c r="C44" s="20"/>
      <c r="D44" s="20"/>
      <c r="E44" s="20"/>
      <c r="F44" s="20"/>
      <c r="G44" s="20"/>
      <c r="H44" s="361"/>
      <c r="I44" s="362"/>
      <c r="J44" s="20"/>
      <c r="K44" s="20"/>
      <c r="L44" s="20"/>
      <c r="M44" s="20"/>
      <c r="N44" s="20"/>
      <c r="O44" s="20"/>
      <c r="P44" s="20"/>
      <c r="Q44" s="20"/>
      <c r="R44" s="20"/>
      <c r="S44" s="20"/>
    </row>
    <row r="45" spans="3:19" x14ac:dyDescent="0.2">
      <c r="C45" s="20"/>
      <c r="D45" s="20"/>
      <c r="E45" s="20"/>
      <c r="F45" s="20"/>
      <c r="G45" s="20"/>
      <c r="H45" s="361"/>
      <c r="I45" s="362"/>
      <c r="J45" s="20"/>
      <c r="K45" s="20"/>
      <c r="L45" s="20"/>
      <c r="M45" s="20"/>
      <c r="N45" s="20"/>
      <c r="O45" s="20"/>
      <c r="P45" s="20"/>
      <c r="Q45" s="20"/>
      <c r="R45" s="20"/>
      <c r="S45" s="20"/>
    </row>
    <row r="46" spans="3:19" x14ac:dyDescent="0.2">
      <c r="C46" s="20"/>
      <c r="D46" s="20"/>
      <c r="E46" s="20"/>
      <c r="F46" s="20"/>
      <c r="G46" s="20"/>
      <c r="H46" s="361"/>
      <c r="I46" s="362"/>
      <c r="J46" s="20"/>
      <c r="K46" s="20"/>
      <c r="L46" s="20"/>
      <c r="M46" s="20"/>
      <c r="N46" s="20"/>
      <c r="O46" s="20"/>
      <c r="P46" s="20"/>
      <c r="Q46" s="20"/>
      <c r="R46" s="20"/>
      <c r="S46" s="20"/>
    </row>
    <row r="47" spans="3:19" x14ac:dyDescent="0.2">
      <c r="C47" s="20"/>
      <c r="D47" s="20"/>
      <c r="E47" s="20"/>
      <c r="F47" s="20"/>
      <c r="G47" s="20"/>
      <c r="H47" s="361"/>
      <c r="I47" s="362"/>
      <c r="J47" s="20"/>
      <c r="K47" s="20"/>
      <c r="L47" s="20"/>
      <c r="M47" s="20"/>
      <c r="N47" s="20"/>
      <c r="O47" s="20"/>
      <c r="P47" s="20"/>
      <c r="Q47" s="20"/>
      <c r="R47" s="20"/>
      <c r="S47" s="20"/>
    </row>
    <row r="48" spans="3:19" x14ac:dyDescent="0.2">
      <c r="C48" s="20"/>
      <c r="D48" s="20"/>
      <c r="E48" s="20"/>
      <c r="F48" s="20"/>
      <c r="G48" s="20"/>
      <c r="H48" s="361"/>
      <c r="I48" s="362"/>
      <c r="J48" s="20"/>
      <c r="K48" s="20"/>
      <c r="L48" s="20"/>
      <c r="M48" s="20"/>
      <c r="N48" s="20"/>
      <c r="O48" s="20"/>
      <c r="P48" s="20"/>
      <c r="Q48" s="20"/>
      <c r="R48" s="20"/>
      <c r="S48" s="20"/>
    </row>
    <row r="49" spans="3:19" x14ac:dyDescent="0.2">
      <c r="C49" s="20"/>
      <c r="D49" s="20"/>
      <c r="E49" s="20"/>
      <c r="F49" s="20"/>
      <c r="G49" s="20"/>
      <c r="H49" s="361"/>
      <c r="I49" s="362"/>
      <c r="J49" s="20"/>
      <c r="K49" s="20"/>
      <c r="L49" s="20"/>
      <c r="M49" s="20"/>
      <c r="N49" s="20"/>
      <c r="O49" s="20"/>
      <c r="P49" s="20"/>
      <c r="Q49" s="20"/>
      <c r="R49" s="20"/>
      <c r="S49" s="20"/>
    </row>
    <row r="50" spans="3:19" x14ac:dyDescent="0.2">
      <c r="C50" s="20"/>
      <c r="D50" s="20"/>
      <c r="E50" s="20"/>
      <c r="F50" s="20"/>
      <c r="G50" s="20"/>
      <c r="H50" s="361"/>
      <c r="I50" s="362"/>
      <c r="J50" s="20"/>
      <c r="K50" s="20"/>
      <c r="L50" s="20"/>
      <c r="M50" s="20"/>
      <c r="N50" s="20"/>
      <c r="O50" s="20"/>
      <c r="P50" s="20"/>
      <c r="Q50" s="20"/>
      <c r="R50" s="20"/>
      <c r="S50" s="20"/>
    </row>
    <row r="51" spans="3:19" x14ac:dyDescent="0.2">
      <c r="C51" s="20"/>
      <c r="D51" s="20"/>
      <c r="E51" s="20"/>
      <c r="F51" s="20"/>
      <c r="G51" s="20"/>
      <c r="H51" s="361"/>
      <c r="I51" s="362"/>
      <c r="J51" s="20"/>
      <c r="K51" s="20"/>
      <c r="L51" s="20"/>
      <c r="M51" s="20"/>
      <c r="N51" s="20"/>
      <c r="O51" s="20"/>
      <c r="P51" s="20"/>
      <c r="Q51" s="20"/>
      <c r="R51" s="20"/>
      <c r="S51" s="20"/>
    </row>
    <row r="52" spans="3:19" x14ac:dyDescent="0.2">
      <c r="C52" s="20"/>
      <c r="D52" s="20"/>
      <c r="E52" s="20"/>
      <c r="F52" s="20"/>
      <c r="G52" s="20"/>
      <c r="H52" s="361"/>
      <c r="I52" s="362"/>
      <c r="J52" s="20"/>
      <c r="K52" s="20"/>
      <c r="L52" s="20"/>
      <c r="M52" s="20"/>
      <c r="N52" s="20"/>
      <c r="O52" s="20"/>
      <c r="P52" s="20"/>
      <c r="Q52" s="20"/>
      <c r="R52" s="20"/>
      <c r="S52" s="20"/>
    </row>
    <row r="53" spans="3:19" x14ac:dyDescent="0.2">
      <c r="C53" s="20"/>
      <c r="D53" s="20"/>
      <c r="E53" s="20"/>
      <c r="F53" s="20"/>
      <c r="G53" s="20"/>
      <c r="H53" s="361"/>
      <c r="I53" s="362"/>
      <c r="J53" s="20"/>
      <c r="K53" s="20"/>
      <c r="L53" s="20"/>
      <c r="M53" s="20"/>
      <c r="N53" s="20"/>
      <c r="O53" s="20"/>
      <c r="P53" s="20"/>
      <c r="Q53" s="20"/>
      <c r="R53" s="20"/>
      <c r="S53" s="20"/>
    </row>
    <row r="54" spans="3:19" x14ac:dyDescent="0.2">
      <c r="C54" s="20"/>
      <c r="D54" s="20"/>
      <c r="E54" s="20"/>
      <c r="F54" s="20"/>
      <c r="G54" s="20"/>
      <c r="H54" s="361"/>
      <c r="I54" s="362"/>
      <c r="J54" s="20"/>
      <c r="K54" s="20"/>
      <c r="L54" s="20"/>
      <c r="M54" s="20"/>
      <c r="N54" s="20"/>
      <c r="O54" s="20"/>
      <c r="P54" s="20"/>
      <c r="Q54" s="20"/>
      <c r="R54" s="20"/>
      <c r="S54" s="20"/>
    </row>
    <row r="55" spans="3:19" x14ac:dyDescent="0.2">
      <c r="C55" s="20"/>
      <c r="D55" s="20"/>
      <c r="E55" s="20"/>
      <c r="F55" s="20"/>
      <c r="G55" s="20"/>
      <c r="H55" s="361"/>
      <c r="I55" s="362"/>
      <c r="J55" s="20"/>
      <c r="K55" s="20"/>
      <c r="L55" s="20"/>
      <c r="M55" s="20"/>
      <c r="N55" s="20"/>
      <c r="O55" s="20"/>
      <c r="P55" s="20"/>
      <c r="Q55" s="20"/>
      <c r="R55" s="20"/>
      <c r="S55" s="20"/>
    </row>
    <row r="56" spans="3:19" x14ac:dyDescent="0.2">
      <c r="C56" s="20"/>
      <c r="D56" s="20"/>
      <c r="E56" s="20"/>
      <c r="F56" s="20"/>
      <c r="G56" s="20"/>
      <c r="H56" s="361"/>
      <c r="I56" s="362"/>
      <c r="J56" s="20"/>
      <c r="K56" s="20"/>
      <c r="L56" s="20"/>
      <c r="M56" s="20"/>
      <c r="N56" s="20"/>
      <c r="O56" s="20"/>
      <c r="P56" s="20"/>
      <c r="Q56" s="20"/>
      <c r="R56" s="20"/>
      <c r="S56" s="20"/>
    </row>
    <row r="57" spans="3:19" x14ac:dyDescent="0.2">
      <c r="C57" s="20"/>
      <c r="D57" s="20"/>
      <c r="E57" s="20"/>
      <c r="F57" s="20"/>
      <c r="G57" s="20"/>
      <c r="H57" s="361"/>
      <c r="I57" s="362"/>
      <c r="J57" s="20"/>
      <c r="K57" s="20"/>
      <c r="L57" s="20"/>
      <c r="M57" s="20"/>
      <c r="N57" s="20"/>
      <c r="O57" s="20"/>
      <c r="P57" s="20"/>
      <c r="Q57" s="20"/>
      <c r="R57" s="20"/>
      <c r="S57" s="20"/>
    </row>
  </sheetData>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23" zoomScale="55" zoomScaleNormal="5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4:AJ34"/>
  <sheetViews>
    <sheetView showGridLines="0" zoomScale="75" zoomScaleNormal="85" workbookViewId="0">
      <selection activeCell="O41" sqref="O41"/>
    </sheetView>
  </sheetViews>
  <sheetFormatPr baseColWidth="10" defaultColWidth="8.83203125" defaultRowHeight="15" x14ac:dyDescent="0.2"/>
  <cols>
    <col min="10" max="11" width="8.83203125" customWidth="1"/>
    <col min="14" max="14" width="8.66406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C35"/>
  <sheetViews>
    <sheetView workbookViewId="0">
      <selection activeCell="C16" sqref="C16"/>
    </sheetView>
  </sheetViews>
  <sheetFormatPr baseColWidth="10" defaultColWidth="8.83203125" defaultRowHeight="15" x14ac:dyDescent="0.2"/>
  <cols>
    <col min="1" max="1" width="97.33203125" customWidth="1"/>
    <col min="2" max="2" width="12.83203125" customWidth="1"/>
    <col min="3" max="3" width="49.5" customWidth="1"/>
  </cols>
  <sheetData>
    <row r="1" spans="1:2" x14ac:dyDescent="0.2">
      <c r="A1" s="278" t="s">
        <v>481</v>
      </c>
      <c r="B1" s="3"/>
    </row>
    <row r="2" spans="1:2" ht="20" customHeight="1" x14ac:dyDescent="0.2">
      <c r="A2" s="276" t="s">
        <v>732</v>
      </c>
      <c r="B2" s="3"/>
    </row>
    <row r="3" spans="1:2" ht="20" customHeight="1" x14ac:dyDescent="0.2">
      <c r="A3" s="42" t="s">
        <v>753</v>
      </c>
      <c r="B3" s="146"/>
    </row>
    <row r="4" spans="1:2" ht="17.5" customHeight="1" x14ac:dyDescent="0.2">
      <c r="A4" s="42" t="s">
        <v>754</v>
      </c>
      <c r="B4" s="146"/>
    </row>
    <row r="5" spans="1:2" ht="18.5" customHeight="1" x14ac:dyDescent="0.2">
      <c r="A5" t="s">
        <v>774</v>
      </c>
      <c r="B5" s="186"/>
    </row>
    <row r="6" spans="1:2" ht="20" customHeight="1" x14ac:dyDescent="0.2">
      <c r="A6" s="279" t="s">
        <v>601</v>
      </c>
      <c r="B6" s="186"/>
    </row>
    <row r="7" spans="1:2" ht="40.5" customHeight="1" x14ac:dyDescent="0.2">
      <c r="A7" s="42" t="s">
        <v>755</v>
      </c>
      <c r="B7" s="186"/>
    </row>
    <row r="8" spans="1:2" ht="39.5" customHeight="1" x14ac:dyDescent="0.2">
      <c r="A8" s="42" t="s">
        <v>760</v>
      </c>
      <c r="B8" s="186"/>
    </row>
    <row r="9" spans="1:2" ht="30" customHeight="1" x14ac:dyDescent="0.2">
      <c r="A9" s="42" t="s">
        <v>749</v>
      </c>
      <c r="B9" s="239">
        <v>0.1863865993086945</v>
      </c>
    </row>
    <row r="10" spans="1:2" ht="30" customHeight="1" x14ac:dyDescent="0.2">
      <c r="A10" s="42" t="s">
        <v>750</v>
      </c>
      <c r="B10" s="239">
        <v>0.55463972347779844</v>
      </c>
    </row>
    <row r="11" spans="1:2" ht="30" customHeight="1" x14ac:dyDescent="0.2">
      <c r="A11" s="42" t="s">
        <v>751</v>
      </c>
      <c r="B11" s="239">
        <v>0.25897367721350706</v>
      </c>
    </row>
    <row r="12" spans="1:2" ht="30" customHeight="1" x14ac:dyDescent="0.2">
      <c r="A12" s="42" t="s">
        <v>752</v>
      </c>
      <c r="B12" s="3"/>
    </row>
    <row r="13" spans="1:2" ht="30" customHeight="1" x14ac:dyDescent="0.2">
      <c r="A13" s="42" t="s">
        <v>761</v>
      </c>
      <c r="B13" s="3" t="s">
        <v>540</v>
      </c>
    </row>
    <row r="14" spans="1:2" ht="30" customHeight="1" x14ac:dyDescent="0.2">
      <c r="A14" s="42" t="s">
        <v>931</v>
      </c>
      <c r="B14" s="3">
        <v>365</v>
      </c>
    </row>
    <row r="15" spans="1:2" ht="30" customHeight="1" x14ac:dyDescent="0.2">
      <c r="A15" s="42" t="s">
        <v>762</v>
      </c>
      <c r="B15" s="186">
        <v>0.15</v>
      </c>
    </row>
    <row r="16" spans="1:2" ht="30" customHeight="1" x14ac:dyDescent="0.2">
      <c r="A16" s="42" t="s">
        <v>935</v>
      </c>
      <c r="B16" s="186"/>
    </row>
    <row r="17" spans="1:3" ht="30" customHeight="1" x14ac:dyDescent="0.2">
      <c r="A17" s="42" t="s">
        <v>933</v>
      </c>
      <c r="B17" s="157"/>
    </row>
    <row r="18" spans="1:3" ht="30" customHeight="1" x14ac:dyDescent="0.2">
      <c r="A18" s="42" t="s">
        <v>763</v>
      </c>
      <c r="B18" s="3"/>
    </row>
    <row r="19" spans="1:3" ht="30" customHeight="1" x14ac:dyDescent="0.2">
      <c r="A19" s="42" t="s">
        <v>733</v>
      </c>
      <c r="B19" s="247">
        <v>2003.9049186967752</v>
      </c>
    </row>
    <row r="20" spans="1:3" ht="30" customHeight="1" x14ac:dyDescent="0.2">
      <c r="A20" s="42" t="s">
        <v>756</v>
      </c>
      <c r="B20" s="247">
        <v>1427.1713079498984</v>
      </c>
    </row>
    <row r="21" spans="1:3" ht="30" customHeight="1" x14ac:dyDescent="0.2">
      <c r="A21" s="42" t="s">
        <v>757</v>
      </c>
      <c r="B21" s="76"/>
      <c r="C21" s="76"/>
    </row>
    <row r="22" spans="1:3" ht="30" customHeight="1" x14ac:dyDescent="0.2">
      <c r="A22" s="42" t="s">
        <v>769</v>
      </c>
      <c r="B22" s="76"/>
      <c r="C22" s="76"/>
    </row>
    <row r="23" spans="1:3" ht="30" customHeight="1" x14ac:dyDescent="0.2">
      <c r="A23" s="42" t="s">
        <v>758</v>
      </c>
      <c r="B23" s="76"/>
      <c r="C23" s="76"/>
    </row>
    <row r="24" spans="1:3" ht="30" customHeight="1" x14ac:dyDescent="0.2">
      <c r="A24" s="42" t="s">
        <v>768</v>
      </c>
      <c r="B24">
        <v>1</v>
      </c>
    </row>
    <row r="25" spans="1:3" ht="30" customHeight="1" x14ac:dyDescent="0.2">
      <c r="A25" s="42" t="s">
        <v>759</v>
      </c>
      <c r="B25">
        <v>1</v>
      </c>
    </row>
    <row r="26" spans="1:3" ht="30" customHeight="1" x14ac:dyDescent="0.2">
      <c r="A26" s="42" t="s">
        <v>767</v>
      </c>
      <c r="B26" s="275">
        <v>1</v>
      </c>
    </row>
    <row r="27" spans="1:3" ht="30" customHeight="1" x14ac:dyDescent="0.2">
      <c r="A27" s="42" t="s">
        <v>766</v>
      </c>
      <c r="B27" s="275">
        <v>0.3</v>
      </c>
    </row>
    <row r="28" spans="1:3" ht="21.5" customHeight="1" x14ac:dyDescent="0.2">
      <c r="A28" s="280" t="s">
        <v>770</v>
      </c>
    </row>
    <row r="29" spans="1:3" ht="34" customHeight="1" x14ac:dyDescent="0.2">
      <c r="A29" s="42" t="s">
        <v>765</v>
      </c>
    </row>
    <row r="30" spans="1:3" ht="26.5" customHeight="1" x14ac:dyDescent="0.2">
      <c r="A30" s="277" t="s">
        <v>773</v>
      </c>
    </row>
    <row r="31" spans="1:3" ht="24" customHeight="1" x14ac:dyDescent="0.2">
      <c r="A31" s="86" t="s">
        <v>775</v>
      </c>
    </row>
    <row r="32" spans="1:3" ht="22.5" customHeight="1" x14ac:dyDescent="0.2">
      <c r="A32" s="42" t="s">
        <v>764</v>
      </c>
    </row>
    <row r="33" spans="1:1" ht="22.5" customHeight="1" x14ac:dyDescent="0.2">
      <c r="A33" s="42" t="s">
        <v>772</v>
      </c>
    </row>
    <row r="34" spans="1:1" ht="22.5" customHeight="1" x14ac:dyDescent="0.2">
      <c r="A34" s="42" t="s">
        <v>776</v>
      </c>
    </row>
    <row r="35" spans="1:1" ht="32" x14ac:dyDescent="0.2">
      <c r="A35" s="274" t="s">
        <v>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P123"/>
  <sheetViews>
    <sheetView showGridLines="0" tabSelected="1" workbookViewId="0">
      <pane ySplit="1" topLeftCell="A20" activePane="bottomLeft" state="frozen"/>
      <selection pane="bottomLeft" activeCell="A22" sqref="A22"/>
    </sheetView>
  </sheetViews>
  <sheetFormatPr baseColWidth="10" defaultColWidth="8.83203125" defaultRowHeight="15" x14ac:dyDescent="0.2"/>
  <cols>
    <col min="1" max="1" width="58.83203125" style="110" customWidth="1"/>
    <col min="2" max="2" width="34.6640625" customWidth="1"/>
    <col min="3" max="3" width="8.5" style="3" customWidth="1"/>
    <col min="4" max="4" width="19.33203125" style="76" customWidth="1"/>
    <col min="5" max="5" width="10.5" style="76" customWidth="1"/>
    <col min="6" max="6" width="9.1640625" style="76" customWidth="1"/>
    <col min="7" max="7" width="9.33203125" style="76" customWidth="1"/>
    <col min="8" max="8" width="29.1640625" style="3" customWidth="1"/>
    <col min="9" max="9" width="40.6640625" customWidth="1"/>
    <col min="10" max="10" width="32.6640625" style="110" customWidth="1"/>
    <col min="12" max="12" width="11.5" customWidth="1"/>
    <col min="14" max="14" width="8.1640625" customWidth="1"/>
    <col min="15" max="15" width="15.5" hidden="1" customWidth="1"/>
    <col min="16" max="16" width="8.6640625" hidden="1" customWidth="1"/>
  </cols>
  <sheetData>
    <row r="1" spans="1:16" s="257" customFormat="1" ht="32" customHeight="1" x14ac:dyDescent="0.2">
      <c r="A1" s="256" t="s">
        <v>994</v>
      </c>
      <c r="B1" s="256" t="s">
        <v>503</v>
      </c>
      <c r="C1" s="256" t="s">
        <v>863</v>
      </c>
      <c r="D1" s="256" t="s">
        <v>470</v>
      </c>
      <c r="E1" s="256" t="s">
        <v>377</v>
      </c>
      <c r="F1" s="391" t="s">
        <v>355</v>
      </c>
      <c r="G1" s="391" t="s">
        <v>356</v>
      </c>
      <c r="H1" s="256" t="s">
        <v>459</v>
      </c>
      <c r="I1" s="256" t="s">
        <v>383</v>
      </c>
      <c r="J1" s="271" t="s">
        <v>636</v>
      </c>
    </row>
    <row r="2" spans="1:16" ht="31.5" customHeight="1" x14ac:dyDescent="0.2">
      <c r="A2" s="325" t="s">
        <v>489</v>
      </c>
      <c r="B2" s="74" t="s">
        <v>327</v>
      </c>
      <c r="C2" s="74" t="s">
        <v>912</v>
      </c>
      <c r="D2" s="112" t="s">
        <v>489</v>
      </c>
      <c r="E2" s="74"/>
      <c r="F2" s="74" t="s">
        <v>471</v>
      </c>
      <c r="G2" s="74" t="s">
        <v>472</v>
      </c>
      <c r="H2" s="75"/>
      <c r="I2" s="75" t="s">
        <v>345</v>
      </c>
      <c r="J2" s="272" t="s">
        <v>713</v>
      </c>
    </row>
    <row r="3" spans="1:16" ht="14.5" customHeight="1" x14ac:dyDescent="0.2">
      <c r="A3" s="325">
        <v>1000</v>
      </c>
      <c r="B3" s="74" t="s">
        <v>876</v>
      </c>
      <c r="C3" s="74" t="s">
        <v>912</v>
      </c>
      <c r="D3" s="112">
        <v>1000</v>
      </c>
      <c r="E3" s="74"/>
      <c r="F3" s="74"/>
      <c r="G3" s="74"/>
      <c r="H3" s="75"/>
      <c r="I3" s="75"/>
      <c r="J3" s="272"/>
    </row>
    <row r="4" spans="1:16" x14ac:dyDescent="0.2">
      <c r="A4" s="326">
        <v>0.75</v>
      </c>
      <c r="B4" s="111" t="s">
        <v>490</v>
      </c>
      <c r="C4" s="75" t="s">
        <v>864</v>
      </c>
      <c r="D4" s="194">
        <v>0.75</v>
      </c>
      <c r="E4" s="75"/>
      <c r="F4" s="75"/>
      <c r="G4" s="75"/>
      <c r="H4" s="75"/>
      <c r="I4" s="75" t="s">
        <v>345</v>
      </c>
      <c r="J4" s="272" t="s">
        <v>713</v>
      </c>
    </row>
    <row r="5" spans="1:16" ht="14.5" customHeight="1" x14ac:dyDescent="0.2">
      <c r="A5" s="327" t="s">
        <v>937</v>
      </c>
      <c r="B5" s="47" t="s">
        <v>615</v>
      </c>
      <c r="C5" s="75" t="s">
        <v>864</v>
      </c>
      <c r="D5" s="195">
        <f>proportion_AC_standard</f>
        <v>0.1863865993086945</v>
      </c>
      <c r="E5" s="75"/>
      <c r="F5" s="75"/>
      <c r="G5" s="74" t="s">
        <v>350</v>
      </c>
      <c r="H5" s="75"/>
      <c r="I5" s="75" t="s">
        <v>635</v>
      </c>
      <c r="J5" s="270" t="s">
        <v>632</v>
      </c>
      <c r="K5" s="197"/>
      <c r="L5" s="197"/>
      <c r="M5" s="197"/>
      <c r="N5" s="197"/>
      <c r="O5" s="197"/>
    </row>
    <row r="6" spans="1:16" ht="14.5" customHeight="1" x14ac:dyDescent="0.2">
      <c r="A6" s="327" t="s">
        <v>938</v>
      </c>
      <c r="B6" s="47" t="s">
        <v>614</v>
      </c>
      <c r="C6" s="75" t="s">
        <v>864</v>
      </c>
      <c r="D6" s="195">
        <f>proportion_AT_standard</f>
        <v>0.55463972347779844</v>
      </c>
      <c r="E6" s="74" t="s">
        <v>350</v>
      </c>
      <c r="F6" s="74" t="s">
        <v>350</v>
      </c>
      <c r="G6" s="74" t="s">
        <v>350</v>
      </c>
      <c r="H6" s="75"/>
      <c r="I6" s="75" t="s">
        <v>635</v>
      </c>
      <c r="J6" s="270" t="s">
        <v>633</v>
      </c>
    </row>
    <row r="7" spans="1:16" ht="13.5" customHeight="1" x14ac:dyDescent="0.2">
      <c r="A7" s="327" t="s">
        <v>939</v>
      </c>
      <c r="B7" s="47" t="s">
        <v>616</v>
      </c>
      <c r="C7" s="75" t="s">
        <v>864</v>
      </c>
      <c r="D7" s="195">
        <f>proportion_AP_standard</f>
        <v>0.25897367721350706</v>
      </c>
      <c r="E7" s="74" t="s">
        <v>350</v>
      </c>
      <c r="F7" s="74" t="s">
        <v>350</v>
      </c>
      <c r="G7" s="74" t="s">
        <v>350</v>
      </c>
      <c r="H7" s="75"/>
      <c r="I7" s="75" t="s">
        <v>635</v>
      </c>
      <c r="J7" s="270" t="s">
        <v>634</v>
      </c>
    </row>
    <row r="8" spans="1:16" ht="13.5" customHeight="1" x14ac:dyDescent="0.2">
      <c r="A8" s="327" t="s">
        <v>995</v>
      </c>
      <c r="B8" s="47" t="s">
        <v>904</v>
      </c>
      <c r="C8" s="75" t="s">
        <v>906</v>
      </c>
      <c r="D8" s="195">
        <v>1</v>
      </c>
      <c r="E8" s="74"/>
      <c r="F8" s="74"/>
      <c r="G8" s="74"/>
      <c r="H8" s="75"/>
      <c r="I8" s="75"/>
      <c r="J8" s="322"/>
    </row>
    <row r="9" spans="1:16" ht="13.5" customHeight="1" x14ac:dyDescent="0.2">
      <c r="A9" s="327" t="s">
        <v>996</v>
      </c>
      <c r="B9" s="47" t="s">
        <v>905</v>
      </c>
      <c r="C9" s="75" t="s">
        <v>906</v>
      </c>
      <c r="D9" s="195">
        <v>1</v>
      </c>
      <c r="E9" s="74"/>
      <c r="F9" s="74"/>
      <c r="G9" s="74"/>
      <c r="H9" s="75"/>
      <c r="I9" s="75"/>
      <c r="J9" s="322"/>
    </row>
    <row r="10" spans="1:16" ht="8" customHeight="1" x14ac:dyDescent="0.2">
      <c r="A10" s="328"/>
      <c r="D10" s="80"/>
      <c r="I10" s="3"/>
    </row>
    <row r="11" spans="1:16" x14ac:dyDescent="0.2">
      <c r="A11" s="327" t="s">
        <v>940</v>
      </c>
      <c r="B11" s="111" t="s">
        <v>617</v>
      </c>
      <c r="C11" s="75" t="s">
        <v>826</v>
      </c>
      <c r="D11" s="195">
        <f>prob_death_AC</f>
        <v>9.7253633201505679E-2</v>
      </c>
      <c r="E11" s="81">
        <v>1.99E-3</v>
      </c>
      <c r="F11" s="81">
        <v>9.3474007719064167E-2</v>
      </c>
      <c r="G11" s="81">
        <v>0.10129313384476103</v>
      </c>
      <c r="H11" s="78" t="s">
        <v>743</v>
      </c>
      <c r="I11" s="75" t="s">
        <v>328</v>
      </c>
      <c r="J11" s="363" t="s">
        <v>638</v>
      </c>
      <c r="K11" s="363"/>
      <c r="L11" s="363"/>
      <c r="M11" s="363"/>
      <c r="N11" s="363"/>
      <c r="O11" s="363"/>
      <c r="P11" s="364"/>
    </row>
    <row r="12" spans="1:16" ht="16" x14ac:dyDescent="0.2">
      <c r="A12" s="327" t="s">
        <v>941</v>
      </c>
      <c r="B12" s="111" t="s">
        <v>609</v>
      </c>
      <c r="C12" s="75" t="s">
        <v>826</v>
      </c>
      <c r="D12" s="195">
        <f>prob_MI_AC</f>
        <v>6.5500000000000003E-2</v>
      </c>
      <c r="E12" s="81">
        <v>6.0958802523251596E-3</v>
      </c>
      <c r="F12" s="81">
        <v>5.3586055287966901E-2</v>
      </c>
      <c r="G12" s="81">
        <v>7.7481905877081494E-2</v>
      </c>
      <c r="H12" s="78" t="s">
        <v>743</v>
      </c>
      <c r="I12" s="75" t="s">
        <v>353</v>
      </c>
      <c r="J12" s="273" t="s">
        <v>642</v>
      </c>
    </row>
    <row r="13" spans="1:16" ht="16" x14ac:dyDescent="0.2">
      <c r="A13" s="327" t="s">
        <v>942</v>
      </c>
      <c r="B13" s="111" t="s">
        <v>610</v>
      </c>
      <c r="C13" s="75" t="s">
        <v>826</v>
      </c>
      <c r="D13" s="195">
        <f>prob_stroke_AC</f>
        <v>1.2500000000000001E-2</v>
      </c>
      <c r="E13" s="81">
        <v>1.0260441208098795E-3</v>
      </c>
      <c r="F13" s="81">
        <v>1.1299999999999999E-2</v>
      </c>
      <c r="G13" s="81">
        <v>1.2699999999999999E-2</v>
      </c>
      <c r="H13" s="78" t="s">
        <v>743</v>
      </c>
      <c r="I13" s="75" t="s">
        <v>384</v>
      </c>
      <c r="J13" s="273" t="s">
        <v>714</v>
      </c>
      <c r="K13" s="87"/>
    </row>
    <row r="14" spans="1:16" x14ac:dyDescent="0.2">
      <c r="A14" s="327" t="s">
        <v>943</v>
      </c>
      <c r="B14" s="111" t="s">
        <v>611</v>
      </c>
      <c r="C14" s="75" t="s">
        <v>866</v>
      </c>
      <c r="D14" s="195">
        <f>prob_maj_bleed_AC</f>
        <v>2.1999999999999999E-2</v>
      </c>
      <c r="E14" s="81">
        <v>4.5860939877542988E-3</v>
      </c>
      <c r="F14" s="81">
        <v>1.3011255784001573E-2</v>
      </c>
      <c r="G14" s="81">
        <v>3.0988744215998426E-2</v>
      </c>
      <c r="H14" s="78" t="s">
        <v>743</v>
      </c>
      <c r="I14" s="75" t="s">
        <v>344</v>
      </c>
      <c r="J14" s="110" t="s">
        <v>643</v>
      </c>
    </row>
    <row r="15" spans="1:16" x14ac:dyDescent="0.2">
      <c r="A15" s="327" t="s">
        <v>944</v>
      </c>
      <c r="B15" s="111" t="s">
        <v>612</v>
      </c>
      <c r="C15" s="75" t="s">
        <v>866</v>
      </c>
      <c r="D15" s="195">
        <f>prob_min_bleed_AC</f>
        <v>6.0999999999999999E-2</v>
      </c>
      <c r="E15" s="81">
        <v>7.4827269324786311E-3</v>
      </c>
      <c r="F15" s="81">
        <v>4.633385521234188E-2</v>
      </c>
      <c r="G15" s="81">
        <v>7.566614478765811E-2</v>
      </c>
      <c r="H15" s="78" t="s">
        <v>743</v>
      </c>
      <c r="I15" s="75" t="s">
        <v>344</v>
      </c>
      <c r="J15" s="110" t="s">
        <v>643</v>
      </c>
    </row>
    <row r="16" spans="1:16" ht="8" customHeight="1" x14ac:dyDescent="0.2">
      <c r="A16" s="328"/>
      <c r="D16" s="80"/>
      <c r="E16" s="82"/>
      <c r="F16" s="82"/>
      <c r="G16" s="83"/>
      <c r="H16" s="180"/>
      <c r="I16" s="3"/>
    </row>
    <row r="17" spans="1:10" x14ac:dyDescent="0.2">
      <c r="A17" s="329" t="s">
        <v>945</v>
      </c>
      <c r="B17" s="47" t="s">
        <v>613</v>
      </c>
      <c r="C17" s="75" t="s">
        <v>865</v>
      </c>
      <c r="D17" s="81">
        <f>prob_death_AT</f>
        <v>7.6598682607015037E-2</v>
      </c>
      <c r="E17" s="81">
        <v>4.1988023630102362E-3</v>
      </c>
      <c r="F17" s="81">
        <v>6.8369029975514972E-2</v>
      </c>
      <c r="G17" s="81">
        <v>8.4828335238515101E-2</v>
      </c>
      <c r="H17" s="78" t="s">
        <v>744</v>
      </c>
      <c r="I17" s="75" t="s">
        <v>366</v>
      </c>
      <c r="J17" s="272" t="s">
        <v>713</v>
      </c>
    </row>
    <row r="18" spans="1:10" x14ac:dyDescent="0.2">
      <c r="A18" s="329" t="s">
        <v>946</v>
      </c>
      <c r="B18" s="47" t="s">
        <v>618</v>
      </c>
      <c r="C18" s="75" t="s">
        <v>865</v>
      </c>
      <c r="D18" s="81">
        <f>prob_MI_AT</f>
        <v>5.4379328977747207E-2</v>
      </c>
      <c r="E18" s="81">
        <v>3.4837434784263611E-3</v>
      </c>
      <c r="F18" s="81">
        <v>4.7551191760031537E-2</v>
      </c>
      <c r="G18" s="81">
        <v>6.1207466195462877E-2</v>
      </c>
      <c r="H18" s="78" t="s">
        <v>744</v>
      </c>
      <c r="I18" s="75" t="s">
        <v>366</v>
      </c>
      <c r="J18" s="272" t="s">
        <v>713</v>
      </c>
    </row>
    <row r="19" spans="1:10" x14ac:dyDescent="0.2">
      <c r="A19" s="329" t="s">
        <v>942</v>
      </c>
      <c r="B19" s="47" t="s">
        <v>838</v>
      </c>
      <c r="C19" s="75" t="s">
        <v>865</v>
      </c>
      <c r="D19" s="81">
        <f>prob_stroke_AC</f>
        <v>1.2500000000000001E-2</v>
      </c>
      <c r="E19" s="81">
        <v>1.780220539464367E-3</v>
      </c>
      <c r="F19" s="81">
        <v>1.0612851855965701E-2</v>
      </c>
      <c r="G19" s="81">
        <v>1.7591316370666018E-2</v>
      </c>
      <c r="H19" s="78" t="s">
        <v>744</v>
      </c>
      <c r="I19" s="75" t="s">
        <v>366</v>
      </c>
      <c r="J19" s="272" t="s">
        <v>713</v>
      </c>
    </row>
    <row r="20" spans="1:10" x14ac:dyDescent="0.2">
      <c r="A20" s="329" t="s">
        <v>947</v>
      </c>
      <c r="B20" s="47" t="s">
        <v>619</v>
      </c>
      <c r="C20" s="75" t="s">
        <v>866</v>
      </c>
      <c r="D20" s="81">
        <f>prob_maj_bleed_AT</f>
        <v>2.2859883302693625E-2</v>
      </c>
      <c r="E20" s="81">
        <v>4.6728044790044203E-3</v>
      </c>
      <c r="F20" s="81">
        <v>1.3701186523844961E-2</v>
      </c>
      <c r="G20" s="81">
        <v>3.2018580081542292E-2</v>
      </c>
      <c r="H20" s="78" t="s">
        <v>744</v>
      </c>
      <c r="I20" s="75" t="s">
        <v>366</v>
      </c>
      <c r="J20" s="272" t="s">
        <v>713</v>
      </c>
    </row>
    <row r="21" spans="1:10" x14ac:dyDescent="0.2">
      <c r="A21" s="329" t="s">
        <v>948</v>
      </c>
      <c r="B21" s="47" t="s">
        <v>620</v>
      </c>
      <c r="C21" s="75" t="s">
        <v>866</v>
      </c>
      <c r="D21" s="81">
        <f>prob_min_bleed_AT</f>
        <v>8.6305323455729055E-2</v>
      </c>
      <c r="E21" s="81">
        <v>8.7797373244725332E-3</v>
      </c>
      <c r="F21" s="81">
        <v>6.9097038299762895E-2</v>
      </c>
      <c r="G21" s="81">
        <v>0.10351360861169522</v>
      </c>
      <c r="H21" s="78" t="s">
        <v>744</v>
      </c>
      <c r="I21" s="75" t="s">
        <v>366</v>
      </c>
      <c r="J21" s="272" t="s">
        <v>713</v>
      </c>
    </row>
    <row r="22" spans="1:10" ht="8.5" customHeight="1" x14ac:dyDescent="0.2">
      <c r="A22" s="148"/>
      <c r="I22" s="3"/>
    </row>
    <row r="23" spans="1:10" x14ac:dyDescent="0.2">
      <c r="A23" s="329" t="s">
        <v>949</v>
      </c>
      <c r="B23" s="47" t="s">
        <v>621</v>
      </c>
      <c r="C23" s="75" t="s">
        <v>865</v>
      </c>
      <c r="D23" s="81">
        <f>prob_death_AP</f>
        <v>9.7253633201505651E-2</v>
      </c>
      <c r="E23" s="81">
        <v>7.0448520280021361E-3</v>
      </c>
      <c r="F23" s="81">
        <v>8.3445723226621471E-2</v>
      </c>
      <c r="G23" s="81">
        <v>0.11106154317638983</v>
      </c>
      <c r="H23" s="78" t="s">
        <v>744</v>
      </c>
      <c r="I23" s="75" t="s">
        <v>366</v>
      </c>
      <c r="J23" s="272" t="s">
        <v>713</v>
      </c>
    </row>
    <row r="24" spans="1:10" x14ac:dyDescent="0.2">
      <c r="A24" s="329" t="s">
        <v>950</v>
      </c>
      <c r="B24" s="47" t="s">
        <v>627</v>
      </c>
      <c r="C24" s="75" t="s">
        <v>865</v>
      </c>
      <c r="D24" s="81">
        <f>prob_MI_AP</f>
        <v>4.9969154842689711E-2</v>
      </c>
      <c r="E24" s="81">
        <v>5.1803122542955935E-3</v>
      </c>
      <c r="F24" s="81">
        <v>3.9815742824270348E-2</v>
      </c>
      <c r="G24" s="81">
        <v>6.0122566861109075E-2</v>
      </c>
      <c r="H24" s="78" t="s">
        <v>744</v>
      </c>
      <c r="I24" s="75" t="s">
        <v>366</v>
      </c>
      <c r="J24" s="272" t="s">
        <v>713</v>
      </c>
    </row>
    <row r="25" spans="1:10" x14ac:dyDescent="0.2">
      <c r="A25" s="329" t="s">
        <v>951</v>
      </c>
      <c r="B25" s="47" t="s">
        <v>839</v>
      </c>
      <c r="C25" s="75" t="s">
        <v>865</v>
      </c>
      <c r="D25" s="81">
        <f>prob_stroke_AP</f>
        <v>1.1635180783185286E-2</v>
      </c>
      <c r="E25" s="81">
        <v>2.5496542457632007E-3</v>
      </c>
      <c r="F25" s="81">
        <v>6.6378584614894126E-3</v>
      </c>
      <c r="G25" s="81">
        <v>1.6632503104881159E-2</v>
      </c>
      <c r="H25" s="78" t="s">
        <v>744</v>
      </c>
      <c r="I25" s="75" t="s">
        <v>366</v>
      </c>
      <c r="J25" s="272" t="s">
        <v>713</v>
      </c>
    </row>
    <row r="26" spans="1:10" x14ac:dyDescent="0.2">
      <c r="A26" s="329" t="s">
        <v>952</v>
      </c>
      <c r="B26" s="47" t="s">
        <v>622</v>
      </c>
      <c r="C26" s="75" t="s">
        <v>866</v>
      </c>
      <c r="D26" s="81">
        <f>prob_maj_bleed_AP</f>
        <v>3.1165177421591746E-2</v>
      </c>
      <c r="E26" s="81">
        <v>5.4327767021908327E-3</v>
      </c>
      <c r="F26" s="81">
        <v>2.0516935085297713E-2</v>
      </c>
      <c r="G26" s="81">
        <v>4.1813419757885779E-2</v>
      </c>
      <c r="H26" s="78" t="s">
        <v>744</v>
      </c>
      <c r="I26" s="75" t="s">
        <v>366</v>
      </c>
      <c r="J26" s="272" t="s">
        <v>713</v>
      </c>
    </row>
    <row r="27" spans="1:10" x14ac:dyDescent="0.2">
      <c r="A27" s="329" t="s">
        <v>953</v>
      </c>
      <c r="B27" s="47" t="s">
        <v>623</v>
      </c>
      <c r="C27" s="75" t="s">
        <v>866</v>
      </c>
      <c r="D27" s="81">
        <f>prob_min_bleed_AP</f>
        <v>0.12489534758632949</v>
      </c>
      <c r="E27" s="81">
        <v>1.0336304860998012E-2</v>
      </c>
      <c r="F27" s="81">
        <v>0.10463619005877339</v>
      </c>
      <c r="G27" s="81">
        <v>0.14515450511388558</v>
      </c>
      <c r="H27" s="78" t="s">
        <v>744</v>
      </c>
      <c r="I27" s="75" t="s">
        <v>366</v>
      </c>
      <c r="J27" s="272" t="s">
        <v>713</v>
      </c>
    </row>
    <row r="28" spans="1:10" ht="8" customHeight="1" x14ac:dyDescent="0.2">
      <c r="A28" s="148"/>
      <c r="I28" s="3"/>
    </row>
    <row r="29" spans="1:10" x14ac:dyDescent="0.2">
      <c r="A29" s="330" t="s">
        <v>997</v>
      </c>
      <c r="B29" s="47" t="s">
        <v>403</v>
      </c>
      <c r="C29" s="75" t="s">
        <v>864</v>
      </c>
      <c r="D29" s="323">
        <v>0.29709999999999998</v>
      </c>
      <c r="E29" s="74" t="s">
        <v>350</v>
      </c>
      <c r="F29" s="74" t="s">
        <v>350</v>
      </c>
      <c r="G29" s="74" t="s">
        <v>350</v>
      </c>
      <c r="H29" s="75" t="s">
        <v>711</v>
      </c>
      <c r="I29" s="75" t="s">
        <v>402</v>
      </c>
      <c r="J29" s="242" t="s">
        <v>664</v>
      </c>
    </row>
    <row r="30" spans="1:10" x14ac:dyDescent="0.2">
      <c r="A30" s="330" t="s">
        <v>998</v>
      </c>
      <c r="B30" s="47" t="s">
        <v>404</v>
      </c>
      <c r="C30" s="75" t="s">
        <v>864</v>
      </c>
      <c r="D30" s="323">
        <v>0.56799999999999995</v>
      </c>
      <c r="E30" s="74" t="s">
        <v>350</v>
      </c>
      <c r="F30" s="74" t="s">
        <v>350</v>
      </c>
      <c r="G30" s="74" t="s">
        <v>350</v>
      </c>
      <c r="H30" s="75" t="s">
        <v>712</v>
      </c>
      <c r="I30" s="75" t="s">
        <v>402</v>
      </c>
      <c r="J30" s="242" t="s">
        <v>664</v>
      </c>
    </row>
    <row r="31" spans="1:10" x14ac:dyDescent="0.2">
      <c r="A31" s="331" t="s">
        <v>954</v>
      </c>
      <c r="B31" s="47" t="s">
        <v>895</v>
      </c>
      <c r="C31" s="75" t="s">
        <v>864</v>
      </c>
      <c r="D31" s="84">
        <f>proportion_AT_standard/(proportion_AT_standard+proportion_AP_standard)</f>
        <v>0.68169934640522878</v>
      </c>
      <c r="E31" s="74"/>
      <c r="F31" s="74"/>
      <c r="G31" s="74"/>
      <c r="H31" s="75"/>
      <c r="I31" s="75"/>
      <c r="J31" s="242"/>
    </row>
    <row r="32" spans="1:10" x14ac:dyDescent="0.2">
      <c r="A32" s="331" t="s">
        <v>955</v>
      </c>
      <c r="B32" s="47" t="s">
        <v>896</v>
      </c>
      <c r="C32" s="75" t="s">
        <v>864</v>
      </c>
      <c r="D32" s="84">
        <f>1-proportion_AT_lof</f>
        <v>0.31830065359477122</v>
      </c>
      <c r="E32" s="74"/>
      <c r="F32" s="74"/>
      <c r="G32" s="74"/>
      <c r="H32" s="75"/>
      <c r="I32" s="75"/>
      <c r="J32" s="242"/>
    </row>
    <row r="33" spans="1:10" x14ac:dyDescent="0.2">
      <c r="A33" s="331"/>
      <c r="B33" s="47"/>
      <c r="C33" s="75"/>
      <c r="D33" s="84"/>
      <c r="E33" s="74"/>
      <c r="F33" s="74"/>
      <c r="G33" s="74"/>
      <c r="H33" s="75"/>
      <c r="I33" s="75"/>
      <c r="J33" s="242"/>
    </row>
    <row r="34" spans="1:10" ht="8" customHeight="1" x14ac:dyDescent="0.2">
      <c r="A34" s="148"/>
      <c r="I34" s="3"/>
    </row>
    <row r="35" spans="1:10" x14ac:dyDescent="0.2">
      <c r="A35" s="329" t="s">
        <v>999</v>
      </c>
      <c r="B35" s="47" t="s">
        <v>624</v>
      </c>
      <c r="C35" s="75" t="s">
        <v>865</v>
      </c>
      <c r="D35" s="81">
        <v>5.1730655958247704E-2</v>
      </c>
      <c r="E35" s="79">
        <v>4.3765818891637878E-3</v>
      </c>
      <c r="F35" s="85">
        <v>4.1837302142202999E-2</v>
      </c>
      <c r="G35" s="85">
        <v>0.13241651484368189</v>
      </c>
      <c r="H35" s="75" t="s">
        <v>607</v>
      </c>
      <c r="I35" s="75" t="s">
        <v>469</v>
      </c>
      <c r="J35" s="138" t="s">
        <v>671</v>
      </c>
    </row>
    <row r="36" spans="1:10" x14ac:dyDescent="0.2">
      <c r="A36" s="329" t="s">
        <v>1000</v>
      </c>
      <c r="B36" s="47" t="s">
        <v>908</v>
      </c>
      <c r="C36" s="75" t="s">
        <v>865</v>
      </c>
      <c r="D36" s="81">
        <v>3.9241904540433699E-2</v>
      </c>
      <c r="E36" s="79">
        <v>3.7395739072244466E-3</v>
      </c>
      <c r="F36" s="85">
        <v>3.1152349721279032E-2</v>
      </c>
      <c r="G36" s="85">
        <v>9.9540520033145841E-2</v>
      </c>
      <c r="H36" s="75" t="s">
        <v>607</v>
      </c>
      <c r="I36" s="75" t="s">
        <v>469</v>
      </c>
      <c r="J36" s="138" t="s">
        <v>715</v>
      </c>
    </row>
    <row r="37" spans="1:10" x14ac:dyDescent="0.2">
      <c r="A37" s="329" t="s">
        <v>1001</v>
      </c>
      <c r="B37" s="47" t="s">
        <v>840</v>
      </c>
      <c r="C37" s="75" t="s">
        <v>865</v>
      </c>
      <c r="D37" s="81">
        <v>9.2592592592592587E-3</v>
      </c>
      <c r="E37" s="79">
        <v>1.8404033712138971E-3</v>
      </c>
      <c r="F37" s="85">
        <v>5.6093337103422878E-3</v>
      </c>
      <c r="G37" s="85">
        <v>2.0210818390192412E-2</v>
      </c>
      <c r="H37" s="75" t="s">
        <v>607</v>
      </c>
      <c r="I37" s="75" t="s">
        <v>469</v>
      </c>
      <c r="J37" s="138" t="s">
        <v>716</v>
      </c>
    </row>
    <row r="38" spans="1:10" x14ac:dyDescent="0.2">
      <c r="A38" s="329" t="s">
        <v>1002</v>
      </c>
      <c r="B38" s="47" t="s">
        <v>625</v>
      </c>
      <c r="C38" s="75" t="s">
        <v>1004</v>
      </c>
      <c r="D38" s="81">
        <f>prob_maj_bleed_AC</f>
        <v>2.1999999999999999E-2</v>
      </c>
      <c r="E38" s="81">
        <v>4.5860939877542988E-3</v>
      </c>
      <c r="F38" s="81">
        <v>1.3011255784001573E-2</v>
      </c>
      <c r="G38" s="81">
        <v>3.0988744215998426E-2</v>
      </c>
      <c r="H38" s="75" t="s">
        <v>607</v>
      </c>
      <c r="I38" s="75" t="s">
        <v>344</v>
      </c>
      <c r="J38" s="110" t="s">
        <v>643</v>
      </c>
    </row>
    <row r="39" spans="1:10" x14ac:dyDescent="0.2">
      <c r="A39" s="329" t="s">
        <v>1003</v>
      </c>
      <c r="B39" s="47" t="s">
        <v>626</v>
      </c>
      <c r="C39" s="75" t="s">
        <v>1005</v>
      </c>
      <c r="D39" s="81">
        <f>prob_min_bleed_AC</f>
        <v>6.0999999999999999E-2</v>
      </c>
      <c r="E39" s="81">
        <v>7.4827269324786311E-3</v>
      </c>
      <c r="F39" s="81">
        <v>4.633385521234188E-2</v>
      </c>
      <c r="G39" s="81">
        <v>7.566614478765811E-2</v>
      </c>
      <c r="H39" s="75" t="s">
        <v>607</v>
      </c>
      <c r="I39" s="75" t="s">
        <v>344</v>
      </c>
      <c r="J39" s="110" t="s">
        <v>643</v>
      </c>
    </row>
    <row r="40" spans="1:10" ht="8" customHeight="1" x14ac:dyDescent="0.2">
      <c r="A40" s="148"/>
      <c r="I40" s="3"/>
    </row>
    <row r="41" spans="1:10" ht="16" x14ac:dyDescent="0.2">
      <c r="A41" s="332" t="s">
        <v>956</v>
      </c>
      <c r="B41" s="47" t="s">
        <v>677</v>
      </c>
      <c r="C41" s="75" t="s">
        <v>867</v>
      </c>
      <c r="D41" s="85">
        <f>u_no_event_tree</f>
        <v>0.68245541925000008</v>
      </c>
      <c r="E41" s="74">
        <v>2E-3</v>
      </c>
      <c r="F41" s="81">
        <v>0.83807999999999905</v>
      </c>
      <c r="G41" s="81">
        <v>0.84592000000000001</v>
      </c>
      <c r="H41" s="78" t="s">
        <v>460</v>
      </c>
      <c r="I41" s="75" t="s">
        <v>458</v>
      </c>
      <c r="J41" s="187" t="s">
        <v>718</v>
      </c>
    </row>
    <row r="42" spans="1:10" ht="16" x14ac:dyDescent="0.2">
      <c r="A42" s="332" t="s">
        <v>957</v>
      </c>
      <c r="B42" s="47" t="s">
        <v>678</v>
      </c>
      <c r="C42" s="75" t="s">
        <v>867</v>
      </c>
      <c r="D42" s="85">
        <f>u_reinfarction_tree</f>
        <v>0.6313928403750001</v>
      </c>
      <c r="E42" s="74">
        <v>0.01</v>
      </c>
      <c r="F42" s="81">
        <v>0.75939999999999996</v>
      </c>
      <c r="G42" s="81">
        <v>0.79859999999999998</v>
      </c>
      <c r="H42" s="78" t="s">
        <v>460</v>
      </c>
      <c r="I42" s="75" t="s">
        <v>458</v>
      </c>
      <c r="J42" s="187" t="s">
        <v>717</v>
      </c>
    </row>
    <row r="43" spans="1:10" ht="16" x14ac:dyDescent="0.2">
      <c r="A43" s="332" t="s">
        <v>958</v>
      </c>
      <c r="B43" s="47" t="s">
        <v>516</v>
      </c>
      <c r="C43" s="75" t="s">
        <v>867</v>
      </c>
      <c r="D43" s="85">
        <f>u_post_reinfarction_tree</f>
        <v>0.66543455962500009</v>
      </c>
      <c r="E43" s="74">
        <v>3.7999999999999999E-2</v>
      </c>
      <c r="F43" s="81">
        <v>0.74651999999999996</v>
      </c>
      <c r="G43" s="81">
        <v>0.89547999999999905</v>
      </c>
      <c r="H43" s="78" t="s">
        <v>460</v>
      </c>
      <c r="I43" s="75" t="s">
        <v>458</v>
      </c>
      <c r="J43" s="187" t="s">
        <v>719</v>
      </c>
    </row>
    <row r="44" spans="1:10" ht="16" x14ac:dyDescent="0.2">
      <c r="A44" s="332" t="s">
        <v>959</v>
      </c>
      <c r="B44" s="47" t="s">
        <v>841</v>
      </c>
      <c r="C44" s="75" t="s">
        <v>867</v>
      </c>
      <c r="D44" s="85">
        <f>u_stroke_tree</f>
        <v>0.56979353887499995</v>
      </c>
      <c r="E44" s="74">
        <v>0.01</v>
      </c>
      <c r="F44" s="81">
        <v>0.68340000000000001</v>
      </c>
      <c r="G44" s="81">
        <v>0.72259999999999902</v>
      </c>
      <c r="H44" s="78" t="s">
        <v>460</v>
      </c>
      <c r="I44" s="75" t="s">
        <v>458</v>
      </c>
      <c r="J44" s="187" t="s">
        <v>720</v>
      </c>
    </row>
    <row r="45" spans="1:10" ht="16" x14ac:dyDescent="0.2">
      <c r="A45" s="332" t="s">
        <v>960</v>
      </c>
      <c r="B45" s="47" t="s">
        <v>679</v>
      </c>
      <c r="C45" s="75" t="s">
        <v>867</v>
      </c>
      <c r="D45" s="85">
        <f>u_post_stroke_tree</f>
        <v>0.56979353887499995</v>
      </c>
      <c r="E45" s="74">
        <v>3.7999999999999999E-2</v>
      </c>
      <c r="F45" s="81">
        <v>0.62851999999999997</v>
      </c>
      <c r="G45" s="81">
        <v>0.77747999999999995</v>
      </c>
      <c r="H45" s="78" t="s">
        <v>460</v>
      </c>
      <c r="I45" s="75" t="s">
        <v>458</v>
      </c>
      <c r="J45" s="187" t="s">
        <v>721</v>
      </c>
    </row>
    <row r="46" spans="1:10" ht="15" customHeight="1" x14ac:dyDescent="0.2">
      <c r="A46" s="333" t="s">
        <v>1006</v>
      </c>
      <c r="B46" s="47" t="s">
        <v>523</v>
      </c>
      <c r="C46" s="75" t="s">
        <v>867</v>
      </c>
      <c r="D46" s="74">
        <v>2.5999999999999999E-2</v>
      </c>
      <c r="E46" s="74">
        <v>5.0000000000000001E-3</v>
      </c>
      <c r="F46" s="74">
        <v>-4.7E-2</v>
      </c>
      <c r="G46" s="74">
        <v>-2.93E-2</v>
      </c>
      <c r="H46" s="78" t="s">
        <v>745</v>
      </c>
      <c r="I46" s="78" t="s">
        <v>724</v>
      </c>
      <c r="J46" s="187" t="s">
        <v>722</v>
      </c>
    </row>
    <row r="47" spans="1:10" ht="15" customHeight="1" x14ac:dyDescent="0.2">
      <c r="A47" s="341" t="s">
        <v>1007</v>
      </c>
      <c r="B47" s="47" t="s">
        <v>524</v>
      </c>
      <c r="C47" s="75" t="s">
        <v>867</v>
      </c>
      <c r="D47" s="74">
        <v>3.7999999999999999E-2</v>
      </c>
      <c r="E47" s="74">
        <v>6.0000000000000001E-3</v>
      </c>
      <c r="F47" s="74">
        <v>-3.6499999999999998E-2</v>
      </c>
      <c r="G47" s="74">
        <v>-1.4800000000000001E-2</v>
      </c>
      <c r="H47" s="78" t="s">
        <v>745</v>
      </c>
      <c r="I47" s="78" t="s">
        <v>725</v>
      </c>
      <c r="J47" s="187" t="s">
        <v>723</v>
      </c>
    </row>
    <row r="48" spans="1:10" ht="15" customHeight="1" x14ac:dyDescent="0.2">
      <c r="A48" s="342" t="s">
        <v>1009</v>
      </c>
      <c r="B48" s="47" t="s">
        <v>525</v>
      </c>
      <c r="C48" s="75" t="s">
        <v>867</v>
      </c>
      <c r="D48" s="85">
        <v>7.6</v>
      </c>
      <c r="E48" s="74" t="s">
        <v>350</v>
      </c>
      <c r="F48" s="74" t="s">
        <v>350</v>
      </c>
      <c r="G48" s="74" t="s">
        <v>350</v>
      </c>
      <c r="H48" s="78" t="s">
        <v>608</v>
      </c>
      <c r="I48" s="78" t="s">
        <v>526</v>
      </c>
      <c r="J48" s="187" t="s">
        <v>722</v>
      </c>
    </row>
    <row r="49" spans="1:10" ht="15" customHeight="1" x14ac:dyDescent="0.2">
      <c r="A49" s="343" t="s">
        <v>1008</v>
      </c>
      <c r="B49" s="47" t="s">
        <v>527</v>
      </c>
      <c r="C49" s="75" t="s">
        <v>867</v>
      </c>
      <c r="D49" s="85">
        <v>45.38</v>
      </c>
      <c r="E49" s="74" t="s">
        <v>350</v>
      </c>
      <c r="F49" s="74" t="s">
        <v>350</v>
      </c>
      <c r="G49" s="74" t="s">
        <v>350</v>
      </c>
      <c r="H49" s="78" t="s">
        <v>608</v>
      </c>
      <c r="I49" s="78" t="s">
        <v>528</v>
      </c>
      <c r="J49" s="187" t="s">
        <v>722</v>
      </c>
    </row>
    <row r="50" spans="1:10" ht="15" customHeight="1" x14ac:dyDescent="0.2">
      <c r="A50" s="334" t="s">
        <v>1026</v>
      </c>
      <c r="B50" s="47" t="s">
        <v>734</v>
      </c>
      <c r="C50" s="75" t="s">
        <v>867</v>
      </c>
      <c r="D50" s="246">
        <f>u_dec_min_bleed * (duration_min_bleed/365)</f>
        <v>5.4136986301369858E-4</v>
      </c>
      <c r="E50" s="74" t="s">
        <v>350</v>
      </c>
      <c r="F50" s="74" t="s">
        <v>350</v>
      </c>
      <c r="G50" s="74" t="s">
        <v>350</v>
      </c>
      <c r="H50" s="78" t="s">
        <v>745</v>
      </c>
      <c r="I50" s="78" t="s">
        <v>736</v>
      </c>
      <c r="J50" s="187"/>
    </row>
    <row r="51" spans="1:10" ht="15" customHeight="1" x14ac:dyDescent="0.2">
      <c r="A51" s="334" t="s">
        <v>961</v>
      </c>
      <c r="B51" s="47" t="s">
        <v>735</v>
      </c>
      <c r="C51" s="75" t="s">
        <v>867</v>
      </c>
      <c r="D51" s="79">
        <f>u_dec_maj_bleed * (duration_maj_bleed/365)</f>
        <v>4.7244931506849313E-3</v>
      </c>
      <c r="E51" s="74" t="s">
        <v>350</v>
      </c>
      <c r="F51" s="74" t="s">
        <v>350</v>
      </c>
      <c r="G51" s="74" t="s">
        <v>350</v>
      </c>
      <c r="H51" s="78" t="s">
        <v>745</v>
      </c>
      <c r="I51" s="78" t="s">
        <v>737</v>
      </c>
      <c r="J51" s="187"/>
    </row>
    <row r="52" spans="1:10" ht="8" customHeight="1" x14ac:dyDescent="0.2">
      <c r="A52" s="148"/>
      <c r="I52" s="3"/>
    </row>
    <row r="53" spans="1:10" x14ac:dyDescent="0.2">
      <c r="A53" s="111" t="s">
        <v>962</v>
      </c>
      <c r="B53" s="111" t="s">
        <v>494</v>
      </c>
      <c r="C53" s="75" t="s">
        <v>868</v>
      </c>
      <c r="D53" s="75">
        <f>SMR_no_further_event</f>
        <v>2</v>
      </c>
      <c r="E53" s="85">
        <v>5.1020408163264782E-3</v>
      </c>
      <c r="F53" s="74">
        <v>1.99</v>
      </c>
      <c r="G53" s="74">
        <v>2.0099999999999998</v>
      </c>
      <c r="H53" s="78" t="s">
        <v>606</v>
      </c>
      <c r="I53" s="75" t="s">
        <v>501</v>
      </c>
      <c r="J53" s="240" t="s">
        <v>726</v>
      </c>
    </row>
    <row r="54" spans="1:10" x14ac:dyDescent="0.2">
      <c r="A54" s="111" t="s">
        <v>963</v>
      </c>
      <c r="B54" s="111" t="s">
        <v>495</v>
      </c>
      <c r="C54" s="75" t="s">
        <v>868</v>
      </c>
      <c r="D54" s="75">
        <f>SMR_reinfarction</f>
        <v>4.5</v>
      </c>
      <c r="E54" s="85">
        <v>3.5714285714285858E-2</v>
      </c>
      <c r="F54" s="74">
        <v>4.43</v>
      </c>
      <c r="G54" s="74">
        <v>4.57</v>
      </c>
      <c r="H54" s="78" t="s">
        <v>606</v>
      </c>
      <c r="I54" s="75" t="s">
        <v>501</v>
      </c>
      <c r="J54" s="240" t="s">
        <v>726</v>
      </c>
    </row>
    <row r="55" spans="1:10" x14ac:dyDescent="0.2">
      <c r="A55" s="111" t="s">
        <v>964</v>
      </c>
      <c r="B55" s="111" t="s">
        <v>496</v>
      </c>
      <c r="C55" s="75" t="s">
        <v>868</v>
      </c>
      <c r="D55" s="75">
        <f>SMR_post_reinfarction</f>
        <v>3</v>
      </c>
      <c r="E55" s="85">
        <v>2.5510204081632563E-2</v>
      </c>
      <c r="F55" s="74">
        <v>2.95</v>
      </c>
      <c r="G55" s="74">
        <v>3.05</v>
      </c>
      <c r="H55" s="78" t="s">
        <v>606</v>
      </c>
      <c r="I55" s="75" t="s">
        <v>501</v>
      </c>
      <c r="J55" s="240" t="s">
        <v>727</v>
      </c>
    </row>
    <row r="56" spans="1:10" ht="16" x14ac:dyDescent="0.2">
      <c r="A56" s="111" t="s">
        <v>842</v>
      </c>
      <c r="B56" s="111" t="s">
        <v>842</v>
      </c>
      <c r="C56" s="75" t="s">
        <v>868</v>
      </c>
      <c r="D56" s="75">
        <f>SMR_stroke</f>
        <v>4.7300000000000004</v>
      </c>
      <c r="E56" s="85">
        <v>0.20663265306122461</v>
      </c>
      <c r="F56" s="74">
        <v>4.34</v>
      </c>
      <c r="G56" s="74">
        <v>5.15</v>
      </c>
      <c r="H56" s="78" t="s">
        <v>606</v>
      </c>
      <c r="I56" s="75" t="s">
        <v>502</v>
      </c>
      <c r="J56" s="187" t="s">
        <v>728</v>
      </c>
    </row>
    <row r="57" spans="1:10" ht="16" x14ac:dyDescent="0.2">
      <c r="A57" s="111" t="s">
        <v>965</v>
      </c>
      <c r="B57" s="111" t="s">
        <v>498</v>
      </c>
      <c r="C57" s="75" t="s">
        <v>868</v>
      </c>
      <c r="D57" s="75">
        <f>SMR_post_stroke</f>
        <v>2.3199999999999998</v>
      </c>
      <c r="E57" s="85">
        <v>8.1632653061224567E-2</v>
      </c>
      <c r="F57" s="74">
        <v>2.17</v>
      </c>
      <c r="G57" s="74">
        <v>2.4900000000000002</v>
      </c>
      <c r="H57" s="78" t="s">
        <v>606</v>
      </c>
      <c r="I57" s="75" t="s">
        <v>502</v>
      </c>
      <c r="J57" s="187" t="s">
        <v>728</v>
      </c>
    </row>
    <row r="58" spans="1:10" ht="9" customHeight="1" x14ac:dyDescent="0.2">
      <c r="B58" s="110"/>
      <c r="D58" s="3"/>
      <c r="I58" s="3"/>
    </row>
    <row r="59" spans="1:10" x14ac:dyDescent="0.2">
      <c r="A59" s="335" t="s">
        <v>1010</v>
      </c>
      <c r="B59" s="111" t="s">
        <v>675</v>
      </c>
      <c r="C59" s="75" t="s">
        <v>869</v>
      </c>
      <c r="D59" s="315">
        <v>125</v>
      </c>
      <c r="E59" s="111"/>
      <c r="F59" s="111"/>
      <c r="G59" s="111"/>
      <c r="H59" s="75" t="s">
        <v>350</v>
      </c>
      <c r="I59" s="75" t="s">
        <v>676</v>
      </c>
    </row>
    <row r="60" spans="1:10" ht="9.5" customHeight="1" x14ac:dyDescent="0.2">
      <c r="A60" s="336"/>
      <c r="B60" s="110"/>
      <c r="D60" s="247"/>
      <c r="E60" s="110"/>
      <c r="F60" s="110"/>
      <c r="G60" s="110"/>
      <c r="I60" s="3"/>
    </row>
    <row r="61" spans="1:10" s="317" customFormat="1" x14ac:dyDescent="0.2">
      <c r="A61" s="344" t="s">
        <v>1011</v>
      </c>
      <c r="B61" s="342" t="s">
        <v>909</v>
      </c>
      <c r="C61" s="320" t="s">
        <v>912</v>
      </c>
      <c r="D61" s="345">
        <v>365</v>
      </c>
      <c r="E61" s="342" t="s">
        <v>350</v>
      </c>
      <c r="F61" s="342" t="s">
        <v>350</v>
      </c>
      <c r="G61" s="342" t="s">
        <v>350</v>
      </c>
      <c r="H61" s="320" t="s">
        <v>687</v>
      </c>
      <c r="I61" s="320" t="s">
        <v>729</v>
      </c>
      <c r="J61" s="320" t="s">
        <v>689</v>
      </c>
    </row>
    <row r="62" spans="1:10" s="317" customFormat="1" x14ac:dyDescent="0.2">
      <c r="A62" s="344" t="s">
        <v>1012</v>
      </c>
      <c r="B62" s="342" t="s">
        <v>910</v>
      </c>
      <c r="C62" s="320" t="s">
        <v>912</v>
      </c>
      <c r="D62" s="345">
        <v>360</v>
      </c>
      <c r="E62" s="342"/>
      <c r="F62" s="342"/>
      <c r="G62" s="342"/>
      <c r="H62" s="320" t="s">
        <v>687</v>
      </c>
      <c r="I62" s="320"/>
      <c r="J62" s="320"/>
    </row>
    <row r="63" spans="1:10" s="317" customFormat="1" x14ac:dyDescent="0.2">
      <c r="A63" s="344" t="s">
        <v>1013</v>
      </c>
      <c r="B63" s="342" t="s">
        <v>911</v>
      </c>
      <c r="C63" s="320" t="s">
        <v>912</v>
      </c>
      <c r="D63" s="345">
        <v>328</v>
      </c>
      <c r="E63" s="342"/>
      <c r="F63" s="342"/>
      <c r="G63" s="342"/>
      <c r="H63" s="320" t="s">
        <v>687</v>
      </c>
      <c r="I63" s="320"/>
      <c r="J63" s="320"/>
    </row>
    <row r="64" spans="1:10" s="317" customFormat="1" x14ac:dyDescent="0.2">
      <c r="A64" s="344" t="s">
        <v>1014</v>
      </c>
      <c r="B64" s="342" t="s">
        <v>917</v>
      </c>
      <c r="C64" s="320" t="s">
        <v>912</v>
      </c>
      <c r="D64" s="345">
        <f>365/2</f>
        <v>182.5</v>
      </c>
      <c r="E64" s="342"/>
      <c r="F64" s="342"/>
      <c r="G64" s="342"/>
      <c r="H64" s="320" t="s">
        <v>687</v>
      </c>
      <c r="I64" s="320"/>
      <c r="J64" s="320"/>
    </row>
    <row r="65" spans="1:10" s="317" customFormat="1" x14ac:dyDescent="0.2">
      <c r="A65" s="346" t="s">
        <v>966</v>
      </c>
      <c r="B65" s="342" t="s">
        <v>1023</v>
      </c>
      <c r="C65" s="320" t="s">
        <v>869</v>
      </c>
      <c r="D65" s="347">
        <f>day_cost_ASA</f>
        <v>2.5714285714285714E-2</v>
      </c>
      <c r="E65" s="342"/>
      <c r="F65" s="342"/>
      <c r="G65" s="342"/>
      <c r="H65" s="320"/>
      <c r="I65" s="320"/>
      <c r="J65" s="320"/>
    </row>
    <row r="66" spans="1:10" s="317" customFormat="1" x14ac:dyDescent="0.2">
      <c r="A66" s="346" t="s">
        <v>1015</v>
      </c>
      <c r="B66" s="317" t="s">
        <v>1021</v>
      </c>
      <c r="C66" s="320" t="s">
        <v>869</v>
      </c>
      <c r="D66" s="348">
        <f>ld_clop_300</f>
        <v>0.15857142857142859</v>
      </c>
      <c r="H66" s="320"/>
    </row>
    <row r="67" spans="1:10" s="317" customFormat="1" x14ac:dyDescent="0.2">
      <c r="A67" s="346" t="s">
        <v>1016</v>
      </c>
      <c r="B67" s="317" t="s">
        <v>1022</v>
      </c>
      <c r="C67" s="320" t="s">
        <v>869</v>
      </c>
      <c r="D67" s="348">
        <f>ld_clop_600</f>
        <v>0.31714285714285717</v>
      </c>
      <c r="H67" s="320"/>
    </row>
    <row r="68" spans="1:10" s="317" customFormat="1" x14ac:dyDescent="0.2">
      <c r="A68" s="346" t="s">
        <v>1017</v>
      </c>
      <c r="B68" s="317" t="s">
        <v>1019</v>
      </c>
      <c r="C68" s="320" t="s">
        <v>869</v>
      </c>
      <c r="D68" s="348">
        <f>ld_pras_60</f>
        <v>1.4607142857142859</v>
      </c>
      <c r="H68" s="320"/>
    </row>
    <row r="69" spans="1:10" s="317" customFormat="1" x14ac:dyDescent="0.2">
      <c r="A69" s="346" t="s">
        <v>1018</v>
      </c>
      <c r="B69" s="317" t="s">
        <v>1020</v>
      </c>
      <c r="C69" s="320" t="s">
        <v>869</v>
      </c>
      <c r="D69" s="348">
        <f>ld_tica_180</f>
        <v>1.95</v>
      </c>
      <c r="H69" s="320"/>
    </row>
    <row r="70" spans="1:10" s="317" customFormat="1" x14ac:dyDescent="0.2">
      <c r="A70" s="346" t="s">
        <v>1025</v>
      </c>
      <c r="B70" s="317" t="s">
        <v>1024</v>
      </c>
      <c r="C70" s="320" t="s">
        <v>869</v>
      </c>
      <c r="D70" s="348">
        <f>day_cost_clop</f>
        <v>3.9642857142857146E-2</v>
      </c>
      <c r="H70" s="320"/>
    </row>
    <row r="71" spans="1:10" s="317" customFormat="1" x14ac:dyDescent="0.2">
      <c r="A71" s="349" t="s">
        <v>1029</v>
      </c>
      <c r="B71" s="342" t="s">
        <v>913</v>
      </c>
      <c r="C71" s="320" t="s">
        <v>869</v>
      </c>
      <c r="D71" s="350">
        <f xml:space="preserve"> ld_clop_600 + ((day_cost_ASA + day_cost_clop)*md_365_day)</f>
        <v>24.172500000000003</v>
      </c>
      <c r="E71" s="342" t="s">
        <v>350</v>
      </c>
      <c r="F71" s="342"/>
      <c r="G71" s="342"/>
      <c r="H71" s="320" t="s">
        <v>688</v>
      </c>
      <c r="I71" s="320" t="s">
        <v>729</v>
      </c>
      <c r="J71" s="320" t="s">
        <v>689</v>
      </c>
    </row>
    <row r="72" spans="1:10" s="317" customFormat="1" x14ac:dyDescent="0.2">
      <c r="A72" s="351" t="s">
        <v>1030</v>
      </c>
      <c r="B72" s="342" t="s">
        <v>914</v>
      </c>
      <c r="C72" s="320" t="s">
        <v>869</v>
      </c>
      <c r="D72" s="352">
        <f xml:space="preserve"> ld_clop_300 + ((day_cost_ASA + day_cost_clop)*md_365_day)</f>
        <v>24.013928571428572</v>
      </c>
      <c r="E72" s="342" t="s">
        <v>350</v>
      </c>
      <c r="F72" s="342"/>
      <c r="G72" s="342"/>
      <c r="H72" s="320" t="s">
        <v>688</v>
      </c>
      <c r="I72" s="320" t="s">
        <v>729</v>
      </c>
      <c r="J72" s="320" t="s">
        <v>689</v>
      </c>
    </row>
    <row r="73" spans="1:10" s="317" customFormat="1" x14ac:dyDescent="0.2">
      <c r="A73" s="351" t="s">
        <v>1031</v>
      </c>
      <c r="B73" s="342" t="s">
        <v>922</v>
      </c>
      <c r="C73" s="320" t="s">
        <v>869</v>
      </c>
      <c r="D73" s="352">
        <f>(day_cost_ASA + day_cost_clop)*md_360_day</f>
        <v>23.528571428571432</v>
      </c>
      <c r="E73" s="342"/>
      <c r="F73" s="342"/>
      <c r="G73" s="342"/>
      <c r="H73" s="320" t="s">
        <v>688</v>
      </c>
      <c r="I73" s="320"/>
      <c r="J73" s="320"/>
    </row>
    <row r="74" spans="1:10" s="317" customFormat="1" x14ac:dyDescent="0.2">
      <c r="A74" s="351" t="s">
        <v>1032</v>
      </c>
      <c r="B74" s="342" t="s">
        <v>923</v>
      </c>
      <c r="C74" s="320" t="s">
        <v>869</v>
      </c>
      <c r="D74" s="352">
        <f>cost_AC_md_360*md_328/md_360_day</f>
        <v>21.437142857142859</v>
      </c>
      <c r="E74" s="342"/>
      <c r="F74" s="342"/>
      <c r="G74" s="342"/>
      <c r="H74" s="320" t="s">
        <v>688</v>
      </c>
      <c r="I74" s="320"/>
      <c r="J74" s="320"/>
    </row>
    <row r="75" spans="1:10" s="317" customFormat="1" x14ac:dyDescent="0.2">
      <c r="A75" s="351" t="s">
        <v>967</v>
      </c>
      <c r="B75" s="342" t="s">
        <v>919</v>
      </c>
      <c r="C75" s="320" t="s">
        <v>869</v>
      </c>
      <c r="D75" s="352">
        <f xml:space="preserve"> ld_pras_60 + ((day_cost_ASA + day_cost_pras_5mg)*md_365_day)</f>
        <v>414.30178571428576</v>
      </c>
      <c r="E75" s="342" t="s">
        <v>350</v>
      </c>
      <c r="F75" s="342"/>
      <c r="G75" s="342"/>
      <c r="H75" s="320" t="s">
        <v>688</v>
      </c>
      <c r="I75" s="320"/>
      <c r="J75" s="320"/>
    </row>
    <row r="76" spans="1:10" s="317" customFormat="1" x14ac:dyDescent="0.2">
      <c r="A76" s="351" t="s">
        <v>968</v>
      </c>
      <c r="B76" s="342" t="s">
        <v>920</v>
      </c>
      <c r="C76" s="320" t="s">
        <v>869</v>
      </c>
      <c r="D76" s="352">
        <f xml:space="preserve"> ld_pras_60 + ((day_cost_ASA + day_cost_pras_10mg)*md_365_day)</f>
        <v>65.596428571428575</v>
      </c>
      <c r="E76" s="342"/>
      <c r="F76" s="342"/>
      <c r="G76" s="342"/>
      <c r="H76" s="320" t="s">
        <v>688</v>
      </c>
      <c r="I76" s="320"/>
      <c r="J76" s="320"/>
    </row>
    <row r="77" spans="1:10" s="317" customFormat="1" x14ac:dyDescent="0.2">
      <c r="A77" s="353" t="s">
        <v>1027</v>
      </c>
      <c r="B77" s="317" t="s">
        <v>921</v>
      </c>
      <c r="C77" s="320" t="s">
        <v>869</v>
      </c>
      <c r="D77" s="354">
        <v>0.15</v>
      </c>
      <c r="E77" s="342"/>
      <c r="F77" s="342"/>
      <c r="G77" s="342"/>
      <c r="H77" s="320" t="s">
        <v>688</v>
      </c>
      <c r="I77" s="320"/>
      <c r="J77" s="320"/>
    </row>
    <row r="78" spans="1:10" s="317" customFormat="1" x14ac:dyDescent="0.2">
      <c r="A78" s="351" t="s">
        <v>969</v>
      </c>
      <c r="B78" s="317" t="s">
        <v>915</v>
      </c>
      <c r="C78" s="320" t="s">
        <v>869</v>
      </c>
      <c r="D78" s="352">
        <f>ld_pras_60 + (day_cost_ASA + ((day_cost_pras_5mg)*proportion_pras_5mg) + (day_cost_pras_10mg*(1-proportion_pras_5mg)))*md_365_day</f>
        <v>117.90223214285714</v>
      </c>
      <c r="E78" s="342"/>
      <c r="F78" s="342"/>
      <c r="G78" s="342"/>
      <c r="H78" s="320" t="s">
        <v>688</v>
      </c>
      <c r="I78" s="320" t="s">
        <v>729</v>
      </c>
      <c r="J78" s="320" t="s">
        <v>689</v>
      </c>
    </row>
    <row r="79" spans="1:10" s="317" customFormat="1" x14ac:dyDescent="0.2">
      <c r="A79" s="351" t="s">
        <v>970</v>
      </c>
      <c r="B79" s="342" t="s">
        <v>924</v>
      </c>
      <c r="C79" s="320" t="s">
        <v>869</v>
      </c>
      <c r="D79" s="352">
        <f>(day_cost_ASA + ((day_cost_pras_5mg)*proportion_pras_5mg) + (day_cost_pras_10mg*(1-proportion_pras_5mg)))*md_360_day</f>
        <v>114.84642857142856</v>
      </c>
      <c r="E79" s="318"/>
      <c r="F79" s="318"/>
      <c r="G79" s="318"/>
      <c r="H79" s="320" t="s">
        <v>688</v>
      </c>
      <c r="I79" s="320" t="s">
        <v>729</v>
      </c>
      <c r="J79" s="320" t="s">
        <v>689</v>
      </c>
    </row>
    <row r="80" spans="1:10" s="317" customFormat="1" x14ac:dyDescent="0.2">
      <c r="A80" s="351" t="s">
        <v>971</v>
      </c>
      <c r="B80" s="342" t="s">
        <v>925</v>
      </c>
      <c r="C80" s="320" t="s">
        <v>869</v>
      </c>
      <c r="D80" s="352">
        <f>(day_cost_ASA + ((day_cost_pras_5mg)*proportion_pras_5mg) + (day_cost_pras_10mg*(1-proportion_pras_5mg)))*md_328</f>
        <v>104.63785714285714</v>
      </c>
      <c r="E80" s="318"/>
      <c r="F80" s="318"/>
      <c r="G80" s="318"/>
      <c r="H80" s="320" t="s">
        <v>688</v>
      </c>
      <c r="I80" s="320"/>
      <c r="J80" s="320"/>
    </row>
    <row r="81" spans="1:10" s="317" customFormat="1" x14ac:dyDescent="0.2">
      <c r="A81" s="351" t="s">
        <v>1028</v>
      </c>
      <c r="B81" s="342" t="s">
        <v>928</v>
      </c>
      <c r="C81" s="320" t="s">
        <v>869</v>
      </c>
      <c r="D81" s="352">
        <f>(day_cost_ASA + ((day_cost_pras_5mg)*proportion_pras_5mg) + (day_cost_pras_10mg*(1-proportion_pras_5mg)))*md_halfway</f>
        <v>58.220758928571428</v>
      </c>
      <c r="E81" s="318"/>
      <c r="F81" s="318"/>
      <c r="G81" s="318"/>
      <c r="H81" s="320" t="s">
        <v>688</v>
      </c>
      <c r="I81" s="320"/>
      <c r="J81" s="320"/>
    </row>
    <row r="82" spans="1:10" s="317" customFormat="1" x14ac:dyDescent="0.2">
      <c r="A82" s="351" t="s">
        <v>972</v>
      </c>
      <c r="B82" s="317" t="s">
        <v>916</v>
      </c>
      <c r="C82" s="320" t="s">
        <v>869</v>
      </c>
      <c r="D82" s="352">
        <f xml:space="preserve"> ld_tica_180 + ((day_cost_ASA + day_cost_tica)* md_365_day)</f>
        <v>723.0857142857144</v>
      </c>
      <c r="E82" s="342"/>
      <c r="F82" s="342"/>
      <c r="G82" s="342"/>
      <c r="H82" s="320" t="s">
        <v>688</v>
      </c>
      <c r="I82" s="320" t="s">
        <v>729</v>
      </c>
      <c r="J82" s="320" t="s">
        <v>689</v>
      </c>
    </row>
    <row r="83" spans="1:10" s="317" customFormat="1" x14ac:dyDescent="0.2">
      <c r="A83" s="351" t="s">
        <v>973</v>
      </c>
      <c r="B83" s="342" t="s">
        <v>926</v>
      </c>
      <c r="C83" s="320" t="s">
        <v>869</v>
      </c>
      <c r="D83" s="352">
        <f>(day_cost_ASA + day_cost_tica)* md_360_day</f>
        <v>711.25714285714287</v>
      </c>
      <c r="E83" s="342"/>
      <c r="F83" s="342"/>
      <c r="G83" s="342"/>
      <c r="H83" s="320" t="s">
        <v>688</v>
      </c>
      <c r="I83" s="320"/>
      <c r="J83" s="320"/>
    </row>
    <row r="84" spans="1:10" s="317" customFormat="1" x14ac:dyDescent="0.2">
      <c r="A84" s="351" t="s">
        <v>973</v>
      </c>
      <c r="B84" s="342" t="s">
        <v>927</v>
      </c>
      <c r="C84" s="320" t="s">
        <v>869</v>
      </c>
      <c r="D84" s="352">
        <f>(day_cost_ASA + day_cost_tica)* md_328</f>
        <v>648.03428571428572</v>
      </c>
      <c r="E84" s="342"/>
      <c r="F84" s="342"/>
      <c r="G84" s="342"/>
      <c r="H84" s="320" t="s">
        <v>688</v>
      </c>
      <c r="I84" s="320"/>
      <c r="J84" s="320"/>
    </row>
    <row r="85" spans="1:10" s="317" customFormat="1" x14ac:dyDescent="0.2">
      <c r="A85" s="351" t="s">
        <v>974</v>
      </c>
      <c r="B85" s="342" t="s">
        <v>929</v>
      </c>
      <c r="C85" s="320" t="s">
        <v>869</v>
      </c>
      <c r="D85" s="352">
        <f>(day_cost_ASA + day_cost_tica)* md_halfway</f>
        <v>360.56785714285718</v>
      </c>
      <c r="E85" s="342"/>
      <c r="F85" s="342"/>
      <c r="G85" s="342"/>
      <c r="H85" s="320" t="s">
        <v>688</v>
      </c>
      <c r="I85" s="320"/>
      <c r="J85" s="320"/>
    </row>
    <row r="86" spans="1:10" ht="14" customHeight="1" x14ac:dyDescent="0.2">
      <c r="A86" s="148"/>
      <c r="I86" s="3"/>
    </row>
    <row r="87" spans="1:10" x14ac:dyDescent="0.2">
      <c r="A87" s="335" t="s">
        <v>581</v>
      </c>
      <c r="B87" s="111" t="s">
        <v>581</v>
      </c>
      <c r="C87" s="75" t="s">
        <v>869</v>
      </c>
      <c r="D87" s="315">
        <f>cost_PCI</f>
        <v>3125.091522845476</v>
      </c>
      <c r="E87" s="111"/>
      <c r="F87" s="111"/>
      <c r="G87" s="111"/>
      <c r="H87" s="75" t="s">
        <v>688</v>
      </c>
      <c r="I87" s="75" t="s">
        <v>674</v>
      </c>
      <c r="J87" s="272" t="s">
        <v>713</v>
      </c>
    </row>
    <row r="88" spans="1:10" x14ac:dyDescent="0.2">
      <c r="A88" s="335" t="s">
        <v>975</v>
      </c>
      <c r="B88" s="111" t="s">
        <v>710</v>
      </c>
      <c r="C88" s="75" t="s">
        <v>869</v>
      </c>
      <c r="D88" s="315">
        <f>cost_no_event_tree</f>
        <v>2003.9049186967752</v>
      </c>
      <c r="E88" s="111"/>
      <c r="F88" s="111"/>
      <c r="G88" s="111"/>
      <c r="H88" s="75" t="s">
        <v>688</v>
      </c>
      <c r="I88" s="75" t="s">
        <v>832</v>
      </c>
      <c r="J88" s="272" t="s">
        <v>713</v>
      </c>
    </row>
    <row r="89" spans="1:10" x14ac:dyDescent="0.2">
      <c r="A89" s="335" t="s">
        <v>707</v>
      </c>
      <c r="B89" s="111" t="s">
        <v>707</v>
      </c>
      <c r="C89" s="75" t="s">
        <v>869</v>
      </c>
      <c r="D89" s="315">
        <f>cost_MI_tree</f>
        <v>6798.6140046517412</v>
      </c>
      <c r="E89" s="111"/>
      <c r="F89" s="111"/>
      <c r="G89" s="111"/>
      <c r="H89" s="75" t="s">
        <v>688</v>
      </c>
      <c r="I89" s="75" t="s">
        <v>832</v>
      </c>
      <c r="J89" s="272" t="s">
        <v>713</v>
      </c>
    </row>
    <row r="90" spans="1:10" x14ac:dyDescent="0.2">
      <c r="A90" s="335" t="s">
        <v>708</v>
      </c>
      <c r="B90" s="111" t="s">
        <v>708</v>
      </c>
      <c r="C90" s="75" t="s">
        <v>869</v>
      </c>
      <c r="D90" s="315">
        <f>cost_stroke_tree</f>
        <v>18576.442974967726</v>
      </c>
      <c r="E90" s="111"/>
      <c r="F90" s="111"/>
      <c r="G90" s="111"/>
      <c r="H90" s="75" t="s">
        <v>688</v>
      </c>
      <c r="I90" s="75" t="s">
        <v>832</v>
      </c>
      <c r="J90" s="272" t="s">
        <v>713</v>
      </c>
    </row>
    <row r="91" spans="1:10" x14ac:dyDescent="0.2">
      <c r="A91" s="335" t="s">
        <v>709</v>
      </c>
      <c r="B91" s="111" t="s">
        <v>709</v>
      </c>
      <c r="C91" s="75" t="s">
        <v>869</v>
      </c>
      <c r="D91" s="315">
        <f>cost_death_tree</f>
        <v>1427.1713079498984</v>
      </c>
      <c r="E91" s="111"/>
      <c r="F91" s="111"/>
      <c r="G91" s="111"/>
      <c r="H91" s="75" t="s">
        <v>688</v>
      </c>
      <c r="I91" s="75" t="s">
        <v>832</v>
      </c>
      <c r="J91" s="272" t="s">
        <v>713</v>
      </c>
    </row>
    <row r="92" spans="1:10" x14ac:dyDescent="0.2">
      <c r="A92" s="335" t="s">
        <v>976</v>
      </c>
      <c r="B92" s="111" t="s">
        <v>730</v>
      </c>
      <c r="C92" s="75" t="s">
        <v>869</v>
      </c>
      <c r="D92" s="315">
        <f>cost_min_bleed</f>
        <v>215.05321078697099</v>
      </c>
      <c r="E92" s="111"/>
      <c r="F92" s="111"/>
      <c r="G92" s="111"/>
      <c r="H92" s="75" t="s">
        <v>688</v>
      </c>
      <c r="I92" s="75" t="s">
        <v>832</v>
      </c>
      <c r="J92" s="272" t="s">
        <v>713</v>
      </c>
    </row>
    <row r="93" spans="1:10" x14ac:dyDescent="0.2">
      <c r="A93" s="335" t="s">
        <v>977</v>
      </c>
      <c r="B93" s="111" t="s">
        <v>731</v>
      </c>
      <c r="C93" s="75" t="s">
        <v>869</v>
      </c>
      <c r="D93" s="315">
        <f>cost_maj_bleed</f>
        <v>2388.8012902757291</v>
      </c>
      <c r="E93" s="111"/>
      <c r="F93" s="111"/>
      <c r="G93" s="111"/>
      <c r="H93" s="75" t="s">
        <v>688</v>
      </c>
      <c r="I93" s="75" t="s">
        <v>832</v>
      </c>
      <c r="J93" s="272" t="s">
        <v>713</v>
      </c>
    </row>
    <row r="94" spans="1:10" ht="10.5" customHeight="1" x14ac:dyDescent="0.2">
      <c r="A94" s="337"/>
      <c r="D94" s="157"/>
      <c r="I94" s="3"/>
    </row>
    <row r="95" spans="1:10" x14ac:dyDescent="0.2">
      <c r="A95" s="335" t="s">
        <v>978</v>
      </c>
      <c r="B95" s="111" t="s">
        <v>702</v>
      </c>
      <c r="C95" s="75" t="s">
        <v>869</v>
      </c>
      <c r="D95" s="315">
        <f>cost_no_event_markov</f>
        <v>1152.2453282506456</v>
      </c>
      <c r="E95" s="111"/>
      <c r="F95" s="111"/>
      <c r="G95" s="111"/>
      <c r="H95" s="75" t="s">
        <v>688</v>
      </c>
      <c r="I95" s="75" t="s">
        <v>832</v>
      </c>
      <c r="J95" s="272" t="s">
        <v>713</v>
      </c>
    </row>
    <row r="96" spans="1:10" x14ac:dyDescent="0.2">
      <c r="A96" s="335" t="s">
        <v>703</v>
      </c>
      <c r="B96" s="111" t="s">
        <v>703</v>
      </c>
      <c r="C96" s="75" t="s">
        <v>869</v>
      </c>
      <c r="D96" s="315">
        <f>cost_stroke_markov</f>
        <v>22631.90664884248</v>
      </c>
      <c r="E96" s="111"/>
      <c r="F96" s="111"/>
      <c r="G96" s="111"/>
      <c r="H96" s="75" t="s">
        <v>688</v>
      </c>
      <c r="I96" s="75" t="s">
        <v>832</v>
      </c>
      <c r="J96" s="272" t="s">
        <v>713</v>
      </c>
    </row>
    <row r="97" spans="1:10" x14ac:dyDescent="0.2">
      <c r="A97" s="335" t="s">
        <v>979</v>
      </c>
      <c r="B97" s="111" t="s">
        <v>704</v>
      </c>
      <c r="C97" s="75" t="s">
        <v>869</v>
      </c>
      <c r="D97" s="315">
        <f>cost_post_stroke_markov</f>
        <v>8035.1699666768254</v>
      </c>
      <c r="E97" s="111"/>
      <c r="F97" s="111"/>
      <c r="G97" s="111"/>
      <c r="H97" s="75" t="s">
        <v>688</v>
      </c>
      <c r="I97" s="75" t="s">
        <v>832</v>
      </c>
      <c r="J97" s="272" t="s">
        <v>713</v>
      </c>
    </row>
    <row r="98" spans="1:10" x14ac:dyDescent="0.2">
      <c r="A98" s="335" t="s">
        <v>705</v>
      </c>
      <c r="B98" s="111" t="s">
        <v>705</v>
      </c>
      <c r="C98" s="75" t="s">
        <v>869</v>
      </c>
      <c r="D98" s="315">
        <f>cost_reinfarction_markov</f>
        <v>6236.5431128221589</v>
      </c>
      <c r="E98" s="111"/>
      <c r="F98" s="111"/>
      <c r="G98" s="111"/>
      <c r="H98" s="75" t="s">
        <v>688</v>
      </c>
      <c r="I98" s="75" t="s">
        <v>832</v>
      </c>
      <c r="J98" s="272" t="s">
        <v>713</v>
      </c>
    </row>
    <row r="99" spans="1:10" x14ac:dyDescent="0.2">
      <c r="A99" s="335" t="s">
        <v>980</v>
      </c>
      <c r="B99" s="111" t="s">
        <v>706</v>
      </c>
      <c r="C99" s="75" t="s">
        <v>869</v>
      </c>
      <c r="D99" s="315">
        <f>cost_post_reinfarction_markov</f>
        <v>1728.9789389975226</v>
      </c>
      <c r="E99" s="111"/>
      <c r="F99" s="111"/>
      <c r="G99" s="111"/>
      <c r="H99" s="75" t="s">
        <v>688</v>
      </c>
      <c r="I99" s="75" t="s">
        <v>832</v>
      </c>
      <c r="J99" s="272" t="s">
        <v>713</v>
      </c>
    </row>
    <row r="100" spans="1:10" ht="9" customHeight="1" x14ac:dyDescent="0.2">
      <c r="B100" s="110"/>
      <c r="D100" s="3"/>
      <c r="E100" s="110"/>
      <c r="F100" s="110"/>
      <c r="G100" s="110"/>
      <c r="I100" s="110"/>
    </row>
    <row r="101" spans="1:10" x14ac:dyDescent="0.2">
      <c r="A101" s="338">
        <v>3.5000000000000003E-2</v>
      </c>
      <c r="B101" s="111" t="s">
        <v>738</v>
      </c>
      <c r="C101" s="75" t="s">
        <v>870</v>
      </c>
      <c r="D101" s="316">
        <v>3.5000000000000003E-2</v>
      </c>
      <c r="E101" s="111"/>
      <c r="F101" s="111"/>
      <c r="G101" s="111"/>
      <c r="H101" s="75"/>
      <c r="I101" s="47" t="s">
        <v>740</v>
      </c>
      <c r="J101" s="150" t="s">
        <v>741</v>
      </c>
    </row>
    <row r="102" spans="1:10" x14ac:dyDescent="0.2">
      <c r="A102" s="338">
        <v>3.5000000000000003E-2</v>
      </c>
      <c r="B102" s="111" t="s">
        <v>739</v>
      </c>
      <c r="C102" s="75" t="s">
        <v>870</v>
      </c>
      <c r="D102" s="316">
        <v>3.5000000000000003E-2</v>
      </c>
      <c r="E102" s="74"/>
      <c r="F102" s="74"/>
      <c r="G102" s="74"/>
      <c r="H102" s="75"/>
      <c r="I102" s="47" t="s">
        <v>742</v>
      </c>
      <c r="J102" s="150" t="s">
        <v>741</v>
      </c>
    </row>
    <row r="103" spans="1:10" x14ac:dyDescent="0.2">
      <c r="A103" s="335" t="s">
        <v>747</v>
      </c>
      <c r="B103" s="47" t="s">
        <v>746</v>
      </c>
      <c r="C103" s="75"/>
      <c r="D103" s="315" t="s">
        <v>747</v>
      </c>
      <c r="E103" s="74"/>
      <c r="F103" s="74"/>
      <c r="G103" s="74"/>
      <c r="H103" s="75"/>
      <c r="I103" s="47" t="s">
        <v>748</v>
      </c>
      <c r="J103" s="150" t="s">
        <v>741</v>
      </c>
    </row>
    <row r="104" spans="1:10" x14ac:dyDescent="0.2">
      <c r="A104" s="148"/>
    </row>
    <row r="105" spans="1:10" x14ac:dyDescent="0.2">
      <c r="A105" s="339" t="s">
        <v>981</v>
      </c>
      <c r="B105" s="47" t="s">
        <v>827</v>
      </c>
      <c r="C105" s="75" t="s">
        <v>868</v>
      </c>
      <c r="D105" s="287">
        <f>OR_death_tica_vs_clop</f>
        <v>0.77</v>
      </c>
      <c r="E105" s="78">
        <v>6.5772731964821363E-2</v>
      </c>
      <c r="F105" s="287">
        <v>0.68</v>
      </c>
      <c r="G105" s="287">
        <v>0.88</v>
      </c>
      <c r="H105" s="75"/>
      <c r="I105" s="47" t="s">
        <v>366</v>
      </c>
      <c r="J105" s="272" t="s">
        <v>713</v>
      </c>
    </row>
    <row r="106" spans="1:10" x14ac:dyDescent="0.2">
      <c r="A106" s="339" t="s">
        <v>982</v>
      </c>
      <c r="B106" s="47" t="s">
        <v>828</v>
      </c>
      <c r="C106" s="75" t="s">
        <v>868</v>
      </c>
      <c r="D106" s="287">
        <f>OR_MI_tica_vs_clop</f>
        <v>0.82</v>
      </c>
      <c r="E106" s="78">
        <v>5.901253466853297E-2</v>
      </c>
      <c r="F106" s="287">
        <v>0.73</v>
      </c>
      <c r="G106" s="287">
        <v>0.92</v>
      </c>
      <c r="H106" s="75"/>
      <c r="I106" s="47" t="s">
        <v>366</v>
      </c>
      <c r="J106" s="272" t="s">
        <v>713</v>
      </c>
    </row>
    <row r="107" spans="1:10" x14ac:dyDescent="0.2">
      <c r="A107" s="339" t="s">
        <v>983</v>
      </c>
      <c r="B107" s="47" t="s">
        <v>829</v>
      </c>
      <c r="C107" s="75" t="s">
        <v>868</v>
      </c>
      <c r="D107" s="287">
        <f>OR_stroke_tica_vs_clop</f>
        <v>1.1299999999999999</v>
      </c>
      <c r="E107" s="78">
        <v>0.12274921679690325</v>
      </c>
      <c r="F107" s="287">
        <v>0.89</v>
      </c>
      <c r="G107" s="287">
        <v>1.44</v>
      </c>
      <c r="H107" s="75"/>
      <c r="I107" s="47" t="s">
        <v>366</v>
      </c>
      <c r="J107" s="272" t="s">
        <v>713</v>
      </c>
    </row>
    <row r="108" spans="1:10" x14ac:dyDescent="0.2">
      <c r="A108" s="339" t="s">
        <v>984</v>
      </c>
      <c r="B108" s="47" t="s">
        <v>830</v>
      </c>
      <c r="C108" s="75" t="s">
        <v>868</v>
      </c>
      <c r="D108" s="287">
        <f>OR_maj_bleed__tica_vs_clop</f>
        <v>1.04</v>
      </c>
      <c r="E108" s="78">
        <v>4.6510601222947597E-2</v>
      </c>
      <c r="F108" s="287">
        <v>0.95</v>
      </c>
      <c r="G108" s="287">
        <v>1.1399999999999999</v>
      </c>
      <c r="H108" s="75"/>
      <c r="I108" s="47" t="s">
        <v>366</v>
      </c>
      <c r="J108" s="272" t="s">
        <v>713</v>
      </c>
    </row>
    <row r="109" spans="1:10" x14ac:dyDescent="0.2">
      <c r="A109" s="340" t="s">
        <v>985</v>
      </c>
      <c r="B109" s="47" t="s">
        <v>831</v>
      </c>
      <c r="C109" s="75" t="s">
        <v>868</v>
      </c>
      <c r="D109" s="290">
        <f>OR_min_bleed__tica_vs_clop</f>
        <v>1.37</v>
      </c>
      <c r="E109" s="78">
        <v>7.0694467407341519E-2</v>
      </c>
      <c r="F109" s="290">
        <v>1.19</v>
      </c>
      <c r="G109" s="290">
        <v>1.57</v>
      </c>
      <c r="H109" s="75"/>
      <c r="I109" s="47" t="s">
        <v>366</v>
      </c>
      <c r="J109" s="272" t="s">
        <v>713</v>
      </c>
    </row>
    <row r="110" spans="1:10" x14ac:dyDescent="0.2">
      <c r="A110" s="148"/>
    </row>
    <row r="111" spans="1:10" x14ac:dyDescent="0.2">
      <c r="A111" s="339" t="s">
        <v>986</v>
      </c>
      <c r="B111" s="47" t="s">
        <v>833</v>
      </c>
      <c r="C111" s="75" t="s">
        <v>868</v>
      </c>
      <c r="D111" s="287">
        <f>OR_death_pras_vs_clop</f>
        <v>1</v>
      </c>
      <c r="E111" s="291">
        <v>9.616069841840387E-2</v>
      </c>
      <c r="F111" s="287">
        <v>0.83</v>
      </c>
      <c r="G111" s="287">
        <v>1.21</v>
      </c>
      <c r="H111" s="75"/>
      <c r="I111" s="47" t="s">
        <v>366</v>
      </c>
      <c r="J111" s="272" t="s">
        <v>713</v>
      </c>
    </row>
    <row r="112" spans="1:10" x14ac:dyDescent="0.2">
      <c r="A112" s="339" t="s">
        <v>987</v>
      </c>
      <c r="B112" s="47" t="s">
        <v>834</v>
      </c>
      <c r="C112" s="75" t="s">
        <v>868</v>
      </c>
      <c r="D112" s="287">
        <f>OR_MI_pras_vs_clop</f>
        <v>0.75</v>
      </c>
      <c r="E112" s="291">
        <v>6.1520932861451015E-2</v>
      </c>
      <c r="F112" s="287">
        <v>0.66</v>
      </c>
      <c r="G112" s="287">
        <v>0.84</v>
      </c>
      <c r="H112" s="75"/>
      <c r="I112" s="47" t="s">
        <v>366</v>
      </c>
      <c r="J112" s="272" t="s">
        <v>713</v>
      </c>
    </row>
    <row r="113" spans="1:10" x14ac:dyDescent="0.2">
      <c r="A113" s="339" t="s">
        <v>988</v>
      </c>
      <c r="B113" s="47" t="s">
        <v>835</v>
      </c>
      <c r="C113" s="75" t="s">
        <v>868</v>
      </c>
      <c r="D113" s="287">
        <f>OR_stroke_pras_vs_clop</f>
        <v>0.93</v>
      </c>
      <c r="E113" s="291">
        <v>0.16909230384301435</v>
      </c>
      <c r="F113" s="287">
        <v>0.67</v>
      </c>
      <c r="G113" s="287">
        <v>1.3</v>
      </c>
      <c r="H113" s="75"/>
      <c r="I113" s="47" t="s">
        <v>366</v>
      </c>
      <c r="J113" s="272" t="s">
        <v>713</v>
      </c>
    </row>
    <row r="114" spans="1:10" x14ac:dyDescent="0.2">
      <c r="A114" s="339" t="s">
        <v>989</v>
      </c>
      <c r="B114" s="47" t="s">
        <v>836</v>
      </c>
      <c r="C114" s="75" t="s">
        <v>868</v>
      </c>
      <c r="D114" s="287">
        <f>OR_maj_bleed_pras_vs_clop</f>
        <v>1.43</v>
      </c>
      <c r="E114" s="291">
        <v>0.11509881567506626</v>
      </c>
      <c r="F114" s="287">
        <v>1.1399999999999999</v>
      </c>
      <c r="G114" s="287">
        <v>1.79</v>
      </c>
      <c r="H114" s="75"/>
      <c r="I114" s="47" t="s">
        <v>366</v>
      </c>
      <c r="J114" s="272" t="s">
        <v>713</v>
      </c>
    </row>
    <row r="115" spans="1:10" x14ac:dyDescent="0.2">
      <c r="A115" s="340" t="s">
        <v>990</v>
      </c>
      <c r="B115" s="47" t="s">
        <v>837</v>
      </c>
      <c r="C115" s="75" t="s">
        <v>868</v>
      </c>
      <c r="D115" s="290">
        <f>OR_min_bleed_pras_vs_clop</f>
        <v>2.0699999999999998</v>
      </c>
      <c r="E115" s="291">
        <v>0.43646104811336311</v>
      </c>
      <c r="F115" s="290">
        <v>0.88</v>
      </c>
      <c r="G115" s="290">
        <v>4.87</v>
      </c>
      <c r="H115" s="75"/>
      <c r="I115" s="47" t="s">
        <v>366</v>
      </c>
      <c r="J115" s="272" t="s">
        <v>713</v>
      </c>
    </row>
    <row r="116" spans="1:10" x14ac:dyDescent="0.2">
      <c r="A116" s="148"/>
    </row>
    <row r="117" spans="1:10" x14ac:dyDescent="0.2">
      <c r="A117" s="341" t="s">
        <v>991</v>
      </c>
      <c r="B117" s="317" t="s">
        <v>871</v>
      </c>
      <c r="C117" s="320" t="s">
        <v>868</v>
      </c>
      <c r="D117" s="318">
        <f>HR_death_AC_no_LOF</f>
        <v>1.88</v>
      </c>
      <c r="E117" s="319">
        <v>4.3765818891637878E-3</v>
      </c>
      <c r="F117" s="318">
        <v>1.18</v>
      </c>
      <c r="G117" s="318">
        <v>3.01</v>
      </c>
      <c r="H117" s="320"/>
      <c r="I117" s="320" t="s">
        <v>469</v>
      </c>
      <c r="J117" s="138" t="s">
        <v>671</v>
      </c>
    </row>
    <row r="118" spans="1:10" x14ac:dyDescent="0.2">
      <c r="A118" s="341" t="s">
        <v>992</v>
      </c>
      <c r="B118" s="317" t="s">
        <v>872</v>
      </c>
      <c r="C118" s="320" t="s">
        <v>868</v>
      </c>
      <c r="D118" s="318">
        <f>HR_MI_AC_no_LOF</f>
        <v>1.67</v>
      </c>
      <c r="E118" s="319">
        <v>3.7395739072244466E-3</v>
      </c>
      <c r="F118" s="318">
        <v>1.21</v>
      </c>
      <c r="G118" s="318">
        <v>2.31</v>
      </c>
      <c r="H118" s="320"/>
      <c r="I118" s="320" t="s">
        <v>469</v>
      </c>
      <c r="J118" s="138" t="s">
        <v>715</v>
      </c>
    </row>
    <row r="119" spans="1:10" x14ac:dyDescent="0.2">
      <c r="A119" s="341" t="s">
        <v>993</v>
      </c>
      <c r="B119" s="317" t="s">
        <v>873</v>
      </c>
      <c r="C119" s="320" t="s">
        <v>868</v>
      </c>
      <c r="D119" s="318">
        <f>HR_stroke_AC_no_LOF</f>
        <v>1.35</v>
      </c>
      <c r="E119" s="319">
        <v>1.8446254210749856E-3</v>
      </c>
      <c r="F119" s="318">
        <v>0.79</v>
      </c>
      <c r="G119" s="318">
        <v>2.3199999999999998</v>
      </c>
      <c r="H119" s="320"/>
      <c r="I119" s="320" t="s">
        <v>469</v>
      </c>
      <c r="J119" s="138" t="s">
        <v>716</v>
      </c>
    </row>
    <row r="120" spans="1:10" x14ac:dyDescent="0.2">
      <c r="A120" s="341">
        <v>1</v>
      </c>
      <c r="B120" s="317" t="s">
        <v>874</v>
      </c>
      <c r="C120" s="320" t="s">
        <v>868</v>
      </c>
      <c r="D120" s="318">
        <v>1</v>
      </c>
      <c r="E120" s="318"/>
      <c r="F120" s="318"/>
      <c r="G120" s="318"/>
      <c r="H120" s="320"/>
      <c r="I120" s="47" t="s">
        <v>366</v>
      </c>
      <c r="J120" s="272" t="s">
        <v>713</v>
      </c>
    </row>
    <row r="121" spans="1:10" x14ac:dyDescent="0.2">
      <c r="A121" s="341">
        <v>1</v>
      </c>
      <c r="B121" s="317" t="s">
        <v>875</v>
      </c>
      <c r="C121" s="320" t="s">
        <v>868</v>
      </c>
      <c r="D121" s="318">
        <v>1</v>
      </c>
      <c r="E121" s="318"/>
      <c r="F121" s="318"/>
      <c r="G121" s="318"/>
      <c r="H121" s="320"/>
      <c r="I121" s="47" t="s">
        <v>388</v>
      </c>
      <c r="J121" s="272" t="s">
        <v>713</v>
      </c>
    </row>
    <row r="123" spans="1:10" x14ac:dyDescent="0.2">
      <c r="D123" s="83"/>
    </row>
  </sheetData>
  <mergeCells count="1">
    <mergeCell ref="J11:P11"/>
  </mergeCells>
  <phoneticPr fontId="4" type="noConversion"/>
  <hyperlinks>
    <hyperlink ref="J5" r:id="rId1" display="https://doi.org/10.1161/jaha.124.034414" xr:uid="{87B888CF-C254-43A4-B687-6E0E14D14D9D}"/>
    <hyperlink ref="J6:J7" r:id="rId2" display="https://doi.org/10.1161/jaha.124.034414" xr:uid="{34E7070D-C8E9-4281-9EB2-228C28D4D65D}"/>
    <hyperlink ref="J2" r:id="rId3" display="https://www.ncbi.nlm.nih.gov/books/NBK565353/" xr:uid="{11E96574-D2FC-4989-9A31-F3AD52E27AC7}"/>
    <hyperlink ref="J4" r:id="rId4" display="https://www.ncbi.nlm.nih.gov/books/NBK565353/" xr:uid="{E4D8AA0A-F5DF-49BA-98F9-4B2A909F5A1E}"/>
    <hyperlink ref="J12" r:id="rId5" display="https://doi.org/10.1136/openhrt-2018-000951" xr:uid="{02B81B32-B658-4E1F-AB91-BC848C7A9D10}"/>
    <hyperlink ref="J13" r:id="rId6" display="https://doi.org/10.1093/eurheartj/ehx515" xr:uid="{F936F48D-4A78-4E64-B4D2-5493E445BFCE}"/>
    <hyperlink ref="J17" r:id="rId7" display="https://www.ncbi.nlm.nih.gov/books/NBK565353/" xr:uid="{55CD8380-D3FD-4EEA-8FA7-5AAAE86E5E9C}"/>
    <hyperlink ref="J18:J21" r:id="rId8" display="https://www.ncbi.nlm.nih.gov/books/NBK565353/" xr:uid="{D730A298-1680-4F5E-BFAD-AD483B118089}"/>
    <hyperlink ref="J23" r:id="rId9" display="https://www.ncbi.nlm.nih.gov/books/NBK565353/" xr:uid="{1A92CCA6-D01F-43AB-A032-77F60ADB268B}"/>
    <hyperlink ref="J24:J27" r:id="rId10" display="https://www.ncbi.nlm.nih.gov/books/NBK565353/" xr:uid="{0470DC79-BF63-462A-8D0C-CADFEAE783EA}"/>
    <hyperlink ref="J29" r:id="rId11" display="https://doi.org/10.1111/cts.12830" xr:uid="{A009EBC2-AB84-4EA2-BE42-CEC2963111C8}"/>
    <hyperlink ref="J30" r:id="rId12" display="https://doi.org/10.1111/cts.12830" xr:uid="{102D8442-69D3-40BB-BA44-4E0109EF1773}"/>
    <hyperlink ref="J42" r:id="rId13" display="https://doi.org/10.1056/nejmoa0904327" xr:uid="{C5DB8040-C879-43A5-A97E-4A1606D24FB7}"/>
    <hyperlink ref="J41" r:id="rId14" display="https://doi.org/10.1056/nejmoa0904327" xr:uid="{93C6B207-7AF6-4D06-AE23-F3E1DA1270D4}"/>
    <hyperlink ref="J44" r:id="rId15" display="https://doi.org/10.1056/nejmoa0904327" xr:uid="{D02D67CC-D4C3-48D1-9812-B127DFAFCA39}"/>
    <hyperlink ref="J43" r:id="rId16" display="https://doi.org/10.1056/nejmoa0904327" xr:uid="{9937E55F-B88D-4C26-B18B-C64E016694CD}"/>
    <hyperlink ref="J45" r:id="rId17" display="https://doi.org/10.1056/nejmoa0904327" xr:uid="{2B156BAA-18F0-4000-8EC4-3E4D10E3D332}"/>
    <hyperlink ref="J46" r:id="rId18" display="https://hqlo.biomedcentral.com/articles/10.1186/s12955-018-1019-3" xr:uid="{9B27ABB7-D38C-48C8-8A97-1BB80F2C44BD}"/>
    <hyperlink ref="J47" r:id="rId19" display="https://hqlo.biomedcentral.com/articles/10.1186/s12955-018-1019-3" xr:uid="{976B669B-31B7-4B58-8926-527B87757BD2}"/>
    <hyperlink ref="J48" r:id="rId20" display="https://hqlo.biomedcentral.com/articles/10.1186/s12955-018-1019-3" xr:uid="{B952C32E-4069-4F71-AC86-CF91EE417FAC}"/>
    <hyperlink ref="J49" r:id="rId21" display="https://hqlo.biomedcentral.com/articles/10.1186/s12955-018-1019-3" xr:uid="{DF4EF952-5E79-4834-933C-4E12A5160537}"/>
    <hyperlink ref="J53" r:id="rId22" display="https://doi.org/10.1161/circoutcomes.111.964700" xr:uid="{B6328660-FC3D-490A-88D4-322E3DD886FC}"/>
    <hyperlink ref="J54" r:id="rId23" display="https://doi.org/10.1161/circoutcomes.111.964700" xr:uid="{5A7CBC63-52C3-4ED6-8197-A5107760492F}"/>
    <hyperlink ref="J55" r:id="rId24" display="https://doi.org/10.1161/circoutcomes.111.964700" xr:uid="{FEDCD1E6-1E28-4967-8436-EE768C249DD8}"/>
    <hyperlink ref="J56" r:id="rId25" display="https://doi.org/10.1191/135248506ms1280oa" xr:uid="{33D9A45B-B263-4B06-934B-13EE66F43279}"/>
    <hyperlink ref="J57" r:id="rId26" display="https://doi.org/10.1191/135248506ms1280oa" xr:uid="{BC74B3F2-1230-40DB-A312-8F7DB3263D4C}"/>
    <hyperlink ref="J87" r:id="rId27" display="https://www.ncbi.nlm.nih.gov/books/NBK565353/" xr:uid="{427CD000-1C24-4909-AA73-9B9629B88C00}"/>
    <hyperlink ref="J88:J93" r:id="rId28" display="https://www.ncbi.nlm.nih.gov/books/NBK565353/" xr:uid="{A9718F34-7338-4790-9C07-B7A62FAA1D37}"/>
    <hyperlink ref="J95" r:id="rId29" display="https://www.ncbi.nlm.nih.gov/books/NBK565353/" xr:uid="{277308BA-69EB-4972-9798-A1728091FB85}"/>
    <hyperlink ref="J96:J99" r:id="rId30" display="https://www.ncbi.nlm.nih.gov/books/NBK565353/" xr:uid="{FE5FC674-D016-4A07-8064-3203D3D2141E}"/>
    <hyperlink ref="J101" r:id="rId31" location="discounting" xr:uid="{6C0DECBD-209C-45C6-9D73-6FB0AA66ABAA}"/>
    <hyperlink ref="J102" r:id="rId32" location="discounting" xr:uid="{AD07A73F-AD58-4546-98B9-02A7C8D7C523}"/>
    <hyperlink ref="J103" r:id="rId33" location="discounting" xr:uid="{362DB97B-6538-44DA-A48A-773458EC8F0D}"/>
    <hyperlink ref="J105:J109" r:id="rId34" display="https://www.ncbi.nlm.nih.gov/books/NBK565353/" xr:uid="{475695C7-EFD1-4C52-A8C4-C626A2FE429D}"/>
    <hyperlink ref="J111:J115" r:id="rId35" display="https://www.ncbi.nlm.nih.gov/books/NBK565353/" xr:uid="{240F7018-02FC-4FCB-8D96-52AAD5E116BC}"/>
    <hyperlink ref="J120" r:id="rId36" display="https://www.ncbi.nlm.nih.gov/books/NBK565353/" xr:uid="{67EE9F6B-16F4-470E-BFF6-ED403EDB510A}"/>
    <hyperlink ref="J121" r:id="rId37" display="https://www.ncbi.nlm.nih.gov/books/NBK565353/" xr:uid="{5065ACE5-585B-441A-8695-BE13BBF6A2AD}"/>
  </hyperlinks>
  <pageMargins left="0.7" right="0.7" top="0.75" bottom="0.75" header="0.3" footer="0.3"/>
  <pageSetup paperSize="9" orientation="portrait" r:id="rId3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1:F112"/>
  <sheetViews>
    <sheetView workbookViewId="0">
      <selection activeCell="B7" sqref="B7"/>
    </sheetView>
  </sheetViews>
  <sheetFormatPr baseColWidth="10" defaultColWidth="8.83203125" defaultRowHeight="15" x14ac:dyDescent="0.2"/>
  <cols>
    <col min="1" max="1" width="58.5" customWidth="1"/>
    <col min="2" max="3" width="37.6640625" customWidth="1"/>
    <col min="4" max="4" width="23.5" customWidth="1"/>
    <col min="6" max="6" width="54.83203125" customWidth="1"/>
  </cols>
  <sheetData>
    <row r="1" spans="1:6" x14ac:dyDescent="0.2">
      <c r="A1" s="324" t="s">
        <v>930</v>
      </c>
      <c r="B1" s="324" t="s">
        <v>936</v>
      </c>
      <c r="C1" s="324"/>
      <c r="D1" s="324" t="s">
        <v>932</v>
      </c>
    </row>
    <row r="2" spans="1:6" ht="20.5" customHeight="1" x14ac:dyDescent="0.2">
      <c r="A2" t="s">
        <v>877</v>
      </c>
      <c r="B2" s="157">
        <f xml:space="preserve"> proportion_AC_standard *(cost_PCI + (ld_clop_600 + ((day_cost_ASA + day_cost_clop)*md_328)) + ((cost_maj_bleed*prob_maj_bleed_AC)+(cost_min_bleed*prob_min_bleed_AC))+
(cost_no_event_tree*(1-prob_death_AC - prob_MI_AC - prob_stroke_AC)))</f>
        <v>906.81385794202333</v>
      </c>
      <c r="C2" s="157"/>
      <c r="D2" s="274" t="s">
        <v>931</v>
      </c>
    </row>
    <row r="3" spans="1:6" x14ac:dyDescent="0.2">
      <c r="A3" t="s">
        <v>901</v>
      </c>
      <c r="B3" s="157">
        <f>proportion_AC_standard*(cost_PCI+(ld_clop_600 + ((day_cost_ASA + day_cost_clop)*md_365_day))+((cost_maj_bleed*prob_maj_bleed_AC)+(cost_min_bleed*prob_min_bleed_AC))+(prob_MI_AC*cost_MI_tree))</f>
        <v>682.22063950820518</v>
      </c>
      <c r="C3" s="157"/>
      <c r="D3" s="274"/>
    </row>
    <row r="4" spans="1:6" x14ac:dyDescent="0.2">
      <c r="A4" t="s">
        <v>878</v>
      </c>
      <c r="B4" s="157">
        <f>proportion_AC_standard*(cost_PCI+(ld_clop_600 + ((day_cost_ASA + day_cost_clop)*md_365_day))+((cost_maj_bleed*prob_maj_bleed_AC)+(cost_min_bleed*prob_min_bleed_AC))+(prob_stroke_AC*cost_stroke_tree))</f>
        <v>642.50096927091931</v>
      </c>
      <c r="C4" s="157"/>
      <c r="D4" s="274"/>
    </row>
    <row r="5" spans="1:6" x14ac:dyDescent="0.2">
      <c r="A5" t="s">
        <v>879</v>
      </c>
      <c r="B5" s="157">
        <f>proportion_AC_standard*(cost_PCI+(ld_clop_600 + ((day_cost_ASA + day_cost_clop)*md_halfway))+((cost_maj_bleed*prob_maj_bleed_AC)+(cost_min_bleed*prob_min_bleed_AC))+(prob_death_AP*cost_death_tree))</f>
        <v>622.86782111285584</v>
      </c>
      <c r="C5" s="157"/>
      <c r="D5" s="274"/>
    </row>
    <row r="6" spans="1:6" x14ac:dyDescent="0.2">
      <c r="B6" s="157"/>
      <c r="C6" s="157"/>
    </row>
    <row r="7" spans="1:6" ht="16" x14ac:dyDescent="0.2">
      <c r="A7" s="274" t="s">
        <v>889</v>
      </c>
      <c r="B7" s="321">
        <f>proportion_AT_standard*
(cost_PCI+ (ld_tica_180 + ((day_cost_ASA + day_cost_tica)* md_328))+((prob_maj_bleed_AT*cost_maj_bleed)+(prob_min_bleed_AT*cost_min_bleed))+((1-prob_MI_AT-prob_death_AT-prob_stroke_AT)*cost_no_event_tree))</f>
        <v>3084.5855411039975</v>
      </c>
      <c r="C7" s="321"/>
    </row>
    <row r="8" spans="1:6" x14ac:dyDescent="0.2">
      <c r="A8" t="s">
        <v>900</v>
      </c>
      <c r="B8" s="157">
        <f>proportion_AT_standard*(cost_PCI+(ld_tica_180 + ((day_cost_ASA + day_cost_tica)* md_365_day))+((cost_maj_bleed*prob_maj_bleed_AT)+(cost_min_bleed*prob_min_bleed_AT))+(prob_MI_AT*cost_MI_tree))</f>
        <v>2379.9863751785197</v>
      </c>
      <c r="C8" s="157"/>
    </row>
    <row r="9" spans="1:6" x14ac:dyDescent="0.2">
      <c r="A9" t="s">
        <v>890</v>
      </c>
      <c r="B9" s="157">
        <f>proportion_AT_standard*(cost_PCI+(ld_tica_180 + ((day_cost_ASA + day_cost_tica)* md_365_day))+((cost_maj_bleed*prob_maj_bleed_AT)+(cost_min_bleed*prob_min_bleed_AT))+(prob_stroke_AT*cost_stroke_tree))</f>
        <v>2320.2308745357427</v>
      </c>
      <c r="C9" s="157"/>
    </row>
    <row r="10" spans="1:6" x14ac:dyDescent="0.2">
      <c r="A10" t="s">
        <v>891</v>
      </c>
      <c r="B10" s="157">
        <f>proportion_AT_standard*(cost_PCI+(ld_tica_180 + ((day_cost_ASA + day_cost_tica)* md_halfway))+((cost_maj_bleed*prob_maj_bleed_AT)+(cost_min_bleed*prob_min_bleed_AT))+(prob_death_AT*cost_death_tree))</f>
        <v>2035.5814619080941</v>
      </c>
      <c r="C10" s="157"/>
    </row>
    <row r="12" spans="1:6" ht="12" customHeight="1" x14ac:dyDescent="0.2">
      <c r="A12" t="s">
        <v>892</v>
      </c>
      <c r="B12" s="321">
        <f>proportion_AP_standard*
(cost_PCI+((day_cost_ASA + ((day_cost_pras_5mg)*proportion_pras_5mg) + (day_cost_pras_10mg*(1-proportion_pras_5mg)))*md_328)+((prob_maj_bleed_AP*cost_maj_bleed)+(prob_min_bleed_AP*cost_min_bleed))+((1-prob_MI_AP-prob_death_AP-prob_death_AP)*cost_no_event_tree))</f>
        <v>1254.7361047342781</v>
      </c>
      <c r="C12" s="321"/>
      <c r="F12" s="321" t="s">
        <v>918</v>
      </c>
    </row>
    <row r="13" spans="1:6" x14ac:dyDescent="0.2">
      <c r="A13" t="s">
        <v>899</v>
      </c>
      <c r="B13" s="157">
        <f>proportion_AP_standard*(cost_PCI+(ld_pras_60 + (day_cost_ASA + ((day_cost_pras_5mg)*proportion_pras_5mg) + (day_cost_pras_10mg*(1-proportion_pras_5mg)))*md_365_day)+((cost_maj_bleed*prob_maj_bleed_AP)+(cost_min_bleed*prob_min_bleed_AP))+(prob_MI_AP*cost_MI_tree))</f>
        <v>954.06454621800867</v>
      </c>
      <c r="C13" s="157"/>
    </row>
    <row r="14" spans="1:6" x14ac:dyDescent="0.2">
      <c r="A14" t="s">
        <v>893</v>
      </c>
      <c r="B14" s="157">
        <f>proportion_AC_standard*(cost_PCI+(ld_pras_60 + (day_cost_ASA + ((day_cost_pras_5mg)*proportion_pras_5mg) + (day_cost_pras_10mg*(1-proportion_pras_5mg)))*md_365_day)+((cost_maj_bleed*prob_maj_bleed_AC)+(cost_min_bleed*prob_min_bleed_AC))+(prob_stroke_AC*cost_stroke_tree))</f>
        <v>659.97093529914116</v>
      </c>
      <c r="C14" s="157"/>
    </row>
    <row r="15" spans="1:6" x14ac:dyDescent="0.2">
      <c r="A15" t="s">
        <v>894</v>
      </c>
      <c r="B15" s="157">
        <f>proportion_AC_standard*(cost_PCI+((ld_pras_60 + (day_cost_ASA + ((day_cost_pras_5mg)*proportion_pras_5mg) + (day_cost_pras_10mg*(1-proportion_pras_5mg)))*md_365_day)*0.5)+((cost_maj_bleed*prob_maj_bleed_AC)+(cost_min_bleed*prob_min_bleed_AC))+(prob_death_AP*cost_death_tree))</f>
        <v>631.57324853764794</v>
      </c>
      <c r="C15" s="157"/>
    </row>
    <row r="17" spans="1:4" x14ac:dyDescent="0.2">
      <c r="A17" t="s">
        <v>902</v>
      </c>
      <c r="B17" t="s">
        <v>907</v>
      </c>
      <c r="D17" t="s">
        <v>933</v>
      </c>
    </row>
    <row r="19" spans="1:4" ht="15" customHeight="1" x14ac:dyDescent="0.2">
      <c r="A19" t="s">
        <v>897</v>
      </c>
      <c r="B19" s="321">
        <f>prob_test_order * prob_test_followed * prev_LOF_base_case*proportion_AT_lof*
(cost_PCI + cost_PoCT + ((day_cost_ASA+day_cost_tica)*md_328) + ((prob_maj_bleed_AT*cost_maj_bleed) +                     (prob_min_bleed_AT*cost_min_bleed))+((1-prob_MI_AT-prob_stroke_AT-prob_death_AT)*cost_no_event_tree))</f>
        <v>1151.2924546795336</v>
      </c>
      <c r="C19" s="321"/>
      <c r="D19" t="s">
        <v>934</v>
      </c>
    </row>
    <row r="20" spans="1:4" x14ac:dyDescent="0.2">
      <c r="A20" t="s">
        <v>898</v>
      </c>
      <c r="B20" s="321">
        <f>prob_test_order * prob_test_followed * prev_LOF_base_case*proportion_AT_lof*
(cost_PCI + cost_PoCT + ((day_cost_ASA+day_cost_tica)*md_360_day) + ((prob_maj_bleed_AT*cost_maj_bleed) +                     (prob_min_bleed_AT*cost_min_bleed))+(prob_MI_AT*cost_MI_tree))</f>
        <v>891.9994818557152</v>
      </c>
      <c r="C20" s="321"/>
    </row>
    <row r="21" spans="1:4" x14ac:dyDescent="0.2">
      <c r="A21" t="s">
        <v>880</v>
      </c>
      <c r="B21" s="321">
        <f>prob_test_order * prob_test_followed * prev_LOF_base_case *proportion_AT_lof*
(cost_PCI + cost_PoCT + ((day_cost_ASA+day_cost_tica)*md_360_day) + ((prob_maj_bleed_AT*cost_maj_bleed) +                     (prob_min_bleed_AT*cost_min_bleed))+(prob_stroke_AT*cost_stroke_tree))</f>
        <v>870.17909489320391</v>
      </c>
      <c r="C21" s="321"/>
    </row>
    <row r="22" spans="1:4" x14ac:dyDescent="0.2">
      <c r="A22" t="s">
        <v>881</v>
      </c>
      <c r="B22" s="321">
        <f>prob_test_order * prev_LOF_base_case*proportion_AT_lof*
(cost_PCI + cost_PoCT + (((day_cost_ASA+day_cost_tica)*md_360_day)*0.5) + ((prob_maj_bleed_AT*cost_maj_bleed) +                     (prob_min_bleed_AT*cost_min_bleed))+(prob_death_AT*cost_death_tree))</f>
        <v>767.23655753889432</v>
      </c>
      <c r="C22" s="321"/>
    </row>
    <row r="24" spans="1:4" x14ac:dyDescent="0.2">
      <c r="A24" t="s">
        <v>882</v>
      </c>
      <c r="B24" s="321">
        <f>prob_test_order * prev_LOF_base_case*proportion_AP_lof*
(cost_PCI + cost_PoCT + (day_cost_ASA+((day_cost_pras_5mg*proportion_pras_5mg)+(day_cost_pras_10mg*(1-proportion_pras_5mg)))*md_328) + ((prob_maj_bleed_AP*cost_maj_bleed) +
(prob_min_bleed_AP*cost_min_bleed))+((1-prob_MI_AP-prob_death_AP-prob_stroke_AP)*cost_no_event_tree))</f>
        <v>485.43158582860656</v>
      </c>
      <c r="C24" s="321"/>
    </row>
    <row r="25" spans="1:4" x14ac:dyDescent="0.2">
      <c r="A25" t="s">
        <v>903</v>
      </c>
      <c r="B25" s="321">
        <f>prob_test_order * prev_LOF_base_case*proportion_AP_lof*
(cost_PCI + cost_PoCT + ((day_cost_ASA+((day_cost_pras_5mg*proportion_pras_5mg)+(day_cost_pras_10mg*(1-proportion_pras_5mg)))*md_360_day)) + ((prob_maj_bleed_AP*cost_maj_bleed) +                     (prob_min_bleed_AP*cost_min_bleed))+(prob_MI_AP*cost_MI_tree))</f>
        <v>359.04622326222267</v>
      </c>
      <c r="C25" s="321"/>
    </row>
    <row r="26" spans="1:4" x14ac:dyDescent="0.2">
      <c r="A26" t="s">
        <v>883</v>
      </c>
      <c r="B26" s="321">
        <f>prob_test_order * prev_LOF_base_case*proportion_AP_lof*
(cost_PCI + cost_PoCT + ((day_cost_ASA+((day_cost_pras_5mg*proportion_pras_5mg)+(day_cost_pras_10mg*(1-proportion_pras_5mg)))*md_360_day)) + ((prob_maj_bleed_AP*cost_maj_bleed) +                     (prob_min_bleed_AP*cost_min_bleed))+(prob_stroke_AP*cost_stroke_tree))</f>
        <v>347.35954962768733</v>
      </c>
      <c r="C26" s="321"/>
    </row>
    <row r="27" spans="1:4" x14ac:dyDescent="0.2">
      <c r="A27" t="s">
        <v>884</v>
      </c>
      <c r="B27" s="321">
        <f>prob_test_order * prev_LOF_base_case*proportion_AP_lof*
(cost_PCI + cost_PoCT + (((day_cost_ASA+((day_cost_pras_5mg*proportion_pras_5mg)+(day_cost_pras_10mg*(1-proportion_pras_5mg)))*md_360_day))*0.5) + ((prob_maj_bleed_AP*cost_maj_bleed) +                     (prob_min_bleed_AP*cost_min_bleed))+(prob_death_AP*cost_death_tree))</f>
        <v>335.05162163686634</v>
      </c>
      <c r="C27" s="321"/>
    </row>
    <row r="29" spans="1:4" x14ac:dyDescent="0.2">
      <c r="A29" t="s">
        <v>885</v>
      </c>
      <c r="B29" s="157">
        <f>prob_test_order * prob_test_followed *(1-prev_LOF_base_case)*
(cost_PCI + cost_PoCT + ((day_cost_ASA+day_cost_clop)*md_328) + ((prob_maj_bleed_AC*cost_maj_bleed) + (prob_min_bleed_AC*cost_min_bleed))+((1-prob_MI_AC_noLOF-prob_stroke_AC_noLOF-prob_death_AC_noLOF)*cost_no_event_tree))</f>
        <v>3613.0820216382795</v>
      </c>
      <c r="C29" s="157"/>
    </row>
    <row r="30" spans="1:4" x14ac:dyDescent="0.2">
      <c r="A30" t="s">
        <v>886</v>
      </c>
      <c r="B30" s="157">
        <f>prob_test_order * prob_test_followed *(1-prev_LOF_base_case)*(cost_PCI+((day_cost_ASA + day_cost_clop)*md_360_day)+((cost_maj_bleed*prob_maj_bleed_AC)+(cost_min_bleed*prob_min_bleed_AC))+(prob_MI_AC_noLOF*cost_MI_tree))</f>
        <v>2446.8529105450011</v>
      </c>
      <c r="C30" s="157"/>
    </row>
    <row r="31" spans="1:4" x14ac:dyDescent="0.2">
      <c r="A31" t="s">
        <v>887</v>
      </c>
      <c r="B31" s="157">
        <f>prob_test_order * prob_test_followed *(1-prev_LOF_base_case)*(cost_PCI+(((day_cost_ASA + day_cost_clop)*md_360_day))+((cost_maj_bleed*prob_maj_bleed_AC)+(cost_min_bleed*prob_min_bleed_AC))+(prob_stroke_AC_noLOF*cost_stroke_tree))</f>
        <v>2380.2275077001341</v>
      </c>
      <c r="C31" s="157"/>
    </row>
    <row r="32" spans="1:4" x14ac:dyDescent="0.2">
      <c r="A32" t="s">
        <v>888</v>
      </c>
      <c r="B32" s="157">
        <f>prob_test_order * prob_test_followed *(1-prev_LOF_base_case)*(cost_PCI+((day_cost_ASA + day_cost_clop)*md_halfway)+((cost_maj_bleed*prob_maj_bleed_AC)+(cost_min_bleed*prob_min_bleed_AC))+(prob_death_AC_noLOF*cost_death_tree))</f>
        <v>2303.0656153026098</v>
      </c>
      <c r="C32" s="157"/>
    </row>
    <row r="34" spans="1:1" x14ac:dyDescent="0.2">
      <c r="A34" s="177"/>
    </row>
    <row r="36" spans="1:1" x14ac:dyDescent="0.2">
      <c r="A36" s="177"/>
    </row>
    <row r="38" spans="1:1" x14ac:dyDescent="0.2">
      <c r="A38" s="177"/>
    </row>
    <row r="40" spans="1:1" x14ac:dyDescent="0.2">
      <c r="A40" s="177"/>
    </row>
    <row r="42" spans="1:1" x14ac:dyDescent="0.2">
      <c r="A42" s="177"/>
    </row>
    <row r="44" spans="1:1" x14ac:dyDescent="0.2">
      <c r="A44" s="177"/>
    </row>
    <row r="46" spans="1:1" x14ac:dyDescent="0.2">
      <c r="A46" s="177"/>
    </row>
    <row r="48" spans="1:1" x14ac:dyDescent="0.2">
      <c r="A48" s="177"/>
    </row>
    <row r="50" spans="1:1" x14ac:dyDescent="0.2">
      <c r="A50" s="177"/>
    </row>
    <row r="52" spans="1:1" x14ac:dyDescent="0.2">
      <c r="A52" s="177"/>
    </row>
    <row r="54" spans="1:1" x14ac:dyDescent="0.2">
      <c r="A54" s="177"/>
    </row>
    <row r="56" spans="1:1" x14ac:dyDescent="0.2">
      <c r="A56" s="177"/>
    </row>
    <row r="58" spans="1:1" x14ac:dyDescent="0.2">
      <c r="A58" s="177"/>
    </row>
    <row r="60" spans="1:1" x14ac:dyDescent="0.2">
      <c r="A60" s="177"/>
    </row>
    <row r="62" spans="1:1" x14ac:dyDescent="0.2">
      <c r="A62" s="177"/>
    </row>
    <row r="64" spans="1:1" x14ac:dyDescent="0.2">
      <c r="A64" s="177"/>
    </row>
    <row r="66" spans="1:1" x14ac:dyDescent="0.2">
      <c r="A66" s="177"/>
    </row>
    <row r="68" spans="1:1" x14ac:dyDescent="0.2">
      <c r="A68" s="177"/>
    </row>
    <row r="70" spans="1:1" x14ac:dyDescent="0.2">
      <c r="A70" s="177"/>
    </row>
    <row r="72" spans="1:1" x14ac:dyDescent="0.2">
      <c r="A72" s="177"/>
    </row>
    <row r="74" spans="1:1" x14ac:dyDescent="0.2">
      <c r="A74" s="177"/>
    </row>
    <row r="76" spans="1:1" x14ac:dyDescent="0.2">
      <c r="A76" s="177"/>
    </row>
    <row r="78" spans="1:1" x14ac:dyDescent="0.2">
      <c r="A78" s="177"/>
    </row>
    <row r="80" spans="1:1" x14ac:dyDescent="0.2">
      <c r="A80" s="177"/>
    </row>
    <row r="82" spans="1:1" x14ac:dyDescent="0.2">
      <c r="A82" s="177"/>
    </row>
    <row r="84" spans="1:1" x14ac:dyDescent="0.2">
      <c r="A84" s="177"/>
    </row>
    <row r="86" spans="1:1" x14ac:dyDescent="0.2">
      <c r="A86" s="177"/>
    </row>
    <row r="88" spans="1:1" x14ac:dyDescent="0.2">
      <c r="A88" s="177"/>
    </row>
    <row r="90" spans="1:1" x14ac:dyDescent="0.2">
      <c r="A90" s="177"/>
    </row>
    <row r="92" spans="1:1" x14ac:dyDescent="0.2">
      <c r="A92" s="177"/>
    </row>
    <row r="94" spans="1:1" x14ac:dyDescent="0.2">
      <c r="A94" s="177"/>
    </row>
    <row r="96" spans="1:1" x14ac:dyDescent="0.2">
      <c r="A96" s="177"/>
    </row>
    <row r="98" spans="1:1" x14ac:dyDescent="0.2">
      <c r="A98" s="177"/>
    </row>
    <row r="100" spans="1:1" x14ac:dyDescent="0.2">
      <c r="A100" s="177"/>
    </row>
    <row r="102" spans="1:1" x14ac:dyDescent="0.2">
      <c r="A102" s="177"/>
    </row>
    <row r="104" spans="1:1" x14ac:dyDescent="0.2">
      <c r="A104" s="177"/>
    </row>
    <row r="106" spans="1:1" x14ac:dyDescent="0.2">
      <c r="A106" s="177"/>
    </row>
    <row r="108" spans="1:1" x14ac:dyDescent="0.2">
      <c r="A108" s="177"/>
    </row>
    <row r="110" spans="1:1" x14ac:dyDescent="0.2">
      <c r="A110" s="177"/>
    </row>
    <row r="112" spans="1:1" x14ac:dyDescent="0.2">
      <c r="A112" s="177"/>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M42"/>
  <sheetViews>
    <sheetView topLeftCell="A2" workbookViewId="0">
      <selection activeCell="A3" sqref="A3"/>
    </sheetView>
  </sheetViews>
  <sheetFormatPr baseColWidth="10" defaultColWidth="9.33203125" defaultRowHeight="15" x14ac:dyDescent="0.2"/>
  <cols>
    <col min="3" max="3" width="24.1640625" customWidth="1"/>
    <col min="11" max="11" width="5.6640625" customWidth="1"/>
    <col min="12" max="12" width="17.33203125" customWidth="1"/>
    <col min="13" max="13" width="9.83203125" customWidth="1"/>
    <col min="14" max="14" width="14.33203125" customWidth="1"/>
    <col min="15" max="15" width="11.33203125" customWidth="1"/>
    <col min="16" max="19" width="9.33203125" customWidth="1"/>
    <col min="20" max="20" width="7.33203125" customWidth="1"/>
    <col min="21" max="21" width="5.6640625" customWidth="1"/>
    <col min="22" max="22" width="16.83203125" customWidth="1"/>
    <col min="23" max="23" width="11.1640625" customWidth="1"/>
    <col min="24" max="24" width="7.83203125" customWidth="1"/>
    <col min="25" max="26" width="10.83203125" customWidth="1"/>
    <col min="27" max="27" width="12" customWidth="1"/>
    <col min="28" max="28" width="5.6640625" customWidth="1"/>
    <col min="29" max="29" width="16.83203125" customWidth="1"/>
    <col min="30" max="30" width="9.33203125" customWidth="1"/>
    <col min="31" max="31" width="14.6640625" customWidth="1"/>
    <col min="32" max="32" width="10.1640625" customWidth="1"/>
    <col min="33" max="33" width="8.6640625" customWidth="1"/>
    <col min="34" max="34" width="8.33203125" customWidth="1"/>
    <col min="35" max="35" width="7.83203125" customWidth="1"/>
    <col min="36" max="36" width="11.6640625" customWidth="1"/>
    <col min="37" max="37" width="12" customWidth="1"/>
    <col min="42" max="42" width="5.6640625" customWidth="1"/>
    <col min="43" max="43" width="41.5" customWidth="1"/>
    <col min="44" max="44" width="7.6640625" customWidth="1"/>
    <col min="45" max="45" width="13.1640625" customWidth="1"/>
    <col min="46" max="46" width="6.1640625" customWidth="1"/>
    <col min="47" max="47" width="5.6640625" customWidth="1"/>
    <col min="48" max="48" width="9.1640625" customWidth="1"/>
    <col min="50" max="50" width="20.1640625" customWidth="1"/>
    <col min="51" max="51" width="10.5" customWidth="1"/>
    <col min="55" max="55" width="13.83203125" customWidth="1"/>
    <col min="60" max="60" width="11.33203125" customWidth="1"/>
    <col min="64" max="64" width="16.5" customWidth="1"/>
    <col min="65" max="65" width="13.6640625" customWidth="1"/>
  </cols>
  <sheetData>
    <row r="3" spans="3:65" ht="23" x14ac:dyDescent="0.2">
      <c r="K3" s="50"/>
      <c r="AG3" s="360"/>
      <c r="AH3" s="360"/>
      <c r="AI3" s="360"/>
      <c r="AJ3" s="360"/>
      <c r="BK3" s="52"/>
      <c r="BL3" s="52" t="s">
        <v>474</v>
      </c>
      <c r="BM3" s="52"/>
    </row>
    <row r="4" spans="3:65" x14ac:dyDescent="0.2">
      <c r="C4" s="200" t="s">
        <v>630</v>
      </c>
      <c r="D4" s="132"/>
      <c r="E4" s="132"/>
      <c r="F4" s="132"/>
      <c r="G4" s="132"/>
      <c r="H4" s="132"/>
      <c r="I4" s="132"/>
      <c r="J4" s="133"/>
      <c r="L4" s="206" t="s">
        <v>637</v>
      </c>
      <c r="M4" s="207"/>
      <c r="N4" s="207"/>
      <c r="O4" s="207"/>
      <c r="P4" s="207"/>
      <c r="Q4" s="207"/>
      <c r="R4" s="207"/>
      <c r="S4" s="207"/>
      <c r="T4" s="208"/>
      <c r="V4" s="206" t="s">
        <v>646</v>
      </c>
      <c r="W4" s="207"/>
      <c r="X4" s="207"/>
      <c r="Y4" s="207"/>
      <c r="Z4" s="207"/>
      <c r="AA4" s="208"/>
      <c r="AB4" s="210"/>
      <c r="AC4" s="206" t="s">
        <v>647</v>
      </c>
      <c r="AD4" s="132"/>
      <c r="AE4" s="132"/>
      <c r="AF4" s="132"/>
      <c r="AG4" s="132"/>
      <c r="AH4" s="132"/>
      <c r="AI4" s="132"/>
      <c r="AJ4" s="132"/>
      <c r="AK4" s="132"/>
      <c r="AL4" s="132"/>
      <c r="AM4" s="132"/>
      <c r="AN4" s="132"/>
      <c r="AO4" s="133"/>
      <c r="AT4" s="235"/>
      <c r="AX4" s="206" t="s">
        <v>669</v>
      </c>
      <c r="AY4" s="132"/>
      <c r="AZ4" s="230"/>
      <c r="BA4" s="230"/>
      <c r="BB4" s="230"/>
      <c r="BC4" s="132"/>
      <c r="BD4" s="132"/>
      <c r="BE4" s="132"/>
      <c r="BF4" s="132"/>
      <c r="BG4" s="133"/>
      <c r="BK4" s="52" t="s">
        <v>475</v>
      </c>
      <c r="BL4" s="52" t="s">
        <v>476</v>
      </c>
      <c r="BM4" s="52" t="s">
        <v>480</v>
      </c>
    </row>
    <row r="5" spans="3:65" ht="32" customHeight="1" x14ac:dyDescent="0.2">
      <c r="C5" s="141" t="s">
        <v>628</v>
      </c>
      <c r="D5" s="188" t="s">
        <v>341</v>
      </c>
      <c r="E5" s="188" t="s">
        <v>343</v>
      </c>
      <c r="F5" s="188" t="s">
        <v>342</v>
      </c>
      <c r="G5" s="188" t="s">
        <v>629</v>
      </c>
      <c r="H5" s="188" t="s">
        <v>341</v>
      </c>
      <c r="I5" s="188" t="s">
        <v>343</v>
      </c>
      <c r="J5" s="151" t="s">
        <v>342</v>
      </c>
      <c r="L5" s="209"/>
      <c r="M5" s="159" t="s">
        <v>335</v>
      </c>
      <c r="N5" s="159" t="s">
        <v>336</v>
      </c>
      <c r="O5" s="159" t="s">
        <v>332</v>
      </c>
      <c r="P5" s="159" t="s">
        <v>333</v>
      </c>
      <c r="Q5" s="159" t="s">
        <v>334</v>
      </c>
      <c r="R5" s="159" t="s">
        <v>639</v>
      </c>
      <c r="S5" s="159" t="s">
        <v>333</v>
      </c>
      <c r="T5" s="161" t="s">
        <v>334</v>
      </c>
      <c r="V5" s="191"/>
      <c r="W5" s="204" t="s">
        <v>348</v>
      </c>
      <c r="X5" s="204" t="s">
        <v>349</v>
      </c>
      <c r="Y5" s="113" t="s">
        <v>640</v>
      </c>
      <c r="Z5" s="113" t="s">
        <v>641</v>
      </c>
      <c r="AA5" s="226" t="s">
        <v>383</v>
      </c>
      <c r="AB5" s="159"/>
      <c r="AC5" s="234" t="s">
        <v>354</v>
      </c>
      <c r="AD5" s="204" t="s">
        <v>648</v>
      </c>
      <c r="AE5" s="204" t="s">
        <v>649</v>
      </c>
      <c r="AF5" s="204" t="s">
        <v>650</v>
      </c>
      <c r="AG5" s="204" t="s">
        <v>652</v>
      </c>
      <c r="AH5" s="204" t="s">
        <v>653</v>
      </c>
      <c r="AI5" s="204" t="s">
        <v>654</v>
      </c>
      <c r="AJ5" s="204" t="s">
        <v>655</v>
      </c>
      <c r="AK5" s="204" t="s">
        <v>651</v>
      </c>
      <c r="AL5" s="204" t="s">
        <v>652</v>
      </c>
      <c r="AM5" s="204" t="s">
        <v>653</v>
      </c>
      <c r="AN5" s="204" t="s">
        <v>659</v>
      </c>
      <c r="AO5" s="205" t="s">
        <v>660</v>
      </c>
      <c r="AQ5" s="243" t="s">
        <v>414</v>
      </c>
      <c r="AR5" s="132"/>
      <c r="AS5" s="132"/>
      <c r="AT5" s="132"/>
      <c r="AU5" s="132"/>
      <c r="AV5" s="133"/>
      <c r="AX5" s="245" t="s">
        <v>450</v>
      </c>
      <c r="AY5" s="113" t="s">
        <v>648</v>
      </c>
      <c r="AZ5" s="181" t="s">
        <v>670</v>
      </c>
      <c r="BA5" s="113" t="s">
        <v>355</v>
      </c>
      <c r="BB5" s="113" t="s">
        <v>356</v>
      </c>
      <c r="BC5" s="113" t="s">
        <v>452</v>
      </c>
      <c r="BD5" s="113" t="s">
        <v>335</v>
      </c>
      <c r="BE5" s="113" t="s">
        <v>377</v>
      </c>
      <c r="BF5" s="113" t="s">
        <v>355</v>
      </c>
      <c r="BG5" s="226" t="s">
        <v>356</v>
      </c>
      <c r="BH5" s="113"/>
      <c r="BK5" s="52" t="s">
        <v>477</v>
      </c>
      <c r="BL5" s="52" t="s">
        <v>478</v>
      </c>
      <c r="BM5" s="52" t="s">
        <v>479</v>
      </c>
    </row>
    <row r="6" spans="3:65" ht="17" customHeight="1" x14ac:dyDescent="0.2">
      <c r="C6" s="189" t="s">
        <v>464</v>
      </c>
      <c r="D6" s="3"/>
      <c r="E6" s="3"/>
      <c r="F6" s="3"/>
      <c r="G6" s="3"/>
      <c r="H6" s="3"/>
      <c r="I6" s="3"/>
      <c r="J6" s="190"/>
      <c r="L6" s="160" t="s">
        <v>464</v>
      </c>
      <c r="M6" s="210"/>
      <c r="N6" s="210"/>
      <c r="O6" s="210"/>
      <c r="P6" s="210"/>
      <c r="Q6" s="210"/>
      <c r="R6" s="210"/>
      <c r="S6" s="210"/>
      <c r="T6" s="211"/>
      <c r="V6" s="134" t="s">
        <v>464</v>
      </c>
      <c r="Y6" s="225"/>
      <c r="AB6" s="210"/>
      <c r="AC6" s="209" t="s">
        <v>849</v>
      </c>
      <c r="AD6" s="217">
        <v>9.7253633201505679E-2</v>
      </c>
      <c r="AE6" s="217">
        <f>AD6/(1-AD6)</f>
        <v>0.10773084974731785</v>
      </c>
      <c r="AF6" s="213">
        <v>0.77</v>
      </c>
      <c r="AG6" s="213">
        <v>0.68</v>
      </c>
      <c r="AH6" s="213">
        <v>0.88</v>
      </c>
      <c r="AI6" s="217">
        <f>EXP((LN(AE6)+LN(AF6)))/(1+EXP(LN(AE6)+LN(AF6)))</f>
        <v>7.6598682607015037E-2</v>
      </c>
      <c r="AJ6" s="217">
        <f>(LN(AH6)-LN(AG6))/(2*1.96)</f>
        <v>6.5772731964821363E-2</v>
      </c>
      <c r="AK6" s="213">
        <v>1</v>
      </c>
      <c r="AL6" s="213">
        <v>0.83</v>
      </c>
      <c r="AM6" s="213">
        <v>1.21</v>
      </c>
      <c r="AN6" s="217">
        <f>(EXP(LN(AE6)+LN(AK6)))/(1+EXP(LN(AE6)+LN(AK6)))</f>
        <v>9.7253633201505651E-2</v>
      </c>
      <c r="AO6" s="223">
        <f>(LN(AM6)-LN(AL6))/(2*1.96)</f>
        <v>9.616069841840387E-2</v>
      </c>
      <c r="AQ6" s="134" t="s">
        <v>410</v>
      </c>
      <c r="AR6" s="239">
        <v>0.28699999999999998</v>
      </c>
      <c r="AS6" t="s">
        <v>661</v>
      </c>
      <c r="AV6" s="135"/>
      <c r="AX6" s="134" t="s">
        <v>451</v>
      </c>
      <c r="AY6" s="178">
        <v>9.7253633201505679E-2</v>
      </c>
      <c r="AZ6">
        <v>1.88</v>
      </c>
      <c r="BA6" s="178">
        <v>1.18</v>
      </c>
      <c r="BB6" s="178">
        <v>3.01</v>
      </c>
      <c r="BC6" s="178">
        <f>AY6/AZ6</f>
        <v>5.1730655958247704E-2</v>
      </c>
      <c r="BD6" s="178">
        <v>2561</v>
      </c>
      <c r="BE6" s="244">
        <f>SQRT((BC6 * (1 - BC6)) / BD6)</f>
        <v>4.3765818891637878E-3</v>
      </c>
      <c r="BF6" s="178">
        <f>BC6-(1.96*BE6)</f>
        <v>4.3152555455486678E-2</v>
      </c>
      <c r="BG6" s="201">
        <f>BC6+(1.96*BF6)</f>
        <v>0.13630966465100158</v>
      </c>
    </row>
    <row r="7" spans="3:65" x14ac:dyDescent="0.2">
      <c r="C7" s="191">
        <v>2014</v>
      </c>
      <c r="D7" s="3">
        <v>6673</v>
      </c>
      <c r="E7" s="3">
        <v>8455</v>
      </c>
      <c r="F7" s="3">
        <v>2953</v>
      </c>
      <c r="G7" s="3">
        <v>18081</v>
      </c>
      <c r="H7" s="158">
        <f>D7/G7</f>
        <v>0.36906144571649796</v>
      </c>
      <c r="I7" s="158">
        <f>E7/G7</f>
        <v>0.46761794148553731</v>
      </c>
      <c r="J7" s="166">
        <f>F7/G7</f>
        <v>0.16332061279796473</v>
      </c>
      <c r="L7" s="212" t="s">
        <v>329</v>
      </c>
      <c r="M7" s="213">
        <v>31066</v>
      </c>
      <c r="N7" s="214">
        <f>M7/M9</f>
        <v>0.7401248391861629</v>
      </c>
      <c r="O7" s="213">
        <v>0.91600000000000004</v>
      </c>
      <c r="P7" s="213">
        <v>0.91300000000000003</v>
      </c>
      <c r="Q7" s="213">
        <v>0.91900000000000004</v>
      </c>
      <c r="R7" s="213">
        <f>1-O7</f>
        <v>8.3999999999999964E-2</v>
      </c>
      <c r="S7" s="213">
        <f>1-Q7</f>
        <v>8.0999999999999961E-2</v>
      </c>
      <c r="T7" s="215">
        <f>1-P7</f>
        <v>8.6999999999999966E-2</v>
      </c>
      <c r="V7" s="134"/>
      <c r="W7" s="213">
        <v>6.5500000000000003E-2</v>
      </c>
      <c r="X7" s="213">
        <v>1.2500000000000001E-2</v>
      </c>
      <c r="Y7" s="213">
        <v>3.4599999999999999E-2</v>
      </c>
      <c r="Z7" s="213">
        <v>2.6100000000000002E-2</v>
      </c>
      <c r="AA7" s="211" t="s">
        <v>645</v>
      </c>
      <c r="AB7" s="210"/>
      <c r="AC7" s="209" t="s">
        <v>348</v>
      </c>
      <c r="AD7" s="217">
        <f>108/1648</f>
        <v>6.553398058252427E-2</v>
      </c>
      <c r="AE7" s="217">
        <f>AD7/(1-AD7)</f>
        <v>7.0129870129870125E-2</v>
      </c>
      <c r="AF7" s="213">
        <v>0.82</v>
      </c>
      <c r="AG7" s="213">
        <v>0.73</v>
      </c>
      <c r="AH7" s="213">
        <v>0.92</v>
      </c>
      <c r="AI7" s="217">
        <f>EXP((LN(AE7)+LN(AF7)))/(1+EXP(LN(AE7)+LN(AF7)))</f>
        <v>5.4379328977747207E-2</v>
      </c>
      <c r="AJ7" s="217">
        <f>(LN(AH7)-LN(AG7))/(2*1.96)</f>
        <v>5.901253466853297E-2</v>
      </c>
      <c r="AK7" s="213">
        <v>0.75</v>
      </c>
      <c r="AL7" s="213">
        <v>0.66</v>
      </c>
      <c r="AM7" s="213">
        <v>0.84</v>
      </c>
      <c r="AN7" s="217">
        <f>(EXP(LN(AE7)+LN(AK7)))/(1+EXP(LN(AE7)+LN(AK7)))</f>
        <v>4.9969154842689711E-2</v>
      </c>
      <c r="AO7" s="223">
        <f>(LN(AM7)-LN(AL7))/(2*1.96)</f>
        <v>6.1520932861451015E-2</v>
      </c>
      <c r="AQ7" s="134" t="s">
        <v>415</v>
      </c>
      <c r="AR7" s="239">
        <v>0.58799999999999997</v>
      </c>
      <c r="AS7" t="s">
        <v>411</v>
      </c>
      <c r="AV7" s="135"/>
      <c r="AX7" s="134" t="s">
        <v>348</v>
      </c>
      <c r="AY7" s="178">
        <v>6.553398058252427E-2</v>
      </c>
      <c r="AZ7">
        <v>1.67</v>
      </c>
      <c r="BA7" s="178">
        <v>1.21</v>
      </c>
      <c r="BB7" s="178">
        <v>2.31</v>
      </c>
      <c r="BC7" s="178">
        <f t="shared" ref="BC7:BC8" si="0">AY7/AZ7</f>
        <v>3.9241904540433699E-2</v>
      </c>
      <c r="BD7" s="178">
        <v>2696</v>
      </c>
      <c r="BE7" s="244">
        <f>SQRT((BC7 * (1 - BC7)) / BD7)</f>
        <v>3.7395739072244466E-3</v>
      </c>
      <c r="BF7" s="178">
        <f>BC7-(1.96*BE7)</f>
        <v>3.1912339682273784E-2</v>
      </c>
      <c r="BG7" s="201">
        <f>BC7+(1.96*BF7)</f>
        <v>0.10179009031769032</v>
      </c>
    </row>
    <row r="8" spans="3:65" x14ac:dyDescent="0.2">
      <c r="C8" s="191">
        <v>2015</v>
      </c>
      <c r="D8" s="3">
        <v>6226</v>
      </c>
      <c r="E8" s="3">
        <v>9632</v>
      </c>
      <c r="F8" s="3">
        <v>2378</v>
      </c>
      <c r="G8" s="3">
        <v>18236</v>
      </c>
      <c r="H8" s="158">
        <f t="shared" ref="H8:H15" si="1">D8/G8</f>
        <v>0.34141259048036848</v>
      </c>
      <c r="I8" s="158">
        <f t="shared" ref="I8:I15" si="2">E8/G8</f>
        <v>0.528186005703005</v>
      </c>
      <c r="J8" s="166">
        <f t="shared" ref="J8:J15" si="3">F8/G8</f>
        <v>0.13040140381662646</v>
      </c>
      <c r="L8" s="212" t="s">
        <v>330</v>
      </c>
      <c r="M8" s="213">
        <v>10908</v>
      </c>
      <c r="N8" s="214">
        <f>M8/M9</f>
        <v>0.25987516081383716</v>
      </c>
      <c r="O8" s="213">
        <v>0.86499999999999999</v>
      </c>
      <c r="P8" s="213">
        <v>0.85799999999999998</v>
      </c>
      <c r="Q8" s="213">
        <v>0.871</v>
      </c>
      <c r="R8" s="213">
        <f>1-O8</f>
        <v>0.13500000000000001</v>
      </c>
      <c r="S8" s="213">
        <f>1-Q8</f>
        <v>0.129</v>
      </c>
      <c r="T8" s="215">
        <f>1-P8</f>
        <v>0.14200000000000002</v>
      </c>
      <c r="V8" s="134"/>
      <c r="W8" s="213">
        <v>2.5999999999999999E-2</v>
      </c>
      <c r="X8" s="213">
        <v>2E-3</v>
      </c>
      <c r="Y8" s="213">
        <v>2.1999999999999999E-2</v>
      </c>
      <c r="Z8" s="213">
        <v>6.0999999999999999E-2</v>
      </c>
      <c r="AA8" s="211" t="s">
        <v>346</v>
      </c>
      <c r="AB8" s="210"/>
      <c r="AC8" s="209" t="s">
        <v>596</v>
      </c>
      <c r="AD8" s="217">
        <v>1.2500000000000001E-2</v>
      </c>
      <c r="AE8" s="217">
        <f>AD8/(1-AD8)</f>
        <v>1.2658227848101266E-2</v>
      </c>
      <c r="AF8" s="213">
        <v>1.1299999999999999</v>
      </c>
      <c r="AG8" s="213">
        <v>0.89</v>
      </c>
      <c r="AH8" s="213">
        <v>1.44</v>
      </c>
      <c r="AI8" s="217">
        <f>EXP((LN(AE8)+LN(AF8)))/(1+EXP(LN(AE8)+LN(AF8)))</f>
        <v>1.4102084113315859E-2</v>
      </c>
      <c r="AJ8" s="217">
        <f>(LN(AH8)-LN(AG8))/(2*1.96)</f>
        <v>0.12274921679690325</v>
      </c>
      <c r="AK8" s="213">
        <v>0.93</v>
      </c>
      <c r="AL8" s="213">
        <v>0.67</v>
      </c>
      <c r="AM8" s="213">
        <v>1.3</v>
      </c>
      <c r="AN8" s="217">
        <f>(EXP(LN(AE8)+LN(AK8)))/(1+EXP(LN(AE8)+LN(AK8)))</f>
        <v>1.1635180783185286E-2</v>
      </c>
      <c r="AO8" s="223">
        <f>(LN(AM8)-LN(AL8))/(2*1.96)</f>
        <v>0.16909230384301435</v>
      </c>
      <c r="AQ8" s="134" t="s">
        <v>412</v>
      </c>
      <c r="AR8" s="239">
        <v>0.31900000000000001</v>
      </c>
      <c r="AS8" t="s">
        <v>662</v>
      </c>
      <c r="AV8" s="135"/>
      <c r="AX8" s="134" t="s">
        <v>349</v>
      </c>
      <c r="AY8" s="178">
        <v>1.2500000000000001E-2</v>
      </c>
      <c r="AZ8">
        <v>1.35</v>
      </c>
      <c r="BA8" s="178">
        <v>0.79</v>
      </c>
      <c r="BB8" s="178">
        <v>2.3199999999999998</v>
      </c>
      <c r="BC8" s="178">
        <f t="shared" si="0"/>
        <v>9.2592592592592587E-3</v>
      </c>
      <c r="BD8" s="178">
        <v>2696</v>
      </c>
      <c r="BE8" s="244">
        <f>SQRT((BC8 * (1 - BC8)) / BD8)</f>
        <v>1.8446254210749856E-3</v>
      </c>
      <c r="BF8" s="178">
        <f>BC8-(1.96*BE8)</f>
        <v>5.6437934339522867E-3</v>
      </c>
      <c r="BG8" s="201">
        <f>BC8+(1.96*BF8)</f>
        <v>2.0321094389805741E-2</v>
      </c>
    </row>
    <row r="9" spans="3:65" x14ac:dyDescent="0.2">
      <c r="C9" s="191">
        <v>2016</v>
      </c>
      <c r="D9" s="3">
        <v>5475</v>
      </c>
      <c r="E9" s="3">
        <v>9646</v>
      </c>
      <c r="F9" s="3">
        <v>2161</v>
      </c>
      <c r="G9" s="3">
        <v>17282</v>
      </c>
      <c r="H9" s="158">
        <f t="shared" si="1"/>
        <v>0.31680361069320678</v>
      </c>
      <c r="I9" s="158">
        <f t="shared" si="2"/>
        <v>0.55815299155190368</v>
      </c>
      <c r="J9" s="166">
        <f t="shared" si="3"/>
        <v>0.12504339775488948</v>
      </c>
      <c r="L9" s="212" t="s">
        <v>331</v>
      </c>
      <c r="M9" s="213">
        <f>M7+M8</f>
        <v>41974</v>
      </c>
      <c r="N9" s="213">
        <f>SUM(N7:N8)</f>
        <v>1</v>
      </c>
      <c r="O9" s="216">
        <f t="shared" ref="O9:T9" si="4">(O7*$N$7)+(O8*$N$8)</f>
        <v>0.90274636679849429</v>
      </c>
      <c r="P9" s="216">
        <f t="shared" si="4"/>
        <v>0.89870686615523909</v>
      </c>
      <c r="Q9" s="216">
        <f t="shared" si="4"/>
        <v>0.90652599228093589</v>
      </c>
      <c r="R9" s="217">
        <f t="shared" si="4"/>
        <v>9.7253633201505679E-2</v>
      </c>
      <c r="S9" s="216">
        <f t="shared" si="4"/>
        <v>9.3474007719064167E-2</v>
      </c>
      <c r="T9" s="218">
        <f t="shared" si="4"/>
        <v>0.10129313384476103</v>
      </c>
      <c r="V9" s="134"/>
      <c r="W9" s="213">
        <v>3.2000000000000001E-2</v>
      </c>
      <c r="X9" s="213">
        <v>0.02</v>
      </c>
      <c r="Y9" s="213">
        <v>5.7000000000000002E-2</v>
      </c>
      <c r="Z9" s="213" t="s">
        <v>347</v>
      </c>
      <c r="AA9" s="211" t="s">
        <v>353</v>
      </c>
      <c r="AC9" s="209" t="s">
        <v>850</v>
      </c>
      <c r="AD9" s="217">
        <v>2.1999999999999999E-2</v>
      </c>
      <c r="AE9" s="217">
        <f>AD9/(1-AD9)</f>
        <v>2.2494887525562373E-2</v>
      </c>
      <c r="AF9" s="213">
        <v>1.04</v>
      </c>
      <c r="AG9" s="213">
        <v>0.95</v>
      </c>
      <c r="AH9" s="213">
        <v>1.1399999999999999</v>
      </c>
      <c r="AI9" s="217">
        <f>EXP((LN(AE9)+LN(AF9)))/(1+EXP(LN(AE9)+LN(AF9)))</f>
        <v>2.2859883302693625E-2</v>
      </c>
      <c r="AJ9" s="217">
        <f>(LN(AH9)-LN(AG9))/(2*1.96)</f>
        <v>4.6510601222947597E-2</v>
      </c>
      <c r="AK9" s="213">
        <v>1.43</v>
      </c>
      <c r="AL9" s="213">
        <v>1.1399999999999999</v>
      </c>
      <c r="AM9" s="213">
        <v>1.79</v>
      </c>
      <c r="AN9" s="217">
        <f>(EXP(LN(AE9)+LN(AK9)))/(1+EXP(LN(AE9)+LN(AK9)))</f>
        <v>3.1165177421591746E-2</v>
      </c>
      <c r="AO9" s="223">
        <f>(LN(AM9)-LN(AL9))/(2*1.96)</f>
        <v>0.11509881567506626</v>
      </c>
      <c r="AQ9" s="134" t="s">
        <v>416</v>
      </c>
      <c r="AR9" s="239">
        <v>0.56999999999999995</v>
      </c>
      <c r="AS9" t="s">
        <v>663</v>
      </c>
      <c r="AV9" s="135"/>
      <c r="AX9" s="134"/>
      <c r="BG9" s="135"/>
    </row>
    <row r="10" spans="3:65" x14ac:dyDescent="0.2">
      <c r="C10" s="191">
        <v>2017</v>
      </c>
      <c r="D10" s="3">
        <v>4797</v>
      </c>
      <c r="E10" s="3">
        <v>11303</v>
      </c>
      <c r="F10" s="3">
        <v>1610</v>
      </c>
      <c r="G10" s="3">
        <v>17710</v>
      </c>
      <c r="H10" s="158">
        <f t="shared" si="1"/>
        <v>0.27086391869000565</v>
      </c>
      <c r="I10" s="158">
        <f t="shared" si="2"/>
        <v>0.63822699040090347</v>
      </c>
      <c r="J10" s="166">
        <f t="shared" si="3"/>
        <v>9.0909090909090912E-2</v>
      </c>
      <c r="L10" s="219" t="s">
        <v>383</v>
      </c>
      <c r="M10" s="367" t="s">
        <v>638</v>
      </c>
      <c r="N10" s="367"/>
      <c r="O10" s="367"/>
      <c r="P10" s="367"/>
      <c r="Q10" s="221"/>
      <c r="R10" s="221"/>
      <c r="S10" s="221"/>
      <c r="T10" s="222"/>
      <c r="V10" s="191" t="s">
        <v>383</v>
      </c>
      <c r="W10" s="3" t="s">
        <v>644</v>
      </c>
      <c r="X10" s="3"/>
      <c r="Y10" s="3"/>
      <c r="Z10" s="3"/>
      <c r="AA10" s="190"/>
      <c r="AC10" s="219" t="s">
        <v>851</v>
      </c>
      <c r="AD10" s="232">
        <v>6.4500000000000002E-2</v>
      </c>
      <c r="AE10" s="232">
        <f>AD10/(1-AD10)</f>
        <v>6.8947087119187608E-2</v>
      </c>
      <c r="AF10" s="220">
        <v>1.37</v>
      </c>
      <c r="AG10" s="220">
        <v>1.19</v>
      </c>
      <c r="AH10" s="220">
        <v>1.57</v>
      </c>
      <c r="AI10" s="232">
        <f>EXP((LN(AE10)+LN(AF10)))/(1+EXP(LN(AE10)+LN(AF10)))</f>
        <v>8.6305323455729055E-2</v>
      </c>
      <c r="AJ10" s="232">
        <f>(LN(AH10)-LN(AG10))/(2*1.96)</f>
        <v>7.0694467407341519E-2</v>
      </c>
      <c r="AK10" s="220">
        <v>2.0699999999999998</v>
      </c>
      <c r="AL10" s="220">
        <v>0.88</v>
      </c>
      <c r="AM10" s="220">
        <v>4.87</v>
      </c>
      <c r="AN10" s="232">
        <f>(EXP(LN(AE10)+LN(AK10)))/(1+EXP(LN(AE10)+LN(AK10)))</f>
        <v>0.12489534758632949</v>
      </c>
      <c r="AO10" s="224">
        <f>(LN(AM10)-LN(AL10))/(2*1.96)</f>
        <v>0.43646104811336311</v>
      </c>
      <c r="AQ10" s="134"/>
      <c r="AV10" s="135"/>
      <c r="AX10" s="140" t="s">
        <v>383</v>
      </c>
      <c r="AY10" s="138" t="s">
        <v>672</v>
      </c>
      <c r="AZ10" s="138" t="s">
        <v>671</v>
      </c>
      <c r="BA10" s="138"/>
      <c r="BB10" s="138"/>
      <c r="BC10" s="138"/>
      <c r="BD10" s="138"/>
      <c r="BE10" s="138"/>
      <c r="BF10" s="138"/>
      <c r="BG10" s="139"/>
    </row>
    <row r="11" spans="3:65" ht="16.5" customHeight="1" x14ac:dyDescent="0.2">
      <c r="C11" s="191">
        <v>2018</v>
      </c>
      <c r="D11" s="3">
        <v>4485</v>
      </c>
      <c r="E11" s="3">
        <v>10606</v>
      </c>
      <c r="F11" s="3">
        <v>1407</v>
      </c>
      <c r="G11" s="3">
        <v>16498</v>
      </c>
      <c r="H11" s="158">
        <f t="shared" si="1"/>
        <v>0.2718511334707237</v>
      </c>
      <c r="I11" s="158">
        <f t="shared" si="2"/>
        <v>0.64286580191538367</v>
      </c>
      <c r="J11" s="166">
        <f t="shared" si="3"/>
        <v>8.5283064613892595E-2</v>
      </c>
      <c r="M11" s="150"/>
      <c r="V11" s="209" t="s">
        <v>352</v>
      </c>
      <c r="W11" t="s">
        <v>638</v>
      </c>
      <c r="AA11" s="135"/>
      <c r="AQ11" s="134"/>
      <c r="AR11" s="368"/>
      <c r="AS11" s="368"/>
      <c r="AV11" s="135"/>
    </row>
    <row r="12" spans="3:65" x14ac:dyDescent="0.2">
      <c r="C12" s="191">
        <v>2019</v>
      </c>
      <c r="D12" s="3">
        <v>4342</v>
      </c>
      <c r="E12" s="3">
        <v>10932</v>
      </c>
      <c r="F12" s="3">
        <v>1382</v>
      </c>
      <c r="G12" s="3">
        <v>16656</v>
      </c>
      <c r="H12" s="158">
        <f t="shared" si="1"/>
        <v>0.26068683957732947</v>
      </c>
      <c r="I12" s="158">
        <f t="shared" si="2"/>
        <v>0.65634005763688763</v>
      </c>
      <c r="J12" s="166">
        <f t="shared" si="3"/>
        <v>8.2973102785782904E-2</v>
      </c>
      <c r="V12" s="209" t="s">
        <v>346</v>
      </c>
      <c r="W12" t="s">
        <v>643</v>
      </c>
      <c r="AA12" s="135"/>
      <c r="AQ12" s="145" t="s">
        <v>417</v>
      </c>
      <c r="AR12" s="76" t="s">
        <v>418</v>
      </c>
      <c r="AS12" s="76" t="s">
        <v>419</v>
      </c>
      <c r="AT12" s="76" t="s">
        <v>420</v>
      </c>
      <c r="AU12" s="76" t="s">
        <v>421</v>
      </c>
      <c r="AV12" s="165" t="s">
        <v>467</v>
      </c>
    </row>
    <row r="13" spans="3:65" x14ac:dyDescent="0.2">
      <c r="C13" s="191">
        <v>2020</v>
      </c>
      <c r="D13" s="3">
        <v>3716</v>
      </c>
      <c r="E13" s="3">
        <v>9320</v>
      </c>
      <c r="F13" s="3">
        <v>2355</v>
      </c>
      <c r="G13" s="3">
        <v>15391</v>
      </c>
      <c r="H13" s="158">
        <f t="shared" si="1"/>
        <v>0.24143980248196997</v>
      </c>
      <c r="I13" s="158">
        <f t="shared" si="2"/>
        <v>0.60554869729062444</v>
      </c>
      <c r="J13" s="166">
        <f t="shared" si="3"/>
        <v>0.15301150022740562</v>
      </c>
      <c r="V13" s="219" t="s">
        <v>353</v>
      </c>
      <c r="W13" s="138" t="s">
        <v>642</v>
      </c>
      <c r="X13" s="227"/>
      <c r="Y13" s="227"/>
      <c r="Z13" s="138"/>
      <c r="AA13" s="139"/>
      <c r="AC13" s="206" t="s">
        <v>656</v>
      </c>
      <c r="AD13" s="132"/>
      <c r="AE13" s="230"/>
      <c r="AF13" s="230"/>
      <c r="AG13" s="132"/>
      <c r="AH13" s="133"/>
      <c r="AJ13" s="292" t="s">
        <v>857</v>
      </c>
      <c r="AK13" s="293">
        <v>0.77</v>
      </c>
      <c r="AL13" s="294">
        <v>6.5772731964821363E-2</v>
      </c>
      <c r="AM13" s="293">
        <v>0.68</v>
      </c>
      <c r="AN13" s="295">
        <v>0.88</v>
      </c>
      <c r="AQ13" s="241" t="s">
        <v>422</v>
      </c>
      <c r="AR13" s="76"/>
      <c r="AS13" s="76"/>
      <c r="AT13" s="76"/>
      <c r="AU13" s="76"/>
      <c r="AV13" s="165"/>
    </row>
    <row r="14" spans="3:65" x14ac:dyDescent="0.2">
      <c r="C14" s="191">
        <v>2021</v>
      </c>
      <c r="D14" s="3">
        <v>3568</v>
      </c>
      <c r="E14" s="3">
        <v>8974</v>
      </c>
      <c r="F14" s="3">
        <v>3723</v>
      </c>
      <c r="G14" s="3">
        <v>16265</v>
      </c>
      <c r="H14" s="158">
        <f t="shared" si="1"/>
        <v>0.21936673839532739</v>
      </c>
      <c r="I14" s="158">
        <f t="shared" si="2"/>
        <v>0.55173685828466035</v>
      </c>
      <c r="J14" s="166">
        <f t="shared" si="3"/>
        <v>0.22889640332001229</v>
      </c>
      <c r="L14" s="206" t="s">
        <v>658</v>
      </c>
      <c r="M14" s="230"/>
      <c r="N14" s="230"/>
      <c r="O14" s="230"/>
      <c r="P14" s="230"/>
      <c r="Q14" s="231"/>
      <c r="R14" s="3"/>
      <c r="T14" s="3"/>
      <c r="U14" s="3"/>
      <c r="V14" s="3"/>
      <c r="W14" s="3"/>
      <c r="X14" s="3"/>
      <c r="Y14" s="213"/>
      <c r="AC14" s="234" t="s">
        <v>354</v>
      </c>
      <c r="AD14" t="s">
        <v>826</v>
      </c>
      <c r="AE14" t="s">
        <v>462</v>
      </c>
      <c r="AF14" t="s">
        <v>377</v>
      </c>
      <c r="AG14" t="s">
        <v>378</v>
      </c>
      <c r="AH14" s="135" t="s">
        <v>463</v>
      </c>
      <c r="AJ14" s="296" t="s">
        <v>852</v>
      </c>
      <c r="AK14" s="213">
        <v>0.82</v>
      </c>
      <c r="AL14" s="131">
        <v>5.901253466853297E-2</v>
      </c>
      <c r="AM14" s="213">
        <v>0.73</v>
      </c>
      <c r="AN14" s="215">
        <v>0.92</v>
      </c>
      <c r="AQ14" s="241" t="s">
        <v>423</v>
      </c>
      <c r="AR14" s="76">
        <v>1.1000000000000001</v>
      </c>
      <c r="AS14" s="236">
        <v>644900</v>
      </c>
      <c r="AT14" s="76" t="s">
        <v>424</v>
      </c>
      <c r="AU14" s="237">
        <v>53.316300000000005</v>
      </c>
      <c r="AV14" s="137">
        <f>AU14*AR14/100</f>
        <v>0.58647930000000015</v>
      </c>
    </row>
    <row r="15" spans="3:65" x14ac:dyDescent="0.2">
      <c r="C15" s="191">
        <v>2022</v>
      </c>
      <c r="D15" s="3">
        <v>701</v>
      </c>
      <c r="E15" s="3">
        <v>2086</v>
      </c>
      <c r="F15" s="3">
        <v>974</v>
      </c>
      <c r="G15" s="3">
        <v>3761</v>
      </c>
      <c r="H15" s="158">
        <f t="shared" si="1"/>
        <v>0.1863865993086945</v>
      </c>
      <c r="I15" s="158">
        <f t="shared" si="2"/>
        <v>0.55463972347779844</v>
      </c>
      <c r="J15" s="166">
        <f t="shared" si="3"/>
        <v>0.25897367721350706</v>
      </c>
      <c r="L15" s="209" t="s">
        <v>354</v>
      </c>
      <c r="M15" s="213" t="s">
        <v>461</v>
      </c>
      <c r="N15" s="213" t="s">
        <v>387</v>
      </c>
      <c r="O15" s="213" t="s">
        <v>377</v>
      </c>
      <c r="P15" s="213" t="s">
        <v>378</v>
      </c>
      <c r="Q15" s="215" t="s">
        <v>379</v>
      </c>
      <c r="R15" s="179"/>
      <c r="S15" s="179"/>
      <c r="U15" s="179"/>
      <c r="V15" s="179"/>
      <c r="W15" s="179"/>
      <c r="X15" s="179"/>
      <c r="Y15" s="213"/>
      <c r="AC15" s="209" t="s">
        <v>849</v>
      </c>
      <c r="AD15" s="178">
        <v>7.6598682607015037E-2</v>
      </c>
      <c r="AE15" s="3">
        <v>4012</v>
      </c>
      <c r="AF15" s="178">
        <f t="shared" ref="AF15:AF19" si="5">SQRT((AD15 * (1 - AD15)) / AE15)</f>
        <v>4.1988023630102362E-3</v>
      </c>
      <c r="AG15" s="178">
        <f>AD15-(1.96*AF15)</f>
        <v>6.8369029975514972E-2</v>
      </c>
      <c r="AH15" s="201">
        <f>AD15+(1.96*AF15)</f>
        <v>8.4828335238515101E-2</v>
      </c>
      <c r="AJ15" s="296" t="s">
        <v>853</v>
      </c>
      <c r="AK15" s="213">
        <v>1.1299999999999999</v>
      </c>
      <c r="AL15" s="131">
        <v>0.12274921679690325</v>
      </c>
      <c r="AM15" s="213">
        <v>0.89</v>
      </c>
      <c r="AN15" s="215">
        <v>1.44</v>
      </c>
      <c r="AQ15" s="241" t="s">
        <v>425</v>
      </c>
      <c r="AR15" s="76">
        <v>0.7</v>
      </c>
      <c r="AS15" s="236">
        <v>445646</v>
      </c>
      <c r="AT15" s="76" t="s">
        <v>426</v>
      </c>
      <c r="AU15" s="76">
        <v>56.8</v>
      </c>
      <c r="AV15" s="137">
        <f t="shared" ref="AV15:AV36" si="6">AU15*AR15/100</f>
        <v>0.39759999999999995</v>
      </c>
    </row>
    <row r="16" spans="3:65" x14ac:dyDescent="0.2">
      <c r="C16" s="189" t="s">
        <v>631</v>
      </c>
      <c r="D16" s="3"/>
      <c r="E16" s="3"/>
      <c r="F16" s="3"/>
      <c r="G16" s="3"/>
      <c r="H16" s="3"/>
      <c r="I16" s="3"/>
      <c r="J16" s="190"/>
      <c r="L16" s="209" t="s">
        <v>351</v>
      </c>
      <c r="M16" s="217">
        <v>9.7253633201505679E-2</v>
      </c>
      <c r="N16" s="213">
        <v>41974</v>
      </c>
      <c r="O16" s="217">
        <f t="shared" ref="O16:O18" si="7">SQRT((M16 * (1 - M16)) / N16)</f>
        <v>1.4462574624860389E-3</v>
      </c>
      <c r="P16" s="217">
        <v>9.3474007719064167E-2</v>
      </c>
      <c r="Q16" s="223">
        <v>0.10129313384476103</v>
      </c>
      <c r="R16" s="143"/>
      <c r="S16" s="143"/>
      <c r="T16" s="77"/>
      <c r="U16" s="77"/>
      <c r="Y16" s="213"/>
      <c r="AC16" s="209" t="s">
        <v>348</v>
      </c>
      <c r="AD16" s="178">
        <v>5.4379328977747207E-2</v>
      </c>
      <c r="AE16" s="3">
        <v>4237</v>
      </c>
      <c r="AF16" s="178">
        <f t="shared" si="5"/>
        <v>3.4837434784263611E-3</v>
      </c>
      <c r="AG16" s="178">
        <f t="shared" ref="AG16:AG19" si="8">AD16-(1.96*AF16)</f>
        <v>4.7551191760031537E-2</v>
      </c>
      <c r="AH16" s="201">
        <f t="shared" ref="AH16:AH19" si="9">AD16+(1.96*AF16)</f>
        <v>6.1207466195462877E-2</v>
      </c>
      <c r="AJ16" s="296" t="s">
        <v>854</v>
      </c>
      <c r="AK16" s="213">
        <v>1.04</v>
      </c>
      <c r="AL16" s="131">
        <v>4.6510601222947597E-2</v>
      </c>
      <c r="AM16" s="213">
        <v>0.95</v>
      </c>
      <c r="AN16" s="215">
        <v>1.1399999999999999</v>
      </c>
      <c r="AQ16" s="241" t="s">
        <v>427</v>
      </c>
      <c r="AR16" s="76">
        <v>3.1</v>
      </c>
      <c r="AS16" s="236">
        <v>1864304</v>
      </c>
      <c r="AT16" s="76" t="s">
        <v>424</v>
      </c>
      <c r="AU16" s="237">
        <v>53.316300000000005</v>
      </c>
      <c r="AV16" s="137">
        <f t="shared" si="6"/>
        <v>1.6528053000000003</v>
      </c>
    </row>
    <row r="17" spans="3:48" x14ac:dyDescent="0.2">
      <c r="C17" s="191">
        <v>2014</v>
      </c>
      <c r="D17" s="3">
        <v>17374</v>
      </c>
      <c r="E17" s="3">
        <v>8943</v>
      </c>
      <c r="F17" s="3">
        <v>504</v>
      </c>
      <c r="G17" s="3">
        <v>26821</v>
      </c>
      <c r="H17" s="186">
        <f>D17/G17</f>
        <v>0.64777599642071515</v>
      </c>
      <c r="I17" s="186">
        <f>E17/G17</f>
        <v>0.33343275791357518</v>
      </c>
      <c r="J17" s="192">
        <f>F17/G17</f>
        <v>1.8791245665709704E-2</v>
      </c>
      <c r="L17" s="209" t="s">
        <v>348</v>
      </c>
      <c r="M17" s="217">
        <v>6.5533980582524201E-2</v>
      </c>
      <c r="N17" s="213">
        <v>1648</v>
      </c>
      <c r="O17" s="217">
        <f t="shared" si="7"/>
        <v>6.0958802523251579E-3</v>
      </c>
      <c r="P17" s="217">
        <v>5.3586055287966901E-2</v>
      </c>
      <c r="Q17" s="223">
        <v>7.7481905877081494E-2</v>
      </c>
      <c r="R17" s="143"/>
      <c r="S17" s="143"/>
      <c r="T17" s="77"/>
      <c r="U17" s="77"/>
      <c r="AC17" s="209" t="s">
        <v>596</v>
      </c>
      <c r="AD17" s="178">
        <v>1.4102084113315859E-2</v>
      </c>
      <c r="AE17" s="3">
        <v>4387</v>
      </c>
      <c r="AF17" s="178">
        <f t="shared" si="5"/>
        <v>1.780220539464367E-3</v>
      </c>
      <c r="AG17" s="178">
        <f t="shared" si="8"/>
        <v>1.0612851855965701E-2</v>
      </c>
      <c r="AH17" s="201">
        <f t="shared" si="9"/>
        <v>1.7591316370666018E-2</v>
      </c>
      <c r="AJ17" s="297" t="s">
        <v>855</v>
      </c>
      <c r="AK17" s="220">
        <v>1.37</v>
      </c>
      <c r="AL17" s="298">
        <v>7.0694467407341519E-2</v>
      </c>
      <c r="AM17" s="220">
        <v>1.19</v>
      </c>
      <c r="AN17" s="299">
        <v>1.57</v>
      </c>
      <c r="AQ17" s="241" t="s">
        <v>428</v>
      </c>
      <c r="AR17" s="76">
        <v>2.7</v>
      </c>
      <c r="AS17" s="236">
        <v>1587822</v>
      </c>
      <c r="AT17" s="76" t="s">
        <v>424</v>
      </c>
      <c r="AU17" s="237">
        <v>53.316300000000005</v>
      </c>
      <c r="AV17" s="137">
        <f t="shared" si="6"/>
        <v>1.4395401000000001</v>
      </c>
    </row>
    <row r="18" spans="3:48" x14ac:dyDescent="0.2">
      <c r="C18" s="191">
        <v>2015</v>
      </c>
      <c r="D18" s="3">
        <v>16185</v>
      </c>
      <c r="E18" s="3">
        <v>10645</v>
      </c>
      <c r="F18" s="3">
        <v>500</v>
      </c>
      <c r="G18" s="3">
        <v>27330</v>
      </c>
      <c r="H18" s="186">
        <f t="shared" ref="H18:H25" si="10">D18/G18</f>
        <v>0.59220636663007686</v>
      </c>
      <c r="I18" s="186">
        <f t="shared" ref="I18:I25" si="11">E18/G18</f>
        <v>0.38949871935601904</v>
      </c>
      <c r="J18" s="192">
        <f t="shared" ref="J18:J25" si="12">F18/G18</f>
        <v>1.8294914013904134E-2</v>
      </c>
      <c r="L18" s="209" t="s">
        <v>349</v>
      </c>
      <c r="M18" s="228">
        <v>1.24221995061186E-2</v>
      </c>
      <c r="N18" s="229">
        <v>11653</v>
      </c>
      <c r="O18" s="217">
        <f t="shared" si="7"/>
        <v>1.0260441208098795E-3</v>
      </c>
      <c r="P18" s="217">
        <v>1.1299999999999999E-2</v>
      </c>
      <c r="Q18" s="223">
        <v>1.2699999999999999E-2</v>
      </c>
      <c r="R18" s="143"/>
      <c r="S18" s="143"/>
      <c r="T18" s="77"/>
      <c r="U18" s="77"/>
      <c r="AC18" s="209" t="s">
        <v>850</v>
      </c>
      <c r="AD18" s="178">
        <v>2.2859883302693625E-2</v>
      </c>
      <c r="AE18" s="3">
        <v>1023</v>
      </c>
      <c r="AF18" s="178">
        <f t="shared" si="5"/>
        <v>4.6728044790044203E-3</v>
      </c>
      <c r="AG18" s="178">
        <f t="shared" si="8"/>
        <v>1.3701186523844961E-2</v>
      </c>
      <c r="AH18" s="201">
        <f t="shared" si="9"/>
        <v>3.2018580081542292E-2</v>
      </c>
      <c r="AQ18" s="241" t="s">
        <v>429</v>
      </c>
      <c r="AR18" s="76">
        <v>1.6</v>
      </c>
      <c r="AS18" s="236">
        <v>972783</v>
      </c>
      <c r="AT18" s="76" t="s">
        <v>424</v>
      </c>
      <c r="AU18" s="237">
        <v>53.316300000000005</v>
      </c>
      <c r="AV18" s="137">
        <f t="shared" si="6"/>
        <v>0.85306080000000006</v>
      </c>
    </row>
    <row r="19" spans="3:48" x14ac:dyDescent="0.2">
      <c r="C19" s="191">
        <v>2016</v>
      </c>
      <c r="D19" s="3">
        <v>16148</v>
      </c>
      <c r="E19" s="3">
        <v>11775</v>
      </c>
      <c r="F19" s="3">
        <v>357</v>
      </c>
      <c r="G19" s="3">
        <v>28280</v>
      </c>
      <c r="H19" s="186">
        <f t="shared" si="10"/>
        <v>0.57100424328147104</v>
      </c>
      <c r="I19" s="186">
        <f t="shared" si="11"/>
        <v>0.41637199434229138</v>
      </c>
      <c r="J19" s="192">
        <f t="shared" si="12"/>
        <v>1.2623762376237625E-2</v>
      </c>
      <c r="L19" s="209" t="s">
        <v>385</v>
      </c>
      <c r="M19" s="213">
        <v>2.1999999999999999E-2</v>
      </c>
      <c r="N19" s="213">
        <v>1023</v>
      </c>
      <c r="O19" s="217">
        <f>SQRT((M19 * (1 - M19)) / N19)</f>
        <v>4.5860939877542988E-3</v>
      </c>
      <c r="P19" s="217">
        <f>M19 - (1.96 * O19)</f>
        <v>1.3011255784001573E-2</v>
      </c>
      <c r="Q19" s="223">
        <f>M19 + (1.96 * O19)</f>
        <v>3.0988744215998426E-2</v>
      </c>
      <c r="R19" s="143"/>
      <c r="S19" s="143"/>
      <c r="T19" s="77"/>
      <c r="U19" s="77"/>
      <c r="AC19" s="219" t="s">
        <v>851</v>
      </c>
      <c r="AD19" s="233">
        <v>8.6305323455729055E-2</v>
      </c>
      <c r="AE19" s="202">
        <v>1023</v>
      </c>
      <c r="AF19" s="233">
        <f t="shared" si="5"/>
        <v>8.7797373244725332E-3</v>
      </c>
      <c r="AG19" s="233">
        <f t="shared" si="8"/>
        <v>6.9097038299762895E-2</v>
      </c>
      <c r="AH19" s="203">
        <f t="shared" si="9"/>
        <v>0.10351360861169522</v>
      </c>
      <c r="AQ19" s="241" t="s">
        <v>430</v>
      </c>
      <c r="AR19" s="76"/>
      <c r="AS19" s="148"/>
      <c r="AT19" s="76"/>
      <c r="AU19" s="76"/>
      <c r="AV19" s="137"/>
    </row>
    <row r="20" spans="3:48" x14ac:dyDescent="0.2">
      <c r="C20" s="191">
        <v>2017</v>
      </c>
      <c r="D20" s="3">
        <v>14726</v>
      </c>
      <c r="E20" s="3">
        <v>13568</v>
      </c>
      <c r="F20" s="3">
        <v>329</v>
      </c>
      <c r="G20" s="3">
        <v>28623</v>
      </c>
      <c r="H20" s="186">
        <f t="shared" si="10"/>
        <v>0.51448136114313658</v>
      </c>
      <c r="I20" s="186">
        <f t="shared" si="11"/>
        <v>0.47402438598330016</v>
      </c>
      <c r="J20" s="192">
        <f t="shared" si="12"/>
        <v>1.1494252873563218E-2</v>
      </c>
      <c r="L20" s="219" t="s">
        <v>386</v>
      </c>
      <c r="M20" s="220">
        <v>6.0999999999999999E-2</v>
      </c>
      <c r="N20" s="220">
        <v>1023</v>
      </c>
      <c r="O20" s="232">
        <f>SQRT((M20 * (1 - M20)) / N20)</f>
        <v>7.4827269324786311E-3</v>
      </c>
      <c r="P20" s="232">
        <f>M20 - (1.96 * O20)</f>
        <v>4.633385521234188E-2</v>
      </c>
      <c r="Q20" s="224">
        <f>M20 + (1.96 * O20)</f>
        <v>7.566614478765811E-2</v>
      </c>
      <c r="R20" s="143"/>
      <c r="S20" s="143"/>
      <c r="T20" s="77"/>
      <c r="U20" s="77"/>
      <c r="AE20" s="3"/>
      <c r="AF20" s="3"/>
      <c r="AG20" s="3"/>
      <c r="AH20" s="3"/>
      <c r="AQ20" s="241" t="s">
        <v>431</v>
      </c>
      <c r="AR20" s="76">
        <v>2.5</v>
      </c>
      <c r="AS20" s="236">
        <v>1488387</v>
      </c>
      <c r="AT20" s="76" t="s">
        <v>432</v>
      </c>
      <c r="AU20" s="237">
        <v>31.132899999999996</v>
      </c>
      <c r="AV20" s="137">
        <f t="shared" si="6"/>
        <v>0.77832249999999992</v>
      </c>
    </row>
    <row r="21" spans="3:48" x14ac:dyDescent="0.2">
      <c r="C21" s="191">
        <v>2018</v>
      </c>
      <c r="D21" s="3">
        <v>13506</v>
      </c>
      <c r="E21" s="3">
        <v>13359</v>
      </c>
      <c r="F21" s="3">
        <v>289</v>
      </c>
      <c r="G21" s="3">
        <v>27154</v>
      </c>
      <c r="H21" s="186">
        <f t="shared" si="10"/>
        <v>0.49738528393606835</v>
      </c>
      <c r="I21" s="186">
        <f t="shared" si="11"/>
        <v>0.49197171687412539</v>
      </c>
      <c r="J21" s="192">
        <f t="shared" si="12"/>
        <v>1.0642999189806291E-2</v>
      </c>
      <c r="AC21" s="206" t="s">
        <v>657</v>
      </c>
      <c r="AD21" s="132"/>
      <c r="AE21" s="230"/>
      <c r="AF21" s="230"/>
      <c r="AG21" s="230"/>
      <c r="AH21" s="231"/>
      <c r="AJ21" s="292" t="s">
        <v>856</v>
      </c>
      <c r="AK21" s="293">
        <v>1</v>
      </c>
      <c r="AL21" s="293">
        <v>0.83</v>
      </c>
      <c r="AM21" s="293">
        <v>1.21</v>
      </c>
      <c r="AN21" s="300">
        <v>9.616069841840387E-2</v>
      </c>
      <c r="AQ21" s="241" t="s">
        <v>433</v>
      </c>
      <c r="AR21" s="76">
        <v>1</v>
      </c>
      <c r="AS21" s="236">
        <v>623115</v>
      </c>
      <c r="AT21" s="76" t="s">
        <v>432</v>
      </c>
      <c r="AU21" s="237">
        <v>31.132899999999996</v>
      </c>
      <c r="AV21" s="137">
        <f t="shared" si="6"/>
        <v>0.31132899999999997</v>
      </c>
    </row>
    <row r="22" spans="3:48" x14ac:dyDescent="0.2">
      <c r="C22" s="191">
        <v>2019</v>
      </c>
      <c r="D22" s="3">
        <v>13809</v>
      </c>
      <c r="E22" s="3">
        <v>14450</v>
      </c>
      <c r="F22" s="3">
        <v>270</v>
      </c>
      <c r="G22" s="3">
        <v>28529</v>
      </c>
      <c r="H22" s="186">
        <f t="shared" si="10"/>
        <v>0.48403379017841497</v>
      </c>
      <c r="I22" s="186">
        <f t="shared" si="11"/>
        <v>0.50650215570121626</v>
      </c>
      <c r="J22" s="192">
        <f t="shared" si="12"/>
        <v>9.4640541203687475E-3</v>
      </c>
      <c r="AC22" s="234" t="s">
        <v>354</v>
      </c>
      <c r="AD22" t="s">
        <v>826</v>
      </c>
      <c r="AE22" s="3" t="s">
        <v>462</v>
      </c>
      <c r="AF22" s="3" t="s">
        <v>377</v>
      </c>
      <c r="AG22" s="3" t="s">
        <v>378</v>
      </c>
      <c r="AH22" s="190" t="s">
        <v>463</v>
      </c>
      <c r="AJ22" s="296" t="s">
        <v>858</v>
      </c>
      <c r="AK22" s="213">
        <v>0.75</v>
      </c>
      <c r="AL22" s="213">
        <v>0.66</v>
      </c>
      <c r="AM22" s="213">
        <v>0.84</v>
      </c>
      <c r="AN22" s="301">
        <v>6.1520932861451015E-2</v>
      </c>
      <c r="AQ22" s="241" t="s">
        <v>434</v>
      </c>
      <c r="AR22" s="76">
        <v>0.5</v>
      </c>
      <c r="AS22" s="236">
        <v>297781</v>
      </c>
      <c r="AT22" s="76" t="s">
        <v>432</v>
      </c>
      <c r="AU22" s="237">
        <v>31.132899999999996</v>
      </c>
      <c r="AV22" s="137">
        <f t="shared" si="6"/>
        <v>0.15566449999999998</v>
      </c>
    </row>
    <row r="23" spans="3:48" x14ac:dyDescent="0.2">
      <c r="C23" s="191">
        <v>2020</v>
      </c>
      <c r="D23" s="3">
        <v>12230</v>
      </c>
      <c r="E23" s="3">
        <v>12743</v>
      </c>
      <c r="F23" s="3">
        <v>578</v>
      </c>
      <c r="G23" s="3">
        <v>25551</v>
      </c>
      <c r="H23" s="186">
        <f t="shared" si="10"/>
        <v>0.47865054205314861</v>
      </c>
      <c r="I23" s="186">
        <f t="shared" si="11"/>
        <v>0.49872803412782279</v>
      </c>
      <c r="J23" s="192">
        <f t="shared" si="12"/>
        <v>2.262142381902861E-2</v>
      </c>
      <c r="L23" s="288" t="s">
        <v>617</v>
      </c>
      <c r="M23" s="217">
        <f>R9</f>
        <v>9.7253633201505679E-2</v>
      </c>
      <c r="AC23" s="209" t="s">
        <v>367</v>
      </c>
      <c r="AD23" s="178">
        <v>9.7253633201505651E-2</v>
      </c>
      <c r="AE23" s="3">
        <v>1769</v>
      </c>
      <c r="AF23" s="178">
        <f>SQRT((AD23 * (1 - AD23)) / AE23)</f>
        <v>7.0448520280021361E-3</v>
      </c>
      <c r="AG23" s="178">
        <f>AD23-(1.96*AF23)</f>
        <v>8.3445723226621471E-2</v>
      </c>
      <c r="AH23" s="201">
        <f>AD23+(1.96*AF23)</f>
        <v>0.11106154317638983</v>
      </c>
      <c r="AJ23" s="296" t="s">
        <v>859</v>
      </c>
      <c r="AK23" s="213">
        <v>0.93</v>
      </c>
      <c r="AL23" s="213">
        <v>0.67</v>
      </c>
      <c r="AM23" s="213">
        <v>1.3</v>
      </c>
      <c r="AN23" s="301">
        <v>0.16909230384301435</v>
      </c>
      <c r="AQ23" s="241" t="s">
        <v>435</v>
      </c>
      <c r="AR23" s="76"/>
      <c r="AS23" s="148"/>
      <c r="AT23" s="76"/>
      <c r="AU23" s="76"/>
      <c r="AV23" s="137">
        <f t="shared" si="6"/>
        <v>0</v>
      </c>
    </row>
    <row r="24" spans="3:48" x14ac:dyDescent="0.2">
      <c r="C24" s="191">
        <v>2021</v>
      </c>
      <c r="D24" s="3">
        <v>13228</v>
      </c>
      <c r="E24" s="3">
        <v>12349</v>
      </c>
      <c r="F24" s="3">
        <v>784</v>
      </c>
      <c r="G24" s="3">
        <v>26361</v>
      </c>
      <c r="H24" s="186">
        <f t="shared" si="10"/>
        <v>0.50180190432836391</v>
      </c>
      <c r="I24" s="186">
        <f t="shared" si="11"/>
        <v>0.46845719054664087</v>
      </c>
      <c r="J24" s="192">
        <f t="shared" si="12"/>
        <v>2.9740905124995259E-2</v>
      </c>
      <c r="L24" s="288" t="s">
        <v>609</v>
      </c>
      <c r="M24" s="289">
        <f>W7</f>
        <v>6.5500000000000003E-2</v>
      </c>
      <c r="N24" s="185"/>
      <c r="O24" s="185"/>
      <c r="P24" s="369"/>
      <c r="Q24" s="369"/>
      <c r="R24" s="369"/>
      <c r="S24" s="369"/>
      <c r="T24" s="181"/>
      <c r="U24" s="181"/>
      <c r="V24" s="181"/>
      <c r="W24" s="181"/>
      <c r="X24" s="181"/>
      <c r="Y24" s="369"/>
      <c r="Z24" s="369"/>
      <c r="AA24" s="369"/>
      <c r="AB24" s="369"/>
      <c r="AC24" s="209" t="s">
        <v>348</v>
      </c>
      <c r="AD24" s="178">
        <v>4.9969154842689711E-2</v>
      </c>
      <c r="AE24" s="3">
        <v>1769</v>
      </c>
      <c r="AF24" s="178">
        <f t="shared" ref="AF24:AF27" si="13">SQRT((AD24 * (1 - AD24)) / AE24)</f>
        <v>5.1803122542955935E-3</v>
      </c>
      <c r="AG24" s="178">
        <f t="shared" ref="AG24:AG27" si="14">AD24-(1.96*AF24)</f>
        <v>3.9815742824270348E-2</v>
      </c>
      <c r="AH24" s="201">
        <f t="shared" ref="AH24:AH27" si="15">AD24+(1.96*AF24)</f>
        <v>6.0122566861109075E-2</v>
      </c>
      <c r="AJ24" s="296" t="s">
        <v>860</v>
      </c>
      <c r="AK24" s="213">
        <v>1.43</v>
      </c>
      <c r="AL24" s="213">
        <v>1.1399999999999999</v>
      </c>
      <c r="AM24" s="213">
        <v>1.79</v>
      </c>
      <c r="AN24" s="301">
        <v>0.11509881567506626</v>
      </c>
      <c r="AQ24" s="241" t="s">
        <v>436</v>
      </c>
      <c r="AR24" s="76">
        <v>0.8</v>
      </c>
      <c r="AS24" s="236">
        <v>488228</v>
      </c>
      <c r="AT24" s="76" t="s">
        <v>437</v>
      </c>
      <c r="AU24" s="237">
        <v>26.287100000000006</v>
      </c>
      <c r="AV24" s="137">
        <f t="shared" si="6"/>
        <v>0.21029680000000006</v>
      </c>
    </row>
    <row r="25" spans="3:48" x14ac:dyDescent="0.2">
      <c r="C25" s="191">
        <v>2022</v>
      </c>
      <c r="D25" s="3">
        <v>3135</v>
      </c>
      <c r="E25" s="3">
        <v>2970</v>
      </c>
      <c r="F25" s="3">
        <v>158</v>
      </c>
      <c r="G25" s="3">
        <v>6263</v>
      </c>
      <c r="H25" s="186">
        <f t="shared" si="10"/>
        <v>0.5005588376177551</v>
      </c>
      <c r="I25" s="186">
        <f t="shared" si="11"/>
        <v>0.47421363563787322</v>
      </c>
      <c r="J25" s="192">
        <f t="shared" si="12"/>
        <v>2.5227526744371707E-2</v>
      </c>
      <c r="L25" s="288" t="s">
        <v>610</v>
      </c>
      <c r="M25" s="289">
        <f>X7</f>
        <v>1.2500000000000001E-2</v>
      </c>
      <c r="N25" s="185"/>
      <c r="O25" s="185"/>
      <c r="P25" s="182"/>
      <c r="Q25" s="182"/>
      <c r="R25" s="182"/>
      <c r="S25" s="182"/>
      <c r="T25" s="182"/>
      <c r="U25" s="182"/>
      <c r="V25" s="182"/>
      <c r="W25" s="182"/>
      <c r="X25" s="182"/>
      <c r="Y25" s="182"/>
      <c r="Z25" s="182"/>
      <c r="AA25" s="182"/>
      <c r="AB25" s="182"/>
      <c r="AC25" s="209" t="s">
        <v>349</v>
      </c>
      <c r="AD25" s="178">
        <v>1.1635180783185286E-2</v>
      </c>
      <c r="AE25" s="3">
        <v>1769</v>
      </c>
      <c r="AF25" s="178">
        <f t="shared" si="13"/>
        <v>2.5496542457632007E-3</v>
      </c>
      <c r="AG25" s="178">
        <f t="shared" si="14"/>
        <v>6.6378584614894126E-3</v>
      </c>
      <c r="AH25" s="201">
        <f t="shared" si="15"/>
        <v>1.6632503104881159E-2</v>
      </c>
      <c r="AJ25" s="297" t="s">
        <v>861</v>
      </c>
      <c r="AK25" s="220">
        <v>2.0699999999999998</v>
      </c>
      <c r="AL25" s="220">
        <v>0.88</v>
      </c>
      <c r="AM25" s="220">
        <v>4.87</v>
      </c>
      <c r="AN25" s="302">
        <v>0.43646104811336311</v>
      </c>
      <c r="AQ25" s="241" t="s">
        <v>438</v>
      </c>
      <c r="AR25" s="76">
        <v>0.4</v>
      </c>
      <c r="AS25" s="236">
        <v>249593</v>
      </c>
      <c r="AT25" s="76" t="s">
        <v>437</v>
      </c>
      <c r="AU25" s="237">
        <v>26.287100000000006</v>
      </c>
      <c r="AV25" s="137">
        <f t="shared" si="6"/>
        <v>0.10514840000000003</v>
      </c>
    </row>
    <row r="26" spans="3:48" ht="15" customHeight="1" x14ac:dyDescent="0.2">
      <c r="C26" s="193" t="s">
        <v>383</v>
      </c>
      <c r="D26" s="365" t="s">
        <v>632</v>
      </c>
      <c r="E26" s="365"/>
      <c r="F26" s="365"/>
      <c r="G26" s="365"/>
      <c r="H26" s="365"/>
      <c r="I26" s="365"/>
      <c r="J26" s="366"/>
      <c r="L26" s="288" t="s">
        <v>611</v>
      </c>
      <c r="M26" s="213">
        <f>Y8</f>
        <v>2.1999999999999999E-2</v>
      </c>
      <c r="N26" s="183"/>
      <c r="O26" s="183"/>
      <c r="P26" s="183"/>
      <c r="Q26" s="183"/>
      <c r="R26" s="183"/>
      <c r="S26" s="183"/>
      <c r="T26" s="183"/>
      <c r="U26" s="183"/>
      <c r="V26" s="183"/>
      <c r="W26" s="183"/>
      <c r="X26" s="183"/>
      <c r="Y26" s="184"/>
      <c r="Z26" s="184"/>
      <c r="AA26" s="184"/>
      <c r="AB26" s="184"/>
      <c r="AC26" s="209" t="s">
        <v>369</v>
      </c>
      <c r="AD26" s="178">
        <v>3.1165177421591746E-2</v>
      </c>
      <c r="AE26" s="3">
        <v>1023</v>
      </c>
      <c r="AF26" s="178">
        <f t="shared" si="13"/>
        <v>5.4327767021908327E-3</v>
      </c>
      <c r="AG26" s="178">
        <f t="shared" si="14"/>
        <v>2.0516935085297713E-2</v>
      </c>
      <c r="AH26" s="201">
        <f t="shared" si="15"/>
        <v>4.1813419757885779E-2</v>
      </c>
      <c r="AQ26" s="241" t="s">
        <v>439</v>
      </c>
      <c r="AR26" s="76">
        <v>0.9</v>
      </c>
      <c r="AS26" s="236">
        <v>513040</v>
      </c>
      <c r="AT26" s="76" t="s">
        <v>437</v>
      </c>
      <c r="AU26" s="237">
        <v>26.287100000000006</v>
      </c>
      <c r="AV26" s="137">
        <f t="shared" si="6"/>
        <v>0.23658390000000004</v>
      </c>
    </row>
    <row r="27" spans="3:48" x14ac:dyDescent="0.2">
      <c r="L27" s="288" t="s">
        <v>612</v>
      </c>
      <c r="M27" s="213">
        <f>Z8</f>
        <v>6.0999999999999999E-2</v>
      </c>
      <c r="N27" s="183"/>
      <c r="O27" s="183"/>
      <c r="P27" s="183"/>
      <c r="Q27" s="183"/>
      <c r="R27" s="183"/>
      <c r="S27" s="183"/>
      <c r="T27" s="183"/>
      <c r="U27" s="183"/>
      <c r="V27" s="183"/>
      <c r="W27" s="183"/>
      <c r="X27" s="183"/>
      <c r="Y27" s="184"/>
      <c r="Z27" s="184"/>
      <c r="AA27" s="184"/>
      <c r="AB27" s="184"/>
      <c r="AC27" s="219" t="s">
        <v>370</v>
      </c>
      <c r="AD27" s="233">
        <v>0.12489534758632949</v>
      </c>
      <c r="AE27" s="202">
        <v>1023</v>
      </c>
      <c r="AF27" s="233">
        <f t="shared" si="13"/>
        <v>1.0336304860998012E-2</v>
      </c>
      <c r="AG27" s="233">
        <f t="shared" si="14"/>
        <v>0.10463619005877339</v>
      </c>
      <c r="AH27" s="203">
        <f t="shared" si="15"/>
        <v>0.14515450511388558</v>
      </c>
      <c r="AQ27" s="241" t="s">
        <v>440</v>
      </c>
      <c r="AR27" s="76">
        <v>0.8</v>
      </c>
      <c r="AS27" s="236">
        <v>467116</v>
      </c>
      <c r="AT27" s="76" t="s">
        <v>437</v>
      </c>
      <c r="AU27" s="237">
        <v>26.287100000000006</v>
      </c>
      <c r="AV27" s="137">
        <f t="shared" si="6"/>
        <v>0.21029680000000006</v>
      </c>
    </row>
    <row r="28" spans="3:48" x14ac:dyDescent="0.2">
      <c r="L28" s="182"/>
      <c r="M28" s="183"/>
      <c r="N28" s="183"/>
      <c r="O28" s="183"/>
      <c r="P28" s="183"/>
      <c r="Q28" s="183"/>
      <c r="R28" s="183"/>
      <c r="S28" s="183"/>
      <c r="T28" s="183"/>
      <c r="U28" s="183"/>
      <c r="V28" s="183"/>
      <c r="W28" s="183"/>
      <c r="X28" s="183"/>
      <c r="Y28" s="184"/>
      <c r="Z28" s="184"/>
      <c r="AA28" s="184"/>
      <c r="AB28" s="184"/>
      <c r="AQ28" s="241" t="s">
        <v>413</v>
      </c>
      <c r="AR28" s="76"/>
      <c r="AS28" s="148"/>
      <c r="AT28" s="76"/>
      <c r="AU28" s="237"/>
      <c r="AV28" s="137"/>
    </row>
    <row r="29" spans="3:48" x14ac:dyDescent="0.2">
      <c r="C29" s="47" t="s">
        <v>615</v>
      </c>
      <c r="D29" s="235">
        <f>H15</f>
        <v>0.1863865993086945</v>
      </c>
      <c r="L29" s="182"/>
      <c r="M29" s="183"/>
      <c r="N29" s="183"/>
      <c r="O29" s="183"/>
      <c r="P29" s="183"/>
      <c r="Q29" s="183"/>
      <c r="R29" s="183"/>
      <c r="S29" s="183"/>
      <c r="T29" s="183"/>
      <c r="U29" s="183"/>
      <c r="V29" s="183"/>
      <c r="W29" s="183"/>
      <c r="X29" s="183"/>
      <c r="Y29" s="184"/>
      <c r="Z29" s="184"/>
      <c r="AA29" s="184"/>
      <c r="AB29" s="184"/>
      <c r="AC29" s="47" t="s">
        <v>843</v>
      </c>
      <c r="AD29" s="131">
        <f>AI6</f>
        <v>7.6598682607015037E-2</v>
      </c>
      <c r="AQ29" s="241" t="s">
        <v>441</v>
      </c>
      <c r="AR29" s="76">
        <v>0.1</v>
      </c>
      <c r="AS29" s="236">
        <v>67757</v>
      </c>
      <c r="AT29" s="76" t="s">
        <v>442</v>
      </c>
      <c r="AU29" s="237">
        <v>27.128499999999995</v>
      </c>
      <c r="AV29" s="137">
        <f t="shared" si="6"/>
        <v>2.7128499999999996E-2</v>
      </c>
    </row>
    <row r="30" spans="3:48" x14ac:dyDescent="0.2">
      <c r="C30" s="47" t="s">
        <v>614</v>
      </c>
      <c r="D30" s="235">
        <f>I15</f>
        <v>0.55463972347779844</v>
      </c>
      <c r="L30" s="182"/>
      <c r="M30" s="183"/>
      <c r="N30" s="183"/>
      <c r="O30" s="183"/>
      <c r="P30" s="183"/>
      <c r="Q30" s="183"/>
      <c r="R30" s="183"/>
      <c r="S30" s="183"/>
      <c r="T30" s="183"/>
      <c r="U30" s="183"/>
      <c r="V30" s="183"/>
      <c r="W30" s="183"/>
      <c r="X30" s="183"/>
      <c r="Y30" s="184"/>
      <c r="Z30" s="184"/>
      <c r="AA30" s="184"/>
      <c r="AB30" s="184"/>
      <c r="AC30" s="47" t="s">
        <v>618</v>
      </c>
      <c r="AD30" s="131">
        <f>AI7</f>
        <v>5.4379328977747207E-2</v>
      </c>
      <c r="AQ30" s="241" t="s">
        <v>443</v>
      </c>
      <c r="AR30" s="76">
        <v>0.2</v>
      </c>
      <c r="AS30" s="236">
        <v>100964</v>
      </c>
      <c r="AT30" s="76" t="s">
        <v>442</v>
      </c>
      <c r="AU30" s="237">
        <v>27.128499999999995</v>
      </c>
      <c r="AV30" s="137">
        <f t="shared" si="6"/>
        <v>5.4256999999999993E-2</v>
      </c>
    </row>
    <row r="31" spans="3:48" x14ac:dyDescent="0.2">
      <c r="C31" s="47" t="s">
        <v>616</v>
      </c>
      <c r="D31" s="235">
        <f>J15</f>
        <v>0.25897367721350706</v>
      </c>
      <c r="AC31" s="47" t="s">
        <v>838</v>
      </c>
      <c r="AD31" s="131">
        <f>AI8</f>
        <v>1.4102084113315859E-2</v>
      </c>
      <c r="AQ31" s="241" t="s">
        <v>444</v>
      </c>
      <c r="AR31" s="76">
        <v>74.400000000000006</v>
      </c>
      <c r="AS31" s="236">
        <v>44355044</v>
      </c>
      <c r="AT31" s="76" t="s">
        <v>442</v>
      </c>
      <c r="AU31" s="237">
        <v>27.128499999999995</v>
      </c>
      <c r="AV31" s="137">
        <f t="shared" si="6"/>
        <v>20.183603999999999</v>
      </c>
    </row>
    <row r="32" spans="3:48" x14ac:dyDescent="0.2">
      <c r="AC32" s="47" t="s">
        <v>844</v>
      </c>
      <c r="AD32" s="131">
        <f>AI9</f>
        <v>2.2859883302693625E-2</v>
      </c>
      <c r="AQ32" s="241" t="s">
        <v>445</v>
      </c>
      <c r="AR32" s="76">
        <v>0.9</v>
      </c>
      <c r="AS32" s="236">
        <v>507473</v>
      </c>
      <c r="AT32" s="76" t="s">
        <v>442</v>
      </c>
      <c r="AU32" s="237">
        <v>27.128499999999995</v>
      </c>
      <c r="AV32" s="137">
        <f t="shared" si="6"/>
        <v>0.24415649999999997</v>
      </c>
    </row>
    <row r="33" spans="29:48" x14ac:dyDescent="0.2">
      <c r="AC33" s="47" t="s">
        <v>845</v>
      </c>
      <c r="AD33" s="131">
        <f>AI10</f>
        <v>8.6305323455729055E-2</v>
      </c>
      <c r="AQ33" s="241" t="s">
        <v>446</v>
      </c>
      <c r="AR33" s="76">
        <v>6.2</v>
      </c>
      <c r="AS33" s="236">
        <v>3667993</v>
      </c>
      <c r="AT33" s="76" t="s">
        <v>442</v>
      </c>
      <c r="AU33" s="237">
        <v>27.128499999999995</v>
      </c>
      <c r="AV33" s="137">
        <f t="shared" si="6"/>
        <v>1.6819669999999995</v>
      </c>
    </row>
    <row r="34" spans="29:48" x14ac:dyDescent="0.2">
      <c r="AQ34" s="241" t="s">
        <v>437</v>
      </c>
      <c r="AR34" s="76"/>
      <c r="AS34" s="76"/>
      <c r="AT34" s="76"/>
      <c r="AU34" s="237"/>
      <c r="AV34" s="137"/>
    </row>
    <row r="35" spans="29:48" x14ac:dyDescent="0.2">
      <c r="AC35" s="47" t="s">
        <v>846</v>
      </c>
      <c r="AD35" s="131">
        <f>AN6</f>
        <v>9.7253633201505651E-2</v>
      </c>
      <c r="AQ35" s="241" t="s">
        <v>447</v>
      </c>
      <c r="AR35" s="76">
        <v>0.6</v>
      </c>
      <c r="AS35" s="238">
        <v>331856</v>
      </c>
      <c r="AT35" s="76" t="s">
        <v>448</v>
      </c>
      <c r="AU35" s="237">
        <v>26.287100000000006</v>
      </c>
      <c r="AV35" s="137">
        <f t="shared" si="6"/>
        <v>0.15772260000000002</v>
      </c>
    </row>
    <row r="36" spans="29:48" x14ac:dyDescent="0.2">
      <c r="AC36" s="47" t="s">
        <v>627</v>
      </c>
      <c r="AD36" s="131">
        <f>AN7</f>
        <v>4.9969154842689711E-2</v>
      </c>
      <c r="AQ36" s="241" t="s">
        <v>668</v>
      </c>
      <c r="AR36" s="76">
        <v>1.6</v>
      </c>
      <c r="AS36" s="238">
        <v>923776</v>
      </c>
      <c r="AT36" s="76" t="s">
        <v>448</v>
      </c>
      <c r="AU36" s="237">
        <v>26.287100000000006</v>
      </c>
      <c r="AV36" s="137">
        <f t="shared" si="6"/>
        <v>0.42059360000000012</v>
      </c>
    </row>
    <row r="37" spans="29:48" x14ac:dyDescent="0.2">
      <c r="AC37" s="47" t="s">
        <v>839</v>
      </c>
      <c r="AD37" s="131">
        <f>AN8</f>
        <v>1.1635180783185286E-2</v>
      </c>
      <c r="AQ37" s="145" t="s">
        <v>449</v>
      </c>
      <c r="AR37" s="76"/>
      <c r="AS37" s="76"/>
      <c r="AT37" s="76"/>
      <c r="AU37" s="76"/>
      <c r="AV37" s="137">
        <f>SUM(AV14:AV36)</f>
        <v>29.706556599999999</v>
      </c>
    </row>
    <row r="38" spans="29:48" x14ac:dyDescent="0.2">
      <c r="AC38" s="47" t="s">
        <v>847</v>
      </c>
      <c r="AD38" s="131">
        <f>AN9</f>
        <v>3.1165177421591746E-2</v>
      </c>
      <c r="AQ38" s="134"/>
      <c r="AV38" s="135"/>
    </row>
    <row r="39" spans="29:48" x14ac:dyDescent="0.2">
      <c r="AC39" s="47" t="s">
        <v>848</v>
      </c>
      <c r="AD39" s="131">
        <f>AN10</f>
        <v>0.12489534758632949</v>
      </c>
      <c r="AQ39" s="134" t="s">
        <v>661</v>
      </c>
      <c r="AR39" t="s">
        <v>667</v>
      </c>
      <c r="AV39" s="135"/>
    </row>
    <row r="40" spans="29:48" x14ac:dyDescent="0.2">
      <c r="AQ40" s="134" t="s">
        <v>411</v>
      </c>
      <c r="AR40" s="242" t="s">
        <v>666</v>
      </c>
      <c r="AV40" s="135"/>
    </row>
    <row r="41" spans="29:48" x14ac:dyDescent="0.2">
      <c r="AQ41" s="134" t="s">
        <v>662</v>
      </c>
      <c r="AR41" s="242" t="s">
        <v>664</v>
      </c>
      <c r="AV41" s="135"/>
    </row>
    <row r="42" spans="29:48" x14ac:dyDescent="0.2">
      <c r="AQ42" s="140" t="s">
        <v>663</v>
      </c>
      <c r="AR42" s="138" t="s">
        <v>665</v>
      </c>
      <c r="AS42" s="138"/>
      <c r="AT42" s="138"/>
      <c r="AU42" s="138"/>
      <c r="AV42" s="139"/>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B3" sqref="B3"/>
    </sheetView>
  </sheetViews>
  <sheetFormatPr baseColWidth="10" defaultColWidth="8.83203125" defaultRowHeight="15" x14ac:dyDescent="0.2"/>
  <cols>
    <col min="1" max="1" width="46.83203125" style="110" customWidth="1"/>
    <col min="2" max="2" width="36.83203125" style="110" customWidth="1"/>
    <col min="3" max="3" width="25.1640625" style="3" customWidth="1"/>
    <col min="4" max="4" width="16.33203125" customWidth="1"/>
    <col min="5" max="5" width="19.33203125" customWidth="1"/>
    <col min="6" max="6" width="16.5" customWidth="1"/>
    <col min="7" max="7" width="13.33203125" customWidth="1"/>
    <col min="8" max="8" width="15.6640625" customWidth="1"/>
  </cols>
  <sheetData>
    <row r="1" spans="1:11" x14ac:dyDescent="0.2">
      <c r="A1" s="285" t="s">
        <v>825</v>
      </c>
      <c r="B1" s="286" t="s">
        <v>785</v>
      </c>
    </row>
    <row r="2" spans="1:11" x14ac:dyDescent="0.2">
      <c r="A2" s="110" t="s">
        <v>789</v>
      </c>
      <c r="B2" s="110" t="s">
        <v>786</v>
      </c>
    </row>
    <row r="3" spans="1:11" x14ac:dyDescent="0.2">
      <c r="A3" s="110" t="s">
        <v>790</v>
      </c>
      <c r="B3" s="284">
        <v>4.2999999999999997E-2</v>
      </c>
    </row>
    <row r="4" spans="1:11" x14ac:dyDescent="0.2">
      <c r="A4" s="110" t="s">
        <v>801</v>
      </c>
      <c r="B4" s="110">
        <v>0</v>
      </c>
      <c r="E4" s="283"/>
      <c r="F4" s="132" t="s">
        <v>783</v>
      </c>
      <c r="G4" s="132"/>
      <c r="H4" s="132"/>
      <c r="I4" s="132"/>
      <c r="J4" s="132"/>
      <c r="K4" s="133"/>
    </row>
    <row r="5" spans="1:11" x14ac:dyDescent="0.2">
      <c r="A5" s="110" t="s">
        <v>791</v>
      </c>
      <c r="B5" s="284">
        <v>1.12E-2</v>
      </c>
      <c r="E5" s="134" t="s">
        <v>782</v>
      </c>
      <c r="F5" s="281" t="s">
        <v>777</v>
      </c>
      <c r="G5" s="281" t="s">
        <v>368</v>
      </c>
      <c r="H5" s="281" t="s">
        <v>778</v>
      </c>
      <c r="I5" s="281" t="s">
        <v>349</v>
      </c>
      <c r="J5" s="281" t="s">
        <v>779</v>
      </c>
      <c r="K5" s="281" t="s">
        <v>780</v>
      </c>
    </row>
    <row r="6" spans="1:11" x14ac:dyDescent="0.2">
      <c r="A6" s="110" t="s">
        <v>802</v>
      </c>
      <c r="B6" s="284">
        <v>0</v>
      </c>
      <c r="E6" s="282" t="s">
        <v>777</v>
      </c>
      <c r="F6" s="235" t="s">
        <v>781</v>
      </c>
      <c r="G6" s="235">
        <v>4.2999999999999997E-2</v>
      </c>
      <c r="H6">
        <v>0</v>
      </c>
      <c r="I6" s="235">
        <v>1.12E-2</v>
      </c>
      <c r="J6">
        <v>0</v>
      </c>
      <c r="K6" s="135"/>
    </row>
    <row r="7" spans="1:11" x14ac:dyDescent="0.2">
      <c r="A7" s="110" t="s">
        <v>792</v>
      </c>
      <c r="B7" s="110" t="s">
        <v>787</v>
      </c>
      <c r="E7" s="282" t="s">
        <v>368</v>
      </c>
      <c r="F7">
        <v>0</v>
      </c>
      <c r="G7">
        <v>0</v>
      </c>
      <c r="H7" t="s">
        <v>784</v>
      </c>
      <c r="I7">
        <v>0</v>
      </c>
      <c r="J7">
        <v>0</v>
      </c>
      <c r="K7" s="135"/>
    </row>
    <row r="8" spans="1:11" x14ac:dyDescent="0.2">
      <c r="A8" s="110" t="s">
        <v>803</v>
      </c>
      <c r="B8" s="110">
        <v>0</v>
      </c>
      <c r="E8" s="282" t="s">
        <v>778</v>
      </c>
      <c r="F8">
        <v>0</v>
      </c>
      <c r="G8">
        <v>0</v>
      </c>
      <c r="H8" t="s">
        <v>784</v>
      </c>
      <c r="I8">
        <v>0</v>
      </c>
      <c r="J8">
        <v>0</v>
      </c>
      <c r="K8" s="135"/>
    </row>
    <row r="9" spans="1:11" x14ac:dyDescent="0.2">
      <c r="A9" s="110" t="s">
        <v>804</v>
      </c>
      <c r="B9" s="110">
        <v>0</v>
      </c>
      <c r="C9" s="158"/>
      <c r="E9" s="282" t="s">
        <v>349</v>
      </c>
      <c r="F9">
        <v>0</v>
      </c>
      <c r="G9">
        <v>0</v>
      </c>
      <c r="H9">
        <v>0</v>
      </c>
      <c r="I9">
        <v>0</v>
      </c>
      <c r="J9" t="s">
        <v>784</v>
      </c>
      <c r="K9" s="135"/>
    </row>
    <row r="10" spans="1:11" x14ac:dyDescent="0.2">
      <c r="A10" s="110" t="s">
        <v>793</v>
      </c>
      <c r="B10" s="110" t="s">
        <v>788</v>
      </c>
      <c r="E10" s="282" t="s">
        <v>779</v>
      </c>
      <c r="F10">
        <v>0</v>
      </c>
      <c r="G10">
        <v>0</v>
      </c>
      <c r="H10">
        <v>0</v>
      </c>
      <c r="I10">
        <v>0</v>
      </c>
      <c r="J10" t="s">
        <v>784</v>
      </c>
      <c r="K10" s="135"/>
    </row>
    <row r="11" spans="1:11" x14ac:dyDescent="0.2">
      <c r="A11" s="110" t="s">
        <v>805</v>
      </c>
      <c r="B11" s="110">
        <v>0</v>
      </c>
      <c r="C11" s="158"/>
      <c r="E11" s="282" t="s">
        <v>780</v>
      </c>
      <c r="F11" s="138">
        <v>0</v>
      </c>
      <c r="G11" s="138">
        <v>0</v>
      </c>
      <c r="H11" s="138">
        <v>0</v>
      </c>
      <c r="I11" s="138">
        <v>0</v>
      </c>
      <c r="J11" s="138">
        <v>0</v>
      </c>
      <c r="K11" s="139">
        <v>1</v>
      </c>
    </row>
    <row r="12" spans="1:11" x14ac:dyDescent="0.2">
      <c r="A12" s="110" t="s">
        <v>806</v>
      </c>
      <c r="B12" s="110">
        <v>0</v>
      </c>
    </row>
    <row r="13" spans="1:11" x14ac:dyDescent="0.2">
      <c r="A13" s="110" t="s">
        <v>794</v>
      </c>
      <c r="B13" s="110" t="s">
        <v>787</v>
      </c>
    </row>
    <row r="14" spans="1:11" x14ac:dyDescent="0.2">
      <c r="A14" s="110" t="s">
        <v>807</v>
      </c>
      <c r="B14" s="110">
        <v>0</v>
      </c>
    </row>
    <row r="15" spans="1:11" x14ac:dyDescent="0.2">
      <c r="A15" s="110" t="s">
        <v>808</v>
      </c>
      <c r="B15" s="110">
        <v>0</v>
      </c>
    </row>
    <row r="16" spans="1:11" x14ac:dyDescent="0.2">
      <c r="A16" s="110" t="s">
        <v>795</v>
      </c>
      <c r="B16" s="110" t="s">
        <v>788</v>
      </c>
    </row>
    <row r="17" spans="1:2" x14ac:dyDescent="0.2">
      <c r="A17" s="110" t="s">
        <v>809</v>
      </c>
      <c r="B17" s="110">
        <v>0</v>
      </c>
    </row>
    <row r="18" spans="1:2" x14ac:dyDescent="0.2">
      <c r="A18" s="110" t="s">
        <v>810</v>
      </c>
      <c r="B18" s="110">
        <v>0</v>
      </c>
    </row>
    <row r="19" spans="1:2" x14ac:dyDescent="0.2">
      <c r="A19" s="110" t="s">
        <v>796</v>
      </c>
      <c r="B19" s="110" t="s">
        <v>787</v>
      </c>
    </row>
    <row r="20" spans="1:2" x14ac:dyDescent="0.2">
      <c r="A20" s="110" t="s">
        <v>811</v>
      </c>
      <c r="B20" s="110">
        <v>0</v>
      </c>
    </row>
    <row r="21" spans="1:2" x14ac:dyDescent="0.2">
      <c r="A21" s="110" t="s">
        <v>812</v>
      </c>
      <c r="B21" s="110">
        <v>0</v>
      </c>
    </row>
    <row r="22" spans="1:2" x14ac:dyDescent="0.2">
      <c r="A22" s="110" t="s">
        <v>813</v>
      </c>
      <c r="B22" s="110">
        <v>0</v>
      </c>
    </row>
    <row r="23" spans="1:2" x14ac:dyDescent="0.2">
      <c r="A23" s="110" t="s">
        <v>814</v>
      </c>
      <c r="B23" s="110">
        <v>0</v>
      </c>
    </row>
    <row r="24" spans="1:2" x14ac:dyDescent="0.2">
      <c r="A24" s="110" t="s">
        <v>797</v>
      </c>
      <c r="B24" s="110" t="s">
        <v>788</v>
      </c>
    </row>
    <row r="25" spans="1:2" x14ac:dyDescent="0.2">
      <c r="A25" s="110" t="s">
        <v>798</v>
      </c>
      <c r="B25" s="110" t="s">
        <v>787</v>
      </c>
    </row>
    <row r="26" spans="1:2" x14ac:dyDescent="0.2">
      <c r="A26" s="110" t="s">
        <v>815</v>
      </c>
      <c r="B26" s="110">
        <v>0</v>
      </c>
    </row>
    <row r="27" spans="1:2" x14ac:dyDescent="0.2">
      <c r="A27" s="110" t="s">
        <v>816</v>
      </c>
      <c r="B27" s="110">
        <v>0</v>
      </c>
    </row>
    <row r="28" spans="1:2" x14ac:dyDescent="0.2">
      <c r="A28" s="110" t="s">
        <v>817</v>
      </c>
      <c r="B28" s="110">
        <v>0</v>
      </c>
    </row>
    <row r="29" spans="1:2" x14ac:dyDescent="0.2">
      <c r="A29" s="110" t="s">
        <v>818</v>
      </c>
      <c r="B29" s="110">
        <v>0</v>
      </c>
    </row>
    <row r="30" spans="1:2" x14ac:dyDescent="0.2">
      <c r="A30" s="110" t="s">
        <v>819</v>
      </c>
      <c r="B30" s="110">
        <v>0</v>
      </c>
    </row>
    <row r="31" spans="1:2" x14ac:dyDescent="0.2">
      <c r="A31" s="110" t="s">
        <v>799</v>
      </c>
      <c r="B31" s="110" t="s">
        <v>787</v>
      </c>
    </row>
    <row r="32" spans="1:2" x14ac:dyDescent="0.2">
      <c r="A32" s="110" t="s">
        <v>820</v>
      </c>
      <c r="B32" s="110">
        <v>0</v>
      </c>
    </row>
    <row r="33" spans="1:2" x14ac:dyDescent="0.2">
      <c r="A33" s="110" t="s">
        <v>821</v>
      </c>
      <c r="B33" s="110">
        <v>0</v>
      </c>
    </row>
    <row r="34" spans="1:2" x14ac:dyDescent="0.2">
      <c r="A34" s="110" t="s">
        <v>822</v>
      </c>
      <c r="B34" s="110">
        <v>0</v>
      </c>
    </row>
    <row r="35" spans="1:2" x14ac:dyDescent="0.2">
      <c r="A35" s="110" t="s">
        <v>823</v>
      </c>
      <c r="B35" s="110">
        <v>0</v>
      </c>
    </row>
    <row r="36" spans="1:2" x14ac:dyDescent="0.2">
      <c r="A36" s="110" t="s">
        <v>824</v>
      </c>
      <c r="B36" s="110">
        <v>0</v>
      </c>
    </row>
    <row r="37" spans="1:2" x14ac:dyDescent="0.2">
      <c r="A37" s="110" t="s">
        <v>800</v>
      </c>
      <c r="B37" s="110">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H53"/>
  <sheetViews>
    <sheetView workbookViewId="0">
      <selection activeCell="AB16" sqref="AB16"/>
    </sheetView>
  </sheetViews>
  <sheetFormatPr baseColWidth="10" defaultColWidth="8.83203125" defaultRowHeight="15" x14ac:dyDescent="0.2"/>
  <cols>
    <col min="1" max="1" width="27.1640625" customWidth="1"/>
    <col min="2" max="2" width="12.33203125" customWidth="1"/>
    <col min="3" max="3" width="13.1640625" customWidth="1"/>
    <col min="4" max="4" width="14.33203125" customWidth="1"/>
    <col min="5" max="5" width="12.6640625" customWidth="1"/>
    <col min="6" max="6" width="5.6640625" customWidth="1"/>
    <col min="7" max="7" width="16.6640625" customWidth="1"/>
    <col min="8" max="8" width="12" customWidth="1"/>
    <col min="9" max="9" width="10.5" customWidth="1"/>
    <col min="10" max="10" width="10.6640625" customWidth="1"/>
    <col min="11" max="11" width="11.83203125" customWidth="1"/>
    <col min="12" max="12" width="5.6640625" customWidth="1"/>
    <col min="13" max="13" width="22.33203125" customWidth="1"/>
    <col min="14" max="14" width="48" customWidth="1"/>
    <col min="15" max="15" width="9.1640625" customWidth="1"/>
    <col min="16" max="16" width="24.6640625" customWidth="1"/>
    <col min="19" max="19" width="15.83203125" customWidth="1"/>
    <col min="20" max="20" width="10.1640625" customWidth="1"/>
    <col min="21" max="21" width="1.6640625" customWidth="1"/>
    <col min="22" max="22" width="10.1640625" customWidth="1"/>
    <col min="23" max="23" width="9" customWidth="1"/>
    <col min="24" max="24" width="11.83203125" customWidth="1"/>
    <col min="25" max="25" width="11.33203125" customWidth="1"/>
    <col min="26" max="26" width="1.83203125" customWidth="1"/>
    <col min="27" max="31" width="11.33203125" customWidth="1"/>
    <col min="32" max="32" width="1.83203125" customWidth="1"/>
    <col min="33" max="33" width="11.33203125" customWidth="1"/>
  </cols>
  <sheetData>
    <row r="3" spans="1:34" ht="18" customHeight="1" x14ac:dyDescent="0.2">
      <c r="M3" s="200" t="s">
        <v>570</v>
      </c>
      <c r="N3" s="132"/>
      <c r="O3" s="132"/>
      <c r="P3" s="133"/>
    </row>
    <row r="4" spans="1:34" ht="18.5" customHeight="1" x14ac:dyDescent="0.2">
      <c r="A4" s="200" t="s">
        <v>544</v>
      </c>
      <c r="B4" s="132"/>
      <c r="C4" s="132"/>
      <c r="D4" s="132"/>
      <c r="E4" s="133"/>
      <c r="G4" s="200" t="s">
        <v>862</v>
      </c>
      <c r="H4" s="132"/>
      <c r="I4" s="132"/>
      <c r="J4" s="132"/>
      <c r="K4" s="133"/>
      <c r="M4" s="249" t="s">
        <v>565</v>
      </c>
      <c r="N4" s="303" t="s">
        <v>566</v>
      </c>
      <c r="O4" s="303" t="s">
        <v>567</v>
      </c>
      <c r="P4" s="250" t="s">
        <v>568</v>
      </c>
      <c r="S4" s="168" t="s">
        <v>673</v>
      </c>
      <c r="T4" s="176"/>
      <c r="V4" s="370" t="s">
        <v>601</v>
      </c>
      <c r="W4" s="372"/>
      <c r="X4" s="372"/>
      <c r="Y4" s="372"/>
      <c r="Z4" s="177"/>
      <c r="AA4" s="373" t="s">
        <v>602</v>
      </c>
      <c r="AB4" s="373"/>
      <c r="AC4" s="373"/>
      <c r="AD4" s="373"/>
      <c r="AE4" s="373"/>
      <c r="AG4" s="370" t="s">
        <v>604</v>
      </c>
      <c r="AH4" s="371"/>
    </row>
    <row r="5" spans="1:34" ht="48" x14ac:dyDescent="0.2">
      <c r="A5" s="248" t="s">
        <v>529</v>
      </c>
      <c r="B5" s="159" t="s">
        <v>530</v>
      </c>
      <c r="C5" s="159" t="s">
        <v>531</v>
      </c>
      <c r="D5" s="159" t="s">
        <v>532</v>
      </c>
      <c r="E5" s="161" t="s">
        <v>573</v>
      </c>
      <c r="G5" s="149" t="s">
        <v>529</v>
      </c>
      <c r="H5" s="146" t="s">
        <v>571</v>
      </c>
      <c r="I5" s="146" t="s">
        <v>543</v>
      </c>
      <c r="J5" s="146" t="s">
        <v>545</v>
      </c>
      <c r="K5" s="147" t="s">
        <v>572</v>
      </c>
      <c r="M5" s="141"/>
      <c r="N5" s="303" t="s">
        <v>547</v>
      </c>
      <c r="P5" s="135"/>
      <c r="S5" s="160" t="s">
        <v>20</v>
      </c>
      <c r="T5" s="161" t="s">
        <v>583</v>
      </c>
      <c r="U5" s="159"/>
      <c r="V5" s="160" t="s">
        <v>593</v>
      </c>
      <c r="W5" s="159" t="s">
        <v>348</v>
      </c>
      <c r="X5" s="159" t="s">
        <v>594</v>
      </c>
      <c r="Y5" s="161" t="s">
        <v>595</v>
      </c>
      <c r="Z5" s="159"/>
      <c r="AA5" s="159" t="s">
        <v>596</v>
      </c>
      <c r="AB5" s="159" t="s">
        <v>597</v>
      </c>
      <c r="AC5" s="143" t="s">
        <v>598</v>
      </c>
      <c r="AD5" s="143" t="s">
        <v>599</v>
      </c>
      <c r="AE5" s="143" t="s">
        <v>600</v>
      </c>
      <c r="AF5" s="86"/>
      <c r="AG5" s="167" t="s">
        <v>603</v>
      </c>
      <c r="AH5" s="163" t="s">
        <v>385</v>
      </c>
    </row>
    <row r="6" spans="1:34" x14ac:dyDescent="0.2">
      <c r="A6" s="136" t="s">
        <v>533</v>
      </c>
      <c r="B6" s="76" t="s">
        <v>534</v>
      </c>
      <c r="C6" s="76">
        <v>28</v>
      </c>
      <c r="D6" s="76">
        <v>0.72</v>
      </c>
      <c r="E6" s="137">
        <f>D6/C6</f>
        <v>2.5714285714285714E-2</v>
      </c>
      <c r="G6" s="145" t="s">
        <v>533</v>
      </c>
      <c r="H6" s="3" t="s">
        <v>538</v>
      </c>
      <c r="I6" s="3" t="s">
        <v>538</v>
      </c>
      <c r="J6" s="3" t="s">
        <v>534</v>
      </c>
      <c r="K6" s="199">
        <f>E6</f>
        <v>2.5714285714285714E-2</v>
      </c>
      <c r="M6" s="142" t="s">
        <v>548</v>
      </c>
      <c r="N6" s="86" t="s">
        <v>549</v>
      </c>
      <c r="O6" s="304">
        <v>752</v>
      </c>
      <c r="P6" s="162">
        <v>7048</v>
      </c>
      <c r="S6" s="145" t="s">
        <v>584</v>
      </c>
      <c r="T6" s="165" t="s">
        <v>585</v>
      </c>
      <c r="U6" s="76"/>
      <c r="V6" s="164">
        <v>1640</v>
      </c>
      <c r="W6" s="153">
        <v>5564</v>
      </c>
      <c r="X6" s="153">
        <v>15203</v>
      </c>
      <c r="Y6" s="162">
        <v>1168</v>
      </c>
      <c r="Z6" s="153"/>
      <c r="AA6" s="153">
        <v>18522</v>
      </c>
      <c r="AB6" s="153">
        <v>6576</v>
      </c>
      <c r="AC6" s="153">
        <v>943</v>
      </c>
      <c r="AD6" s="153">
        <v>5104</v>
      </c>
      <c r="AE6" s="153">
        <v>1415</v>
      </c>
      <c r="AF6" s="153"/>
      <c r="AG6" s="164">
        <v>176</v>
      </c>
      <c r="AH6" s="162">
        <v>1955</v>
      </c>
    </row>
    <row r="7" spans="1:34" x14ac:dyDescent="0.2">
      <c r="A7" s="136" t="s">
        <v>341</v>
      </c>
      <c r="B7" s="76" t="s">
        <v>534</v>
      </c>
      <c r="C7" s="76">
        <v>28</v>
      </c>
      <c r="D7" s="76">
        <v>1.1100000000000001</v>
      </c>
      <c r="E7" s="137">
        <f>D7/C7</f>
        <v>3.9642857142857146E-2</v>
      </c>
      <c r="G7" s="145" t="s">
        <v>575</v>
      </c>
      <c r="H7" s="3" t="s">
        <v>539</v>
      </c>
      <c r="I7" s="180">
        <f>E7*4</f>
        <v>0.15857142857142859</v>
      </c>
      <c r="J7" s="3" t="s">
        <v>534</v>
      </c>
      <c r="K7" s="199">
        <f>E7</f>
        <v>3.9642857142857146E-2</v>
      </c>
      <c r="M7" s="142" t="s">
        <v>550</v>
      </c>
      <c r="N7" s="86" t="s">
        <v>551</v>
      </c>
      <c r="O7" s="304">
        <v>1335</v>
      </c>
      <c r="P7" s="162">
        <v>5088</v>
      </c>
      <c r="S7" s="134" t="s">
        <v>586</v>
      </c>
      <c r="T7" s="166">
        <v>1.6E-2</v>
      </c>
      <c r="U7" s="158"/>
      <c r="V7" s="164">
        <f>V6*(1+T7)</f>
        <v>1666.24</v>
      </c>
      <c r="W7" s="153">
        <f>W6*(1+T7)</f>
        <v>5653.0240000000003</v>
      </c>
      <c r="X7" s="153">
        <f>X6*(1+T7)</f>
        <v>15446.248</v>
      </c>
      <c r="Y7" s="162">
        <f t="shared" ref="Y7:Y13" si="0">Y6*(1+T7)</f>
        <v>1186.6880000000001</v>
      </c>
      <c r="Z7" s="153"/>
      <c r="AA7" s="153">
        <f t="shared" ref="AA7:AA13" si="1">AA6*(1+T7)</f>
        <v>18818.351999999999</v>
      </c>
      <c r="AB7" s="157">
        <f t="shared" ref="AB7:AB13" si="2">AB6*(1+T7)</f>
        <v>6681.2160000000003</v>
      </c>
      <c r="AC7" s="157">
        <f t="shared" ref="AC7:AC13" si="3">AC6*(1+T7)</f>
        <v>958.08799999999997</v>
      </c>
      <c r="AD7" s="157">
        <f t="shared" ref="AD7:AD13" si="4">AD6*(1+T7)</f>
        <v>5185.6639999999998</v>
      </c>
      <c r="AE7" s="157">
        <f t="shared" ref="AE7:AE13" si="5">AE6*(1+T7)</f>
        <v>1437.64</v>
      </c>
      <c r="AF7" s="157"/>
      <c r="AG7" s="164">
        <f t="shared" ref="AG7:AG13" si="6">AG6*(1+T7)</f>
        <v>178.816</v>
      </c>
      <c r="AH7" s="162">
        <f t="shared" ref="AH7:AH13" si="7">AH6*(1+T7)</f>
        <v>1986.28</v>
      </c>
    </row>
    <row r="8" spans="1:34" x14ac:dyDescent="0.2">
      <c r="A8" s="136" t="s">
        <v>342</v>
      </c>
      <c r="B8" s="76" t="s">
        <v>535</v>
      </c>
      <c r="C8" s="76">
        <v>28</v>
      </c>
      <c r="D8" s="76">
        <v>30.95</v>
      </c>
      <c r="E8" s="137">
        <f>D8/C8</f>
        <v>1.1053571428571429</v>
      </c>
      <c r="G8" s="145" t="s">
        <v>576</v>
      </c>
      <c r="H8" s="3" t="s">
        <v>540</v>
      </c>
      <c r="I8" s="180">
        <f>E7*8</f>
        <v>0.31714285714285717</v>
      </c>
      <c r="J8" s="3" t="s">
        <v>534</v>
      </c>
      <c r="K8" s="199">
        <f>E7</f>
        <v>3.9642857142857146E-2</v>
      </c>
      <c r="M8" s="142" t="s">
        <v>552</v>
      </c>
      <c r="N8" s="86" t="s">
        <v>553</v>
      </c>
      <c r="O8" s="304">
        <v>3165</v>
      </c>
      <c r="P8" s="162">
        <v>3883</v>
      </c>
      <c r="S8" s="134" t="s">
        <v>587</v>
      </c>
      <c r="T8" s="166">
        <v>2.1399999999999999E-2</v>
      </c>
      <c r="U8" s="158"/>
      <c r="V8" s="164">
        <f t="shared" ref="V8:V13" si="8">V7*(1+T8)</f>
        <v>1701.8975360000002</v>
      </c>
      <c r="W8" s="153">
        <f t="shared" ref="W8:W13" si="9">W7*(1+T8)</f>
        <v>5773.9987136000009</v>
      </c>
      <c r="X8" s="153">
        <f t="shared" ref="X8:X13" si="10">X7*(1+T8)</f>
        <v>15776.797707200001</v>
      </c>
      <c r="Y8" s="162">
        <f t="shared" si="0"/>
        <v>1212.0831232000003</v>
      </c>
      <c r="Z8" s="153"/>
      <c r="AA8" s="153">
        <f t="shared" si="1"/>
        <v>19221.064732800001</v>
      </c>
      <c r="AB8" s="157">
        <f t="shared" si="2"/>
        <v>6824.1940224000009</v>
      </c>
      <c r="AC8" s="157">
        <f t="shared" si="3"/>
        <v>978.59108320000007</v>
      </c>
      <c r="AD8" s="157">
        <f t="shared" si="4"/>
        <v>5296.6372096000005</v>
      </c>
      <c r="AE8" s="157">
        <f t="shared" si="5"/>
        <v>1468.4054960000003</v>
      </c>
      <c r="AF8" s="157"/>
      <c r="AG8" s="164">
        <f t="shared" si="6"/>
        <v>182.64266240000001</v>
      </c>
      <c r="AH8" s="162">
        <f t="shared" si="7"/>
        <v>2028.7863920000002</v>
      </c>
    </row>
    <row r="9" spans="1:34" x14ac:dyDescent="0.2">
      <c r="A9" s="136" t="s">
        <v>683</v>
      </c>
      <c r="B9" s="76" t="s">
        <v>536</v>
      </c>
      <c r="C9" s="76">
        <v>28</v>
      </c>
      <c r="D9" s="76">
        <v>4.09</v>
      </c>
      <c r="E9" s="137">
        <f>D9/C9</f>
        <v>0.14607142857142857</v>
      </c>
      <c r="G9" s="145" t="s">
        <v>577</v>
      </c>
      <c r="H9" s="3" t="s">
        <v>541</v>
      </c>
      <c r="I9" s="180">
        <f>E9*10</f>
        <v>1.4607142857142859</v>
      </c>
      <c r="J9" s="180" t="s">
        <v>535</v>
      </c>
      <c r="K9" s="199">
        <f>E8</f>
        <v>1.1053571428571429</v>
      </c>
      <c r="M9" s="142" t="s">
        <v>554</v>
      </c>
      <c r="N9" s="86" t="s">
        <v>555</v>
      </c>
      <c r="O9" s="304">
        <v>3061</v>
      </c>
      <c r="P9" s="162">
        <v>3297</v>
      </c>
      <c r="S9" s="134" t="s">
        <v>588</v>
      </c>
      <c r="T9" s="166">
        <v>2.4899999999999999E-2</v>
      </c>
      <c r="U9" s="158"/>
      <c r="V9" s="164">
        <f t="shared" si="8"/>
        <v>1744.2747846464001</v>
      </c>
      <c r="W9" s="153">
        <f t="shared" si="9"/>
        <v>5917.77128156864</v>
      </c>
      <c r="X9" s="153">
        <f t="shared" si="10"/>
        <v>16169.63997010928</v>
      </c>
      <c r="Y9" s="162">
        <f t="shared" si="0"/>
        <v>1242.2639929676802</v>
      </c>
      <c r="Z9" s="153"/>
      <c r="AA9" s="153">
        <f t="shared" si="1"/>
        <v>19699.66924464672</v>
      </c>
      <c r="AB9" s="157">
        <f t="shared" si="2"/>
        <v>6994.11645355776</v>
      </c>
      <c r="AC9" s="157">
        <f t="shared" si="3"/>
        <v>1002.9580011716801</v>
      </c>
      <c r="AD9" s="157">
        <f t="shared" si="4"/>
        <v>5428.5234761190404</v>
      </c>
      <c r="AE9" s="157">
        <f t="shared" si="5"/>
        <v>1504.9687928504002</v>
      </c>
      <c r="AF9" s="157"/>
      <c r="AG9" s="164">
        <f t="shared" si="6"/>
        <v>187.19046469375999</v>
      </c>
      <c r="AH9" s="162">
        <f t="shared" si="7"/>
        <v>2079.3031731608003</v>
      </c>
    </row>
    <row r="10" spans="1:34" x14ac:dyDescent="0.2">
      <c r="A10" s="136" t="s">
        <v>343</v>
      </c>
      <c r="B10" s="76" t="s">
        <v>537</v>
      </c>
      <c r="C10" s="76">
        <v>56</v>
      </c>
      <c r="D10" s="76">
        <v>54.6</v>
      </c>
      <c r="E10" s="137">
        <f>D10/C10</f>
        <v>0.97499999999999998</v>
      </c>
      <c r="G10" s="145" t="s">
        <v>578</v>
      </c>
      <c r="H10" s="3" t="s">
        <v>541</v>
      </c>
      <c r="I10" s="180">
        <f>E9*10</f>
        <v>1.4607142857142859</v>
      </c>
      <c r="J10" s="180" t="s">
        <v>536</v>
      </c>
      <c r="K10" s="190">
        <v>0.15</v>
      </c>
      <c r="M10" s="142" t="s">
        <v>556</v>
      </c>
      <c r="N10" s="86" t="s">
        <v>557</v>
      </c>
      <c r="O10" s="304">
        <v>1307</v>
      </c>
      <c r="P10" s="162">
        <v>6825</v>
      </c>
      <c r="S10" s="134" t="s">
        <v>589</v>
      </c>
      <c r="T10" s="166">
        <v>2.5700000000000001E-2</v>
      </c>
      <c r="U10" s="158"/>
      <c r="V10" s="164">
        <f t="shared" si="8"/>
        <v>1789.1026466118128</v>
      </c>
      <c r="W10" s="153">
        <f t="shared" si="9"/>
        <v>6069.8580035049545</v>
      </c>
      <c r="X10" s="153">
        <f t="shared" si="10"/>
        <v>16585.199717341089</v>
      </c>
      <c r="Y10" s="162">
        <f t="shared" si="0"/>
        <v>1274.1901775869496</v>
      </c>
      <c r="Z10" s="153"/>
      <c r="AA10" s="153">
        <f t="shared" si="1"/>
        <v>20205.950744234142</v>
      </c>
      <c r="AB10" s="157">
        <f t="shared" si="2"/>
        <v>7173.8652464141951</v>
      </c>
      <c r="AC10" s="157">
        <f t="shared" si="3"/>
        <v>1028.7340218017923</v>
      </c>
      <c r="AD10" s="157">
        <f t="shared" si="4"/>
        <v>5568.0365294553003</v>
      </c>
      <c r="AE10" s="157">
        <f t="shared" si="5"/>
        <v>1543.6464908266555</v>
      </c>
      <c r="AF10" s="157"/>
      <c r="AG10" s="164">
        <f t="shared" si="6"/>
        <v>192.00125963638965</v>
      </c>
      <c r="AH10" s="162">
        <f t="shared" si="7"/>
        <v>2132.7412647110327</v>
      </c>
    </row>
    <row r="11" spans="1:34" x14ac:dyDescent="0.2">
      <c r="A11" s="140" t="s">
        <v>546</v>
      </c>
      <c r="B11" s="138"/>
      <c r="C11" s="138"/>
      <c r="D11" s="138"/>
      <c r="E11" s="139"/>
      <c r="G11" s="145" t="s">
        <v>343</v>
      </c>
      <c r="H11" s="3" t="s">
        <v>542</v>
      </c>
      <c r="I11" s="180">
        <f>E10*2</f>
        <v>1.95</v>
      </c>
      <c r="J11" s="180" t="s">
        <v>542</v>
      </c>
      <c r="K11" s="199">
        <f>E10*2</f>
        <v>1.95</v>
      </c>
      <c r="M11" s="142" t="s">
        <v>558</v>
      </c>
      <c r="N11" s="86" t="s">
        <v>559</v>
      </c>
      <c r="O11" s="304">
        <v>2802</v>
      </c>
      <c r="P11" s="162">
        <v>4406</v>
      </c>
      <c r="S11" s="134" t="s">
        <v>590</v>
      </c>
      <c r="T11" s="166">
        <v>7.0300000000000001E-2</v>
      </c>
      <c r="U11" s="158"/>
      <c r="V11" s="164">
        <f t="shared" si="8"/>
        <v>1914.8765626686234</v>
      </c>
      <c r="W11" s="153">
        <f t="shared" si="9"/>
        <v>6496.5690211513529</v>
      </c>
      <c r="X11" s="153">
        <f t="shared" si="10"/>
        <v>17751.139257470168</v>
      </c>
      <c r="Y11" s="162">
        <f t="shared" si="0"/>
        <v>1363.7657470713123</v>
      </c>
      <c r="Z11" s="153"/>
      <c r="AA11" s="153">
        <f t="shared" si="1"/>
        <v>21626.429081553804</v>
      </c>
      <c r="AB11" s="157">
        <f t="shared" si="2"/>
        <v>7678.1879732371135</v>
      </c>
      <c r="AC11" s="157">
        <f t="shared" si="3"/>
        <v>1101.0540235344583</v>
      </c>
      <c r="AD11" s="157">
        <f t="shared" si="4"/>
        <v>5959.4694974760077</v>
      </c>
      <c r="AE11" s="157">
        <f t="shared" si="5"/>
        <v>1652.1648391317694</v>
      </c>
      <c r="AF11" s="157"/>
      <c r="AG11" s="164">
        <f t="shared" si="6"/>
        <v>205.49894818882785</v>
      </c>
      <c r="AH11" s="162">
        <f t="shared" si="7"/>
        <v>2282.6729756202185</v>
      </c>
    </row>
    <row r="12" spans="1:34" x14ac:dyDescent="0.2">
      <c r="A12" s="3"/>
      <c r="G12" s="140" t="s">
        <v>574</v>
      </c>
      <c r="H12" s="138"/>
      <c r="I12" s="138"/>
      <c r="J12" s="138"/>
      <c r="K12" s="139"/>
      <c r="M12" s="142" t="s">
        <v>560</v>
      </c>
      <c r="N12" s="86" t="s">
        <v>561</v>
      </c>
      <c r="O12" s="304">
        <v>9037</v>
      </c>
      <c r="P12" s="162">
        <v>3454</v>
      </c>
      <c r="S12" s="134" t="s">
        <v>591</v>
      </c>
      <c r="T12" s="166">
        <v>2.9000000000000001E-2</v>
      </c>
      <c r="U12" s="158"/>
      <c r="V12" s="164">
        <f t="shared" si="8"/>
        <v>1970.4079829860132</v>
      </c>
      <c r="W12" s="153">
        <f t="shared" si="9"/>
        <v>6684.9695227647417</v>
      </c>
      <c r="X12" s="153">
        <f t="shared" si="10"/>
        <v>18265.922295936802</v>
      </c>
      <c r="Y12" s="162">
        <f t="shared" si="0"/>
        <v>1403.3149537363802</v>
      </c>
      <c r="Z12" s="153"/>
      <c r="AA12" s="153">
        <f t="shared" si="1"/>
        <v>22253.595524918863</v>
      </c>
      <c r="AB12" s="157">
        <f t="shared" si="2"/>
        <v>7900.8554244609895</v>
      </c>
      <c r="AC12" s="157">
        <f t="shared" si="3"/>
        <v>1132.9845902169575</v>
      </c>
      <c r="AD12" s="157">
        <f t="shared" si="4"/>
        <v>6132.2941129028113</v>
      </c>
      <c r="AE12" s="157">
        <f t="shared" si="5"/>
        <v>1700.0776194665907</v>
      </c>
      <c r="AF12" s="157"/>
      <c r="AG12" s="164">
        <f t="shared" si="6"/>
        <v>211.45841768630385</v>
      </c>
      <c r="AH12" s="162">
        <f t="shared" si="7"/>
        <v>2348.8704919132047</v>
      </c>
    </row>
    <row r="13" spans="1:34" x14ac:dyDescent="0.2">
      <c r="A13" s="3"/>
      <c r="M13" s="142" t="s">
        <v>562</v>
      </c>
      <c r="N13" s="86" t="s">
        <v>563</v>
      </c>
      <c r="O13" s="304">
        <v>10510</v>
      </c>
      <c r="P13" s="162">
        <v>2940</v>
      </c>
      <c r="S13" s="169" t="s">
        <v>592</v>
      </c>
      <c r="T13" s="170">
        <v>1.7000000000000001E-2</v>
      </c>
      <c r="U13" s="158"/>
      <c r="V13" s="172">
        <f t="shared" si="8"/>
        <v>2003.9049186967752</v>
      </c>
      <c r="W13" s="175">
        <f t="shared" si="9"/>
        <v>6798.6140046517412</v>
      </c>
      <c r="X13" s="175">
        <f t="shared" si="10"/>
        <v>18576.442974967726</v>
      </c>
      <c r="Y13" s="175">
        <f t="shared" si="0"/>
        <v>1427.1713079498984</v>
      </c>
      <c r="Z13" s="153"/>
      <c r="AA13" s="174">
        <f t="shared" si="1"/>
        <v>22631.90664884248</v>
      </c>
      <c r="AB13" s="171">
        <f t="shared" si="2"/>
        <v>8035.1699666768254</v>
      </c>
      <c r="AC13" s="171">
        <f t="shared" si="3"/>
        <v>1152.2453282506456</v>
      </c>
      <c r="AD13" s="171">
        <f t="shared" si="4"/>
        <v>6236.5431128221589</v>
      </c>
      <c r="AE13" s="171">
        <f t="shared" si="5"/>
        <v>1728.9789389975226</v>
      </c>
      <c r="AF13" s="157"/>
      <c r="AG13" s="172">
        <f t="shared" si="6"/>
        <v>215.05321078697099</v>
      </c>
      <c r="AH13" s="173">
        <f t="shared" si="7"/>
        <v>2388.8012902757291</v>
      </c>
    </row>
    <row r="14" spans="1:34" x14ac:dyDescent="0.2">
      <c r="A14" s="251" t="s">
        <v>579</v>
      </c>
      <c r="B14" s="254">
        <f>K6</f>
        <v>2.5714285714285714E-2</v>
      </c>
      <c r="M14" s="136"/>
      <c r="N14" s="86" t="s">
        <v>564</v>
      </c>
      <c r="O14" s="143"/>
      <c r="P14" s="144"/>
      <c r="S14" s="150" t="s">
        <v>582</v>
      </c>
      <c r="T14" s="3"/>
      <c r="U14" s="3"/>
    </row>
    <row r="15" spans="1:34" x14ac:dyDescent="0.2">
      <c r="A15" s="241" t="s">
        <v>680</v>
      </c>
      <c r="B15" s="199">
        <f>K7</f>
        <v>3.9642857142857146E-2</v>
      </c>
      <c r="M15" s="134" t="s">
        <v>548</v>
      </c>
      <c r="N15" s="86" t="s">
        <v>549</v>
      </c>
      <c r="O15" s="304">
        <v>292</v>
      </c>
      <c r="P15" s="162">
        <v>2933.8742736397257</v>
      </c>
    </row>
    <row r="16" spans="1:34" x14ac:dyDescent="0.2">
      <c r="A16" s="241" t="s">
        <v>681</v>
      </c>
      <c r="B16" s="199">
        <f>K9</f>
        <v>1.1053571428571429</v>
      </c>
      <c r="M16" s="134" t="s">
        <v>550</v>
      </c>
      <c r="N16" s="86" t="s">
        <v>551</v>
      </c>
      <c r="O16" s="304">
        <v>476</v>
      </c>
      <c r="P16" s="162">
        <v>2191.3802092895176</v>
      </c>
      <c r="S16" s="150" t="s">
        <v>605</v>
      </c>
    </row>
    <row r="17" spans="1:16" x14ac:dyDescent="0.2">
      <c r="A17" s="241" t="s">
        <v>682</v>
      </c>
      <c r="B17" s="199">
        <f>K10</f>
        <v>0.15</v>
      </c>
      <c r="M17" s="134" t="s">
        <v>552</v>
      </c>
      <c r="N17" s="86" t="s">
        <v>553</v>
      </c>
      <c r="O17" s="304">
        <v>1579</v>
      </c>
      <c r="P17" s="162">
        <v>1928.9462653288742</v>
      </c>
    </row>
    <row r="18" spans="1:16" x14ac:dyDescent="0.2">
      <c r="A18" s="241" t="s">
        <v>580</v>
      </c>
      <c r="B18" s="199">
        <f>K11</f>
        <v>1.95</v>
      </c>
      <c r="M18" s="134" t="s">
        <v>554</v>
      </c>
      <c r="N18" s="86" t="s">
        <v>555</v>
      </c>
      <c r="O18" s="304">
        <v>2236</v>
      </c>
      <c r="P18" s="162">
        <v>1847.4497354497353</v>
      </c>
    </row>
    <row r="19" spans="1:16" x14ac:dyDescent="0.2">
      <c r="A19" s="252" t="s">
        <v>684</v>
      </c>
      <c r="B19" s="199">
        <f>I7</f>
        <v>0.15857142857142859</v>
      </c>
      <c r="M19" s="134" t="s">
        <v>556</v>
      </c>
      <c r="N19" s="86" t="s">
        <v>557</v>
      </c>
      <c r="O19" s="304">
        <v>427</v>
      </c>
      <c r="P19" s="162">
        <v>2506.63272780545</v>
      </c>
    </row>
    <row r="20" spans="1:16" x14ac:dyDescent="0.2">
      <c r="A20" s="252" t="s">
        <v>690</v>
      </c>
      <c r="B20" s="199">
        <f>I8</f>
        <v>0.31714285714285717</v>
      </c>
      <c r="M20" s="134" t="s">
        <v>558</v>
      </c>
      <c r="N20" s="86" t="s">
        <v>559</v>
      </c>
      <c r="O20" s="304">
        <v>1127</v>
      </c>
      <c r="P20" s="162">
        <v>1889.6609132619619</v>
      </c>
    </row>
    <row r="21" spans="1:16" x14ac:dyDescent="0.2">
      <c r="A21" s="252" t="s">
        <v>685</v>
      </c>
      <c r="B21" s="199">
        <f>I9</f>
        <v>1.4607142857142859</v>
      </c>
      <c r="M21" s="134" t="s">
        <v>560</v>
      </c>
      <c r="N21" s="86" t="s">
        <v>561</v>
      </c>
      <c r="O21" s="304">
        <v>5137</v>
      </c>
      <c r="P21" s="162">
        <v>1783.3203617429433</v>
      </c>
    </row>
    <row r="22" spans="1:16" x14ac:dyDescent="0.2">
      <c r="A22" s="253" t="s">
        <v>686</v>
      </c>
      <c r="B22" s="255">
        <f>I11</f>
        <v>1.95</v>
      </c>
      <c r="M22" s="134" t="s">
        <v>562</v>
      </c>
      <c r="N22" s="86" t="s">
        <v>563</v>
      </c>
      <c r="O22" s="304">
        <v>8843</v>
      </c>
      <c r="P22" s="162">
        <v>1646.7692307692307</v>
      </c>
    </row>
    <row r="23" spans="1:16" x14ac:dyDescent="0.2">
      <c r="A23" s="136"/>
      <c r="B23" s="83"/>
      <c r="M23" s="134"/>
      <c r="O23" s="304">
        <f>SUM(O6:O22)</f>
        <v>52086</v>
      </c>
      <c r="P23" s="305">
        <v>3125.091522845476</v>
      </c>
    </row>
    <row r="24" spans="1:16" ht="14" customHeight="1" x14ac:dyDescent="0.2">
      <c r="A24" s="136"/>
      <c r="B24" s="83"/>
      <c r="M24" s="152" t="s">
        <v>569</v>
      </c>
      <c r="N24" s="138"/>
      <c r="O24" s="138"/>
      <c r="P24" s="139"/>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3">
    <mergeCell ref="AG4:AH4"/>
    <mergeCell ref="V4:Y4"/>
    <mergeCell ref="AA4:AE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topLeftCell="A12" zoomScale="85" zoomScaleNormal="85" workbookViewId="0">
      <pane xSplit="5" topLeftCell="F1" activePane="topRight" state="frozen"/>
      <selection pane="topRight" activeCell="J9" sqref="J9"/>
    </sheetView>
  </sheetViews>
  <sheetFormatPr baseColWidth="10" defaultColWidth="8.83203125" defaultRowHeight="15" x14ac:dyDescent="0.2"/>
  <cols>
    <col min="1" max="1" width="22.83203125" style="3" customWidth="1"/>
    <col min="2" max="2" width="11.6640625" style="3" customWidth="1"/>
    <col min="3" max="3" width="12.6640625" style="3" customWidth="1"/>
    <col min="4" max="5" width="10" customWidth="1"/>
    <col min="6" max="6" width="2.1640625" customWidth="1"/>
    <col min="7" max="7" width="12.1640625" customWidth="1"/>
    <col min="8" max="8" width="19.6640625" customWidth="1"/>
    <col min="9" max="9" width="19" customWidth="1"/>
    <col min="10" max="10" width="14.5" customWidth="1"/>
    <col min="11" max="11" width="2.33203125" customWidth="1"/>
    <col min="12" max="12" width="13" customWidth="1"/>
    <col min="13" max="13" width="16.1640625" customWidth="1"/>
    <col min="14" max="14" width="13.1640625" customWidth="1"/>
    <col min="15" max="15" width="12.5" customWidth="1"/>
    <col min="16" max="16" width="2.6640625" customWidth="1"/>
    <col min="17" max="17" width="14.1640625"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5" width="13.6640625" customWidth="1"/>
    <col min="26" max="26" width="4.1640625" customWidth="1"/>
    <col min="27" max="27" width="13.83203125" customWidth="1"/>
    <col min="28" max="28" width="14.6640625" customWidth="1"/>
    <col min="29" max="29" width="15.6640625" customWidth="1"/>
    <col min="30" max="30" width="15.83203125" customWidth="1"/>
  </cols>
  <sheetData>
    <row r="3" spans="1:32" x14ac:dyDescent="0.2">
      <c r="A3" s="260" t="s">
        <v>493</v>
      </c>
      <c r="B3" s="230" t="s">
        <v>470</v>
      </c>
      <c r="C3" s="230" t="s">
        <v>355</v>
      </c>
      <c r="D3" s="230" t="s">
        <v>356</v>
      </c>
      <c r="E3" s="231" t="s">
        <v>377</v>
      </c>
      <c r="F3" s="3"/>
      <c r="G3" s="3"/>
    </row>
    <row r="4" spans="1:32" x14ac:dyDescent="0.2">
      <c r="A4" s="134" t="s">
        <v>494</v>
      </c>
      <c r="B4" s="3">
        <v>2</v>
      </c>
      <c r="C4" s="3">
        <v>1.99</v>
      </c>
      <c r="D4" s="3">
        <v>2.0099999999999998</v>
      </c>
      <c r="E4" s="261">
        <f>(D4-C4)/(1.96*2)</f>
        <v>5.1020408163264782E-3</v>
      </c>
      <c r="F4" s="3"/>
    </row>
    <row r="5" spans="1:32" x14ac:dyDescent="0.2">
      <c r="A5" s="134" t="s">
        <v>495</v>
      </c>
      <c r="B5" s="3">
        <v>4.5</v>
      </c>
      <c r="C5" s="3">
        <v>4.43</v>
      </c>
      <c r="D5" s="3">
        <v>4.57</v>
      </c>
      <c r="E5" s="261">
        <f>(D5-C5)/(1.96*2)</f>
        <v>3.5714285714285858E-2</v>
      </c>
      <c r="F5" s="3"/>
    </row>
    <row r="6" spans="1:32" x14ac:dyDescent="0.2">
      <c r="A6" s="134" t="s">
        <v>496</v>
      </c>
      <c r="B6" s="3">
        <v>3</v>
      </c>
      <c r="C6" s="3">
        <v>2.95</v>
      </c>
      <c r="D6" s="3">
        <v>3.05</v>
      </c>
      <c r="E6" s="261">
        <f>(D6-C6)/(1.96*2)</f>
        <v>2.5510204081632563E-2</v>
      </c>
      <c r="F6" s="3"/>
    </row>
    <row r="7" spans="1:32" x14ac:dyDescent="0.2">
      <c r="A7" s="191" t="s">
        <v>497</v>
      </c>
      <c r="B7" s="3">
        <v>4.7300000000000004</v>
      </c>
      <c r="C7" s="3">
        <v>4.34</v>
      </c>
      <c r="D7" s="3">
        <v>5.15</v>
      </c>
      <c r="E7" s="261">
        <f>(D7-C7)/(1.96*2)</f>
        <v>0.20663265306122461</v>
      </c>
      <c r="F7" s="3"/>
    </row>
    <row r="8" spans="1:32" x14ac:dyDescent="0.2">
      <c r="A8" s="191" t="s">
        <v>498</v>
      </c>
      <c r="B8" s="3">
        <v>2.3199999999999998</v>
      </c>
      <c r="C8" s="3">
        <v>2.17</v>
      </c>
      <c r="D8" s="3">
        <v>2.4900000000000002</v>
      </c>
      <c r="E8" s="261">
        <f>(D8-C8)/(1.96*2)</f>
        <v>8.1632653061224567E-2</v>
      </c>
      <c r="F8" s="3"/>
    </row>
    <row r="9" spans="1:32" x14ac:dyDescent="0.2">
      <c r="A9" s="262" t="s">
        <v>499</v>
      </c>
      <c r="B9" s="202">
        <v>0.75</v>
      </c>
      <c r="C9" s="202"/>
      <c r="D9" s="138"/>
      <c r="E9" s="139"/>
    </row>
    <row r="11" spans="1:32" s="123" customFormat="1" ht="26.5" customHeight="1" x14ac:dyDescent="0.15">
      <c r="A11" s="374" t="s">
        <v>510</v>
      </c>
      <c r="B11" s="374"/>
      <c r="C11" s="122"/>
      <c r="D11" s="122"/>
      <c r="E11" s="258"/>
      <c r="F11" s="258"/>
      <c r="G11" s="374" t="s">
        <v>700</v>
      </c>
      <c r="H11" s="374"/>
      <c r="I11" s="113"/>
      <c r="J11" s="113"/>
      <c r="K11" s="113"/>
      <c r="L11" s="374" t="s">
        <v>699</v>
      </c>
      <c r="M11" s="374"/>
      <c r="N11" s="258"/>
      <c r="O11" s="258"/>
      <c r="P11" s="258"/>
      <c r="Q11" s="374" t="s">
        <v>698</v>
      </c>
      <c r="R11" s="374"/>
      <c r="S11" s="258"/>
      <c r="T11" s="258"/>
      <c r="U11" s="258"/>
      <c r="V11" s="374" t="s">
        <v>697</v>
      </c>
      <c r="W11" s="374"/>
      <c r="AA11" s="374" t="s">
        <v>696</v>
      </c>
      <c r="AB11" s="374"/>
    </row>
    <row r="12" spans="1:32" ht="27" x14ac:dyDescent="0.2">
      <c r="A12" s="114" t="s">
        <v>500</v>
      </c>
      <c r="B12" s="114" t="s">
        <v>504</v>
      </c>
      <c r="C12" s="114" t="s">
        <v>505</v>
      </c>
      <c r="D12" s="114" t="s">
        <v>506</v>
      </c>
      <c r="E12" s="113"/>
      <c r="F12" s="113"/>
      <c r="G12" s="119" t="s">
        <v>691</v>
      </c>
      <c r="H12" s="119" t="s">
        <v>507</v>
      </c>
      <c r="I12" s="119" t="s">
        <v>508</v>
      </c>
      <c r="J12" s="119" t="s">
        <v>509</v>
      </c>
      <c r="K12" s="113"/>
      <c r="L12" s="264" t="s">
        <v>691</v>
      </c>
      <c r="M12" s="265" t="s">
        <v>693</v>
      </c>
      <c r="N12" s="265" t="s">
        <v>694</v>
      </c>
      <c r="O12" s="265" t="s">
        <v>695</v>
      </c>
      <c r="P12" s="113"/>
      <c r="Q12" s="124" t="s">
        <v>692</v>
      </c>
      <c r="R12" s="117" t="s">
        <v>693</v>
      </c>
      <c r="S12" s="117" t="s">
        <v>694</v>
      </c>
      <c r="T12" s="117" t="s">
        <v>695</v>
      </c>
      <c r="U12" s="113"/>
      <c r="V12" s="266" t="s">
        <v>691</v>
      </c>
      <c r="W12" s="118" t="s">
        <v>693</v>
      </c>
      <c r="X12" s="118" t="s">
        <v>694</v>
      </c>
      <c r="Y12" s="118" t="s">
        <v>695</v>
      </c>
      <c r="Z12" s="113"/>
      <c r="AA12" s="268" t="s">
        <v>691</v>
      </c>
      <c r="AB12" s="121" t="s">
        <v>693</v>
      </c>
      <c r="AC12" s="121" t="s">
        <v>694</v>
      </c>
      <c r="AD12" s="121" t="s">
        <v>695</v>
      </c>
    </row>
    <row r="13" spans="1:32" x14ac:dyDescent="0.2">
      <c r="A13" s="115">
        <v>63</v>
      </c>
      <c r="B13" s="116">
        <v>1.0363000000000001E-2</v>
      </c>
      <c r="C13" s="115">
        <v>70</v>
      </c>
      <c r="D13" s="116">
        <v>1.298E-2</v>
      </c>
      <c r="E13" s="259"/>
      <c r="F13" s="259"/>
      <c r="G13" s="119">
        <v>1</v>
      </c>
      <c r="H13" s="127">
        <f t="shared" ref="H13:H52" si="0">MIN(B13*SMR_no_further_event,1)</f>
        <v>2.0726000000000001E-2</v>
      </c>
      <c r="I13" s="127">
        <f t="shared" ref="I13:I52" si="1">MIN(D13*SMR_no_further_event, 1)</f>
        <v>2.596E-2</v>
      </c>
      <c r="J13" s="127">
        <f t="shared" ref="J13:J52" si="2">(H13*male_proportion_STEMI)+(I13*(1-male_proportion_STEMI))</f>
        <v>2.2034500000000002E-2</v>
      </c>
      <c r="K13" s="244"/>
      <c r="L13" s="263">
        <v>1</v>
      </c>
      <c r="M13" s="264">
        <f t="shared" ref="M13:M52" si="3">MIN(B13*SMR_reinfarction, 1)</f>
        <v>4.6633500000000001E-2</v>
      </c>
      <c r="N13" s="264">
        <f t="shared" ref="N13:N52" si="4">MIN(D13*SMR_reinfarction,1)</f>
        <v>5.8410000000000004E-2</v>
      </c>
      <c r="O13" s="264">
        <f t="shared" ref="O13:O52" si="5">MIN((M13*male_proportion_STEMI)+(N13*(1 - male_proportion_STEMI)), 1)</f>
        <v>4.9577625E-2</v>
      </c>
      <c r="P13" s="244"/>
      <c r="Q13" s="124">
        <v>1</v>
      </c>
      <c r="R13" s="126">
        <f t="shared" ref="R13:R52" si="6">MIN(B13*SMR_post_reinfarction,1)</f>
        <v>3.1089000000000002E-2</v>
      </c>
      <c r="S13" s="126">
        <f t="shared" ref="S13:S52" si="7">MIN(D13*SMR_post_reinfarction, 1)</f>
        <v>3.8940000000000002E-2</v>
      </c>
      <c r="T13" s="126">
        <f t="shared" ref="T13:T52" si="8">(R13*male_proportion_STEMI)+(S13*(1-male_proportion_STEMI))</f>
        <v>3.3051750000000005E-2</v>
      </c>
      <c r="U13" s="244"/>
      <c r="V13" s="266">
        <v>1</v>
      </c>
      <c r="W13" s="267">
        <f t="shared" ref="W13:W52" si="9">MIN(B13*SMR_stroke, 1)</f>
        <v>4.901699000000001E-2</v>
      </c>
      <c r="X13" s="267">
        <f t="shared" ref="X13:X52" si="10">MIN(D13*SMR_stroke, 1)</f>
        <v>6.139540000000001E-2</v>
      </c>
      <c r="Y13" s="267">
        <f t="shared" ref="Y13:Y52" si="11">(W13*male_proportion_STEMI)+(X13*(1-male_proportion_STEMI))</f>
        <v>5.2111592500000012E-2</v>
      </c>
      <c r="Z13" s="244"/>
      <c r="AA13" s="121">
        <v>1</v>
      </c>
      <c r="AB13" s="269">
        <f t="shared" ref="AB13:AB52" si="12">MIN(B13*SMR_post_stroke, 1)</f>
        <v>2.404216E-2</v>
      </c>
      <c r="AC13" s="269">
        <f t="shared" ref="AC13:AC52" si="13">MIN(D13*SMR_post_stroke, 1)</f>
        <v>3.0113599999999997E-2</v>
      </c>
      <c r="AD13" s="269">
        <f t="shared" ref="AD13:AD52" si="14">(AB13*male_proportion_STEMI)+(AC13*(1-male_proportion_STEMI))</f>
        <v>2.5560019999999996E-2</v>
      </c>
      <c r="AE13" s="120"/>
      <c r="AF13" s="120"/>
    </row>
    <row r="14" spans="1:32" x14ac:dyDescent="0.2">
      <c r="A14" s="115">
        <v>64</v>
      </c>
      <c r="B14" s="116">
        <v>1.1379999999999999E-2</v>
      </c>
      <c r="C14" s="115">
        <v>71</v>
      </c>
      <c r="D14" s="116">
        <v>1.3979999999999999E-2</v>
      </c>
      <c r="E14" s="259"/>
      <c r="F14" s="259"/>
      <c r="G14" s="119">
        <v>2</v>
      </c>
      <c r="H14" s="127">
        <f t="shared" si="0"/>
        <v>2.2759999999999999E-2</v>
      </c>
      <c r="I14" s="127">
        <f t="shared" si="1"/>
        <v>2.7959999999999999E-2</v>
      </c>
      <c r="J14" s="127">
        <f t="shared" si="2"/>
        <v>2.4059999999999998E-2</v>
      </c>
      <c r="K14" s="244"/>
      <c r="L14" s="263">
        <v>2</v>
      </c>
      <c r="M14" s="264">
        <f t="shared" si="3"/>
        <v>5.1209999999999999E-2</v>
      </c>
      <c r="N14" s="264">
        <f t="shared" si="4"/>
        <v>6.2909999999999994E-2</v>
      </c>
      <c r="O14" s="264">
        <f t="shared" si="5"/>
        <v>5.4134999999999996E-2</v>
      </c>
      <c r="P14" s="244"/>
      <c r="Q14" s="124">
        <v>2</v>
      </c>
      <c r="R14" s="126">
        <f t="shared" si="6"/>
        <v>3.4139999999999997E-2</v>
      </c>
      <c r="S14" s="126">
        <f t="shared" si="7"/>
        <v>4.1939999999999998E-2</v>
      </c>
      <c r="T14" s="126">
        <f t="shared" si="8"/>
        <v>3.6089999999999997E-2</v>
      </c>
      <c r="U14" s="244"/>
      <c r="V14" s="266">
        <v>2</v>
      </c>
      <c r="W14" s="267">
        <f t="shared" si="9"/>
        <v>5.3827400000000004E-2</v>
      </c>
      <c r="X14" s="267">
        <f t="shared" si="10"/>
        <v>6.6125400000000001E-2</v>
      </c>
      <c r="Y14" s="267">
        <f t="shared" si="11"/>
        <v>5.6901900000000005E-2</v>
      </c>
      <c r="Z14" s="244"/>
      <c r="AA14" s="121">
        <v>2</v>
      </c>
      <c r="AB14" s="269">
        <f t="shared" si="12"/>
        <v>2.6401599999999997E-2</v>
      </c>
      <c r="AC14" s="269">
        <f t="shared" si="13"/>
        <v>3.2433599999999993E-2</v>
      </c>
      <c r="AD14" s="269">
        <f t="shared" si="14"/>
        <v>2.7909599999999996E-2</v>
      </c>
      <c r="AE14" s="120"/>
      <c r="AF14" s="120"/>
    </row>
    <row r="15" spans="1:32" x14ac:dyDescent="0.2">
      <c r="A15" s="115">
        <v>65</v>
      </c>
      <c r="B15" s="116">
        <v>1.2389000000000001E-2</v>
      </c>
      <c r="C15" s="115">
        <v>72</v>
      </c>
      <c r="D15" s="116">
        <v>1.5350000000000001E-2</v>
      </c>
      <c r="E15" s="259"/>
      <c r="F15" s="259"/>
      <c r="G15" s="119">
        <v>3</v>
      </c>
      <c r="H15" s="127">
        <f t="shared" si="0"/>
        <v>2.4778000000000001E-2</v>
      </c>
      <c r="I15" s="127">
        <f t="shared" si="1"/>
        <v>3.0700000000000002E-2</v>
      </c>
      <c r="J15" s="127">
        <f t="shared" si="2"/>
        <v>2.6258500000000004E-2</v>
      </c>
      <c r="K15" s="244"/>
      <c r="L15" s="263">
        <v>3</v>
      </c>
      <c r="M15" s="264">
        <f t="shared" si="3"/>
        <v>5.5750500000000001E-2</v>
      </c>
      <c r="N15" s="264">
        <f t="shared" si="4"/>
        <v>6.9074999999999998E-2</v>
      </c>
      <c r="O15" s="264">
        <f t="shared" si="5"/>
        <v>5.9081624999999999E-2</v>
      </c>
      <c r="P15" s="244"/>
      <c r="Q15" s="124">
        <v>3</v>
      </c>
      <c r="R15" s="126">
        <f t="shared" si="6"/>
        <v>3.7167000000000006E-2</v>
      </c>
      <c r="S15" s="126">
        <f t="shared" si="7"/>
        <v>4.6050000000000001E-2</v>
      </c>
      <c r="T15" s="126">
        <f t="shared" si="8"/>
        <v>3.9387750000000006E-2</v>
      </c>
      <c r="U15" s="244"/>
      <c r="V15" s="266">
        <v>3</v>
      </c>
      <c r="W15" s="267">
        <f t="shared" si="9"/>
        <v>5.8599970000000008E-2</v>
      </c>
      <c r="X15" s="267">
        <f t="shared" si="10"/>
        <v>7.2605500000000017E-2</v>
      </c>
      <c r="Y15" s="267">
        <f t="shared" si="11"/>
        <v>6.2101352500000012E-2</v>
      </c>
      <c r="Z15" s="244"/>
      <c r="AA15" s="121">
        <v>3</v>
      </c>
      <c r="AB15" s="269">
        <f t="shared" si="12"/>
        <v>2.8742480000000001E-2</v>
      </c>
      <c r="AC15" s="269">
        <f t="shared" si="13"/>
        <v>3.5611999999999998E-2</v>
      </c>
      <c r="AD15" s="269">
        <f t="shared" si="14"/>
        <v>3.0459859999999998E-2</v>
      </c>
      <c r="AE15" s="120"/>
      <c r="AF15" s="120"/>
    </row>
    <row r="16" spans="1:32" x14ac:dyDescent="0.2">
      <c r="A16" s="115">
        <v>66</v>
      </c>
      <c r="B16" s="116">
        <v>1.3665999999999999E-2</v>
      </c>
      <c r="C16" s="115">
        <v>73</v>
      </c>
      <c r="D16" s="116">
        <v>1.6933E-2</v>
      </c>
      <c r="E16" s="259"/>
      <c r="F16" s="259"/>
      <c r="G16" s="119">
        <v>4</v>
      </c>
      <c r="H16" s="127">
        <f t="shared" si="0"/>
        <v>2.7331999999999999E-2</v>
      </c>
      <c r="I16" s="127">
        <f t="shared" si="1"/>
        <v>3.3866E-2</v>
      </c>
      <c r="J16" s="127">
        <f t="shared" si="2"/>
        <v>2.8965499999999998E-2</v>
      </c>
      <c r="K16" s="244"/>
      <c r="L16" s="263">
        <v>4</v>
      </c>
      <c r="M16" s="264">
        <f t="shared" si="3"/>
        <v>6.1496999999999996E-2</v>
      </c>
      <c r="N16" s="264">
        <f t="shared" si="4"/>
        <v>7.6198500000000002E-2</v>
      </c>
      <c r="O16" s="264">
        <f t="shared" si="5"/>
        <v>6.5172375000000005E-2</v>
      </c>
      <c r="P16" s="244"/>
      <c r="Q16" s="124">
        <v>4</v>
      </c>
      <c r="R16" s="126">
        <f t="shared" si="6"/>
        <v>4.0998E-2</v>
      </c>
      <c r="S16" s="126">
        <f t="shared" si="7"/>
        <v>5.0798999999999997E-2</v>
      </c>
      <c r="T16" s="126">
        <f t="shared" si="8"/>
        <v>4.3448249999999994E-2</v>
      </c>
      <c r="U16" s="244"/>
      <c r="V16" s="266">
        <v>4</v>
      </c>
      <c r="W16" s="267">
        <f t="shared" si="9"/>
        <v>6.4640180000000005E-2</v>
      </c>
      <c r="X16" s="267">
        <f t="shared" si="10"/>
        <v>8.0093090000000006E-2</v>
      </c>
      <c r="Y16" s="267">
        <f t="shared" si="11"/>
        <v>6.8503407500000002E-2</v>
      </c>
      <c r="Z16" s="244"/>
      <c r="AA16" s="121">
        <v>4</v>
      </c>
      <c r="AB16" s="269">
        <f t="shared" si="12"/>
        <v>3.1705119999999996E-2</v>
      </c>
      <c r="AC16" s="269">
        <f t="shared" si="13"/>
        <v>3.9284559999999996E-2</v>
      </c>
      <c r="AD16" s="269">
        <f t="shared" si="14"/>
        <v>3.3599979999999995E-2</v>
      </c>
      <c r="AE16" s="120"/>
      <c r="AF16" s="120"/>
    </row>
    <row r="17" spans="1:32" x14ac:dyDescent="0.2">
      <c r="A17" s="115">
        <v>67</v>
      </c>
      <c r="B17" s="116">
        <v>1.5075E-2</v>
      </c>
      <c r="C17" s="115">
        <v>74</v>
      </c>
      <c r="D17" s="116">
        <v>1.8619E-2</v>
      </c>
      <c r="E17" s="259"/>
      <c r="F17" s="259"/>
      <c r="G17" s="119">
        <v>5</v>
      </c>
      <c r="H17" s="127">
        <f t="shared" si="0"/>
        <v>3.015E-2</v>
      </c>
      <c r="I17" s="127">
        <f t="shared" si="1"/>
        <v>3.7238E-2</v>
      </c>
      <c r="J17" s="127">
        <f t="shared" si="2"/>
        <v>3.1921999999999999E-2</v>
      </c>
      <c r="K17" s="244"/>
      <c r="L17" s="263">
        <v>5</v>
      </c>
      <c r="M17" s="264">
        <f t="shared" si="3"/>
        <v>6.7837499999999995E-2</v>
      </c>
      <c r="N17" s="264">
        <f t="shared" si="4"/>
        <v>8.3785499999999999E-2</v>
      </c>
      <c r="O17" s="264">
        <f t="shared" si="5"/>
        <v>7.1824499999999999E-2</v>
      </c>
      <c r="P17" s="244"/>
      <c r="Q17" s="124">
        <v>5</v>
      </c>
      <c r="R17" s="126">
        <f t="shared" si="6"/>
        <v>4.5225000000000001E-2</v>
      </c>
      <c r="S17" s="126">
        <f t="shared" si="7"/>
        <v>5.5857000000000004E-2</v>
      </c>
      <c r="T17" s="126">
        <f t="shared" si="8"/>
        <v>4.7882999999999995E-2</v>
      </c>
      <c r="U17" s="244"/>
      <c r="V17" s="266">
        <v>5</v>
      </c>
      <c r="W17" s="267">
        <f t="shared" si="9"/>
        <v>7.130475E-2</v>
      </c>
      <c r="X17" s="267">
        <f t="shared" si="10"/>
        <v>8.8067870000000006E-2</v>
      </c>
      <c r="Y17" s="267">
        <f t="shared" si="11"/>
        <v>7.5495530000000005E-2</v>
      </c>
      <c r="Z17" s="244"/>
      <c r="AA17" s="121">
        <v>5</v>
      </c>
      <c r="AB17" s="269">
        <f t="shared" si="12"/>
        <v>3.4973999999999998E-2</v>
      </c>
      <c r="AC17" s="269">
        <f t="shared" si="13"/>
        <v>4.3196079999999998E-2</v>
      </c>
      <c r="AD17" s="269">
        <f t="shared" si="14"/>
        <v>3.7029519999999996E-2</v>
      </c>
      <c r="AE17" s="120"/>
      <c r="AF17" s="120"/>
    </row>
    <row r="18" spans="1:32" x14ac:dyDescent="0.2">
      <c r="A18" s="115">
        <v>68</v>
      </c>
      <c r="B18" s="116">
        <v>1.6594000000000001E-2</v>
      </c>
      <c r="C18" s="115">
        <v>75</v>
      </c>
      <c r="D18" s="116">
        <v>2.1062999999999998E-2</v>
      </c>
      <c r="E18" s="259"/>
      <c r="F18" s="259"/>
      <c r="G18" s="119">
        <v>6</v>
      </c>
      <c r="H18" s="127">
        <f t="shared" si="0"/>
        <v>3.3188000000000002E-2</v>
      </c>
      <c r="I18" s="127">
        <f t="shared" si="1"/>
        <v>4.2125999999999997E-2</v>
      </c>
      <c r="J18" s="127">
        <f t="shared" si="2"/>
        <v>3.5422500000000003E-2</v>
      </c>
      <c r="K18" s="244"/>
      <c r="L18" s="263">
        <v>6</v>
      </c>
      <c r="M18" s="264">
        <f t="shared" si="3"/>
        <v>7.4673000000000003E-2</v>
      </c>
      <c r="N18" s="264">
        <f t="shared" si="4"/>
        <v>9.4783499999999993E-2</v>
      </c>
      <c r="O18" s="264">
        <f t="shared" si="5"/>
        <v>7.9700624999999997E-2</v>
      </c>
      <c r="P18" s="244"/>
      <c r="Q18" s="124">
        <v>6</v>
      </c>
      <c r="R18" s="126">
        <f t="shared" si="6"/>
        <v>4.9782000000000007E-2</v>
      </c>
      <c r="S18" s="126">
        <f t="shared" si="7"/>
        <v>6.3188999999999995E-2</v>
      </c>
      <c r="T18" s="126">
        <f t="shared" si="8"/>
        <v>5.3133750000000007E-2</v>
      </c>
      <c r="U18" s="244"/>
      <c r="V18" s="266">
        <v>6</v>
      </c>
      <c r="W18" s="267">
        <f t="shared" si="9"/>
        <v>7.848962000000001E-2</v>
      </c>
      <c r="X18" s="267">
        <f t="shared" si="10"/>
        <v>9.962799E-2</v>
      </c>
      <c r="Y18" s="267">
        <f t="shared" si="11"/>
        <v>8.37742125E-2</v>
      </c>
      <c r="Z18" s="244"/>
      <c r="AA18" s="121">
        <v>6</v>
      </c>
      <c r="AB18" s="269">
        <f t="shared" si="12"/>
        <v>3.8498079999999997E-2</v>
      </c>
      <c r="AC18" s="269">
        <f t="shared" si="13"/>
        <v>4.8866159999999992E-2</v>
      </c>
      <c r="AD18" s="269">
        <f t="shared" si="14"/>
        <v>4.1090099999999997E-2</v>
      </c>
      <c r="AE18" s="120"/>
      <c r="AF18" s="120"/>
    </row>
    <row r="19" spans="1:32" x14ac:dyDescent="0.2">
      <c r="A19" s="115">
        <v>69</v>
      </c>
      <c r="B19" s="116">
        <v>1.7954000000000001E-2</v>
      </c>
      <c r="C19" s="115">
        <v>76</v>
      </c>
      <c r="D19" s="116">
        <v>2.3411000000000001E-2</v>
      </c>
      <c r="E19" s="259"/>
      <c r="F19" s="259"/>
      <c r="G19" s="119">
        <v>7</v>
      </c>
      <c r="H19" s="127">
        <f t="shared" si="0"/>
        <v>3.5908000000000002E-2</v>
      </c>
      <c r="I19" s="127">
        <f t="shared" si="1"/>
        <v>4.6822000000000003E-2</v>
      </c>
      <c r="J19" s="127">
        <f t="shared" si="2"/>
        <v>3.8636500000000004E-2</v>
      </c>
      <c r="K19" s="244"/>
      <c r="L19" s="263">
        <v>7</v>
      </c>
      <c r="M19" s="264">
        <f t="shared" si="3"/>
        <v>8.0793000000000004E-2</v>
      </c>
      <c r="N19" s="264">
        <f t="shared" si="4"/>
        <v>0.10534950000000001</v>
      </c>
      <c r="O19" s="264">
        <f t="shared" si="5"/>
        <v>8.6932124999999999E-2</v>
      </c>
      <c r="P19" s="244"/>
      <c r="Q19" s="124">
        <v>7</v>
      </c>
      <c r="R19" s="126">
        <f t="shared" si="6"/>
        <v>5.3862000000000007E-2</v>
      </c>
      <c r="S19" s="126">
        <f t="shared" si="7"/>
        <v>7.0233000000000004E-2</v>
      </c>
      <c r="T19" s="126">
        <f t="shared" si="8"/>
        <v>5.7954749999999999E-2</v>
      </c>
      <c r="U19" s="244"/>
      <c r="V19" s="266">
        <v>7</v>
      </c>
      <c r="W19" s="267">
        <f t="shared" si="9"/>
        <v>8.4922420000000012E-2</v>
      </c>
      <c r="X19" s="267">
        <f t="shared" si="10"/>
        <v>0.11073403000000001</v>
      </c>
      <c r="Y19" s="267">
        <f t="shared" si="11"/>
        <v>9.1375322500000022E-2</v>
      </c>
      <c r="Z19" s="244"/>
      <c r="AA19" s="121">
        <v>7</v>
      </c>
      <c r="AB19" s="269">
        <f t="shared" si="12"/>
        <v>4.1653280000000001E-2</v>
      </c>
      <c r="AC19" s="269">
        <f t="shared" si="13"/>
        <v>5.4313519999999997E-2</v>
      </c>
      <c r="AD19" s="269">
        <f t="shared" si="14"/>
        <v>4.4818339999999998E-2</v>
      </c>
      <c r="AE19" s="120"/>
      <c r="AF19" s="120"/>
    </row>
    <row r="20" spans="1:32" x14ac:dyDescent="0.2">
      <c r="A20" s="115">
        <v>70</v>
      </c>
      <c r="B20" s="116">
        <v>1.9639E-2</v>
      </c>
      <c r="C20" s="115">
        <v>77</v>
      </c>
      <c r="D20" s="116">
        <v>2.6863999999999999E-2</v>
      </c>
      <c r="E20" s="259"/>
      <c r="F20" s="259"/>
      <c r="G20" s="119">
        <v>8</v>
      </c>
      <c r="H20" s="127">
        <f t="shared" si="0"/>
        <v>3.9278E-2</v>
      </c>
      <c r="I20" s="127">
        <f t="shared" si="1"/>
        <v>5.3727999999999998E-2</v>
      </c>
      <c r="J20" s="127">
        <f t="shared" si="2"/>
        <v>4.2890499999999998E-2</v>
      </c>
      <c r="K20" s="244"/>
      <c r="L20" s="263">
        <v>8</v>
      </c>
      <c r="M20" s="264">
        <f t="shared" si="3"/>
        <v>8.8375499999999996E-2</v>
      </c>
      <c r="N20" s="264">
        <f t="shared" si="4"/>
        <v>0.120888</v>
      </c>
      <c r="O20" s="264">
        <f t="shared" si="5"/>
        <v>9.6503624999999996E-2</v>
      </c>
      <c r="P20" s="244"/>
      <c r="Q20" s="124">
        <v>8</v>
      </c>
      <c r="R20" s="126">
        <f t="shared" si="6"/>
        <v>5.8916999999999997E-2</v>
      </c>
      <c r="S20" s="126">
        <f t="shared" si="7"/>
        <v>8.0591999999999997E-2</v>
      </c>
      <c r="T20" s="126">
        <f t="shared" si="8"/>
        <v>6.4335749999999997E-2</v>
      </c>
      <c r="U20" s="244"/>
      <c r="V20" s="266">
        <v>8</v>
      </c>
      <c r="W20" s="267">
        <f t="shared" si="9"/>
        <v>9.2892470000000005E-2</v>
      </c>
      <c r="X20" s="267">
        <f t="shared" si="10"/>
        <v>0.12706671999999999</v>
      </c>
      <c r="Y20" s="267">
        <f t="shared" si="11"/>
        <v>0.1014360325</v>
      </c>
      <c r="Z20" s="244"/>
      <c r="AA20" s="121">
        <v>8</v>
      </c>
      <c r="AB20" s="269">
        <f t="shared" si="12"/>
        <v>4.5562479999999995E-2</v>
      </c>
      <c r="AC20" s="269">
        <f t="shared" si="13"/>
        <v>6.2324479999999995E-2</v>
      </c>
      <c r="AD20" s="269">
        <f t="shared" si="14"/>
        <v>4.9752979999999995E-2</v>
      </c>
      <c r="AE20" s="120"/>
      <c r="AF20" s="120"/>
    </row>
    <row r="21" spans="1:32" x14ac:dyDescent="0.2">
      <c r="A21" s="115">
        <v>71</v>
      </c>
      <c r="B21" s="116">
        <v>2.1509E-2</v>
      </c>
      <c r="C21" s="115">
        <v>78</v>
      </c>
      <c r="D21" s="116">
        <v>3.0072999999999999E-2</v>
      </c>
      <c r="E21" s="259"/>
      <c r="F21" s="259"/>
      <c r="G21" s="119">
        <v>9</v>
      </c>
      <c r="H21" s="127">
        <f t="shared" si="0"/>
        <v>4.3018000000000001E-2</v>
      </c>
      <c r="I21" s="127">
        <f t="shared" si="1"/>
        <v>6.0145999999999998E-2</v>
      </c>
      <c r="J21" s="127">
        <f t="shared" si="2"/>
        <v>4.7300000000000002E-2</v>
      </c>
      <c r="K21" s="244"/>
      <c r="L21" s="263">
        <v>9</v>
      </c>
      <c r="M21" s="264">
        <f t="shared" si="3"/>
        <v>9.6790500000000002E-2</v>
      </c>
      <c r="N21" s="264">
        <f t="shared" si="4"/>
        <v>0.13532849999999999</v>
      </c>
      <c r="O21" s="264">
        <f t="shared" si="5"/>
        <v>0.10642499999999999</v>
      </c>
      <c r="P21" s="244"/>
      <c r="Q21" s="124">
        <v>9</v>
      </c>
      <c r="R21" s="126">
        <f t="shared" si="6"/>
        <v>6.4527000000000001E-2</v>
      </c>
      <c r="S21" s="126">
        <f t="shared" si="7"/>
        <v>9.0218999999999994E-2</v>
      </c>
      <c r="T21" s="126">
        <f t="shared" si="8"/>
        <v>7.0949999999999999E-2</v>
      </c>
      <c r="U21" s="244"/>
      <c r="V21" s="266">
        <v>9</v>
      </c>
      <c r="W21" s="267">
        <f t="shared" si="9"/>
        <v>0.10173757000000001</v>
      </c>
      <c r="X21" s="267">
        <f t="shared" si="10"/>
        <v>0.14224529</v>
      </c>
      <c r="Y21" s="267">
        <f t="shared" si="11"/>
        <v>0.11186450000000001</v>
      </c>
      <c r="Z21" s="244"/>
      <c r="AA21" s="121">
        <v>9</v>
      </c>
      <c r="AB21" s="269">
        <f t="shared" si="12"/>
        <v>4.9900879999999995E-2</v>
      </c>
      <c r="AC21" s="269">
        <f t="shared" si="13"/>
        <v>6.9769359999999989E-2</v>
      </c>
      <c r="AD21" s="269">
        <f t="shared" si="14"/>
        <v>5.4868E-2</v>
      </c>
      <c r="AE21" s="120"/>
      <c r="AF21" s="120"/>
    </row>
    <row r="22" spans="1:32" x14ac:dyDescent="0.2">
      <c r="A22" s="115">
        <v>72</v>
      </c>
      <c r="B22" s="116">
        <v>2.3699000000000001E-2</v>
      </c>
      <c r="C22" s="115">
        <v>79</v>
      </c>
      <c r="D22" s="116">
        <v>3.3678E-2</v>
      </c>
      <c r="E22" s="259"/>
      <c r="F22" s="259"/>
      <c r="G22" s="119">
        <v>10</v>
      </c>
      <c r="H22" s="127">
        <f t="shared" si="0"/>
        <v>4.7398000000000003E-2</v>
      </c>
      <c r="I22" s="127">
        <f t="shared" si="1"/>
        <v>6.7355999999999999E-2</v>
      </c>
      <c r="J22" s="127">
        <f t="shared" si="2"/>
        <v>5.2387500000000004E-2</v>
      </c>
      <c r="K22" s="244"/>
      <c r="L22" s="263">
        <v>10</v>
      </c>
      <c r="M22" s="264">
        <f t="shared" si="3"/>
        <v>0.1066455</v>
      </c>
      <c r="N22" s="264">
        <f t="shared" si="4"/>
        <v>0.15155099999999999</v>
      </c>
      <c r="O22" s="264">
        <f t="shared" si="5"/>
        <v>0.117871875</v>
      </c>
      <c r="P22" s="244"/>
      <c r="Q22" s="124">
        <v>10</v>
      </c>
      <c r="R22" s="126">
        <f t="shared" si="6"/>
        <v>7.1097000000000007E-2</v>
      </c>
      <c r="S22" s="126">
        <f t="shared" si="7"/>
        <v>0.101034</v>
      </c>
      <c r="T22" s="126">
        <f t="shared" si="8"/>
        <v>7.8581250000000005E-2</v>
      </c>
      <c r="U22" s="244"/>
      <c r="V22" s="266">
        <v>10</v>
      </c>
      <c r="W22" s="267">
        <f t="shared" si="9"/>
        <v>0.11209627000000001</v>
      </c>
      <c r="X22" s="267">
        <f t="shared" si="10"/>
        <v>0.15929694000000003</v>
      </c>
      <c r="Y22" s="267">
        <f t="shared" si="11"/>
        <v>0.12389643750000001</v>
      </c>
      <c r="Z22" s="244"/>
      <c r="AA22" s="121">
        <v>10</v>
      </c>
      <c r="AB22" s="269">
        <f t="shared" si="12"/>
        <v>5.4981679999999998E-2</v>
      </c>
      <c r="AC22" s="269">
        <f t="shared" si="13"/>
        <v>7.8132959999999987E-2</v>
      </c>
      <c r="AD22" s="269">
        <f t="shared" si="14"/>
        <v>6.076949999999999E-2</v>
      </c>
      <c r="AE22" s="120"/>
      <c r="AF22" s="120"/>
    </row>
    <row r="23" spans="1:32" x14ac:dyDescent="0.2">
      <c r="A23" s="115">
        <v>73</v>
      </c>
      <c r="B23" s="116">
        <v>2.5409999999999999E-2</v>
      </c>
      <c r="C23" s="115">
        <v>80</v>
      </c>
      <c r="D23" s="116">
        <v>3.9002000000000002E-2</v>
      </c>
      <c r="E23" s="259"/>
      <c r="F23" s="259"/>
      <c r="G23" s="119">
        <v>11</v>
      </c>
      <c r="H23" s="127">
        <f t="shared" si="0"/>
        <v>5.0819999999999997E-2</v>
      </c>
      <c r="I23" s="127">
        <f t="shared" si="1"/>
        <v>7.8004000000000004E-2</v>
      </c>
      <c r="J23" s="127">
        <f t="shared" si="2"/>
        <v>5.7616000000000001E-2</v>
      </c>
      <c r="K23" s="244"/>
      <c r="L23" s="263">
        <v>11</v>
      </c>
      <c r="M23" s="264">
        <f t="shared" si="3"/>
        <v>0.11434499999999999</v>
      </c>
      <c r="N23" s="264">
        <f t="shared" si="4"/>
        <v>0.175509</v>
      </c>
      <c r="O23" s="264">
        <f t="shared" si="5"/>
        <v>0.129636</v>
      </c>
      <c r="P23" s="244"/>
      <c r="Q23" s="124">
        <v>11</v>
      </c>
      <c r="R23" s="126">
        <f t="shared" si="6"/>
        <v>7.6229999999999992E-2</v>
      </c>
      <c r="S23" s="126">
        <f t="shared" si="7"/>
        <v>0.117006</v>
      </c>
      <c r="T23" s="126">
        <f t="shared" si="8"/>
        <v>8.6424000000000001E-2</v>
      </c>
      <c r="U23" s="244"/>
      <c r="V23" s="266">
        <v>11</v>
      </c>
      <c r="W23" s="267">
        <f t="shared" si="9"/>
        <v>0.1201893</v>
      </c>
      <c r="X23" s="267">
        <f t="shared" si="10"/>
        <v>0.18447946000000004</v>
      </c>
      <c r="Y23" s="267">
        <f t="shared" si="11"/>
        <v>0.13626184000000002</v>
      </c>
      <c r="Z23" s="244"/>
      <c r="AA23" s="121">
        <v>11</v>
      </c>
      <c r="AB23" s="269">
        <f t="shared" si="12"/>
        <v>5.8951199999999995E-2</v>
      </c>
      <c r="AC23" s="269">
        <f t="shared" si="13"/>
        <v>9.0484640000000005E-2</v>
      </c>
      <c r="AD23" s="269">
        <f t="shared" si="14"/>
        <v>6.6834560000000001E-2</v>
      </c>
      <c r="AE23" s="120"/>
      <c r="AF23" s="120"/>
    </row>
    <row r="24" spans="1:32" x14ac:dyDescent="0.2">
      <c r="A24" s="115">
        <v>74</v>
      </c>
      <c r="B24" s="116">
        <v>2.7562E-2</v>
      </c>
      <c r="C24" s="115">
        <v>81</v>
      </c>
      <c r="D24" s="116">
        <v>4.4073000000000001E-2</v>
      </c>
      <c r="E24" s="259"/>
      <c r="F24" s="259"/>
      <c r="G24" s="119">
        <v>12</v>
      </c>
      <c r="H24" s="127">
        <f t="shared" si="0"/>
        <v>5.5123999999999999E-2</v>
      </c>
      <c r="I24" s="127">
        <f t="shared" si="1"/>
        <v>8.8146000000000002E-2</v>
      </c>
      <c r="J24" s="127">
        <f t="shared" si="2"/>
        <v>6.3379500000000005E-2</v>
      </c>
      <c r="K24" s="244"/>
      <c r="L24" s="263">
        <v>12</v>
      </c>
      <c r="M24" s="264">
        <f t="shared" si="3"/>
        <v>0.124029</v>
      </c>
      <c r="N24" s="264">
        <f t="shared" si="4"/>
        <v>0.19832850000000002</v>
      </c>
      <c r="O24" s="264">
        <f t="shared" si="5"/>
        <v>0.14260387499999999</v>
      </c>
      <c r="P24" s="244"/>
      <c r="Q24" s="124">
        <v>12</v>
      </c>
      <c r="R24" s="126">
        <f t="shared" si="6"/>
        <v>8.2685999999999996E-2</v>
      </c>
      <c r="S24" s="126">
        <f t="shared" si="7"/>
        <v>0.132219</v>
      </c>
      <c r="T24" s="126">
        <f t="shared" si="8"/>
        <v>9.5069249999999994E-2</v>
      </c>
      <c r="U24" s="244"/>
      <c r="V24" s="266">
        <v>12</v>
      </c>
      <c r="W24" s="267">
        <f t="shared" si="9"/>
        <v>0.13036826000000001</v>
      </c>
      <c r="X24" s="267">
        <f t="shared" si="10"/>
        <v>0.20846529000000003</v>
      </c>
      <c r="Y24" s="267">
        <f t="shared" si="11"/>
        <v>0.14989251750000002</v>
      </c>
      <c r="Z24" s="244"/>
      <c r="AA24" s="121">
        <v>12</v>
      </c>
      <c r="AB24" s="269">
        <f t="shared" si="12"/>
        <v>6.3943840000000002E-2</v>
      </c>
      <c r="AC24" s="269">
        <f t="shared" si="13"/>
        <v>0.10224936</v>
      </c>
      <c r="AD24" s="269">
        <f t="shared" si="14"/>
        <v>7.3520219999999997E-2</v>
      </c>
      <c r="AE24" s="120"/>
      <c r="AF24" s="120"/>
    </row>
    <row r="25" spans="1:32" x14ac:dyDescent="0.2">
      <c r="A25" s="115">
        <v>75</v>
      </c>
      <c r="B25" s="116">
        <v>3.0558999999999999E-2</v>
      </c>
      <c r="C25" s="115">
        <v>82</v>
      </c>
      <c r="D25" s="116">
        <v>4.9797000000000001E-2</v>
      </c>
      <c r="E25" s="259"/>
      <c r="F25" s="259"/>
      <c r="G25" s="119">
        <v>13</v>
      </c>
      <c r="H25" s="127">
        <f t="shared" si="0"/>
        <v>6.1117999999999999E-2</v>
      </c>
      <c r="I25" s="127">
        <f t="shared" si="1"/>
        <v>9.9594000000000002E-2</v>
      </c>
      <c r="J25" s="127">
        <f t="shared" si="2"/>
        <v>7.0736999999999994E-2</v>
      </c>
      <c r="K25" s="244"/>
      <c r="L25" s="263">
        <v>13</v>
      </c>
      <c r="M25" s="264">
        <f t="shared" si="3"/>
        <v>0.13751549999999998</v>
      </c>
      <c r="N25" s="264">
        <f t="shared" si="4"/>
        <v>0.22408649999999999</v>
      </c>
      <c r="O25" s="264">
        <f t="shared" si="5"/>
        <v>0.15915824999999997</v>
      </c>
      <c r="P25" s="244"/>
      <c r="Q25" s="124">
        <v>13</v>
      </c>
      <c r="R25" s="126">
        <f t="shared" si="6"/>
        <v>9.1676999999999995E-2</v>
      </c>
      <c r="S25" s="126">
        <f t="shared" si="7"/>
        <v>0.149391</v>
      </c>
      <c r="T25" s="126">
        <f t="shared" si="8"/>
        <v>0.10610549999999999</v>
      </c>
      <c r="U25" s="244"/>
      <c r="V25" s="266">
        <v>13</v>
      </c>
      <c r="W25" s="267">
        <f t="shared" si="9"/>
        <v>0.14454407</v>
      </c>
      <c r="X25" s="267">
        <f t="shared" si="10"/>
        <v>0.23553981000000002</v>
      </c>
      <c r="Y25" s="267">
        <f t="shared" si="11"/>
        <v>0.16729300499999999</v>
      </c>
      <c r="Z25" s="244"/>
      <c r="AA25" s="121">
        <v>13</v>
      </c>
      <c r="AB25" s="269">
        <f t="shared" si="12"/>
        <v>7.0896879999999995E-2</v>
      </c>
      <c r="AC25" s="269">
        <f t="shared" si="13"/>
        <v>0.11552904</v>
      </c>
      <c r="AD25" s="269">
        <f t="shared" si="14"/>
        <v>8.2054920000000003E-2</v>
      </c>
      <c r="AE25" s="120"/>
      <c r="AF25" s="120"/>
    </row>
    <row r="26" spans="1:32" x14ac:dyDescent="0.2">
      <c r="A26" s="115">
        <v>76</v>
      </c>
      <c r="B26" s="116">
        <v>3.4411999999999998E-2</v>
      </c>
      <c r="C26" s="115">
        <v>83</v>
      </c>
      <c r="D26" s="116">
        <v>5.5957E-2</v>
      </c>
      <c r="E26" s="259"/>
      <c r="F26" s="259"/>
      <c r="G26" s="119">
        <v>14</v>
      </c>
      <c r="H26" s="127">
        <f t="shared" si="0"/>
        <v>6.8823999999999996E-2</v>
      </c>
      <c r="I26" s="127">
        <f t="shared" si="1"/>
        <v>0.111914</v>
      </c>
      <c r="J26" s="127">
        <f t="shared" si="2"/>
        <v>7.9596500000000001E-2</v>
      </c>
      <c r="K26" s="244"/>
      <c r="L26" s="263">
        <v>14</v>
      </c>
      <c r="M26" s="264">
        <f t="shared" si="3"/>
        <v>0.15485399999999999</v>
      </c>
      <c r="N26" s="264">
        <f t="shared" si="4"/>
        <v>0.25180649999999999</v>
      </c>
      <c r="O26" s="264">
        <f t="shared" si="5"/>
        <v>0.17909212499999999</v>
      </c>
      <c r="P26" s="244"/>
      <c r="Q26" s="124">
        <v>14</v>
      </c>
      <c r="R26" s="126">
        <f t="shared" si="6"/>
        <v>0.10323599999999999</v>
      </c>
      <c r="S26" s="126">
        <f t="shared" si="7"/>
        <v>0.16787099999999999</v>
      </c>
      <c r="T26" s="126">
        <f t="shared" si="8"/>
        <v>0.11939474999999999</v>
      </c>
      <c r="U26" s="244"/>
      <c r="V26" s="266">
        <v>14</v>
      </c>
      <c r="W26" s="267">
        <f t="shared" si="9"/>
        <v>0.16276876000000001</v>
      </c>
      <c r="X26" s="267">
        <f t="shared" si="10"/>
        <v>0.26467661000000003</v>
      </c>
      <c r="Y26" s="267">
        <f t="shared" si="11"/>
        <v>0.18824572250000002</v>
      </c>
      <c r="Z26" s="244"/>
      <c r="AA26" s="121">
        <v>14</v>
      </c>
      <c r="AB26" s="269">
        <f t="shared" si="12"/>
        <v>7.9835839999999991E-2</v>
      </c>
      <c r="AC26" s="269">
        <f t="shared" si="13"/>
        <v>0.12982024</v>
      </c>
      <c r="AD26" s="269">
        <f t="shared" si="14"/>
        <v>9.2331940000000001E-2</v>
      </c>
      <c r="AE26" s="120"/>
      <c r="AF26" s="120"/>
    </row>
    <row r="27" spans="1:32" x14ac:dyDescent="0.2">
      <c r="A27" s="115">
        <v>77</v>
      </c>
      <c r="B27" s="116">
        <v>3.8379000000000003E-2</v>
      </c>
      <c r="C27" s="115">
        <v>84</v>
      </c>
      <c r="D27" s="116">
        <v>6.3022999999999996E-2</v>
      </c>
      <c r="E27" s="259"/>
      <c r="F27" s="259"/>
      <c r="G27" s="119">
        <v>15</v>
      </c>
      <c r="H27" s="127">
        <f t="shared" si="0"/>
        <v>7.6758000000000007E-2</v>
      </c>
      <c r="I27" s="127">
        <f t="shared" si="1"/>
        <v>0.12604599999999999</v>
      </c>
      <c r="J27" s="127">
        <f t="shared" si="2"/>
        <v>8.9080000000000006E-2</v>
      </c>
      <c r="K27" s="244"/>
      <c r="L27" s="263">
        <v>15</v>
      </c>
      <c r="M27" s="264">
        <f t="shared" si="3"/>
        <v>0.17270550000000001</v>
      </c>
      <c r="N27" s="264">
        <f t="shared" si="4"/>
        <v>0.28360350000000001</v>
      </c>
      <c r="O27" s="264">
        <f t="shared" si="5"/>
        <v>0.20043000000000002</v>
      </c>
      <c r="P27" s="244"/>
      <c r="Q27" s="124">
        <v>15</v>
      </c>
      <c r="R27" s="126">
        <f t="shared" si="6"/>
        <v>0.11513700000000002</v>
      </c>
      <c r="S27" s="126">
        <f t="shared" si="7"/>
        <v>0.18906899999999999</v>
      </c>
      <c r="T27" s="126">
        <f t="shared" si="8"/>
        <v>0.13362000000000002</v>
      </c>
      <c r="U27" s="244"/>
      <c r="V27" s="266">
        <v>15</v>
      </c>
      <c r="W27" s="267">
        <f t="shared" si="9"/>
        <v>0.18153267000000003</v>
      </c>
      <c r="X27" s="267">
        <f t="shared" si="10"/>
        <v>0.29809879</v>
      </c>
      <c r="Y27" s="267">
        <f t="shared" si="11"/>
        <v>0.21067420000000003</v>
      </c>
      <c r="Z27" s="244"/>
      <c r="AA27" s="121">
        <v>15</v>
      </c>
      <c r="AB27" s="269">
        <f t="shared" si="12"/>
        <v>8.9039279999999998E-2</v>
      </c>
      <c r="AC27" s="269">
        <f t="shared" si="13"/>
        <v>0.14621335999999999</v>
      </c>
      <c r="AD27" s="269">
        <f t="shared" si="14"/>
        <v>0.1033328</v>
      </c>
      <c r="AE27" s="120"/>
      <c r="AF27" s="120"/>
    </row>
    <row r="28" spans="1:32" x14ac:dyDescent="0.2">
      <c r="A28" s="115">
        <v>78</v>
      </c>
      <c r="B28" s="116">
        <v>4.3246E-2</v>
      </c>
      <c r="C28" s="115">
        <v>85</v>
      </c>
      <c r="D28" s="116">
        <v>7.1139999999999995E-2</v>
      </c>
      <c r="E28" s="259"/>
      <c r="F28" s="259"/>
      <c r="G28" s="119">
        <v>16</v>
      </c>
      <c r="H28" s="127">
        <f t="shared" si="0"/>
        <v>8.6491999999999999E-2</v>
      </c>
      <c r="I28" s="127">
        <f t="shared" si="1"/>
        <v>0.14227999999999999</v>
      </c>
      <c r="J28" s="127">
        <f t="shared" si="2"/>
        <v>0.100439</v>
      </c>
      <c r="K28" s="244"/>
      <c r="L28" s="263">
        <v>16</v>
      </c>
      <c r="M28" s="264">
        <f t="shared" si="3"/>
        <v>0.194607</v>
      </c>
      <c r="N28" s="264">
        <f t="shared" si="4"/>
        <v>0.32012999999999997</v>
      </c>
      <c r="O28" s="264">
        <f t="shared" si="5"/>
        <v>0.22598774999999999</v>
      </c>
      <c r="P28" s="244"/>
      <c r="Q28" s="124">
        <v>16</v>
      </c>
      <c r="R28" s="126">
        <f t="shared" si="6"/>
        <v>0.12973799999999999</v>
      </c>
      <c r="S28" s="126">
        <f t="shared" si="7"/>
        <v>0.21342</v>
      </c>
      <c r="T28" s="126">
        <f t="shared" si="8"/>
        <v>0.15065849999999997</v>
      </c>
      <c r="U28" s="244"/>
      <c r="V28" s="266">
        <v>16</v>
      </c>
      <c r="W28" s="267">
        <f t="shared" si="9"/>
        <v>0.20455358000000001</v>
      </c>
      <c r="X28" s="267">
        <f t="shared" si="10"/>
        <v>0.33649220000000002</v>
      </c>
      <c r="Y28" s="267">
        <f t="shared" si="11"/>
        <v>0.23753823500000001</v>
      </c>
      <c r="Z28" s="244"/>
      <c r="AA28" s="121">
        <v>16</v>
      </c>
      <c r="AB28" s="269">
        <f t="shared" si="12"/>
        <v>0.10033072</v>
      </c>
      <c r="AC28" s="269">
        <f t="shared" si="13"/>
        <v>0.16504479999999996</v>
      </c>
      <c r="AD28" s="269">
        <f t="shared" si="14"/>
        <v>0.11650923999999999</v>
      </c>
      <c r="AE28" s="120"/>
      <c r="AF28" s="120"/>
    </row>
    <row r="29" spans="1:32" x14ac:dyDescent="0.2">
      <c r="A29" s="115">
        <v>79</v>
      </c>
      <c r="B29" s="116">
        <v>4.7924000000000001E-2</v>
      </c>
      <c r="C29" s="115">
        <v>86</v>
      </c>
      <c r="D29" s="116">
        <v>8.1536999999999998E-2</v>
      </c>
      <c r="E29" s="259"/>
      <c r="F29" s="259"/>
      <c r="G29" s="119">
        <v>17</v>
      </c>
      <c r="H29" s="127">
        <f t="shared" si="0"/>
        <v>9.5848000000000003E-2</v>
      </c>
      <c r="I29" s="127">
        <f t="shared" si="1"/>
        <v>0.163074</v>
      </c>
      <c r="J29" s="127">
        <f t="shared" si="2"/>
        <v>0.1126545</v>
      </c>
      <c r="K29" s="244"/>
      <c r="L29" s="263">
        <v>17</v>
      </c>
      <c r="M29" s="264">
        <f t="shared" si="3"/>
        <v>0.21565800000000002</v>
      </c>
      <c r="N29" s="264">
        <f t="shared" si="4"/>
        <v>0.36691649999999998</v>
      </c>
      <c r="O29" s="264">
        <f t="shared" si="5"/>
        <v>0.25347262500000001</v>
      </c>
      <c r="P29" s="244"/>
      <c r="Q29" s="124">
        <v>17</v>
      </c>
      <c r="R29" s="126">
        <f t="shared" si="6"/>
        <v>0.14377200000000001</v>
      </c>
      <c r="S29" s="126">
        <f t="shared" si="7"/>
        <v>0.244611</v>
      </c>
      <c r="T29" s="126">
        <f t="shared" si="8"/>
        <v>0.16898175000000001</v>
      </c>
      <c r="U29" s="244"/>
      <c r="V29" s="266">
        <v>17</v>
      </c>
      <c r="W29" s="267">
        <f t="shared" si="9"/>
        <v>0.22668052000000002</v>
      </c>
      <c r="X29" s="267">
        <f t="shared" si="10"/>
        <v>0.38567001000000001</v>
      </c>
      <c r="Y29" s="267">
        <f t="shared" si="11"/>
        <v>0.26642789249999999</v>
      </c>
      <c r="Z29" s="244"/>
      <c r="AA29" s="121">
        <v>17</v>
      </c>
      <c r="AB29" s="269">
        <f t="shared" si="12"/>
        <v>0.11118367999999999</v>
      </c>
      <c r="AC29" s="269">
        <f t="shared" si="13"/>
        <v>0.18916583999999997</v>
      </c>
      <c r="AD29" s="269">
        <f t="shared" si="14"/>
        <v>0.13067921999999998</v>
      </c>
      <c r="AE29" s="120"/>
      <c r="AF29" s="120"/>
    </row>
    <row r="30" spans="1:32" x14ac:dyDescent="0.2">
      <c r="A30" s="115">
        <v>80</v>
      </c>
      <c r="B30" s="116">
        <v>5.4809999999999998E-2</v>
      </c>
      <c r="C30" s="115">
        <v>87</v>
      </c>
      <c r="D30" s="116">
        <v>9.1619999999999993E-2</v>
      </c>
      <c r="E30" s="259"/>
      <c r="F30" s="259"/>
      <c r="G30" s="119">
        <v>18</v>
      </c>
      <c r="H30" s="127">
        <f t="shared" si="0"/>
        <v>0.10962</v>
      </c>
      <c r="I30" s="127">
        <f t="shared" si="1"/>
        <v>0.18323999999999999</v>
      </c>
      <c r="J30" s="127">
        <f t="shared" si="2"/>
        <v>0.128025</v>
      </c>
      <c r="K30" s="244"/>
      <c r="L30" s="263">
        <v>18</v>
      </c>
      <c r="M30" s="264">
        <f t="shared" si="3"/>
        <v>0.246645</v>
      </c>
      <c r="N30" s="264">
        <f t="shared" si="4"/>
        <v>0.41228999999999999</v>
      </c>
      <c r="O30" s="264">
        <f t="shared" si="5"/>
        <v>0.28805625000000001</v>
      </c>
      <c r="P30" s="244"/>
      <c r="Q30" s="124">
        <v>18</v>
      </c>
      <c r="R30" s="126">
        <f t="shared" si="6"/>
        <v>0.16442999999999999</v>
      </c>
      <c r="S30" s="126">
        <f t="shared" si="7"/>
        <v>0.27485999999999999</v>
      </c>
      <c r="T30" s="126">
        <f t="shared" si="8"/>
        <v>0.1920375</v>
      </c>
      <c r="U30" s="244"/>
      <c r="V30" s="266">
        <v>18</v>
      </c>
      <c r="W30" s="267">
        <f t="shared" si="9"/>
        <v>0.25925130000000002</v>
      </c>
      <c r="X30" s="267">
        <f t="shared" si="10"/>
        <v>0.43336259999999999</v>
      </c>
      <c r="Y30" s="267">
        <f t="shared" si="11"/>
        <v>0.30277912499999998</v>
      </c>
      <c r="Z30" s="244"/>
      <c r="AA30" s="121">
        <v>18</v>
      </c>
      <c r="AB30" s="269">
        <f t="shared" si="12"/>
        <v>0.12715919999999997</v>
      </c>
      <c r="AC30" s="269">
        <f t="shared" si="13"/>
        <v>0.21255839999999998</v>
      </c>
      <c r="AD30" s="269">
        <f t="shared" si="14"/>
        <v>0.14850899999999997</v>
      </c>
      <c r="AE30" s="120"/>
      <c r="AF30" s="120"/>
    </row>
    <row r="31" spans="1:32" x14ac:dyDescent="0.2">
      <c r="A31" s="115">
        <v>81</v>
      </c>
      <c r="B31" s="116">
        <v>6.0928999999999997E-2</v>
      </c>
      <c r="C31" s="115">
        <v>88</v>
      </c>
      <c r="D31" s="116">
        <v>0.105934</v>
      </c>
      <c r="E31" s="259"/>
      <c r="F31" s="259"/>
      <c r="G31" s="119">
        <v>19</v>
      </c>
      <c r="H31" s="127">
        <f t="shared" si="0"/>
        <v>0.12185799999999999</v>
      </c>
      <c r="I31" s="127">
        <f t="shared" si="1"/>
        <v>0.211868</v>
      </c>
      <c r="J31" s="127">
        <f t="shared" si="2"/>
        <v>0.1443605</v>
      </c>
      <c r="K31" s="244"/>
      <c r="L31" s="263">
        <v>19</v>
      </c>
      <c r="M31" s="264">
        <f t="shared" si="3"/>
        <v>0.27418049999999999</v>
      </c>
      <c r="N31" s="264">
        <f t="shared" si="4"/>
        <v>0.47670299999999999</v>
      </c>
      <c r="O31" s="264">
        <f t="shared" si="5"/>
        <v>0.32481112499999998</v>
      </c>
      <c r="P31" s="244"/>
      <c r="Q31" s="124">
        <v>19</v>
      </c>
      <c r="R31" s="126">
        <f t="shared" si="6"/>
        <v>0.18278699999999998</v>
      </c>
      <c r="S31" s="126">
        <f t="shared" si="7"/>
        <v>0.31780200000000003</v>
      </c>
      <c r="T31" s="126">
        <f t="shared" si="8"/>
        <v>0.21654074999999998</v>
      </c>
      <c r="U31" s="244"/>
      <c r="V31" s="266">
        <v>19</v>
      </c>
      <c r="W31" s="267">
        <f t="shared" si="9"/>
        <v>0.28819417000000003</v>
      </c>
      <c r="X31" s="267">
        <f t="shared" si="10"/>
        <v>0.50106782000000005</v>
      </c>
      <c r="Y31" s="267">
        <f t="shared" si="11"/>
        <v>0.34141258250000006</v>
      </c>
      <c r="Z31" s="244"/>
      <c r="AA31" s="121">
        <v>19</v>
      </c>
      <c r="AB31" s="269">
        <f t="shared" si="12"/>
        <v>0.14135527999999997</v>
      </c>
      <c r="AC31" s="269">
        <f t="shared" si="13"/>
        <v>0.24576687999999999</v>
      </c>
      <c r="AD31" s="269">
        <f t="shared" si="14"/>
        <v>0.16745817999999998</v>
      </c>
      <c r="AE31" s="120"/>
      <c r="AF31" s="120"/>
    </row>
    <row r="32" spans="1:32" x14ac:dyDescent="0.2">
      <c r="A32" s="115">
        <v>82</v>
      </c>
      <c r="B32" s="116">
        <v>6.9091E-2</v>
      </c>
      <c r="C32" s="115">
        <v>89</v>
      </c>
      <c r="D32" s="116">
        <v>0.11817800000000001</v>
      </c>
      <c r="E32" s="259"/>
      <c r="F32" s="259"/>
      <c r="G32" s="119">
        <v>20</v>
      </c>
      <c r="H32" s="127">
        <f t="shared" si="0"/>
        <v>0.138182</v>
      </c>
      <c r="I32" s="127">
        <f t="shared" si="1"/>
        <v>0.23635600000000001</v>
      </c>
      <c r="J32" s="127">
        <f t="shared" si="2"/>
        <v>0.1627255</v>
      </c>
      <c r="K32" s="244"/>
      <c r="L32" s="263">
        <v>20</v>
      </c>
      <c r="M32" s="264">
        <f t="shared" si="3"/>
        <v>0.31090950000000001</v>
      </c>
      <c r="N32" s="264">
        <f t="shared" si="4"/>
        <v>0.53180099999999997</v>
      </c>
      <c r="O32" s="264">
        <f t="shared" si="5"/>
        <v>0.36613237500000001</v>
      </c>
      <c r="P32" s="244"/>
      <c r="Q32" s="124">
        <v>20</v>
      </c>
      <c r="R32" s="126">
        <f t="shared" si="6"/>
        <v>0.20727299999999999</v>
      </c>
      <c r="S32" s="126">
        <f t="shared" si="7"/>
        <v>0.35453400000000002</v>
      </c>
      <c r="T32" s="126">
        <f t="shared" si="8"/>
        <v>0.24408824999999998</v>
      </c>
      <c r="U32" s="244"/>
      <c r="V32" s="266">
        <v>20</v>
      </c>
      <c r="W32" s="267">
        <f t="shared" si="9"/>
        <v>0.32680043000000003</v>
      </c>
      <c r="X32" s="267">
        <f t="shared" si="10"/>
        <v>0.55898194000000012</v>
      </c>
      <c r="Y32" s="267">
        <f t="shared" si="11"/>
        <v>0.38484580750000008</v>
      </c>
      <c r="Z32" s="244"/>
      <c r="AA32" s="121">
        <v>20</v>
      </c>
      <c r="AB32" s="269">
        <f t="shared" si="12"/>
        <v>0.16029111999999998</v>
      </c>
      <c r="AC32" s="269">
        <f t="shared" si="13"/>
        <v>0.27417295999999997</v>
      </c>
      <c r="AD32" s="269">
        <f t="shared" si="14"/>
        <v>0.18876157999999998</v>
      </c>
      <c r="AE32" s="120"/>
      <c r="AF32" s="120"/>
    </row>
    <row r="33" spans="1:32" x14ac:dyDescent="0.2">
      <c r="A33" s="115">
        <v>83</v>
      </c>
      <c r="B33" s="116">
        <v>7.5578000000000006E-2</v>
      </c>
      <c r="C33" s="115">
        <v>90</v>
      </c>
      <c r="D33" s="116">
        <v>0.134099</v>
      </c>
      <c r="E33" s="259"/>
      <c r="F33" s="259"/>
      <c r="G33" s="119">
        <v>21</v>
      </c>
      <c r="H33" s="127">
        <f t="shared" si="0"/>
        <v>0.15115600000000001</v>
      </c>
      <c r="I33" s="127">
        <f t="shared" si="1"/>
        <v>0.26819799999999999</v>
      </c>
      <c r="J33" s="127">
        <f t="shared" si="2"/>
        <v>0.18041650000000001</v>
      </c>
      <c r="K33" s="244"/>
      <c r="L33" s="263">
        <v>21</v>
      </c>
      <c r="M33" s="264">
        <f t="shared" si="3"/>
        <v>0.34010100000000004</v>
      </c>
      <c r="N33" s="264">
        <f t="shared" si="4"/>
        <v>0.60344549999999997</v>
      </c>
      <c r="O33" s="264">
        <f t="shared" si="5"/>
        <v>0.40593712500000001</v>
      </c>
      <c r="P33" s="244"/>
      <c r="Q33" s="124">
        <v>21</v>
      </c>
      <c r="R33" s="126">
        <f t="shared" si="6"/>
        <v>0.22673400000000002</v>
      </c>
      <c r="S33" s="126">
        <f t="shared" si="7"/>
        <v>0.40229700000000002</v>
      </c>
      <c r="T33" s="126">
        <f t="shared" si="8"/>
        <v>0.27062475000000003</v>
      </c>
      <c r="U33" s="244"/>
      <c r="V33" s="266">
        <v>21</v>
      </c>
      <c r="W33" s="267">
        <f t="shared" si="9"/>
        <v>0.35748394000000006</v>
      </c>
      <c r="X33" s="267">
        <f t="shared" si="10"/>
        <v>0.63428826999999999</v>
      </c>
      <c r="Y33" s="267">
        <f t="shared" si="11"/>
        <v>0.42668502250000007</v>
      </c>
      <c r="Z33" s="244"/>
      <c r="AA33" s="121">
        <v>21</v>
      </c>
      <c r="AB33" s="269">
        <f t="shared" si="12"/>
        <v>0.17534095999999999</v>
      </c>
      <c r="AC33" s="269">
        <f t="shared" si="13"/>
        <v>0.31110967999999994</v>
      </c>
      <c r="AD33" s="269">
        <f t="shared" si="14"/>
        <v>0.20928313999999998</v>
      </c>
      <c r="AE33" s="120"/>
      <c r="AF33" s="120"/>
    </row>
    <row r="34" spans="1:32" x14ac:dyDescent="0.2">
      <c r="A34" s="115">
        <v>84</v>
      </c>
      <c r="B34" s="116">
        <v>8.4871000000000002E-2</v>
      </c>
      <c r="C34" s="115">
        <v>91</v>
      </c>
      <c r="D34" s="116">
        <v>0.15221799999999999</v>
      </c>
      <c r="E34" s="259"/>
      <c r="F34" s="259"/>
      <c r="G34" s="119">
        <v>22</v>
      </c>
      <c r="H34" s="127">
        <f t="shared" si="0"/>
        <v>0.169742</v>
      </c>
      <c r="I34" s="127">
        <f t="shared" si="1"/>
        <v>0.30443599999999998</v>
      </c>
      <c r="J34" s="127">
        <f t="shared" si="2"/>
        <v>0.20341549999999997</v>
      </c>
      <c r="K34" s="244"/>
      <c r="L34" s="263">
        <v>22</v>
      </c>
      <c r="M34" s="264">
        <f t="shared" si="3"/>
        <v>0.38191950000000002</v>
      </c>
      <c r="N34" s="264">
        <f t="shared" si="4"/>
        <v>0.68498099999999995</v>
      </c>
      <c r="O34" s="264">
        <f t="shared" si="5"/>
        <v>0.45768487499999999</v>
      </c>
      <c r="P34" s="244"/>
      <c r="Q34" s="124">
        <v>22</v>
      </c>
      <c r="R34" s="126">
        <f t="shared" si="6"/>
        <v>0.25461299999999998</v>
      </c>
      <c r="S34" s="126">
        <f t="shared" si="7"/>
        <v>0.456654</v>
      </c>
      <c r="T34" s="126">
        <f t="shared" si="8"/>
        <v>0.30512324999999996</v>
      </c>
      <c r="U34" s="244"/>
      <c r="V34" s="266">
        <v>22</v>
      </c>
      <c r="W34" s="267">
        <f t="shared" si="9"/>
        <v>0.40143983000000005</v>
      </c>
      <c r="X34" s="267">
        <f t="shared" si="10"/>
        <v>0.71999113999999997</v>
      </c>
      <c r="Y34" s="267">
        <f t="shared" si="11"/>
        <v>0.48107765749999998</v>
      </c>
      <c r="Z34" s="244"/>
      <c r="AA34" s="121">
        <v>22</v>
      </c>
      <c r="AB34" s="269">
        <f t="shared" si="12"/>
        <v>0.19690072</v>
      </c>
      <c r="AC34" s="269">
        <f t="shared" si="13"/>
        <v>0.35314575999999998</v>
      </c>
      <c r="AD34" s="269">
        <f t="shared" si="14"/>
        <v>0.23596197999999999</v>
      </c>
      <c r="AE34" s="120"/>
      <c r="AF34" s="120"/>
    </row>
    <row r="35" spans="1:32" x14ac:dyDescent="0.2">
      <c r="A35" s="115">
        <v>85</v>
      </c>
      <c r="B35" s="116">
        <v>9.4935000000000005E-2</v>
      </c>
      <c r="C35" s="115">
        <v>92</v>
      </c>
      <c r="D35" s="116">
        <v>0.17122799999999999</v>
      </c>
      <c r="E35" s="259"/>
      <c r="F35" s="259"/>
      <c r="G35" s="119">
        <v>23</v>
      </c>
      <c r="H35" s="127">
        <f t="shared" si="0"/>
        <v>0.18987000000000001</v>
      </c>
      <c r="I35" s="127">
        <f t="shared" si="1"/>
        <v>0.34245599999999998</v>
      </c>
      <c r="J35" s="127">
        <f t="shared" si="2"/>
        <v>0.22801650000000001</v>
      </c>
      <c r="K35" s="244"/>
      <c r="L35" s="263">
        <v>23</v>
      </c>
      <c r="M35" s="264">
        <f t="shared" si="3"/>
        <v>0.42720750000000002</v>
      </c>
      <c r="N35" s="264">
        <f t="shared" si="4"/>
        <v>0.77052599999999993</v>
      </c>
      <c r="O35" s="264">
        <f t="shared" si="5"/>
        <v>0.51303712499999998</v>
      </c>
      <c r="P35" s="244"/>
      <c r="Q35" s="124">
        <v>23</v>
      </c>
      <c r="R35" s="126">
        <f t="shared" si="6"/>
        <v>0.28480500000000003</v>
      </c>
      <c r="S35" s="126">
        <f t="shared" si="7"/>
        <v>0.51368400000000003</v>
      </c>
      <c r="T35" s="126">
        <f t="shared" si="8"/>
        <v>0.34202475000000004</v>
      </c>
      <c r="U35" s="244"/>
      <c r="V35" s="266">
        <v>23</v>
      </c>
      <c r="W35" s="267">
        <f t="shared" si="9"/>
        <v>0.44904255000000004</v>
      </c>
      <c r="X35" s="267">
        <f t="shared" si="10"/>
        <v>0.80990844000000006</v>
      </c>
      <c r="Y35" s="267">
        <f t="shared" si="11"/>
        <v>0.53925902250000002</v>
      </c>
      <c r="Z35" s="244"/>
      <c r="AA35" s="121">
        <v>23</v>
      </c>
      <c r="AB35" s="269">
        <f t="shared" si="12"/>
        <v>0.22024920000000001</v>
      </c>
      <c r="AC35" s="269">
        <f t="shared" si="13"/>
        <v>0.39724895999999993</v>
      </c>
      <c r="AD35" s="269">
        <f t="shared" si="14"/>
        <v>0.26449913999999997</v>
      </c>
      <c r="AE35" s="120"/>
      <c r="AF35" s="120"/>
    </row>
    <row r="36" spans="1:32" x14ac:dyDescent="0.2">
      <c r="A36" s="115">
        <v>86</v>
      </c>
      <c r="B36" s="116">
        <v>0.106503</v>
      </c>
      <c r="C36" s="115">
        <v>93</v>
      </c>
      <c r="D36" s="116">
        <v>0.19035099999999999</v>
      </c>
      <c r="E36" s="259"/>
      <c r="F36" s="259"/>
      <c r="G36" s="119">
        <v>24</v>
      </c>
      <c r="H36" s="127">
        <f t="shared" si="0"/>
        <v>0.213006</v>
      </c>
      <c r="I36" s="127">
        <f t="shared" si="1"/>
        <v>0.38070199999999998</v>
      </c>
      <c r="J36" s="127">
        <f t="shared" si="2"/>
        <v>0.25492999999999999</v>
      </c>
      <c r="K36" s="244"/>
      <c r="L36" s="263">
        <v>24</v>
      </c>
      <c r="M36" s="264">
        <f t="shared" si="3"/>
        <v>0.47926350000000001</v>
      </c>
      <c r="N36" s="264">
        <f t="shared" si="4"/>
        <v>0.85657949999999994</v>
      </c>
      <c r="O36" s="264">
        <f t="shared" si="5"/>
        <v>0.57359249999999995</v>
      </c>
      <c r="P36" s="244"/>
      <c r="Q36" s="124">
        <v>24</v>
      </c>
      <c r="R36" s="126">
        <f t="shared" si="6"/>
        <v>0.31950899999999999</v>
      </c>
      <c r="S36" s="126">
        <f t="shared" si="7"/>
        <v>0.57105300000000003</v>
      </c>
      <c r="T36" s="126">
        <f t="shared" si="8"/>
        <v>0.38239499999999998</v>
      </c>
      <c r="U36" s="244"/>
      <c r="V36" s="266">
        <v>24</v>
      </c>
      <c r="W36" s="267">
        <f t="shared" si="9"/>
        <v>0.50375919000000002</v>
      </c>
      <c r="X36" s="267">
        <f t="shared" si="10"/>
        <v>0.90036023000000009</v>
      </c>
      <c r="Y36" s="267">
        <f t="shared" si="11"/>
        <v>0.60290945000000007</v>
      </c>
      <c r="Z36" s="244"/>
      <c r="AA36" s="121">
        <v>24</v>
      </c>
      <c r="AB36" s="269">
        <f t="shared" si="12"/>
        <v>0.24708695999999999</v>
      </c>
      <c r="AC36" s="269">
        <f t="shared" si="13"/>
        <v>0.44161431999999995</v>
      </c>
      <c r="AD36" s="269">
        <f t="shared" si="14"/>
        <v>0.2957188</v>
      </c>
      <c r="AE36" s="120"/>
      <c r="AF36" s="120"/>
    </row>
    <row r="37" spans="1:32" x14ac:dyDescent="0.2">
      <c r="A37" s="115">
        <v>87</v>
      </c>
      <c r="B37" s="116">
        <v>0.12002400000000001</v>
      </c>
      <c r="C37" s="115">
        <v>94</v>
      </c>
      <c r="D37" s="116">
        <v>0.210095</v>
      </c>
      <c r="E37" s="259"/>
      <c r="F37" s="259"/>
      <c r="G37" s="119">
        <v>25</v>
      </c>
      <c r="H37" s="127">
        <f t="shared" si="0"/>
        <v>0.24004800000000001</v>
      </c>
      <c r="I37" s="127">
        <f t="shared" si="1"/>
        <v>0.42019000000000001</v>
      </c>
      <c r="J37" s="127">
        <f t="shared" si="2"/>
        <v>0.28508349999999999</v>
      </c>
      <c r="K37" s="244"/>
      <c r="L37" s="263">
        <v>25</v>
      </c>
      <c r="M37" s="264">
        <f t="shared" si="3"/>
        <v>0.54010800000000003</v>
      </c>
      <c r="N37" s="264">
        <f t="shared" si="4"/>
        <v>0.94542749999999998</v>
      </c>
      <c r="O37" s="264">
        <f t="shared" si="5"/>
        <v>0.64143787500000005</v>
      </c>
      <c r="P37" s="244"/>
      <c r="Q37" s="124">
        <v>25</v>
      </c>
      <c r="R37" s="126">
        <f t="shared" si="6"/>
        <v>0.360072</v>
      </c>
      <c r="S37" s="126">
        <f t="shared" si="7"/>
        <v>0.63028499999999998</v>
      </c>
      <c r="T37" s="126">
        <f t="shared" si="8"/>
        <v>0.42762525000000001</v>
      </c>
      <c r="U37" s="244"/>
      <c r="V37" s="266">
        <v>25</v>
      </c>
      <c r="W37" s="267">
        <f t="shared" si="9"/>
        <v>0.56771352000000008</v>
      </c>
      <c r="X37" s="267">
        <f t="shared" si="10"/>
        <v>0.99374935000000009</v>
      </c>
      <c r="Y37" s="267">
        <f t="shared" si="11"/>
        <v>0.67422247750000008</v>
      </c>
      <c r="Z37" s="244"/>
      <c r="AA37" s="121">
        <v>25</v>
      </c>
      <c r="AB37" s="269">
        <f t="shared" si="12"/>
        <v>0.27845567999999998</v>
      </c>
      <c r="AC37" s="269">
        <f t="shared" si="13"/>
        <v>0.48742039999999998</v>
      </c>
      <c r="AD37" s="269">
        <f t="shared" si="14"/>
        <v>0.33069685999999998</v>
      </c>
      <c r="AE37" s="120"/>
      <c r="AF37" s="120"/>
    </row>
    <row r="38" spans="1:32" x14ac:dyDescent="0.2">
      <c r="A38" s="115">
        <v>88</v>
      </c>
      <c r="B38" s="116">
        <v>0.13526099999999999</v>
      </c>
      <c r="C38" s="115">
        <v>95</v>
      </c>
      <c r="D38" s="116">
        <v>0.230103</v>
      </c>
      <c r="E38" s="259"/>
      <c r="F38" s="259"/>
      <c r="G38" s="119">
        <v>26</v>
      </c>
      <c r="H38" s="127">
        <f t="shared" si="0"/>
        <v>0.27052199999999998</v>
      </c>
      <c r="I38" s="127">
        <f t="shared" si="1"/>
        <v>0.460206</v>
      </c>
      <c r="J38" s="127">
        <f t="shared" si="2"/>
        <v>0.31794299999999998</v>
      </c>
      <c r="K38" s="244"/>
      <c r="L38" s="263">
        <v>26</v>
      </c>
      <c r="M38" s="264">
        <f t="shared" si="3"/>
        <v>0.60867450000000001</v>
      </c>
      <c r="N38" s="264">
        <f t="shared" si="4"/>
        <v>1</v>
      </c>
      <c r="O38" s="264">
        <f t="shared" si="5"/>
        <v>0.70650587499999995</v>
      </c>
      <c r="P38" s="244"/>
      <c r="Q38" s="124">
        <v>26</v>
      </c>
      <c r="R38" s="126">
        <f t="shared" si="6"/>
        <v>0.405783</v>
      </c>
      <c r="S38" s="126">
        <f t="shared" si="7"/>
        <v>0.69030900000000006</v>
      </c>
      <c r="T38" s="126">
        <f t="shared" si="8"/>
        <v>0.47691450000000002</v>
      </c>
      <c r="U38" s="244"/>
      <c r="V38" s="266">
        <v>26</v>
      </c>
      <c r="W38" s="267">
        <f t="shared" si="9"/>
        <v>0.63978453000000002</v>
      </c>
      <c r="X38" s="267">
        <f t="shared" si="10"/>
        <v>1</v>
      </c>
      <c r="Y38" s="267">
        <f t="shared" si="11"/>
        <v>0.72983839750000001</v>
      </c>
      <c r="Z38" s="244"/>
      <c r="AA38" s="121">
        <v>26</v>
      </c>
      <c r="AB38" s="269">
        <f t="shared" si="12"/>
        <v>0.31380551999999995</v>
      </c>
      <c r="AC38" s="269">
        <f t="shared" si="13"/>
        <v>0.53383895999999997</v>
      </c>
      <c r="AD38" s="269">
        <f t="shared" si="14"/>
        <v>0.36881387999999993</v>
      </c>
      <c r="AE38" s="120"/>
      <c r="AF38" s="120"/>
    </row>
    <row r="39" spans="1:32" x14ac:dyDescent="0.2">
      <c r="A39" s="115">
        <v>89</v>
      </c>
      <c r="B39" s="116">
        <v>0.150561</v>
      </c>
      <c r="C39" s="115">
        <v>96</v>
      </c>
      <c r="D39" s="116">
        <v>0.251247</v>
      </c>
      <c r="E39" s="259"/>
      <c r="F39" s="259"/>
      <c r="G39" s="119">
        <v>27</v>
      </c>
      <c r="H39" s="127">
        <f t="shared" si="0"/>
        <v>0.301122</v>
      </c>
      <c r="I39" s="127">
        <f t="shared" si="1"/>
        <v>0.502494</v>
      </c>
      <c r="J39" s="127">
        <f t="shared" si="2"/>
        <v>0.35146500000000003</v>
      </c>
      <c r="K39" s="244"/>
      <c r="L39" s="263">
        <v>27</v>
      </c>
      <c r="M39" s="264">
        <f t="shared" si="3"/>
        <v>0.67752449999999997</v>
      </c>
      <c r="N39" s="264">
        <f t="shared" si="4"/>
        <v>1</v>
      </c>
      <c r="O39" s="264">
        <f t="shared" si="5"/>
        <v>0.75814337499999995</v>
      </c>
      <c r="P39" s="244"/>
      <c r="Q39" s="124">
        <v>27</v>
      </c>
      <c r="R39" s="126">
        <f t="shared" si="6"/>
        <v>0.451683</v>
      </c>
      <c r="S39" s="126">
        <f t="shared" si="7"/>
        <v>0.75374099999999999</v>
      </c>
      <c r="T39" s="126">
        <f t="shared" si="8"/>
        <v>0.52719749999999999</v>
      </c>
      <c r="U39" s="244"/>
      <c r="V39" s="266">
        <v>27</v>
      </c>
      <c r="W39" s="267">
        <f t="shared" si="9"/>
        <v>0.71215353000000003</v>
      </c>
      <c r="X39" s="267">
        <f t="shared" si="10"/>
        <v>1</v>
      </c>
      <c r="Y39" s="267">
        <f t="shared" si="11"/>
        <v>0.7841151475</v>
      </c>
      <c r="Z39" s="244"/>
      <c r="AA39" s="121">
        <v>27</v>
      </c>
      <c r="AB39" s="269">
        <f t="shared" si="12"/>
        <v>0.34930151999999998</v>
      </c>
      <c r="AC39" s="269">
        <f t="shared" si="13"/>
        <v>0.58289303999999997</v>
      </c>
      <c r="AD39" s="269">
        <f t="shared" si="14"/>
        <v>0.40769939999999993</v>
      </c>
      <c r="AE39" s="120"/>
      <c r="AF39" s="120"/>
    </row>
    <row r="40" spans="1:32" x14ac:dyDescent="0.2">
      <c r="A40" s="115">
        <v>90</v>
      </c>
      <c r="B40" s="116">
        <v>0.17042299999999999</v>
      </c>
      <c r="C40" s="115">
        <v>97</v>
      </c>
      <c r="D40" s="116">
        <v>0.278312</v>
      </c>
      <c r="E40" s="259"/>
      <c r="F40" s="259"/>
      <c r="G40" s="119">
        <v>28</v>
      </c>
      <c r="H40" s="127">
        <f t="shared" si="0"/>
        <v>0.34084599999999998</v>
      </c>
      <c r="I40" s="127">
        <f t="shared" si="1"/>
        <v>0.55662400000000001</v>
      </c>
      <c r="J40" s="127">
        <f t="shared" si="2"/>
        <v>0.39479049999999999</v>
      </c>
      <c r="K40" s="244"/>
      <c r="L40" s="263">
        <v>28</v>
      </c>
      <c r="M40" s="264">
        <f t="shared" si="3"/>
        <v>0.76690349999999996</v>
      </c>
      <c r="N40" s="264">
        <f t="shared" si="4"/>
        <v>1</v>
      </c>
      <c r="O40" s="264">
        <f t="shared" si="5"/>
        <v>0.82517762500000003</v>
      </c>
      <c r="P40" s="244"/>
      <c r="Q40" s="124">
        <v>28</v>
      </c>
      <c r="R40" s="126">
        <f t="shared" si="6"/>
        <v>0.51126899999999997</v>
      </c>
      <c r="S40" s="126">
        <f t="shared" si="7"/>
        <v>0.83493600000000001</v>
      </c>
      <c r="T40" s="126">
        <f t="shared" si="8"/>
        <v>0.59218574999999996</v>
      </c>
      <c r="U40" s="244"/>
      <c r="V40" s="266">
        <v>28</v>
      </c>
      <c r="W40" s="267">
        <f t="shared" si="9"/>
        <v>0.80610079000000001</v>
      </c>
      <c r="X40" s="267">
        <f t="shared" si="10"/>
        <v>1</v>
      </c>
      <c r="Y40" s="267">
        <f t="shared" si="11"/>
        <v>0.85457559250000004</v>
      </c>
      <c r="Z40" s="244"/>
      <c r="AA40" s="121">
        <v>28</v>
      </c>
      <c r="AB40" s="269">
        <f t="shared" si="12"/>
        <v>0.39538135999999996</v>
      </c>
      <c r="AC40" s="269">
        <f t="shared" si="13"/>
        <v>0.64568384000000001</v>
      </c>
      <c r="AD40" s="269">
        <f t="shared" si="14"/>
        <v>0.45795697999999996</v>
      </c>
      <c r="AE40" s="120"/>
      <c r="AF40" s="120"/>
    </row>
    <row r="41" spans="1:32" x14ac:dyDescent="0.2">
      <c r="A41" s="115">
        <v>91</v>
      </c>
      <c r="B41" s="116">
        <v>0.18754000000000001</v>
      </c>
      <c r="C41" s="115">
        <v>98</v>
      </c>
      <c r="D41" s="116">
        <v>0.304062</v>
      </c>
      <c r="E41" s="259"/>
      <c r="F41" s="259"/>
      <c r="G41" s="119">
        <v>29</v>
      </c>
      <c r="H41" s="127">
        <f t="shared" si="0"/>
        <v>0.37508000000000002</v>
      </c>
      <c r="I41" s="127">
        <f t="shared" si="1"/>
        <v>0.608124</v>
      </c>
      <c r="J41" s="127">
        <f t="shared" si="2"/>
        <v>0.43334099999999998</v>
      </c>
      <c r="K41" s="244"/>
      <c r="L41" s="263">
        <v>29</v>
      </c>
      <c r="M41" s="264">
        <f t="shared" si="3"/>
        <v>0.84393000000000007</v>
      </c>
      <c r="N41" s="264">
        <f t="shared" si="4"/>
        <v>1</v>
      </c>
      <c r="O41" s="264">
        <f t="shared" si="5"/>
        <v>0.8829475</v>
      </c>
      <c r="P41" s="244"/>
      <c r="Q41" s="124">
        <v>29</v>
      </c>
      <c r="R41" s="126">
        <f t="shared" si="6"/>
        <v>0.56262000000000001</v>
      </c>
      <c r="S41" s="126">
        <f t="shared" si="7"/>
        <v>0.91218599999999994</v>
      </c>
      <c r="T41" s="126">
        <f t="shared" si="8"/>
        <v>0.65001149999999996</v>
      </c>
      <c r="U41" s="244"/>
      <c r="V41" s="266">
        <v>29</v>
      </c>
      <c r="W41" s="267">
        <f t="shared" si="9"/>
        <v>0.88706420000000019</v>
      </c>
      <c r="X41" s="267">
        <f t="shared" si="10"/>
        <v>1</v>
      </c>
      <c r="Y41" s="267">
        <f t="shared" si="11"/>
        <v>0.91529815000000014</v>
      </c>
      <c r="Z41" s="244"/>
      <c r="AA41" s="121">
        <v>29</v>
      </c>
      <c r="AB41" s="269">
        <f t="shared" si="12"/>
        <v>0.4350928</v>
      </c>
      <c r="AC41" s="269">
        <f t="shared" si="13"/>
        <v>0.70542383999999991</v>
      </c>
      <c r="AD41" s="269">
        <f t="shared" si="14"/>
        <v>0.50267555999999991</v>
      </c>
      <c r="AE41" s="120"/>
      <c r="AF41" s="120"/>
    </row>
    <row r="42" spans="1:32" x14ac:dyDescent="0.2">
      <c r="A42" s="115">
        <v>92</v>
      </c>
      <c r="B42" s="116">
        <v>0.20976600000000001</v>
      </c>
      <c r="C42" s="115">
        <v>99</v>
      </c>
      <c r="D42" s="116">
        <v>0.32394400000000001</v>
      </c>
      <c r="E42" s="259"/>
      <c r="F42" s="259"/>
      <c r="G42" s="119">
        <v>30</v>
      </c>
      <c r="H42" s="127">
        <f t="shared" si="0"/>
        <v>0.41953200000000002</v>
      </c>
      <c r="I42" s="127">
        <f t="shared" si="1"/>
        <v>0.64788800000000002</v>
      </c>
      <c r="J42" s="127">
        <f t="shared" si="2"/>
        <v>0.47662100000000002</v>
      </c>
      <c r="K42" s="244"/>
      <c r="L42" s="263">
        <v>30</v>
      </c>
      <c r="M42" s="264">
        <f t="shared" si="3"/>
        <v>0.94394700000000009</v>
      </c>
      <c r="N42" s="264">
        <f t="shared" si="4"/>
        <v>1</v>
      </c>
      <c r="O42" s="264">
        <f t="shared" si="5"/>
        <v>0.95796025000000007</v>
      </c>
      <c r="P42" s="244"/>
      <c r="Q42" s="124">
        <v>30</v>
      </c>
      <c r="R42" s="126">
        <f t="shared" si="6"/>
        <v>0.62929800000000002</v>
      </c>
      <c r="S42" s="126">
        <f t="shared" si="7"/>
        <v>0.97183200000000003</v>
      </c>
      <c r="T42" s="126">
        <f t="shared" si="8"/>
        <v>0.71493150000000005</v>
      </c>
      <c r="U42" s="244"/>
      <c r="V42" s="266">
        <v>30</v>
      </c>
      <c r="W42" s="267">
        <f t="shared" si="9"/>
        <v>0.99219318000000012</v>
      </c>
      <c r="X42" s="267">
        <f t="shared" si="10"/>
        <v>1</v>
      </c>
      <c r="Y42" s="267">
        <f t="shared" si="11"/>
        <v>0.99414488500000009</v>
      </c>
      <c r="Z42" s="244"/>
      <c r="AA42" s="121">
        <v>30</v>
      </c>
      <c r="AB42" s="269">
        <f t="shared" si="12"/>
        <v>0.48665712</v>
      </c>
      <c r="AC42" s="269">
        <f t="shared" si="13"/>
        <v>0.75155008000000001</v>
      </c>
      <c r="AD42" s="269">
        <f t="shared" si="14"/>
        <v>0.55288035999999996</v>
      </c>
      <c r="AE42" s="120"/>
      <c r="AF42" s="120"/>
    </row>
    <row r="43" spans="1:32" x14ac:dyDescent="0.2">
      <c r="A43" s="115">
        <v>93</v>
      </c>
      <c r="B43" s="116">
        <v>0.22975899999999999</v>
      </c>
      <c r="C43" s="115">
        <v>100</v>
      </c>
      <c r="D43" s="89">
        <v>0.35231099999999999</v>
      </c>
      <c r="G43" s="119">
        <v>31</v>
      </c>
      <c r="H43" s="127">
        <f t="shared" si="0"/>
        <v>0.45951799999999998</v>
      </c>
      <c r="I43" s="127">
        <f t="shared" si="1"/>
        <v>0.70462199999999997</v>
      </c>
      <c r="J43" s="127">
        <f t="shared" si="2"/>
        <v>0.52079399999999998</v>
      </c>
      <c r="K43" s="244"/>
      <c r="L43" s="263">
        <v>31</v>
      </c>
      <c r="M43" s="264">
        <f t="shared" si="3"/>
        <v>1</v>
      </c>
      <c r="N43" s="264">
        <f t="shared" si="4"/>
        <v>1</v>
      </c>
      <c r="O43" s="264">
        <f t="shared" si="5"/>
        <v>1</v>
      </c>
      <c r="P43" s="244"/>
      <c r="Q43" s="124">
        <v>31</v>
      </c>
      <c r="R43" s="126">
        <f t="shared" si="6"/>
        <v>0.68927699999999992</v>
      </c>
      <c r="S43" s="126">
        <f t="shared" si="7"/>
        <v>1</v>
      </c>
      <c r="T43" s="126">
        <f t="shared" si="8"/>
        <v>0.76695774999999999</v>
      </c>
      <c r="U43" s="244"/>
      <c r="V43" s="266">
        <v>31</v>
      </c>
      <c r="W43" s="267">
        <f t="shared" si="9"/>
        <v>1</v>
      </c>
      <c r="X43" s="267">
        <f t="shared" si="10"/>
        <v>1</v>
      </c>
      <c r="Y43" s="267">
        <f t="shared" si="11"/>
        <v>1</v>
      </c>
      <c r="Z43" s="244"/>
      <c r="AA43" s="121">
        <v>31</v>
      </c>
      <c r="AB43" s="269">
        <f t="shared" si="12"/>
        <v>0.53304087999999994</v>
      </c>
      <c r="AC43" s="269">
        <f t="shared" si="13"/>
        <v>0.81736151999999995</v>
      </c>
      <c r="AD43" s="269">
        <f t="shared" si="14"/>
        <v>0.60412103999999989</v>
      </c>
      <c r="AE43" s="120"/>
      <c r="AF43" s="120"/>
    </row>
    <row r="44" spans="1:32" x14ac:dyDescent="0.2">
      <c r="A44" s="115">
        <v>94</v>
      </c>
      <c r="B44" s="116">
        <v>0.25412299999999999</v>
      </c>
      <c r="C44" s="115">
        <v>101</v>
      </c>
      <c r="D44" s="89">
        <v>0.35231099999999999</v>
      </c>
      <c r="G44" s="119">
        <v>32</v>
      </c>
      <c r="H44" s="127">
        <f t="shared" si="0"/>
        <v>0.50824599999999998</v>
      </c>
      <c r="I44" s="127">
        <f t="shared" si="1"/>
        <v>0.70462199999999997</v>
      </c>
      <c r="J44" s="127">
        <f t="shared" si="2"/>
        <v>0.55733999999999995</v>
      </c>
      <c r="K44" s="244"/>
      <c r="L44" s="263">
        <v>32</v>
      </c>
      <c r="M44" s="264">
        <f t="shared" si="3"/>
        <v>1</v>
      </c>
      <c r="N44" s="264">
        <f t="shared" si="4"/>
        <v>1</v>
      </c>
      <c r="O44" s="264">
        <f t="shared" si="5"/>
        <v>1</v>
      </c>
      <c r="P44" s="244"/>
      <c r="Q44" s="124">
        <v>32</v>
      </c>
      <c r="R44" s="126">
        <f t="shared" si="6"/>
        <v>0.76236899999999996</v>
      </c>
      <c r="S44" s="126">
        <f t="shared" si="7"/>
        <v>1</v>
      </c>
      <c r="T44" s="126">
        <f t="shared" si="8"/>
        <v>0.82177674999999994</v>
      </c>
      <c r="U44" s="244"/>
      <c r="V44" s="266">
        <v>32</v>
      </c>
      <c r="W44" s="267">
        <f t="shared" si="9"/>
        <v>1</v>
      </c>
      <c r="X44" s="267">
        <f t="shared" si="10"/>
        <v>1</v>
      </c>
      <c r="Y44" s="267">
        <f t="shared" si="11"/>
        <v>1</v>
      </c>
      <c r="Z44" s="244"/>
      <c r="AA44" s="121">
        <v>32</v>
      </c>
      <c r="AB44" s="269">
        <f t="shared" si="12"/>
        <v>0.58956535999999993</v>
      </c>
      <c r="AC44" s="269">
        <f t="shared" si="13"/>
        <v>0.81736151999999995</v>
      </c>
      <c r="AD44" s="269">
        <f t="shared" si="14"/>
        <v>0.64651439999999993</v>
      </c>
      <c r="AE44" s="120"/>
      <c r="AF44" s="120"/>
    </row>
    <row r="45" spans="1:32" x14ac:dyDescent="0.2">
      <c r="A45" s="115">
        <v>95</v>
      </c>
      <c r="B45" s="116">
        <v>0.27496500000000001</v>
      </c>
      <c r="C45" s="115">
        <v>102</v>
      </c>
      <c r="D45" s="89">
        <v>0.35231099999999999</v>
      </c>
      <c r="G45" s="119">
        <v>33</v>
      </c>
      <c r="H45" s="127">
        <f t="shared" si="0"/>
        <v>0.54993000000000003</v>
      </c>
      <c r="I45" s="127">
        <f t="shared" si="1"/>
        <v>0.70462199999999997</v>
      </c>
      <c r="J45" s="127">
        <f t="shared" si="2"/>
        <v>0.58860299999999999</v>
      </c>
      <c r="K45" s="244"/>
      <c r="L45" s="263">
        <v>33</v>
      </c>
      <c r="M45" s="264">
        <f t="shared" si="3"/>
        <v>1</v>
      </c>
      <c r="N45" s="264">
        <f t="shared" si="4"/>
        <v>1</v>
      </c>
      <c r="O45" s="264">
        <f t="shared" si="5"/>
        <v>1</v>
      </c>
      <c r="P45" s="244"/>
      <c r="Q45" s="124">
        <v>33</v>
      </c>
      <c r="R45" s="126">
        <f t="shared" si="6"/>
        <v>0.82489500000000004</v>
      </c>
      <c r="S45" s="126">
        <f t="shared" si="7"/>
        <v>1</v>
      </c>
      <c r="T45" s="126">
        <f t="shared" si="8"/>
        <v>0.86867125000000001</v>
      </c>
      <c r="U45" s="244"/>
      <c r="V45" s="266">
        <v>33</v>
      </c>
      <c r="W45" s="267">
        <f t="shared" si="9"/>
        <v>1</v>
      </c>
      <c r="X45" s="267">
        <f t="shared" si="10"/>
        <v>1</v>
      </c>
      <c r="Y45" s="267">
        <f t="shared" si="11"/>
        <v>1</v>
      </c>
      <c r="Z45" s="244"/>
      <c r="AA45" s="121">
        <v>33</v>
      </c>
      <c r="AB45" s="269">
        <f t="shared" si="12"/>
        <v>0.63791880000000001</v>
      </c>
      <c r="AC45" s="269">
        <f t="shared" si="13"/>
        <v>0.81736151999999995</v>
      </c>
      <c r="AD45" s="269">
        <f t="shared" si="14"/>
        <v>0.68277947999999999</v>
      </c>
      <c r="AE45" s="120"/>
      <c r="AF45" s="120"/>
    </row>
    <row r="46" spans="1:32" x14ac:dyDescent="0.2">
      <c r="A46" s="115">
        <v>96</v>
      </c>
      <c r="B46" s="116">
        <v>0.29870200000000002</v>
      </c>
      <c r="C46" s="115">
        <v>103</v>
      </c>
      <c r="D46" s="89">
        <v>0.35231099999999999</v>
      </c>
      <c r="G46" s="119">
        <v>34</v>
      </c>
      <c r="H46" s="127">
        <f t="shared" si="0"/>
        <v>0.59740400000000005</v>
      </c>
      <c r="I46" s="127">
        <f t="shared" si="1"/>
        <v>0.70462199999999997</v>
      </c>
      <c r="J46" s="127">
        <f t="shared" si="2"/>
        <v>0.62420850000000005</v>
      </c>
      <c r="K46" s="244"/>
      <c r="L46" s="263">
        <v>34</v>
      </c>
      <c r="M46" s="264">
        <f t="shared" si="3"/>
        <v>1</v>
      </c>
      <c r="N46" s="264">
        <f t="shared" si="4"/>
        <v>1</v>
      </c>
      <c r="O46" s="264">
        <f t="shared" si="5"/>
        <v>1</v>
      </c>
      <c r="P46" s="244"/>
      <c r="Q46" s="124">
        <v>34</v>
      </c>
      <c r="R46" s="126">
        <f t="shared" si="6"/>
        <v>0.89610600000000007</v>
      </c>
      <c r="S46" s="126">
        <f t="shared" si="7"/>
        <v>1</v>
      </c>
      <c r="T46" s="126">
        <f t="shared" si="8"/>
        <v>0.92207950000000005</v>
      </c>
      <c r="U46" s="244"/>
      <c r="V46" s="266">
        <v>34</v>
      </c>
      <c r="W46" s="267">
        <f t="shared" si="9"/>
        <v>1</v>
      </c>
      <c r="X46" s="267">
        <f t="shared" si="10"/>
        <v>1</v>
      </c>
      <c r="Y46" s="267">
        <f t="shared" si="11"/>
        <v>1</v>
      </c>
      <c r="Z46" s="244"/>
      <c r="AA46" s="121">
        <v>34</v>
      </c>
      <c r="AB46" s="269">
        <f t="shared" si="12"/>
        <v>0.69298864000000004</v>
      </c>
      <c r="AC46" s="269">
        <f t="shared" si="13"/>
        <v>0.81736151999999995</v>
      </c>
      <c r="AD46" s="269">
        <f t="shared" si="14"/>
        <v>0.72408185999999997</v>
      </c>
      <c r="AE46" s="120"/>
      <c r="AF46" s="120"/>
    </row>
    <row r="47" spans="1:32" x14ac:dyDescent="0.2">
      <c r="A47" s="115">
        <v>97</v>
      </c>
      <c r="B47" s="116">
        <v>0.32780599999999999</v>
      </c>
      <c r="C47" s="115">
        <v>104</v>
      </c>
      <c r="D47" s="89">
        <v>0.35231099999999999</v>
      </c>
      <c r="G47" s="119">
        <v>35</v>
      </c>
      <c r="H47" s="127">
        <f t="shared" si="0"/>
        <v>0.65561199999999997</v>
      </c>
      <c r="I47" s="127">
        <f t="shared" si="1"/>
        <v>0.70462199999999997</v>
      </c>
      <c r="J47" s="127">
        <f t="shared" si="2"/>
        <v>0.66786449999999997</v>
      </c>
      <c r="K47" s="244"/>
      <c r="L47" s="263">
        <v>35</v>
      </c>
      <c r="M47" s="264">
        <f t="shared" si="3"/>
        <v>1</v>
      </c>
      <c r="N47" s="264">
        <f t="shared" si="4"/>
        <v>1</v>
      </c>
      <c r="O47" s="264">
        <f t="shared" si="5"/>
        <v>1</v>
      </c>
      <c r="P47" s="244"/>
      <c r="Q47" s="124">
        <v>35</v>
      </c>
      <c r="R47" s="126">
        <f t="shared" si="6"/>
        <v>0.9834179999999999</v>
      </c>
      <c r="S47" s="126">
        <f t="shared" si="7"/>
        <v>1</v>
      </c>
      <c r="T47" s="126">
        <f t="shared" si="8"/>
        <v>0.98756349999999993</v>
      </c>
      <c r="U47" s="244"/>
      <c r="V47" s="266">
        <v>35</v>
      </c>
      <c r="W47" s="267">
        <f t="shared" si="9"/>
        <v>1</v>
      </c>
      <c r="X47" s="267">
        <f t="shared" si="10"/>
        <v>1</v>
      </c>
      <c r="Y47" s="267">
        <f t="shared" si="11"/>
        <v>1</v>
      </c>
      <c r="Z47" s="244"/>
      <c r="AA47" s="121">
        <v>35</v>
      </c>
      <c r="AB47" s="269">
        <f t="shared" si="12"/>
        <v>0.76050991999999995</v>
      </c>
      <c r="AC47" s="269">
        <f t="shared" si="13"/>
        <v>0.81736151999999995</v>
      </c>
      <c r="AD47" s="269">
        <f t="shared" si="14"/>
        <v>0.77472281999999992</v>
      </c>
      <c r="AE47" s="120"/>
      <c r="AF47" s="120"/>
    </row>
    <row r="48" spans="1:32" x14ac:dyDescent="0.2">
      <c r="A48" s="115">
        <v>98</v>
      </c>
      <c r="B48" s="116">
        <v>0.337947</v>
      </c>
      <c r="C48" s="115">
        <v>105</v>
      </c>
      <c r="D48" s="89">
        <v>0.35231099999999999</v>
      </c>
      <c r="G48" s="119">
        <v>36</v>
      </c>
      <c r="H48" s="127">
        <f t="shared" si="0"/>
        <v>0.67589399999999999</v>
      </c>
      <c r="I48" s="127">
        <f t="shared" si="1"/>
        <v>0.70462199999999997</v>
      </c>
      <c r="J48" s="127">
        <f t="shared" si="2"/>
        <v>0.68307600000000002</v>
      </c>
      <c r="K48" s="244"/>
      <c r="L48" s="263">
        <v>36</v>
      </c>
      <c r="M48" s="264">
        <f t="shared" si="3"/>
        <v>1</v>
      </c>
      <c r="N48" s="264">
        <f t="shared" si="4"/>
        <v>1</v>
      </c>
      <c r="O48" s="264">
        <f t="shared" si="5"/>
        <v>1</v>
      </c>
      <c r="P48" s="244"/>
      <c r="Q48" s="124">
        <v>36</v>
      </c>
      <c r="R48" s="126">
        <f t="shared" si="6"/>
        <v>1</v>
      </c>
      <c r="S48" s="126">
        <f t="shared" si="7"/>
        <v>1</v>
      </c>
      <c r="T48" s="126">
        <f t="shared" si="8"/>
        <v>1</v>
      </c>
      <c r="U48" s="244"/>
      <c r="V48" s="266">
        <v>36</v>
      </c>
      <c r="W48" s="267">
        <f t="shared" si="9"/>
        <v>1</v>
      </c>
      <c r="X48" s="267">
        <f t="shared" si="10"/>
        <v>1</v>
      </c>
      <c r="Y48" s="267">
        <f t="shared" si="11"/>
        <v>1</v>
      </c>
      <c r="Z48" s="244"/>
      <c r="AA48" s="121">
        <v>36</v>
      </c>
      <c r="AB48" s="269">
        <f t="shared" si="12"/>
        <v>0.78403703999999996</v>
      </c>
      <c r="AC48" s="269">
        <f t="shared" si="13"/>
        <v>0.81736151999999995</v>
      </c>
      <c r="AD48" s="269">
        <f t="shared" si="14"/>
        <v>0.79236815999999999</v>
      </c>
      <c r="AE48" s="120"/>
      <c r="AF48" s="120"/>
    </row>
    <row r="49" spans="1:32" x14ac:dyDescent="0.2">
      <c r="A49" s="115">
        <v>99</v>
      </c>
      <c r="B49" s="116">
        <v>0.37825900000000001</v>
      </c>
      <c r="C49" s="115">
        <v>106</v>
      </c>
      <c r="D49" s="89">
        <v>0.35231099999999999</v>
      </c>
      <c r="G49" s="119">
        <v>37</v>
      </c>
      <c r="H49" s="127">
        <f t="shared" si="0"/>
        <v>0.75651800000000002</v>
      </c>
      <c r="I49" s="127">
        <f t="shared" si="1"/>
        <v>0.70462199999999997</v>
      </c>
      <c r="J49" s="127">
        <f t="shared" si="2"/>
        <v>0.74354400000000009</v>
      </c>
      <c r="K49" s="244"/>
      <c r="L49" s="263">
        <v>37</v>
      </c>
      <c r="M49" s="264">
        <f t="shared" si="3"/>
        <v>1</v>
      </c>
      <c r="N49" s="264">
        <f t="shared" si="4"/>
        <v>1</v>
      </c>
      <c r="O49" s="264">
        <f t="shared" si="5"/>
        <v>1</v>
      </c>
      <c r="P49" s="244"/>
      <c r="Q49" s="124">
        <v>37</v>
      </c>
      <c r="R49" s="126">
        <f t="shared" si="6"/>
        <v>1</v>
      </c>
      <c r="S49" s="126">
        <f t="shared" si="7"/>
        <v>1</v>
      </c>
      <c r="T49" s="126">
        <f t="shared" si="8"/>
        <v>1</v>
      </c>
      <c r="U49" s="244"/>
      <c r="V49" s="266">
        <v>37</v>
      </c>
      <c r="W49" s="267">
        <f t="shared" si="9"/>
        <v>1</v>
      </c>
      <c r="X49" s="267">
        <f t="shared" si="10"/>
        <v>1</v>
      </c>
      <c r="Y49" s="267">
        <f t="shared" si="11"/>
        <v>1</v>
      </c>
      <c r="Z49" s="244"/>
      <c r="AA49" s="121">
        <v>37</v>
      </c>
      <c r="AB49" s="269">
        <f t="shared" si="12"/>
        <v>0.87756087999999999</v>
      </c>
      <c r="AC49" s="269">
        <f t="shared" si="13"/>
        <v>0.81736151999999995</v>
      </c>
      <c r="AD49" s="269">
        <f t="shared" si="14"/>
        <v>0.86251104000000001</v>
      </c>
      <c r="AE49" s="120"/>
      <c r="AF49" s="120"/>
    </row>
    <row r="50" spans="1:32" x14ac:dyDescent="0.2">
      <c r="A50" s="115">
        <v>100</v>
      </c>
      <c r="B50" s="89">
        <v>0.40347499999999997</v>
      </c>
      <c r="C50" s="115">
        <v>107</v>
      </c>
      <c r="D50" s="89">
        <v>0.35231099999999999</v>
      </c>
      <c r="G50" s="119">
        <v>38</v>
      </c>
      <c r="H50" s="127">
        <f t="shared" si="0"/>
        <v>0.80694999999999995</v>
      </c>
      <c r="I50" s="127">
        <f t="shared" si="1"/>
        <v>0.70462199999999997</v>
      </c>
      <c r="J50" s="127">
        <f t="shared" si="2"/>
        <v>0.78136799999999995</v>
      </c>
      <c r="K50" s="244"/>
      <c r="L50" s="263">
        <v>38</v>
      </c>
      <c r="M50" s="264">
        <f t="shared" si="3"/>
        <v>1</v>
      </c>
      <c r="N50" s="264">
        <f t="shared" si="4"/>
        <v>1</v>
      </c>
      <c r="O50" s="264">
        <f t="shared" si="5"/>
        <v>1</v>
      </c>
      <c r="P50" s="244"/>
      <c r="Q50" s="124">
        <v>38</v>
      </c>
      <c r="R50" s="126">
        <f t="shared" si="6"/>
        <v>1</v>
      </c>
      <c r="S50" s="126">
        <f t="shared" si="7"/>
        <v>1</v>
      </c>
      <c r="T50" s="126">
        <f t="shared" si="8"/>
        <v>1</v>
      </c>
      <c r="U50" s="244"/>
      <c r="V50" s="266">
        <v>38</v>
      </c>
      <c r="W50" s="267">
        <f t="shared" si="9"/>
        <v>1</v>
      </c>
      <c r="X50" s="267">
        <f t="shared" si="10"/>
        <v>1</v>
      </c>
      <c r="Y50" s="267">
        <f t="shared" si="11"/>
        <v>1</v>
      </c>
      <c r="Z50" s="244"/>
      <c r="AA50" s="121">
        <v>38</v>
      </c>
      <c r="AB50" s="269">
        <f t="shared" si="12"/>
        <v>0.93606199999999984</v>
      </c>
      <c r="AC50" s="269">
        <f t="shared" si="13"/>
        <v>0.81736151999999995</v>
      </c>
      <c r="AD50" s="269">
        <f t="shared" si="14"/>
        <v>0.90638687999999989</v>
      </c>
    </row>
    <row r="51" spans="1:32" x14ac:dyDescent="0.2">
      <c r="A51" s="115">
        <v>101</v>
      </c>
      <c r="B51" s="89">
        <v>0.40347499999999997</v>
      </c>
      <c r="C51" s="115">
        <v>107</v>
      </c>
      <c r="D51" s="89">
        <v>0.35231099999999999</v>
      </c>
      <c r="G51" s="119">
        <v>39</v>
      </c>
      <c r="H51" s="127">
        <f t="shared" si="0"/>
        <v>0.80694999999999995</v>
      </c>
      <c r="I51" s="127">
        <f t="shared" si="1"/>
        <v>0.70462199999999997</v>
      </c>
      <c r="J51" s="127">
        <f t="shared" si="2"/>
        <v>0.78136799999999995</v>
      </c>
      <c r="K51" s="244"/>
      <c r="L51" s="263">
        <v>39</v>
      </c>
      <c r="M51" s="264">
        <f t="shared" si="3"/>
        <v>1</v>
      </c>
      <c r="N51" s="264">
        <f t="shared" si="4"/>
        <v>1</v>
      </c>
      <c r="O51" s="264">
        <f t="shared" si="5"/>
        <v>1</v>
      </c>
      <c r="P51" s="244"/>
      <c r="Q51" s="124">
        <v>39</v>
      </c>
      <c r="R51" s="126">
        <f t="shared" si="6"/>
        <v>1</v>
      </c>
      <c r="S51" s="126">
        <f t="shared" si="7"/>
        <v>1</v>
      </c>
      <c r="T51" s="126">
        <f t="shared" si="8"/>
        <v>1</v>
      </c>
      <c r="U51" s="244"/>
      <c r="V51" s="266">
        <v>39</v>
      </c>
      <c r="W51" s="267">
        <f t="shared" si="9"/>
        <v>1</v>
      </c>
      <c r="X51" s="267">
        <f t="shared" si="10"/>
        <v>1</v>
      </c>
      <c r="Y51" s="267">
        <f t="shared" si="11"/>
        <v>1</v>
      </c>
      <c r="Z51" s="244"/>
      <c r="AA51" s="121">
        <v>39</v>
      </c>
      <c r="AB51" s="269">
        <f t="shared" si="12"/>
        <v>0.93606199999999984</v>
      </c>
      <c r="AC51" s="269">
        <f t="shared" si="13"/>
        <v>0.81736151999999995</v>
      </c>
      <c r="AD51" s="269">
        <f t="shared" si="14"/>
        <v>0.90638687999999989</v>
      </c>
    </row>
    <row r="52" spans="1:32" x14ac:dyDescent="0.2">
      <c r="A52" s="115">
        <v>102</v>
      </c>
      <c r="B52" s="89">
        <v>0.40347499999999997</v>
      </c>
      <c r="C52" s="115">
        <v>107</v>
      </c>
      <c r="D52" s="89">
        <v>0.35231099999999999</v>
      </c>
      <c r="G52" s="119">
        <v>40</v>
      </c>
      <c r="H52" s="127">
        <f t="shared" si="0"/>
        <v>0.80694999999999995</v>
      </c>
      <c r="I52" s="127">
        <f t="shared" si="1"/>
        <v>0.70462199999999997</v>
      </c>
      <c r="J52" s="127">
        <f t="shared" si="2"/>
        <v>0.78136799999999995</v>
      </c>
      <c r="K52" s="244"/>
      <c r="L52" s="263">
        <v>40</v>
      </c>
      <c r="M52" s="264">
        <f t="shared" si="3"/>
        <v>1</v>
      </c>
      <c r="N52" s="264">
        <f t="shared" si="4"/>
        <v>1</v>
      </c>
      <c r="O52" s="264">
        <f t="shared" si="5"/>
        <v>1</v>
      </c>
      <c r="P52" s="244"/>
      <c r="Q52" s="124">
        <v>40</v>
      </c>
      <c r="R52" s="126">
        <f t="shared" si="6"/>
        <v>1</v>
      </c>
      <c r="S52" s="126">
        <f t="shared" si="7"/>
        <v>1</v>
      </c>
      <c r="T52" s="126">
        <f t="shared" si="8"/>
        <v>1</v>
      </c>
      <c r="U52" s="244"/>
      <c r="V52" s="125">
        <v>40</v>
      </c>
      <c r="W52" s="267">
        <f t="shared" si="9"/>
        <v>1</v>
      </c>
      <c r="X52" s="267">
        <f t="shared" si="10"/>
        <v>1</v>
      </c>
      <c r="Y52" s="267">
        <f t="shared" si="11"/>
        <v>1</v>
      </c>
      <c r="Z52" s="244"/>
      <c r="AA52" s="121">
        <v>40</v>
      </c>
      <c r="AB52" s="269">
        <f t="shared" si="12"/>
        <v>0.93606199999999984</v>
      </c>
      <c r="AC52" s="269">
        <f t="shared" si="13"/>
        <v>0.81736151999999995</v>
      </c>
      <c r="AD52" s="269">
        <f t="shared" si="14"/>
        <v>0.90638687999999989</v>
      </c>
    </row>
    <row r="53" spans="1:32" x14ac:dyDescent="0.2">
      <c r="B53" s="109"/>
    </row>
    <row r="54" spans="1:32" x14ac:dyDescent="0.2">
      <c r="B54" s="109"/>
    </row>
    <row r="55" spans="1:32" x14ac:dyDescent="0.2">
      <c r="B55" s="109"/>
    </row>
    <row r="56" spans="1:32" x14ac:dyDescent="0.2">
      <c r="B56" s="109"/>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2"/>
  <sheetViews>
    <sheetView workbookViewId="0">
      <selection activeCell="F13" sqref="F13"/>
    </sheetView>
  </sheetViews>
  <sheetFormatPr baseColWidth="10" defaultColWidth="8.83203125" defaultRowHeight="15" x14ac:dyDescent="0.2"/>
  <cols>
    <col min="1" max="1" width="18.83203125" customWidth="1"/>
    <col min="2" max="2" width="11.5" customWidth="1"/>
    <col min="3" max="3" width="3.5" customWidth="1"/>
    <col min="4" max="4" width="9.33203125" customWidth="1"/>
    <col min="5" max="5" width="12.5" customWidth="1"/>
    <col min="6" max="6" width="11.83203125" customWidth="1"/>
    <col min="8" max="8" width="3.83203125" customWidth="1"/>
    <col min="9" max="9" width="11.1640625" customWidth="1"/>
    <col min="10" max="10" width="9.83203125" customWidth="1"/>
    <col min="11" max="11" width="11.1640625" customWidth="1"/>
    <col min="12" max="12" width="12.33203125" customWidth="1"/>
    <col min="13" max="13" width="4.33203125" customWidth="1"/>
    <col min="14" max="14" width="11.6640625" style="3" customWidth="1"/>
    <col min="15" max="17" width="8.6640625" style="3"/>
    <col min="18" max="18" width="3.6640625" customWidth="1"/>
    <col min="19" max="19" width="8.5" style="3" customWidth="1"/>
    <col min="20" max="21" width="10.6640625" style="3" customWidth="1"/>
    <col min="22" max="22" width="11.83203125" style="3" customWidth="1"/>
    <col min="23" max="23" width="5" style="3" customWidth="1"/>
    <col min="24" max="24" width="11.1640625" style="3" customWidth="1"/>
    <col min="25" max="25" width="10.6640625" style="3" customWidth="1"/>
    <col min="26" max="26" width="8.6640625" style="3"/>
    <col min="27" max="27" width="10.1640625" style="3" customWidth="1"/>
  </cols>
  <sheetData>
    <row r="2" spans="1:27" x14ac:dyDescent="0.2"/>
    <row r="3" spans="1:27" x14ac:dyDescent="0.2">
      <c r="A3" s="47" t="s">
        <v>519</v>
      </c>
      <c r="B3" s="74">
        <v>0.84199999999999997</v>
      </c>
      <c r="C3" s="76"/>
    </row>
    <row r="4" spans="1:27" x14ac:dyDescent="0.2">
      <c r="A4" s="47" t="s">
        <v>514</v>
      </c>
      <c r="B4" s="74">
        <v>0.77900000000000003</v>
      </c>
      <c r="C4" s="76"/>
    </row>
    <row r="5" spans="1:27" x14ac:dyDescent="0.2">
      <c r="A5" s="47" t="s">
        <v>520</v>
      </c>
      <c r="B5" s="74">
        <v>0.82099999999999995</v>
      </c>
      <c r="C5" s="76"/>
    </row>
    <row r="6" spans="1:27" x14ac:dyDescent="0.2">
      <c r="A6" s="47" t="s">
        <v>521</v>
      </c>
      <c r="B6" s="74">
        <v>0.70299999999999996</v>
      </c>
      <c r="C6" s="76"/>
    </row>
    <row r="7" spans="1:27" x14ac:dyDescent="0.2">
      <c r="A7" s="47" t="s">
        <v>522</v>
      </c>
      <c r="B7" s="74">
        <v>0.70299999999999996</v>
      </c>
      <c r="C7" s="76"/>
    </row>
    <row r="8" spans="1:27" x14ac:dyDescent="0.2">
      <c r="A8" s="47" t="s">
        <v>499</v>
      </c>
      <c r="B8" s="74">
        <v>0.75</v>
      </c>
      <c r="C8" s="76"/>
      <c r="L8" s="131"/>
      <c r="M8" s="131"/>
    </row>
    <row r="9" spans="1:27" x14ac:dyDescent="0.2">
      <c r="B9" s="76"/>
      <c r="C9" s="76"/>
    </row>
    <row r="10" spans="1:27" x14ac:dyDescent="0.2">
      <c r="B10" s="76"/>
      <c r="C10" s="76"/>
    </row>
    <row r="11" spans="1:27" x14ac:dyDescent="0.2">
      <c r="D11" s="379" t="s">
        <v>511</v>
      </c>
      <c r="E11" s="379"/>
      <c r="F11" s="379"/>
      <c r="G11" s="379"/>
      <c r="H11" s="3"/>
      <c r="I11" s="375" t="s">
        <v>514</v>
      </c>
      <c r="J11" s="375"/>
      <c r="K11" s="375"/>
      <c r="L11" s="375"/>
      <c r="M11" s="3"/>
      <c r="N11" s="376" t="s">
        <v>518</v>
      </c>
      <c r="O11" s="376"/>
      <c r="P11" s="376"/>
      <c r="Q11" s="376"/>
      <c r="R11" s="3"/>
      <c r="S11" s="377" t="s">
        <v>517</v>
      </c>
      <c r="T11" s="377"/>
      <c r="U11" s="377"/>
      <c r="V11" s="377"/>
      <c r="X11" s="378" t="s">
        <v>701</v>
      </c>
      <c r="Y11" s="378"/>
      <c r="Z11" s="378"/>
      <c r="AA11" s="378"/>
    </row>
    <row r="12" spans="1:27" x14ac:dyDescent="0.2">
      <c r="A12" s="113" t="s">
        <v>500</v>
      </c>
      <c r="B12" s="113" t="s">
        <v>505</v>
      </c>
      <c r="C12" s="113"/>
      <c r="D12" s="306" t="s">
        <v>691</v>
      </c>
      <c r="E12" s="307" t="s">
        <v>329</v>
      </c>
      <c r="F12" s="307" t="s">
        <v>512</v>
      </c>
      <c r="G12" s="308" t="s">
        <v>515</v>
      </c>
      <c r="H12" s="3"/>
      <c r="I12" t="s">
        <v>691</v>
      </c>
      <c r="J12" s="3" t="s">
        <v>329</v>
      </c>
      <c r="K12" s="3" t="s">
        <v>512</v>
      </c>
      <c r="L12" s="3" t="s">
        <v>513</v>
      </c>
      <c r="M12" s="3"/>
      <c r="N12" s="3" t="s">
        <v>691</v>
      </c>
      <c r="O12" s="3" t="s">
        <v>329</v>
      </c>
      <c r="P12" s="3" t="s">
        <v>512</v>
      </c>
      <c r="Q12" s="3" t="s">
        <v>513</v>
      </c>
      <c r="R12" s="3"/>
      <c r="S12" s="3" t="s">
        <v>691</v>
      </c>
      <c r="T12" s="3" t="s">
        <v>329</v>
      </c>
      <c r="U12" s="3" t="s">
        <v>512</v>
      </c>
      <c r="V12" s="3" t="s">
        <v>513</v>
      </c>
      <c r="X12" s="3" t="s">
        <v>691</v>
      </c>
      <c r="Y12" s="3" t="s">
        <v>329</v>
      </c>
      <c r="Z12" s="3" t="s">
        <v>512</v>
      </c>
      <c r="AA12" s="3" t="s">
        <v>513</v>
      </c>
    </row>
    <row r="13" spans="1:27" x14ac:dyDescent="0.2">
      <c r="A13" s="115">
        <v>63</v>
      </c>
      <c r="B13" s="115">
        <v>70</v>
      </c>
      <c r="C13" s="3"/>
      <c r="D13" s="309">
        <v>1</v>
      </c>
      <c r="E13" s="310">
        <f t="shared" ref="E13:E52" si="0">u_no_event*(0.9508566 + (0.0212126*1) - (0.0002587*A13)- (0.0000332*(A13^2)))</f>
        <v>0.69380825260000012</v>
      </c>
      <c r="F13" s="310">
        <f t="shared" ref="F13:F52" si="1">u_no_event*(0.9508566 + (0.0212126*0) - (0.0002587*B13)- (0.0000332*(B13^2)))</f>
        <v>0.64839691919999998</v>
      </c>
      <c r="G13" s="311">
        <f t="shared" ref="G13:G52" si="2">(E13*male_proportion_STEMI)+(F13*(1-male_proportion_STEMI))</f>
        <v>0.68245541925000008</v>
      </c>
      <c r="H13" s="178"/>
      <c r="I13" s="154">
        <v>1</v>
      </c>
      <c r="J13" s="128">
        <f>u_reinfarction*(0.9508566 + (0.0212126*1) - (0.0002587*A13)- (0.0000332*(A13^2)))</f>
        <v>0.64189623370000015</v>
      </c>
      <c r="K13" s="128">
        <f>u_reinfarction*(0.9508566 + (0.0212126*0) - (0.0002587*B13)- (0.0000332*(B13^2)))</f>
        <v>0.59988266040000005</v>
      </c>
      <c r="L13" s="128">
        <f t="shared" ref="L13:L52" si="3">(J13*male_proportion_STEMI)+(K13*(1-male_proportion_STEMI))</f>
        <v>0.6313928403750001</v>
      </c>
      <c r="M13" s="178"/>
      <c r="N13" s="75">
        <v>1</v>
      </c>
      <c r="O13" s="78">
        <f t="shared" ref="O13:O52" si="4">u_post_reinfarction*(0.9508566 + (0.0212126*1) - (0.0002587*A13)- (0.0000332*(A13^2)))</f>
        <v>0.67650424630000006</v>
      </c>
      <c r="P13" s="78">
        <f t="shared" ref="P13:P52" si="5">u_post_reinfarction*(0.9508566 + (0.0212126*0) - (0.0002587*B13)- (0.0000332*(B13^2)))</f>
        <v>0.63222549959999996</v>
      </c>
      <c r="Q13" s="78">
        <f t="shared" ref="Q13:Q52" si="6">(O13*male_proportion_STEMI)+(P13*(1-male_proportion_STEMI))</f>
        <v>0.66543455962500009</v>
      </c>
      <c r="R13" s="178"/>
      <c r="S13" s="155">
        <v>1</v>
      </c>
      <c r="T13" s="129">
        <f t="shared" ref="T13:T52" si="7">u_stroke*(0.9508566 + (0.0212126*1) - (0.0002587*A13)- (0.0000332*(A13^2)))</f>
        <v>0.57927221090000003</v>
      </c>
      <c r="U13" s="129">
        <f t="shared" ref="U13:U52" si="8">u_stroke*(0.9508566 + (0.0212126*0) - (0.0002587*B13)- (0.0000332*(B13^2)))</f>
        <v>0.54135752279999994</v>
      </c>
      <c r="V13" s="129">
        <f t="shared" ref="V13:V52" si="9">(T13*male_proportion_STEMI)+(U13*(1-male_proportion_STEMI))</f>
        <v>0.56979353887499995</v>
      </c>
      <c r="W13" s="178"/>
      <c r="X13" s="156">
        <v>1</v>
      </c>
      <c r="Y13" s="130">
        <f t="shared" ref="Y13:Y52" si="10">u_post_stroke*(0.9508566 + (0.0212126*1) - (0.0002587*A13)- (0.0000332*(A13^2)))</f>
        <v>0.57927221090000003</v>
      </c>
      <c r="Z13" s="130">
        <f t="shared" ref="Z13:Z52" si="11">u_post_stroke*(0.9508566 + (0.0212126*0) - (0.0002587*B13)- (0.0000332*(B13^2)))</f>
        <v>0.54135752279999994</v>
      </c>
      <c r="AA13" s="130">
        <f t="shared" ref="AA13:AA52" si="12">(Y13*male_proportion_STEMI)+(Z13*(1-male_proportion_STEMI))</f>
        <v>0.56979353887499995</v>
      </c>
    </row>
    <row r="14" spans="1:27" x14ac:dyDescent="0.2">
      <c r="A14" s="115">
        <v>64</v>
      </c>
      <c r="B14" s="115">
        <v>71</v>
      </c>
      <c r="C14" s="3"/>
      <c r="D14" s="309">
        <v>2</v>
      </c>
      <c r="E14" s="310">
        <f t="shared" si="0"/>
        <v>0.69004021840000007</v>
      </c>
      <c r="F14" s="310">
        <f t="shared" si="1"/>
        <v>0.64423752340000007</v>
      </c>
      <c r="G14" s="311">
        <f t="shared" si="2"/>
        <v>0.6785895446500001</v>
      </c>
      <c r="H14" s="178"/>
      <c r="I14" s="154">
        <v>2</v>
      </c>
      <c r="J14" s="128">
        <f t="shared" ref="J14:J52" si="13">u_reinfarction*(0.9508566 + (0.0212126*1) - (0.0002587*A14)- (0.0000332*(A14^2)))</f>
        <v>0.63841013080000009</v>
      </c>
      <c r="K14" s="128">
        <f t="shared" ref="K14:K52" si="14">u_reinfarction*(0.9508566 + (0.0212126*0) - (0.0002587*B14)- (0.0000332*(B14^2)))</f>
        <v>0.59603447830000011</v>
      </c>
      <c r="L14" s="128">
        <f t="shared" si="3"/>
        <v>0.62781621767500007</v>
      </c>
      <c r="M14" s="178"/>
      <c r="N14" s="75">
        <v>2</v>
      </c>
      <c r="O14" s="78">
        <f t="shared" si="4"/>
        <v>0.67283018920000004</v>
      </c>
      <c r="P14" s="78">
        <f t="shared" si="5"/>
        <v>0.62816984170000001</v>
      </c>
      <c r="Q14" s="78">
        <f t="shared" si="6"/>
        <v>0.66166510232500009</v>
      </c>
      <c r="R14" s="178"/>
      <c r="S14" s="155">
        <v>2</v>
      </c>
      <c r="T14" s="129">
        <f t="shared" si="7"/>
        <v>0.57612621559999999</v>
      </c>
      <c r="U14" s="129">
        <f t="shared" si="8"/>
        <v>0.53788477310000005</v>
      </c>
      <c r="V14" s="129">
        <f t="shared" si="9"/>
        <v>0.56656585497500001</v>
      </c>
      <c r="W14" s="178"/>
      <c r="X14" s="156">
        <v>2</v>
      </c>
      <c r="Y14" s="130">
        <f t="shared" si="10"/>
        <v>0.57612621559999999</v>
      </c>
      <c r="Z14" s="130">
        <f t="shared" si="11"/>
        <v>0.53788477310000005</v>
      </c>
      <c r="AA14" s="130">
        <f t="shared" si="12"/>
        <v>0.56656585497500001</v>
      </c>
    </row>
    <row r="15" spans="1:27" x14ac:dyDescent="0.2">
      <c r="A15" s="115">
        <v>65</v>
      </c>
      <c r="B15" s="115">
        <v>72</v>
      </c>
      <c r="C15" s="3"/>
      <c r="D15" s="309">
        <v>3</v>
      </c>
      <c r="E15" s="310">
        <f t="shared" si="0"/>
        <v>0.68621627540000008</v>
      </c>
      <c r="F15" s="310">
        <f t="shared" si="1"/>
        <v>0.64002221879999999</v>
      </c>
      <c r="G15" s="311">
        <f t="shared" si="2"/>
        <v>0.67466776125000005</v>
      </c>
      <c r="H15" s="178"/>
      <c r="I15" s="154">
        <v>3</v>
      </c>
      <c r="J15" s="128">
        <f t="shared" si="13"/>
        <v>0.63487230230000014</v>
      </c>
      <c r="K15" s="128">
        <f t="shared" si="14"/>
        <v>0.59213457060000008</v>
      </c>
      <c r="L15" s="128">
        <f t="shared" si="3"/>
        <v>0.62418786937500004</v>
      </c>
      <c r="M15" s="178"/>
      <c r="N15" s="75">
        <v>3</v>
      </c>
      <c r="O15" s="78">
        <f t="shared" si="4"/>
        <v>0.66910161769999998</v>
      </c>
      <c r="P15" s="78">
        <f t="shared" si="5"/>
        <v>0.62405966940000002</v>
      </c>
      <c r="Q15" s="78">
        <f t="shared" si="6"/>
        <v>0.65784113062500005</v>
      </c>
      <c r="R15" s="178"/>
      <c r="S15" s="155">
        <v>3</v>
      </c>
      <c r="T15" s="129">
        <f t="shared" si="7"/>
        <v>0.57293354110000005</v>
      </c>
      <c r="U15" s="129">
        <f t="shared" si="8"/>
        <v>0.53436534420000004</v>
      </c>
      <c r="V15" s="129">
        <f t="shared" si="9"/>
        <v>0.56329149187500005</v>
      </c>
      <c r="W15" s="178"/>
      <c r="X15" s="156">
        <v>3</v>
      </c>
      <c r="Y15" s="130">
        <f t="shared" si="10"/>
        <v>0.57293354110000005</v>
      </c>
      <c r="Z15" s="130">
        <f t="shared" si="11"/>
        <v>0.53436534420000004</v>
      </c>
      <c r="AA15" s="130">
        <f t="shared" si="12"/>
        <v>0.56329149187500005</v>
      </c>
    </row>
    <row r="16" spans="1:27" x14ac:dyDescent="0.2">
      <c r="A16" s="115">
        <v>66</v>
      </c>
      <c r="B16" s="115">
        <v>73</v>
      </c>
      <c r="C16" s="3"/>
      <c r="D16" s="309">
        <v>4</v>
      </c>
      <c r="E16" s="310">
        <f t="shared" si="0"/>
        <v>0.68233642360000002</v>
      </c>
      <c r="F16" s="310">
        <f t="shared" si="1"/>
        <v>0.63575100540000007</v>
      </c>
      <c r="G16" s="311">
        <f t="shared" si="2"/>
        <v>0.67069006905000006</v>
      </c>
      <c r="H16" s="178"/>
      <c r="I16" s="154">
        <v>4</v>
      </c>
      <c r="J16" s="128">
        <f t="shared" si="13"/>
        <v>0.63128274820000008</v>
      </c>
      <c r="K16" s="128">
        <f t="shared" si="14"/>
        <v>0.58818293730000015</v>
      </c>
      <c r="L16" s="128">
        <f t="shared" si="3"/>
        <v>0.62050779547500012</v>
      </c>
      <c r="M16" s="178"/>
      <c r="N16" s="75">
        <v>4</v>
      </c>
      <c r="O16" s="78">
        <f t="shared" si="4"/>
        <v>0.6653185318</v>
      </c>
      <c r="P16" s="78">
        <f t="shared" si="5"/>
        <v>0.6198949827000001</v>
      </c>
      <c r="Q16" s="78">
        <f t="shared" si="6"/>
        <v>0.65396264452499997</v>
      </c>
      <c r="R16" s="178"/>
      <c r="S16" s="155">
        <v>4</v>
      </c>
      <c r="T16" s="129">
        <f t="shared" si="7"/>
        <v>0.5696941874</v>
      </c>
      <c r="U16" s="129">
        <f t="shared" si="8"/>
        <v>0.53079923610000002</v>
      </c>
      <c r="V16" s="129">
        <f t="shared" si="9"/>
        <v>0.55997044957499997</v>
      </c>
      <c r="W16" s="178"/>
      <c r="X16" s="156">
        <v>4</v>
      </c>
      <c r="Y16" s="130">
        <f t="shared" si="10"/>
        <v>0.5696941874</v>
      </c>
      <c r="Z16" s="130">
        <f t="shared" si="11"/>
        <v>0.53079923610000002</v>
      </c>
      <c r="AA16" s="130">
        <f t="shared" si="12"/>
        <v>0.55997044957499997</v>
      </c>
    </row>
    <row r="17" spans="1:27" x14ac:dyDescent="0.2">
      <c r="A17" s="115">
        <v>67</v>
      </c>
      <c r="B17" s="115">
        <v>74</v>
      </c>
      <c r="C17" s="3"/>
      <c r="D17" s="309">
        <v>5</v>
      </c>
      <c r="E17" s="310">
        <f t="shared" si="0"/>
        <v>0.67840066300000001</v>
      </c>
      <c r="F17" s="310">
        <f t="shared" si="1"/>
        <v>0.63142388319999998</v>
      </c>
      <c r="G17" s="311">
        <f t="shared" si="2"/>
        <v>0.66665646805000001</v>
      </c>
      <c r="H17" s="178"/>
      <c r="I17" s="154">
        <v>5</v>
      </c>
      <c r="J17" s="128">
        <f t="shared" si="13"/>
        <v>0.62764146850000002</v>
      </c>
      <c r="K17" s="128">
        <f t="shared" si="14"/>
        <v>0.58417957840000012</v>
      </c>
      <c r="L17" s="128">
        <f t="shared" si="3"/>
        <v>0.6167759959750001</v>
      </c>
      <c r="M17" s="178"/>
      <c r="N17" s="75">
        <v>5</v>
      </c>
      <c r="O17" s="78">
        <f t="shared" si="4"/>
        <v>0.66148093149999998</v>
      </c>
      <c r="P17" s="78">
        <f t="shared" si="5"/>
        <v>0.61567578160000003</v>
      </c>
      <c r="Q17" s="78">
        <f t="shared" si="6"/>
        <v>0.65002964402499996</v>
      </c>
      <c r="R17" s="178"/>
      <c r="S17" s="155">
        <v>5</v>
      </c>
      <c r="T17" s="129">
        <f t="shared" si="7"/>
        <v>0.56640815450000004</v>
      </c>
      <c r="U17" s="129">
        <f t="shared" si="8"/>
        <v>0.52718644879999998</v>
      </c>
      <c r="V17" s="129">
        <f t="shared" si="9"/>
        <v>0.55660272807500011</v>
      </c>
      <c r="W17" s="178"/>
      <c r="X17" s="156">
        <v>5</v>
      </c>
      <c r="Y17" s="130">
        <f t="shared" si="10"/>
        <v>0.56640815450000004</v>
      </c>
      <c r="Z17" s="130">
        <f t="shared" si="11"/>
        <v>0.52718644879999998</v>
      </c>
      <c r="AA17" s="130">
        <f t="shared" si="12"/>
        <v>0.55660272807500011</v>
      </c>
    </row>
    <row r="18" spans="1:27" x14ac:dyDescent="0.2">
      <c r="A18" s="115">
        <v>68</v>
      </c>
      <c r="B18" s="115">
        <v>75</v>
      </c>
      <c r="C18" s="3"/>
      <c r="D18" s="309">
        <v>6</v>
      </c>
      <c r="E18" s="310">
        <f t="shared" si="0"/>
        <v>0.67440899359999995</v>
      </c>
      <c r="F18" s="310">
        <f t="shared" si="1"/>
        <v>0.62704085220000005</v>
      </c>
      <c r="G18" s="311">
        <f t="shared" si="2"/>
        <v>0.66256695824999989</v>
      </c>
      <c r="H18" s="178"/>
      <c r="I18" s="154">
        <v>6</v>
      </c>
      <c r="J18" s="128">
        <f t="shared" si="13"/>
        <v>0.62394846320000008</v>
      </c>
      <c r="K18" s="128">
        <f t="shared" si="14"/>
        <v>0.58012449390000009</v>
      </c>
      <c r="L18" s="128">
        <f t="shared" si="3"/>
        <v>0.61299247087500008</v>
      </c>
      <c r="M18" s="178"/>
      <c r="N18" s="75">
        <v>6</v>
      </c>
      <c r="O18" s="78">
        <f t="shared" si="4"/>
        <v>0.65758881680000003</v>
      </c>
      <c r="P18" s="78">
        <f t="shared" si="5"/>
        <v>0.61140206610000003</v>
      </c>
      <c r="Q18" s="78">
        <f t="shared" si="6"/>
        <v>0.64604212912500003</v>
      </c>
      <c r="R18" s="178"/>
      <c r="S18" s="155">
        <v>6</v>
      </c>
      <c r="T18" s="129">
        <f t="shared" si="7"/>
        <v>0.56307544239999996</v>
      </c>
      <c r="U18" s="129">
        <f t="shared" si="8"/>
        <v>0.52352698230000005</v>
      </c>
      <c r="V18" s="129">
        <f t="shared" si="9"/>
        <v>0.55318832737500001</v>
      </c>
      <c r="W18" s="178"/>
      <c r="X18" s="156">
        <v>6</v>
      </c>
      <c r="Y18" s="130">
        <f t="shared" si="10"/>
        <v>0.56307544239999996</v>
      </c>
      <c r="Z18" s="130">
        <f t="shared" si="11"/>
        <v>0.52352698230000005</v>
      </c>
      <c r="AA18" s="130">
        <f t="shared" si="12"/>
        <v>0.55318832737500001</v>
      </c>
    </row>
    <row r="19" spans="1:27" x14ac:dyDescent="0.2">
      <c r="A19" s="115">
        <v>69</v>
      </c>
      <c r="B19" s="115">
        <v>76</v>
      </c>
      <c r="C19" s="3"/>
      <c r="D19" s="309">
        <v>7</v>
      </c>
      <c r="E19" s="310">
        <f t="shared" si="0"/>
        <v>0.67036141540000005</v>
      </c>
      <c r="F19" s="310">
        <f t="shared" si="1"/>
        <v>0.62260191239999996</v>
      </c>
      <c r="G19" s="311">
        <f t="shared" si="2"/>
        <v>0.65842153965000005</v>
      </c>
      <c r="H19" s="178"/>
      <c r="I19" s="154">
        <v>7</v>
      </c>
      <c r="J19" s="128">
        <f t="shared" si="13"/>
        <v>0.62020373230000003</v>
      </c>
      <c r="K19" s="128">
        <f t="shared" si="14"/>
        <v>0.57601768379999996</v>
      </c>
      <c r="L19" s="128">
        <f t="shared" si="3"/>
        <v>0.60915722017499996</v>
      </c>
      <c r="M19" s="178"/>
      <c r="N19" s="75">
        <v>7</v>
      </c>
      <c r="O19" s="78">
        <f t="shared" si="4"/>
        <v>0.65364218770000004</v>
      </c>
      <c r="P19" s="78">
        <f t="shared" si="5"/>
        <v>0.60707383619999999</v>
      </c>
      <c r="Q19" s="78">
        <f t="shared" si="6"/>
        <v>0.64200009982500006</v>
      </c>
      <c r="R19" s="178"/>
      <c r="S19" s="155">
        <v>7</v>
      </c>
      <c r="T19" s="129">
        <f t="shared" si="7"/>
        <v>0.55969605109999998</v>
      </c>
      <c r="U19" s="129">
        <f t="shared" si="8"/>
        <v>0.5198208366</v>
      </c>
      <c r="V19" s="129">
        <f t="shared" si="9"/>
        <v>0.54972724747500001</v>
      </c>
      <c r="W19" s="178"/>
      <c r="X19" s="156">
        <v>7</v>
      </c>
      <c r="Y19" s="130">
        <f t="shared" si="10"/>
        <v>0.55969605109999998</v>
      </c>
      <c r="Z19" s="130">
        <f t="shared" si="11"/>
        <v>0.5198208366</v>
      </c>
      <c r="AA19" s="130">
        <f t="shared" si="12"/>
        <v>0.54972724747500001</v>
      </c>
    </row>
    <row r="20" spans="1:27" x14ac:dyDescent="0.2">
      <c r="A20" s="115">
        <v>70</v>
      </c>
      <c r="B20" s="115">
        <v>77</v>
      </c>
      <c r="C20" s="3"/>
      <c r="D20" s="309">
        <v>8</v>
      </c>
      <c r="E20" s="310">
        <f t="shared" si="0"/>
        <v>0.66625792840000009</v>
      </c>
      <c r="F20" s="310">
        <f t="shared" si="1"/>
        <v>0.61810706380000002</v>
      </c>
      <c r="G20" s="311">
        <f t="shared" si="2"/>
        <v>0.65422021225000004</v>
      </c>
      <c r="H20" s="178"/>
      <c r="I20" s="154">
        <v>8</v>
      </c>
      <c r="J20" s="128">
        <f t="shared" si="13"/>
        <v>0.6164072758000001</v>
      </c>
      <c r="K20" s="128">
        <f t="shared" si="14"/>
        <v>0.57185914810000005</v>
      </c>
      <c r="L20" s="128">
        <f t="shared" si="3"/>
        <v>0.60527024387500006</v>
      </c>
      <c r="M20" s="178"/>
      <c r="N20" s="75">
        <v>8</v>
      </c>
      <c r="O20" s="78">
        <f t="shared" si="4"/>
        <v>0.64964104420000002</v>
      </c>
      <c r="P20" s="78">
        <f t="shared" si="5"/>
        <v>0.60269109190000003</v>
      </c>
      <c r="Q20" s="78">
        <f t="shared" si="6"/>
        <v>0.63790355612500005</v>
      </c>
      <c r="R20" s="178"/>
      <c r="S20" s="155">
        <v>8</v>
      </c>
      <c r="T20" s="129">
        <f t="shared" si="7"/>
        <v>0.55626998059999999</v>
      </c>
      <c r="U20" s="129">
        <f t="shared" si="8"/>
        <v>0.51606801170000005</v>
      </c>
      <c r="V20" s="129">
        <f t="shared" si="9"/>
        <v>0.54621948837500001</v>
      </c>
      <c r="W20" s="178"/>
      <c r="X20" s="156">
        <v>8</v>
      </c>
      <c r="Y20" s="130">
        <f t="shared" si="10"/>
        <v>0.55626998059999999</v>
      </c>
      <c r="Z20" s="130">
        <f t="shared" si="11"/>
        <v>0.51606801170000005</v>
      </c>
      <c r="AA20" s="130">
        <f t="shared" si="12"/>
        <v>0.54621948837500001</v>
      </c>
    </row>
    <row r="21" spans="1:27" x14ac:dyDescent="0.2">
      <c r="A21" s="115">
        <v>71</v>
      </c>
      <c r="B21" s="115">
        <v>78</v>
      </c>
      <c r="C21" s="3"/>
      <c r="D21" s="309">
        <v>9</v>
      </c>
      <c r="E21" s="310">
        <f t="shared" si="0"/>
        <v>0.66209853260000007</v>
      </c>
      <c r="F21" s="310">
        <f t="shared" si="1"/>
        <v>0.61355630640000003</v>
      </c>
      <c r="G21" s="311">
        <f t="shared" si="2"/>
        <v>0.64996297605000009</v>
      </c>
      <c r="H21" s="178"/>
      <c r="I21" s="154">
        <v>9</v>
      </c>
      <c r="J21" s="128">
        <f t="shared" si="13"/>
        <v>0.61255909370000006</v>
      </c>
      <c r="K21" s="128">
        <f t="shared" si="14"/>
        <v>0.56764888680000003</v>
      </c>
      <c r="L21" s="128">
        <f t="shared" si="3"/>
        <v>0.60133154197500005</v>
      </c>
      <c r="M21" s="178"/>
      <c r="N21" s="75">
        <v>9</v>
      </c>
      <c r="O21" s="78">
        <f t="shared" si="4"/>
        <v>0.64558538630000006</v>
      </c>
      <c r="P21" s="78">
        <f t="shared" si="5"/>
        <v>0.59825383320000003</v>
      </c>
      <c r="Q21" s="78">
        <f t="shared" si="6"/>
        <v>0.633752498025</v>
      </c>
      <c r="R21" s="178"/>
      <c r="S21" s="155">
        <v>9</v>
      </c>
      <c r="T21" s="129">
        <f t="shared" si="7"/>
        <v>0.55279723089999999</v>
      </c>
      <c r="U21" s="129">
        <f t="shared" si="8"/>
        <v>0.51226850759999998</v>
      </c>
      <c r="V21" s="129">
        <f t="shared" si="9"/>
        <v>0.54266505007499999</v>
      </c>
      <c r="W21" s="178"/>
      <c r="X21" s="156">
        <v>9</v>
      </c>
      <c r="Y21" s="130">
        <f t="shared" si="10"/>
        <v>0.55279723089999999</v>
      </c>
      <c r="Z21" s="130">
        <f t="shared" si="11"/>
        <v>0.51226850759999998</v>
      </c>
      <c r="AA21" s="130">
        <f t="shared" si="12"/>
        <v>0.54266505007499999</v>
      </c>
    </row>
    <row r="22" spans="1:27" x14ac:dyDescent="0.2">
      <c r="A22" s="115">
        <v>72</v>
      </c>
      <c r="B22" s="115">
        <v>79</v>
      </c>
      <c r="C22" s="3"/>
      <c r="D22" s="309">
        <v>10</v>
      </c>
      <c r="E22" s="310">
        <f t="shared" si="0"/>
        <v>0.65788322799999999</v>
      </c>
      <c r="F22" s="310">
        <f t="shared" si="1"/>
        <v>0.60894964020000009</v>
      </c>
      <c r="G22" s="311">
        <f t="shared" si="2"/>
        <v>0.64564983105000007</v>
      </c>
      <c r="H22" s="178"/>
      <c r="I22" s="154">
        <v>10</v>
      </c>
      <c r="J22" s="128">
        <f t="shared" si="13"/>
        <v>0.60865918600000002</v>
      </c>
      <c r="K22" s="128">
        <f t="shared" si="14"/>
        <v>0.56338689990000013</v>
      </c>
      <c r="L22" s="128">
        <f t="shared" si="3"/>
        <v>0.59734111447500005</v>
      </c>
      <c r="M22" s="178"/>
      <c r="N22" s="75">
        <v>10</v>
      </c>
      <c r="O22" s="78">
        <f t="shared" si="4"/>
        <v>0.64147521399999996</v>
      </c>
      <c r="P22" s="78">
        <f t="shared" si="5"/>
        <v>0.59376206009999999</v>
      </c>
      <c r="Q22" s="78">
        <f t="shared" si="6"/>
        <v>0.62954692552499991</v>
      </c>
      <c r="R22" s="178"/>
      <c r="S22" s="155">
        <v>10</v>
      </c>
      <c r="T22" s="129">
        <f t="shared" si="7"/>
        <v>0.54927780199999998</v>
      </c>
      <c r="U22" s="129">
        <f t="shared" si="8"/>
        <v>0.50842232430000001</v>
      </c>
      <c r="V22" s="129">
        <f t="shared" si="9"/>
        <v>0.53906393257499996</v>
      </c>
      <c r="W22" s="178"/>
      <c r="X22" s="156">
        <v>10</v>
      </c>
      <c r="Y22" s="130">
        <f t="shared" si="10"/>
        <v>0.54927780199999998</v>
      </c>
      <c r="Z22" s="130">
        <f t="shared" si="11"/>
        <v>0.50842232430000001</v>
      </c>
      <c r="AA22" s="130">
        <f t="shared" si="12"/>
        <v>0.53906393257499996</v>
      </c>
    </row>
    <row r="23" spans="1:27" x14ac:dyDescent="0.2">
      <c r="A23" s="115">
        <v>73</v>
      </c>
      <c r="B23" s="115">
        <v>80</v>
      </c>
      <c r="C23" s="3"/>
      <c r="D23" s="309">
        <v>11</v>
      </c>
      <c r="E23" s="310">
        <f t="shared" si="0"/>
        <v>0.65361201460000007</v>
      </c>
      <c r="F23" s="310">
        <f t="shared" si="1"/>
        <v>0.60428706519999997</v>
      </c>
      <c r="G23" s="311">
        <f t="shared" si="2"/>
        <v>0.64128077724999999</v>
      </c>
      <c r="H23" s="178"/>
      <c r="I23" s="154">
        <v>11</v>
      </c>
      <c r="J23" s="128">
        <f t="shared" si="13"/>
        <v>0.60470755270000009</v>
      </c>
      <c r="K23" s="128">
        <f t="shared" si="14"/>
        <v>0.5590731874</v>
      </c>
      <c r="L23" s="128">
        <f t="shared" si="3"/>
        <v>0.59329896137500004</v>
      </c>
      <c r="M23" s="178"/>
      <c r="N23" s="75">
        <v>11</v>
      </c>
      <c r="O23" s="78">
        <f t="shared" si="4"/>
        <v>0.63731052730000004</v>
      </c>
      <c r="P23" s="78">
        <f t="shared" si="5"/>
        <v>0.58921577260000002</v>
      </c>
      <c r="Q23" s="78">
        <f t="shared" si="6"/>
        <v>0.62528683862500012</v>
      </c>
      <c r="R23" s="178"/>
      <c r="S23" s="155">
        <v>11</v>
      </c>
      <c r="T23" s="129">
        <f t="shared" si="7"/>
        <v>0.54571169389999996</v>
      </c>
      <c r="U23" s="129">
        <f t="shared" si="8"/>
        <v>0.50452946180000002</v>
      </c>
      <c r="V23" s="129">
        <f t="shared" si="9"/>
        <v>0.53541613587500003</v>
      </c>
      <c r="W23" s="178"/>
      <c r="X23" s="156">
        <v>11</v>
      </c>
      <c r="Y23" s="130">
        <f t="shared" si="10"/>
        <v>0.54571169389999996</v>
      </c>
      <c r="Z23" s="130">
        <f t="shared" si="11"/>
        <v>0.50452946180000002</v>
      </c>
      <c r="AA23" s="130">
        <f t="shared" si="12"/>
        <v>0.53541613587500003</v>
      </c>
    </row>
    <row r="24" spans="1:27" x14ac:dyDescent="0.2">
      <c r="A24" s="115">
        <v>74</v>
      </c>
      <c r="B24" s="115">
        <v>81</v>
      </c>
      <c r="C24" s="3"/>
      <c r="D24" s="309">
        <v>12</v>
      </c>
      <c r="E24" s="310">
        <f t="shared" si="0"/>
        <v>0.64928489239999998</v>
      </c>
      <c r="F24" s="310">
        <f t="shared" si="1"/>
        <v>0.59956858140000013</v>
      </c>
      <c r="G24" s="311">
        <f t="shared" si="2"/>
        <v>0.63685581465000007</v>
      </c>
      <c r="H24" s="178"/>
      <c r="I24" s="154">
        <v>12</v>
      </c>
      <c r="J24" s="128">
        <f t="shared" si="13"/>
        <v>0.60070419379999995</v>
      </c>
      <c r="K24" s="128">
        <f t="shared" si="14"/>
        <v>0.55470774930000011</v>
      </c>
      <c r="L24" s="128">
        <f t="shared" si="3"/>
        <v>0.58920508267499994</v>
      </c>
      <c r="M24" s="178"/>
      <c r="N24" s="75">
        <v>12</v>
      </c>
      <c r="O24" s="78">
        <f t="shared" si="4"/>
        <v>0.63309132619999997</v>
      </c>
      <c r="P24" s="78">
        <f t="shared" si="5"/>
        <v>0.58461497070000001</v>
      </c>
      <c r="Q24" s="78">
        <f t="shared" si="6"/>
        <v>0.62097223732499995</v>
      </c>
      <c r="R24" s="178"/>
      <c r="S24" s="155">
        <v>12</v>
      </c>
      <c r="T24" s="129">
        <f t="shared" si="7"/>
        <v>0.54209890659999993</v>
      </c>
      <c r="U24" s="129">
        <f t="shared" si="8"/>
        <v>0.50058992010000003</v>
      </c>
      <c r="V24" s="129">
        <f t="shared" si="9"/>
        <v>0.53172165997499998</v>
      </c>
      <c r="W24" s="178"/>
      <c r="X24" s="156">
        <v>12</v>
      </c>
      <c r="Y24" s="130">
        <f t="shared" si="10"/>
        <v>0.54209890659999993</v>
      </c>
      <c r="Z24" s="130">
        <f t="shared" si="11"/>
        <v>0.50058992010000003</v>
      </c>
      <c r="AA24" s="130">
        <f t="shared" si="12"/>
        <v>0.53172165997499998</v>
      </c>
    </row>
    <row r="25" spans="1:27" x14ac:dyDescent="0.2">
      <c r="A25" s="115">
        <v>75</v>
      </c>
      <c r="B25" s="115">
        <v>82</v>
      </c>
      <c r="C25" s="3"/>
      <c r="D25" s="309">
        <v>13</v>
      </c>
      <c r="E25" s="310">
        <f t="shared" si="0"/>
        <v>0.64490186140000005</v>
      </c>
      <c r="F25" s="310">
        <f t="shared" si="1"/>
        <v>0.59479418880000001</v>
      </c>
      <c r="G25" s="311">
        <f t="shared" si="2"/>
        <v>0.63237494324999999</v>
      </c>
      <c r="H25" s="178"/>
      <c r="I25" s="154">
        <v>13</v>
      </c>
      <c r="J25" s="128">
        <f t="shared" si="13"/>
        <v>0.59664910930000015</v>
      </c>
      <c r="K25" s="128">
        <f t="shared" si="14"/>
        <v>0.55029058559999999</v>
      </c>
      <c r="L25" s="128">
        <f t="shared" si="3"/>
        <v>0.58505947837500005</v>
      </c>
      <c r="M25" s="178"/>
      <c r="N25" s="75">
        <v>13</v>
      </c>
      <c r="O25" s="78">
        <f t="shared" si="4"/>
        <v>0.62881761070000008</v>
      </c>
      <c r="P25" s="78">
        <f t="shared" si="5"/>
        <v>0.57995965439999997</v>
      </c>
      <c r="Q25" s="78">
        <f t="shared" si="6"/>
        <v>0.61660312162500008</v>
      </c>
      <c r="R25" s="178"/>
      <c r="S25" s="155">
        <v>13</v>
      </c>
      <c r="T25" s="129">
        <f t="shared" si="7"/>
        <v>0.5384394401</v>
      </c>
      <c r="U25" s="129">
        <f t="shared" si="8"/>
        <v>0.49660369919999997</v>
      </c>
      <c r="V25" s="129">
        <f t="shared" si="9"/>
        <v>0.52798050487500003</v>
      </c>
      <c r="W25" s="178"/>
      <c r="X25" s="156">
        <v>13</v>
      </c>
      <c r="Y25" s="130">
        <f t="shared" si="10"/>
        <v>0.5384394401</v>
      </c>
      <c r="Z25" s="130">
        <f t="shared" si="11"/>
        <v>0.49660369919999997</v>
      </c>
      <c r="AA25" s="130">
        <f t="shared" si="12"/>
        <v>0.52798050487500003</v>
      </c>
    </row>
    <row r="26" spans="1:27" x14ac:dyDescent="0.2">
      <c r="A26" s="115">
        <v>76</v>
      </c>
      <c r="B26" s="115">
        <v>83</v>
      </c>
      <c r="C26" s="3"/>
      <c r="D26" s="309">
        <v>14</v>
      </c>
      <c r="E26" s="310">
        <f t="shared" si="0"/>
        <v>0.64046292159999996</v>
      </c>
      <c r="F26" s="310">
        <f t="shared" si="1"/>
        <v>0.58996388740000005</v>
      </c>
      <c r="G26" s="311">
        <f t="shared" si="2"/>
        <v>0.62783816304999995</v>
      </c>
      <c r="H26" s="178"/>
      <c r="I26" s="154">
        <v>14</v>
      </c>
      <c r="J26" s="128">
        <f t="shared" si="13"/>
        <v>0.59254229920000001</v>
      </c>
      <c r="K26" s="128">
        <f t="shared" si="14"/>
        <v>0.5458216963000001</v>
      </c>
      <c r="L26" s="128">
        <f t="shared" si="3"/>
        <v>0.58086214847500006</v>
      </c>
      <c r="M26" s="178"/>
      <c r="N26" s="75">
        <v>14</v>
      </c>
      <c r="O26" s="78">
        <f t="shared" si="4"/>
        <v>0.62448938079999994</v>
      </c>
      <c r="P26" s="78">
        <f t="shared" si="5"/>
        <v>0.5752498237</v>
      </c>
      <c r="Q26" s="78">
        <f t="shared" si="6"/>
        <v>0.61217949152499995</v>
      </c>
      <c r="R26" s="178"/>
      <c r="S26" s="155">
        <v>14</v>
      </c>
      <c r="T26" s="129">
        <f t="shared" si="7"/>
        <v>0.53473329439999995</v>
      </c>
      <c r="U26" s="129">
        <f t="shared" si="8"/>
        <v>0.49257079910000001</v>
      </c>
      <c r="V26" s="129">
        <f t="shared" si="9"/>
        <v>0.52419267057499996</v>
      </c>
      <c r="W26" s="178"/>
      <c r="X26" s="156">
        <v>14</v>
      </c>
      <c r="Y26" s="130">
        <f t="shared" si="10"/>
        <v>0.53473329439999995</v>
      </c>
      <c r="Z26" s="130">
        <f t="shared" si="11"/>
        <v>0.49257079910000001</v>
      </c>
      <c r="AA26" s="130">
        <f t="shared" si="12"/>
        <v>0.52419267057499996</v>
      </c>
    </row>
    <row r="27" spans="1:27" x14ac:dyDescent="0.2">
      <c r="A27" s="115">
        <v>77</v>
      </c>
      <c r="B27" s="115">
        <v>84</v>
      </c>
      <c r="C27" s="3"/>
      <c r="D27" s="309">
        <v>15</v>
      </c>
      <c r="E27" s="310">
        <f t="shared" si="0"/>
        <v>0.63596807300000002</v>
      </c>
      <c r="F27" s="310">
        <f t="shared" si="1"/>
        <v>0.58507767720000003</v>
      </c>
      <c r="G27" s="311">
        <f t="shared" si="2"/>
        <v>0.62324547405000008</v>
      </c>
      <c r="H27" s="178"/>
      <c r="I27" s="154">
        <v>15</v>
      </c>
      <c r="J27" s="128">
        <f t="shared" si="13"/>
        <v>0.5883837635000001</v>
      </c>
      <c r="K27" s="128">
        <f t="shared" si="14"/>
        <v>0.54130108139999999</v>
      </c>
      <c r="L27" s="128">
        <f t="shared" si="3"/>
        <v>0.57661309297500007</v>
      </c>
      <c r="M27" s="178"/>
      <c r="N27" s="75">
        <v>15</v>
      </c>
      <c r="O27" s="78">
        <f t="shared" si="4"/>
        <v>0.62010663650000009</v>
      </c>
      <c r="P27" s="78">
        <f t="shared" si="5"/>
        <v>0.57048547859999998</v>
      </c>
      <c r="Q27" s="78">
        <f t="shared" si="6"/>
        <v>0.60770134702500012</v>
      </c>
      <c r="R27" s="178"/>
      <c r="S27" s="155">
        <v>15</v>
      </c>
      <c r="T27" s="129">
        <f t="shared" si="7"/>
        <v>0.5309804695</v>
      </c>
      <c r="U27" s="129">
        <f t="shared" si="8"/>
        <v>0.48849121979999999</v>
      </c>
      <c r="V27" s="129">
        <f t="shared" si="9"/>
        <v>0.52035815707499999</v>
      </c>
      <c r="W27" s="178"/>
      <c r="X27" s="156">
        <v>15</v>
      </c>
      <c r="Y27" s="130">
        <f t="shared" si="10"/>
        <v>0.5309804695</v>
      </c>
      <c r="Z27" s="130">
        <f t="shared" si="11"/>
        <v>0.48849121979999999</v>
      </c>
      <c r="AA27" s="130">
        <f t="shared" si="12"/>
        <v>0.52035815707499999</v>
      </c>
    </row>
    <row r="28" spans="1:27" x14ac:dyDescent="0.2">
      <c r="A28" s="115">
        <v>78</v>
      </c>
      <c r="B28" s="115">
        <v>85</v>
      </c>
      <c r="C28" s="3"/>
      <c r="D28" s="309">
        <v>16</v>
      </c>
      <c r="E28" s="310">
        <f t="shared" si="0"/>
        <v>0.63141731560000003</v>
      </c>
      <c r="F28" s="310">
        <f t="shared" si="1"/>
        <v>0.58013555819999996</v>
      </c>
      <c r="G28" s="311">
        <f t="shared" si="2"/>
        <v>0.61859687625000004</v>
      </c>
      <c r="H28" s="178"/>
      <c r="I28" s="154">
        <v>16</v>
      </c>
      <c r="J28" s="128">
        <f t="shared" si="13"/>
        <v>0.58417350220000008</v>
      </c>
      <c r="K28" s="128">
        <f t="shared" si="14"/>
        <v>0.5367287409</v>
      </c>
      <c r="L28" s="128">
        <f t="shared" si="3"/>
        <v>0.57231231187500009</v>
      </c>
      <c r="M28" s="178"/>
      <c r="N28" s="75">
        <v>16</v>
      </c>
      <c r="O28" s="78">
        <f t="shared" si="4"/>
        <v>0.61566937779999997</v>
      </c>
      <c r="P28" s="78">
        <f t="shared" si="5"/>
        <v>0.56566661910000005</v>
      </c>
      <c r="Q28" s="78">
        <f t="shared" si="6"/>
        <v>0.60316868812500002</v>
      </c>
      <c r="R28" s="178"/>
      <c r="S28" s="155">
        <v>16</v>
      </c>
      <c r="T28" s="129">
        <f t="shared" si="7"/>
        <v>0.52718096540000003</v>
      </c>
      <c r="U28" s="129">
        <f t="shared" si="8"/>
        <v>0.48436496130000001</v>
      </c>
      <c r="V28" s="129">
        <f t="shared" si="9"/>
        <v>0.51647696437500001</v>
      </c>
      <c r="W28" s="178"/>
      <c r="X28" s="156">
        <v>16</v>
      </c>
      <c r="Y28" s="130">
        <f t="shared" si="10"/>
        <v>0.52718096540000003</v>
      </c>
      <c r="Z28" s="130">
        <f t="shared" si="11"/>
        <v>0.48436496130000001</v>
      </c>
      <c r="AA28" s="130">
        <f t="shared" si="12"/>
        <v>0.51647696437500001</v>
      </c>
    </row>
    <row r="29" spans="1:27" x14ac:dyDescent="0.2">
      <c r="A29" s="115">
        <v>79</v>
      </c>
      <c r="B29" s="115">
        <v>86</v>
      </c>
      <c r="C29" s="3"/>
      <c r="D29" s="309">
        <v>17</v>
      </c>
      <c r="E29" s="310">
        <f t="shared" si="0"/>
        <v>0.62681064940000009</v>
      </c>
      <c r="F29" s="310">
        <f t="shared" si="1"/>
        <v>0.57513753040000004</v>
      </c>
      <c r="G29" s="311">
        <f t="shared" si="2"/>
        <v>0.61389236965000005</v>
      </c>
      <c r="H29" s="178"/>
      <c r="I29" s="154">
        <v>17</v>
      </c>
      <c r="J29" s="128">
        <f t="shared" si="13"/>
        <v>0.57991151530000007</v>
      </c>
      <c r="K29" s="128">
        <f t="shared" si="14"/>
        <v>0.53210467480000001</v>
      </c>
      <c r="L29" s="128">
        <f t="shared" si="3"/>
        <v>0.56795980517500011</v>
      </c>
      <c r="M29" s="178"/>
      <c r="N29" s="75">
        <v>17</v>
      </c>
      <c r="O29" s="78">
        <f t="shared" si="4"/>
        <v>0.61117760470000004</v>
      </c>
      <c r="P29" s="78">
        <f t="shared" si="5"/>
        <v>0.56079324519999996</v>
      </c>
      <c r="Q29" s="78">
        <f t="shared" si="6"/>
        <v>0.59858151482499999</v>
      </c>
      <c r="R29" s="178"/>
      <c r="S29" s="155">
        <v>17</v>
      </c>
      <c r="T29" s="129">
        <f t="shared" si="7"/>
        <v>0.52333478210000006</v>
      </c>
      <c r="U29" s="129">
        <f t="shared" si="8"/>
        <v>0.48019202360000002</v>
      </c>
      <c r="V29" s="129">
        <f t="shared" si="9"/>
        <v>0.51254909247500002</v>
      </c>
      <c r="W29" s="178"/>
      <c r="X29" s="156">
        <v>17</v>
      </c>
      <c r="Y29" s="130">
        <f t="shared" si="10"/>
        <v>0.52333478210000006</v>
      </c>
      <c r="Z29" s="130">
        <f t="shared" si="11"/>
        <v>0.48019202360000002</v>
      </c>
      <c r="AA29" s="130">
        <f t="shared" si="12"/>
        <v>0.51254909247500002</v>
      </c>
    </row>
    <row r="30" spans="1:27" x14ac:dyDescent="0.2">
      <c r="A30" s="115">
        <v>80</v>
      </c>
      <c r="B30" s="115">
        <v>87</v>
      </c>
      <c r="C30" s="3"/>
      <c r="D30" s="309">
        <v>18</v>
      </c>
      <c r="E30" s="310">
        <f t="shared" si="0"/>
        <v>0.62214807439999997</v>
      </c>
      <c r="F30" s="310">
        <f t="shared" si="1"/>
        <v>0.57008359379999995</v>
      </c>
      <c r="G30" s="311">
        <f t="shared" si="2"/>
        <v>0.60913195425</v>
      </c>
      <c r="H30" s="178"/>
      <c r="I30" s="154">
        <v>18</v>
      </c>
      <c r="J30" s="128">
        <f t="shared" si="13"/>
        <v>0.57559780280000006</v>
      </c>
      <c r="K30" s="128">
        <f t="shared" si="14"/>
        <v>0.52742888310000002</v>
      </c>
      <c r="L30" s="128">
        <f t="shared" si="3"/>
        <v>0.56355557287500013</v>
      </c>
      <c r="M30" s="178"/>
      <c r="N30" s="75">
        <v>18</v>
      </c>
      <c r="O30" s="78">
        <f t="shared" si="4"/>
        <v>0.60663131719999996</v>
      </c>
      <c r="P30" s="78">
        <f t="shared" si="5"/>
        <v>0.55586535689999994</v>
      </c>
      <c r="Q30" s="78">
        <f t="shared" si="6"/>
        <v>0.59393982712499993</v>
      </c>
      <c r="R30" s="178"/>
      <c r="S30" s="155">
        <v>18</v>
      </c>
      <c r="T30" s="129">
        <f t="shared" si="7"/>
        <v>0.51944191959999997</v>
      </c>
      <c r="U30" s="129">
        <f t="shared" si="8"/>
        <v>0.47597240669999996</v>
      </c>
      <c r="V30" s="129">
        <f t="shared" si="9"/>
        <v>0.50857454137500002</v>
      </c>
      <c r="W30" s="178"/>
      <c r="X30" s="156">
        <v>18</v>
      </c>
      <c r="Y30" s="130">
        <f t="shared" si="10"/>
        <v>0.51944191959999997</v>
      </c>
      <c r="Z30" s="130">
        <f t="shared" si="11"/>
        <v>0.47597240669999996</v>
      </c>
      <c r="AA30" s="130">
        <f t="shared" si="12"/>
        <v>0.50857454137500002</v>
      </c>
    </row>
    <row r="31" spans="1:27" x14ac:dyDescent="0.2">
      <c r="A31" s="115">
        <v>81</v>
      </c>
      <c r="B31" s="115">
        <v>88</v>
      </c>
      <c r="C31" s="3"/>
      <c r="D31" s="309">
        <v>19</v>
      </c>
      <c r="E31" s="310">
        <f t="shared" si="0"/>
        <v>0.61742959060000002</v>
      </c>
      <c r="F31" s="310">
        <f t="shared" si="1"/>
        <v>0.56497374839999992</v>
      </c>
      <c r="G31" s="311">
        <f t="shared" si="2"/>
        <v>0.60431563005</v>
      </c>
      <c r="H31" s="178"/>
      <c r="I31" s="154">
        <v>19</v>
      </c>
      <c r="J31" s="128">
        <f t="shared" si="13"/>
        <v>0.57123236470000005</v>
      </c>
      <c r="K31" s="128">
        <f t="shared" si="14"/>
        <v>0.52270136580000004</v>
      </c>
      <c r="L31" s="128">
        <f t="shared" si="3"/>
        <v>0.55909961497500005</v>
      </c>
      <c r="M31" s="178"/>
      <c r="N31" s="75">
        <v>19</v>
      </c>
      <c r="O31" s="78">
        <f t="shared" si="4"/>
        <v>0.60203051529999996</v>
      </c>
      <c r="P31" s="78">
        <f t="shared" si="5"/>
        <v>0.5508829542</v>
      </c>
      <c r="Q31" s="78">
        <f t="shared" si="6"/>
        <v>0.58924362502499994</v>
      </c>
      <c r="R31" s="178"/>
      <c r="S31" s="155">
        <v>19</v>
      </c>
      <c r="T31" s="129">
        <f t="shared" si="7"/>
        <v>0.51550237789999998</v>
      </c>
      <c r="U31" s="129">
        <f t="shared" si="8"/>
        <v>0.47170611059999995</v>
      </c>
      <c r="V31" s="129">
        <f t="shared" si="9"/>
        <v>0.50455331107500001</v>
      </c>
      <c r="W31" s="178"/>
      <c r="X31" s="156">
        <v>19</v>
      </c>
      <c r="Y31" s="130">
        <f t="shared" si="10"/>
        <v>0.51550237789999998</v>
      </c>
      <c r="Z31" s="130">
        <f t="shared" si="11"/>
        <v>0.47170611059999995</v>
      </c>
      <c r="AA31" s="130">
        <f t="shared" si="12"/>
        <v>0.50455331107500001</v>
      </c>
    </row>
    <row r="32" spans="1:27" x14ac:dyDescent="0.2">
      <c r="A32" s="115">
        <v>82</v>
      </c>
      <c r="B32" s="115">
        <v>89</v>
      </c>
      <c r="C32" s="3"/>
      <c r="D32" s="309">
        <v>20</v>
      </c>
      <c r="E32" s="310">
        <f t="shared" si="0"/>
        <v>0.61265519800000001</v>
      </c>
      <c r="F32" s="310">
        <f t="shared" si="1"/>
        <v>0.55980799420000005</v>
      </c>
      <c r="G32" s="311">
        <f t="shared" si="2"/>
        <v>0.59944339704999994</v>
      </c>
      <c r="H32" s="178"/>
      <c r="I32" s="154">
        <v>20</v>
      </c>
      <c r="J32" s="128">
        <f t="shared" si="13"/>
        <v>0.56681520100000005</v>
      </c>
      <c r="K32" s="128">
        <f t="shared" si="14"/>
        <v>0.51792212290000006</v>
      </c>
      <c r="L32" s="128">
        <f t="shared" si="3"/>
        <v>0.55459193147500008</v>
      </c>
      <c r="M32" s="178"/>
      <c r="N32" s="75">
        <v>20</v>
      </c>
      <c r="O32" s="78">
        <f t="shared" si="4"/>
        <v>0.59737519900000002</v>
      </c>
      <c r="P32" s="78">
        <f t="shared" si="5"/>
        <v>0.54584603710000001</v>
      </c>
      <c r="Q32" s="78">
        <f t="shared" si="6"/>
        <v>0.58449290852500002</v>
      </c>
      <c r="R32" s="178"/>
      <c r="S32" s="155">
        <v>20</v>
      </c>
      <c r="T32" s="129">
        <f t="shared" si="7"/>
        <v>0.51151615699999997</v>
      </c>
      <c r="U32" s="129">
        <f t="shared" si="8"/>
        <v>0.46739313529999998</v>
      </c>
      <c r="V32" s="129">
        <f t="shared" si="9"/>
        <v>0.50048540157499999</v>
      </c>
      <c r="W32" s="178"/>
      <c r="X32" s="156">
        <v>20</v>
      </c>
      <c r="Y32" s="130">
        <f t="shared" si="10"/>
        <v>0.51151615699999997</v>
      </c>
      <c r="Z32" s="130">
        <f t="shared" si="11"/>
        <v>0.46739313529999998</v>
      </c>
      <c r="AA32" s="130">
        <f t="shared" si="12"/>
        <v>0.50048540157499999</v>
      </c>
    </row>
    <row r="33" spans="1:27" x14ac:dyDescent="0.2">
      <c r="A33" s="115">
        <v>83</v>
      </c>
      <c r="B33" s="115">
        <v>90</v>
      </c>
      <c r="C33" s="3"/>
      <c r="D33" s="309">
        <v>21</v>
      </c>
      <c r="E33" s="310">
        <f t="shared" si="0"/>
        <v>0.60782489660000005</v>
      </c>
      <c r="F33" s="310">
        <f t="shared" si="1"/>
        <v>0.5545863312</v>
      </c>
      <c r="G33" s="311">
        <f t="shared" si="2"/>
        <v>0.59451525525000004</v>
      </c>
      <c r="H33" s="178"/>
      <c r="I33" s="154">
        <v>21</v>
      </c>
      <c r="J33" s="128">
        <f t="shared" si="13"/>
        <v>0.56234631170000005</v>
      </c>
      <c r="K33" s="128">
        <f t="shared" si="14"/>
        <v>0.51309115440000008</v>
      </c>
      <c r="L33" s="128">
        <f t="shared" si="3"/>
        <v>0.550032522375</v>
      </c>
      <c r="M33" s="178"/>
      <c r="N33" s="75">
        <v>21</v>
      </c>
      <c r="O33" s="78">
        <f t="shared" si="4"/>
        <v>0.59266536830000005</v>
      </c>
      <c r="P33" s="78">
        <f t="shared" si="5"/>
        <v>0.54075460559999999</v>
      </c>
      <c r="Q33" s="78">
        <f t="shared" si="6"/>
        <v>0.57968767762500006</v>
      </c>
      <c r="R33" s="178"/>
      <c r="S33" s="155">
        <v>21</v>
      </c>
      <c r="T33" s="129">
        <f t="shared" si="7"/>
        <v>0.50748325690000007</v>
      </c>
      <c r="U33" s="129">
        <f t="shared" si="8"/>
        <v>0.46303348080000001</v>
      </c>
      <c r="V33" s="129">
        <f t="shared" si="9"/>
        <v>0.49637081287500007</v>
      </c>
      <c r="W33" s="178"/>
      <c r="X33" s="156">
        <v>21</v>
      </c>
      <c r="Y33" s="130">
        <f t="shared" si="10"/>
        <v>0.50748325690000007</v>
      </c>
      <c r="Z33" s="130">
        <f t="shared" si="11"/>
        <v>0.46303348080000001</v>
      </c>
      <c r="AA33" s="130">
        <f t="shared" si="12"/>
        <v>0.49637081287500007</v>
      </c>
    </row>
    <row r="34" spans="1:27" x14ac:dyDescent="0.2">
      <c r="A34" s="115">
        <v>84</v>
      </c>
      <c r="B34" s="115">
        <v>91</v>
      </c>
      <c r="C34" s="3"/>
      <c r="D34" s="309">
        <v>22</v>
      </c>
      <c r="E34" s="310">
        <f t="shared" si="0"/>
        <v>0.60293868640000003</v>
      </c>
      <c r="F34" s="310">
        <f t="shared" si="1"/>
        <v>0.54930875940000001</v>
      </c>
      <c r="G34" s="311">
        <f t="shared" si="2"/>
        <v>0.58953120465000008</v>
      </c>
      <c r="H34" s="178"/>
      <c r="I34" s="154">
        <v>22</v>
      </c>
      <c r="J34" s="128">
        <f t="shared" si="13"/>
        <v>0.55782569680000005</v>
      </c>
      <c r="K34" s="128">
        <f t="shared" si="14"/>
        <v>0.50820846030000011</v>
      </c>
      <c r="L34" s="128">
        <f t="shared" si="3"/>
        <v>0.54542138767500004</v>
      </c>
      <c r="M34" s="178"/>
      <c r="N34" s="75">
        <v>22</v>
      </c>
      <c r="O34" s="78">
        <f t="shared" si="4"/>
        <v>0.58790102320000004</v>
      </c>
      <c r="P34" s="78">
        <f t="shared" si="5"/>
        <v>0.53560865970000004</v>
      </c>
      <c r="Q34" s="78">
        <f t="shared" si="6"/>
        <v>0.57482793232500007</v>
      </c>
      <c r="R34" s="178"/>
      <c r="S34" s="155">
        <v>22</v>
      </c>
      <c r="T34" s="129">
        <f t="shared" si="7"/>
        <v>0.50340367760000004</v>
      </c>
      <c r="U34" s="129">
        <f t="shared" si="8"/>
        <v>0.45862714710000002</v>
      </c>
      <c r="V34" s="129">
        <f t="shared" si="9"/>
        <v>0.49220954497500002</v>
      </c>
      <c r="W34" s="178"/>
      <c r="X34" s="156">
        <v>22</v>
      </c>
      <c r="Y34" s="130">
        <f t="shared" si="10"/>
        <v>0.50340367760000004</v>
      </c>
      <c r="Z34" s="130">
        <f t="shared" si="11"/>
        <v>0.45862714710000002</v>
      </c>
      <c r="AA34" s="130">
        <f t="shared" si="12"/>
        <v>0.49220954497500002</v>
      </c>
    </row>
    <row r="35" spans="1:27" x14ac:dyDescent="0.2">
      <c r="A35" s="115">
        <v>85</v>
      </c>
      <c r="B35" s="115">
        <v>92</v>
      </c>
      <c r="C35" s="3"/>
      <c r="D35" s="309">
        <v>23</v>
      </c>
      <c r="E35" s="310">
        <f t="shared" si="0"/>
        <v>0.59799656740000007</v>
      </c>
      <c r="F35" s="310">
        <f t="shared" si="1"/>
        <v>0.54397527879999996</v>
      </c>
      <c r="G35" s="311">
        <f t="shared" si="2"/>
        <v>0.58449124525000007</v>
      </c>
      <c r="H35" s="178"/>
      <c r="I35" s="154">
        <v>23</v>
      </c>
      <c r="J35" s="128">
        <f t="shared" si="13"/>
        <v>0.55325335630000005</v>
      </c>
      <c r="K35" s="128">
        <f t="shared" si="14"/>
        <v>0.50327404059999992</v>
      </c>
      <c r="L35" s="128">
        <f t="shared" si="3"/>
        <v>0.54075852737500008</v>
      </c>
      <c r="M35" s="178"/>
      <c r="N35" s="75">
        <v>23</v>
      </c>
      <c r="O35" s="78">
        <f t="shared" si="4"/>
        <v>0.58308216369999999</v>
      </c>
      <c r="P35" s="78">
        <f t="shared" si="5"/>
        <v>0.53040819939999995</v>
      </c>
      <c r="Q35" s="78">
        <f t="shared" si="6"/>
        <v>0.56991367262500003</v>
      </c>
      <c r="R35" s="178"/>
      <c r="S35" s="155">
        <v>23</v>
      </c>
      <c r="T35" s="129">
        <f t="shared" si="7"/>
        <v>0.49927741910000001</v>
      </c>
      <c r="U35" s="129">
        <f t="shared" si="8"/>
        <v>0.45417413419999991</v>
      </c>
      <c r="V35" s="129">
        <f t="shared" si="9"/>
        <v>0.48800159787499997</v>
      </c>
      <c r="W35" s="178"/>
      <c r="X35" s="156">
        <v>23</v>
      </c>
      <c r="Y35" s="130">
        <f t="shared" si="10"/>
        <v>0.49927741910000001</v>
      </c>
      <c r="Z35" s="130">
        <f t="shared" si="11"/>
        <v>0.45417413419999991</v>
      </c>
      <c r="AA35" s="130">
        <f t="shared" si="12"/>
        <v>0.48800159787499997</v>
      </c>
    </row>
    <row r="36" spans="1:27" x14ac:dyDescent="0.2">
      <c r="A36" s="115">
        <v>86</v>
      </c>
      <c r="B36" s="115">
        <v>93</v>
      </c>
      <c r="C36" s="3"/>
      <c r="D36" s="309">
        <v>24</v>
      </c>
      <c r="E36" s="310">
        <f t="shared" si="0"/>
        <v>0.59299853960000004</v>
      </c>
      <c r="F36" s="310">
        <f t="shared" si="1"/>
        <v>0.53858588939999996</v>
      </c>
      <c r="G36" s="311">
        <f t="shared" si="2"/>
        <v>0.57939537704999999</v>
      </c>
      <c r="H36" s="178"/>
      <c r="I36" s="154">
        <v>24</v>
      </c>
      <c r="J36" s="128">
        <f t="shared" si="13"/>
        <v>0.54862929020000006</v>
      </c>
      <c r="K36" s="128">
        <f t="shared" si="14"/>
        <v>0.49828789530000001</v>
      </c>
      <c r="L36" s="128">
        <f t="shared" si="3"/>
        <v>0.53604394147500001</v>
      </c>
      <c r="M36" s="178"/>
      <c r="N36" s="75">
        <v>24</v>
      </c>
      <c r="O36" s="78">
        <f t="shared" si="4"/>
        <v>0.57820878980000001</v>
      </c>
      <c r="P36" s="78">
        <f t="shared" si="5"/>
        <v>0.52515322470000003</v>
      </c>
      <c r="Q36" s="78">
        <f t="shared" si="6"/>
        <v>0.56494489852499996</v>
      </c>
      <c r="R36" s="178"/>
      <c r="S36" s="155">
        <v>24</v>
      </c>
      <c r="T36" s="129">
        <f t="shared" si="7"/>
        <v>0.49510448140000002</v>
      </c>
      <c r="U36" s="129">
        <f t="shared" si="8"/>
        <v>0.44967444209999996</v>
      </c>
      <c r="V36" s="129">
        <f t="shared" si="9"/>
        <v>0.48374697157500002</v>
      </c>
      <c r="W36" s="178"/>
      <c r="X36" s="156">
        <v>24</v>
      </c>
      <c r="Y36" s="130">
        <f t="shared" si="10"/>
        <v>0.49510448140000002</v>
      </c>
      <c r="Z36" s="130">
        <f t="shared" si="11"/>
        <v>0.44967444209999996</v>
      </c>
      <c r="AA36" s="130">
        <f t="shared" si="12"/>
        <v>0.48374697157500002</v>
      </c>
    </row>
    <row r="37" spans="1:27" x14ac:dyDescent="0.2">
      <c r="A37" s="115">
        <v>87</v>
      </c>
      <c r="B37" s="115">
        <v>94</v>
      </c>
      <c r="C37" s="3"/>
      <c r="D37" s="309">
        <v>25</v>
      </c>
      <c r="E37" s="310">
        <f t="shared" si="0"/>
        <v>0.58794460300000007</v>
      </c>
      <c r="F37" s="310">
        <f t="shared" si="1"/>
        <v>0.53314059120000012</v>
      </c>
      <c r="G37" s="311">
        <f t="shared" si="2"/>
        <v>0.57424360005000008</v>
      </c>
      <c r="H37" s="178"/>
      <c r="I37" s="154">
        <v>25</v>
      </c>
      <c r="J37" s="128">
        <f t="shared" si="13"/>
        <v>0.54395349850000019</v>
      </c>
      <c r="K37" s="128">
        <f t="shared" si="14"/>
        <v>0.49325002440000015</v>
      </c>
      <c r="L37" s="128">
        <f t="shared" si="3"/>
        <v>0.53127762997500017</v>
      </c>
      <c r="M37" s="178"/>
      <c r="N37" s="75">
        <v>25</v>
      </c>
      <c r="O37" s="78">
        <f t="shared" si="4"/>
        <v>0.57328090150000011</v>
      </c>
      <c r="P37" s="78">
        <f t="shared" si="5"/>
        <v>0.51984373560000008</v>
      </c>
      <c r="Q37" s="78">
        <f t="shared" si="6"/>
        <v>0.55992161002500018</v>
      </c>
      <c r="R37" s="178"/>
      <c r="S37" s="155">
        <v>25</v>
      </c>
      <c r="T37" s="129">
        <f t="shared" si="7"/>
        <v>0.49088486450000007</v>
      </c>
      <c r="U37" s="129">
        <f t="shared" si="8"/>
        <v>0.44512807080000011</v>
      </c>
      <c r="V37" s="129">
        <f t="shared" si="9"/>
        <v>0.47944566607500005</v>
      </c>
      <c r="W37" s="178"/>
      <c r="X37" s="156">
        <v>25</v>
      </c>
      <c r="Y37" s="130">
        <f t="shared" si="10"/>
        <v>0.49088486450000007</v>
      </c>
      <c r="Z37" s="130">
        <f t="shared" si="11"/>
        <v>0.44512807080000011</v>
      </c>
      <c r="AA37" s="130">
        <f t="shared" si="12"/>
        <v>0.47944566607500005</v>
      </c>
    </row>
    <row r="38" spans="1:27" x14ac:dyDescent="0.2">
      <c r="A38" s="115">
        <v>88</v>
      </c>
      <c r="B38" s="115">
        <v>95</v>
      </c>
      <c r="C38" s="3"/>
      <c r="D38" s="309">
        <v>26</v>
      </c>
      <c r="E38" s="310">
        <f t="shared" si="0"/>
        <v>0.58283475760000003</v>
      </c>
      <c r="F38" s="310">
        <f t="shared" si="1"/>
        <v>0.52763938420000001</v>
      </c>
      <c r="G38" s="311">
        <f t="shared" si="2"/>
        <v>0.56903591425</v>
      </c>
      <c r="H38" s="178"/>
      <c r="I38" s="154">
        <v>26</v>
      </c>
      <c r="J38" s="128">
        <f t="shared" si="13"/>
        <v>0.53922598119999998</v>
      </c>
      <c r="K38" s="128">
        <f t="shared" si="14"/>
        <v>0.48816042790000003</v>
      </c>
      <c r="L38" s="128">
        <f t="shared" si="3"/>
        <v>0.52645959287499999</v>
      </c>
      <c r="M38" s="178"/>
      <c r="N38" s="75">
        <v>26</v>
      </c>
      <c r="O38" s="78">
        <f t="shared" si="4"/>
        <v>0.56829849879999994</v>
      </c>
      <c r="P38" s="78">
        <f t="shared" si="5"/>
        <v>0.51447973209999998</v>
      </c>
      <c r="Q38" s="78">
        <f t="shared" si="6"/>
        <v>0.55484380712499992</v>
      </c>
      <c r="R38" s="178"/>
      <c r="S38" s="155">
        <v>26</v>
      </c>
      <c r="T38" s="129">
        <f t="shared" si="7"/>
        <v>0.48661856839999995</v>
      </c>
      <c r="U38" s="129">
        <f t="shared" si="8"/>
        <v>0.44053502029999997</v>
      </c>
      <c r="V38" s="129">
        <f t="shared" si="9"/>
        <v>0.47509768137499997</v>
      </c>
      <c r="W38" s="178"/>
      <c r="X38" s="156">
        <v>26</v>
      </c>
      <c r="Y38" s="130">
        <f t="shared" si="10"/>
        <v>0.48661856839999995</v>
      </c>
      <c r="Z38" s="130">
        <f t="shared" si="11"/>
        <v>0.44053502029999997</v>
      </c>
      <c r="AA38" s="130">
        <f t="shared" si="12"/>
        <v>0.47509768137499997</v>
      </c>
    </row>
    <row r="39" spans="1:27" x14ac:dyDescent="0.2">
      <c r="A39" s="115">
        <v>89</v>
      </c>
      <c r="B39" s="115">
        <v>96</v>
      </c>
      <c r="C39" s="3"/>
      <c r="D39" s="309">
        <v>27</v>
      </c>
      <c r="E39" s="310">
        <f t="shared" si="0"/>
        <v>0.57766900340000005</v>
      </c>
      <c r="F39" s="310">
        <f t="shared" si="1"/>
        <v>0.52208226839999994</v>
      </c>
      <c r="G39" s="311">
        <f t="shared" si="2"/>
        <v>0.56377231964999996</v>
      </c>
      <c r="H39" s="178"/>
      <c r="I39" s="154">
        <v>27</v>
      </c>
      <c r="J39" s="128">
        <f t="shared" si="13"/>
        <v>0.53444673830000011</v>
      </c>
      <c r="K39" s="128">
        <f t="shared" si="14"/>
        <v>0.48301910580000001</v>
      </c>
      <c r="L39" s="128">
        <f t="shared" si="3"/>
        <v>0.52158983017500005</v>
      </c>
      <c r="M39" s="178"/>
      <c r="N39" s="75">
        <v>27</v>
      </c>
      <c r="O39" s="78">
        <f t="shared" si="4"/>
        <v>0.56326158170000007</v>
      </c>
      <c r="P39" s="78">
        <f t="shared" si="5"/>
        <v>0.50906121419999995</v>
      </c>
      <c r="Q39" s="78">
        <f t="shared" si="6"/>
        <v>0.54971148982500007</v>
      </c>
      <c r="R39" s="178"/>
      <c r="S39" s="155">
        <v>27</v>
      </c>
      <c r="T39" s="129">
        <f t="shared" si="7"/>
        <v>0.48230559309999999</v>
      </c>
      <c r="U39" s="129">
        <f t="shared" si="8"/>
        <v>0.43589529059999998</v>
      </c>
      <c r="V39" s="129">
        <f t="shared" si="9"/>
        <v>0.47070301747499999</v>
      </c>
      <c r="W39" s="178"/>
      <c r="X39" s="156">
        <v>27</v>
      </c>
      <c r="Y39" s="130">
        <f t="shared" si="10"/>
        <v>0.48230559309999999</v>
      </c>
      <c r="Z39" s="130">
        <f t="shared" si="11"/>
        <v>0.43589529059999998</v>
      </c>
      <c r="AA39" s="130">
        <f t="shared" si="12"/>
        <v>0.47070301747499999</v>
      </c>
    </row>
    <row r="40" spans="1:27" x14ac:dyDescent="0.2">
      <c r="A40" s="115">
        <v>90</v>
      </c>
      <c r="B40" s="115">
        <v>97</v>
      </c>
      <c r="C40" s="3"/>
      <c r="D40" s="309">
        <v>28</v>
      </c>
      <c r="E40" s="310">
        <f t="shared" si="0"/>
        <v>0.5724473404</v>
      </c>
      <c r="F40" s="310">
        <f t="shared" si="1"/>
        <v>0.51646924380000003</v>
      </c>
      <c r="G40" s="311">
        <f t="shared" si="2"/>
        <v>0.55845281624999998</v>
      </c>
      <c r="H40" s="178"/>
      <c r="I40" s="154">
        <v>28</v>
      </c>
      <c r="J40" s="128">
        <f t="shared" si="13"/>
        <v>0.52961576980000002</v>
      </c>
      <c r="K40" s="128">
        <f t="shared" si="14"/>
        <v>0.47782605810000006</v>
      </c>
      <c r="L40" s="128">
        <f t="shared" si="3"/>
        <v>0.5166683418750001</v>
      </c>
      <c r="M40" s="178"/>
      <c r="N40" s="75">
        <v>28</v>
      </c>
      <c r="O40" s="78">
        <f t="shared" si="4"/>
        <v>0.55817015019999994</v>
      </c>
      <c r="P40" s="78">
        <f t="shared" si="5"/>
        <v>0.5035881819000001</v>
      </c>
      <c r="Q40" s="78">
        <f t="shared" si="6"/>
        <v>0.54452465812499995</v>
      </c>
      <c r="R40" s="178"/>
      <c r="S40" s="155">
        <v>28</v>
      </c>
      <c r="T40" s="129">
        <f t="shared" si="7"/>
        <v>0.47794593859999995</v>
      </c>
      <c r="U40" s="129">
        <f t="shared" si="8"/>
        <v>0.43120888170000005</v>
      </c>
      <c r="V40" s="129">
        <f t="shared" si="9"/>
        <v>0.46626167437499999</v>
      </c>
      <c r="W40" s="178"/>
      <c r="X40" s="156">
        <v>28</v>
      </c>
      <c r="Y40" s="130">
        <f t="shared" si="10"/>
        <v>0.47794593859999995</v>
      </c>
      <c r="Z40" s="130">
        <f t="shared" si="11"/>
        <v>0.43120888170000005</v>
      </c>
      <c r="AA40" s="130">
        <f t="shared" si="12"/>
        <v>0.46626167437499999</v>
      </c>
    </row>
    <row r="41" spans="1:27" x14ac:dyDescent="0.2">
      <c r="A41" s="115">
        <v>91</v>
      </c>
      <c r="B41" s="115">
        <v>98</v>
      </c>
      <c r="C41" s="3"/>
      <c r="D41" s="309">
        <v>29</v>
      </c>
      <c r="E41" s="310">
        <f t="shared" si="0"/>
        <v>0.56716976860000001</v>
      </c>
      <c r="F41" s="310">
        <f t="shared" si="1"/>
        <v>0.51080031040000007</v>
      </c>
      <c r="G41" s="311">
        <f t="shared" si="2"/>
        <v>0.55307740405000005</v>
      </c>
      <c r="H41" s="178"/>
      <c r="I41" s="154">
        <v>29</v>
      </c>
      <c r="J41" s="128">
        <f t="shared" si="13"/>
        <v>0.52473307570000005</v>
      </c>
      <c r="K41" s="128">
        <f t="shared" si="14"/>
        <v>0.47258128480000017</v>
      </c>
      <c r="L41" s="128">
        <f t="shared" si="3"/>
        <v>0.51169512797500016</v>
      </c>
      <c r="M41" s="178"/>
      <c r="N41" s="75">
        <v>29</v>
      </c>
      <c r="O41" s="78">
        <f t="shared" si="4"/>
        <v>0.5530242043000001</v>
      </c>
      <c r="P41" s="78">
        <f t="shared" si="5"/>
        <v>0.4980606352000001</v>
      </c>
      <c r="Q41" s="78">
        <f t="shared" si="6"/>
        <v>0.53928331202500002</v>
      </c>
      <c r="R41" s="178"/>
      <c r="S41" s="155">
        <v>29</v>
      </c>
      <c r="T41" s="129">
        <f t="shared" si="7"/>
        <v>0.47353960490000002</v>
      </c>
      <c r="U41" s="129">
        <f t="shared" si="8"/>
        <v>0.4264757936000001</v>
      </c>
      <c r="V41" s="129">
        <f t="shared" si="9"/>
        <v>0.46177365207500004</v>
      </c>
      <c r="W41" s="178"/>
      <c r="X41" s="156">
        <v>29</v>
      </c>
      <c r="Y41" s="130">
        <f t="shared" si="10"/>
        <v>0.47353960490000002</v>
      </c>
      <c r="Z41" s="130">
        <f t="shared" si="11"/>
        <v>0.4264757936000001</v>
      </c>
      <c r="AA41" s="130">
        <f t="shared" si="12"/>
        <v>0.46177365207500004</v>
      </c>
    </row>
    <row r="42" spans="1:27" x14ac:dyDescent="0.2">
      <c r="A42" s="115">
        <v>92</v>
      </c>
      <c r="B42" s="115">
        <v>99</v>
      </c>
      <c r="C42" s="3"/>
      <c r="D42" s="309">
        <v>30</v>
      </c>
      <c r="E42" s="310">
        <f t="shared" si="0"/>
        <v>0.56183628800000007</v>
      </c>
      <c r="F42" s="310">
        <f t="shared" si="1"/>
        <v>0.50507546820000004</v>
      </c>
      <c r="G42" s="311">
        <f t="shared" si="2"/>
        <v>0.54764608305000007</v>
      </c>
      <c r="H42" s="178"/>
      <c r="I42" s="154">
        <v>30</v>
      </c>
      <c r="J42" s="128">
        <f t="shared" si="13"/>
        <v>0.51979865600000008</v>
      </c>
      <c r="K42" s="128">
        <f t="shared" si="14"/>
        <v>0.46728478590000011</v>
      </c>
      <c r="L42" s="128">
        <f t="shared" si="3"/>
        <v>0.50667018847500012</v>
      </c>
      <c r="M42" s="178"/>
      <c r="N42" s="75">
        <v>30</v>
      </c>
      <c r="O42" s="78">
        <f t="shared" si="4"/>
        <v>0.547823744</v>
      </c>
      <c r="P42" s="78">
        <f t="shared" si="5"/>
        <v>0.49247857410000007</v>
      </c>
      <c r="Q42" s="78">
        <f t="shared" si="6"/>
        <v>0.53398745152500005</v>
      </c>
      <c r="R42" s="178"/>
      <c r="S42" s="155">
        <v>30</v>
      </c>
      <c r="T42" s="129">
        <f t="shared" si="7"/>
        <v>0.46908659200000002</v>
      </c>
      <c r="U42" s="129">
        <f t="shared" si="8"/>
        <v>0.42169602630000003</v>
      </c>
      <c r="V42" s="129">
        <f t="shared" si="9"/>
        <v>0.45723895057500002</v>
      </c>
      <c r="W42" s="178"/>
      <c r="X42" s="156">
        <v>30</v>
      </c>
      <c r="Y42" s="130">
        <f t="shared" si="10"/>
        <v>0.46908659200000002</v>
      </c>
      <c r="Z42" s="130">
        <f t="shared" si="11"/>
        <v>0.42169602630000003</v>
      </c>
      <c r="AA42" s="130">
        <f t="shared" si="12"/>
        <v>0.45723895057500002</v>
      </c>
    </row>
    <row r="43" spans="1:27" x14ac:dyDescent="0.2">
      <c r="A43" s="115">
        <v>93</v>
      </c>
      <c r="B43" s="115">
        <v>100</v>
      </c>
      <c r="C43" s="3"/>
      <c r="D43" s="309">
        <v>31</v>
      </c>
      <c r="E43" s="310">
        <f t="shared" si="0"/>
        <v>0.55644689860000007</v>
      </c>
      <c r="F43" s="310">
        <f t="shared" si="1"/>
        <v>0.49929471720000013</v>
      </c>
      <c r="G43" s="311">
        <f t="shared" si="2"/>
        <v>0.54215885325000013</v>
      </c>
      <c r="H43" s="178"/>
      <c r="I43" s="154">
        <v>31</v>
      </c>
      <c r="J43" s="128">
        <f t="shared" si="13"/>
        <v>0.51481251070000011</v>
      </c>
      <c r="K43" s="128">
        <f t="shared" si="14"/>
        <v>0.46193656140000011</v>
      </c>
      <c r="L43" s="128">
        <f t="shared" si="3"/>
        <v>0.50159352337500007</v>
      </c>
      <c r="M43" s="178"/>
      <c r="N43" s="75">
        <v>31</v>
      </c>
      <c r="O43" s="78">
        <f t="shared" si="4"/>
        <v>0.54256876930000009</v>
      </c>
      <c r="P43" s="78">
        <f t="shared" si="5"/>
        <v>0.4868419986000001</v>
      </c>
      <c r="Q43" s="78">
        <f t="shared" si="6"/>
        <v>0.52863707662500015</v>
      </c>
      <c r="R43" s="178"/>
      <c r="S43" s="155">
        <v>31</v>
      </c>
      <c r="T43" s="129">
        <f t="shared" si="7"/>
        <v>0.46458689990000007</v>
      </c>
      <c r="U43" s="129">
        <f t="shared" si="8"/>
        <v>0.41686957980000006</v>
      </c>
      <c r="V43" s="129">
        <f t="shared" si="9"/>
        <v>0.45265756987500005</v>
      </c>
      <c r="W43" s="178"/>
      <c r="X43" s="156">
        <v>31</v>
      </c>
      <c r="Y43" s="130">
        <f t="shared" si="10"/>
        <v>0.46458689990000007</v>
      </c>
      <c r="Z43" s="130">
        <f t="shared" si="11"/>
        <v>0.41686957980000006</v>
      </c>
      <c r="AA43" s="130">
        <f t="shared" si="12"/>
        <v>0.45265756987500005</v>
      </c>
    </row>
    <row r="44" spans="1:27" x14ac:dyDescent="0.2">
      <c r="A44" s="115">
        <v>94</v>
      </c>
      <c r="B44" s="115">
        <v>101</v>
      </c>
      <c r="C44" s="3"/>
      <c r="D44" s="309">
        <v>32</v>
      </c>
      <c r="E44" s="310">
        <f t="shared" si="0"/>
        <v>0.55100160040000001</v>
      </c>
      <c r="F44" s="310">
        <f t="shared" si="1"/>
        <v>0.49345805740000004</v>
      </c>
      <c r="G44" s="311">
        <f t="shared" si="2"/>
        <v>0.53661571465000002</v>
      </c>
      <c r="H44" s="178"/>
      <c r="I44" s="154">
        <v>32</v>
      </c>
      <c r="J44" s="128">
        <f t="shared" si="13"/>
        <v>0.50977463980000004</v>
      </c>
      <c r="K44" s="128">
        <f t="shared" si="14"/>
        <v>0.45653661130000006</v>
      </c>
      <c r="L44" s="128">
        <f t="shared" si="3"/>
        <v>0.49646513267500003</v>
      </c>
      <c r="M44" s="178"/>
      <c r="N44" s="75">
        <v>32</v>
      </c>
      <c r="O44" s="78">
        <f t="shared" si="4"/>
        <v>0.53725928020000002</v>
      </c>
      <c r="P44" s="78">
        <f t="shared" si="5"/>
        <v>0.48115090869999999</v>
      </c>
      <c r="Q44" s="78">
        <f t="shared" si="6"/>
        <v>0.52323218732499999</v>
      </c>
      <c r="R44" s="178"/>
      <c r="S44" s="155">
        <v>32</v>
      </c>
      <c r="T44" s="129">
        <f t="shared" si="7"/>
        <v>0.46004052860000005</v>
      </c>
      <c r="U44" s="129">
        <f t="shared" si="8"/>
        <v>0.41199645410000002</v>
      </c>
      <c r="V44" s="129">
        <f t="shared" si="9"/>
        <v>0.44802950997500007</v>
      </c>
      <c r="W44" s="178"/>
      <c r="X44" s="156">
        <v>32</v>
      </c>
      <c r="Y44" s="130">
        <f t="shared" si="10"/>
        <v>0.46004052860000005</v>
      </c>
      <c r="Z44" s="130">
        <f t="shared" si="11"/>
        <v>0.41199645410000002</v>
      </c>
      <c r="AA44" s="130">
        <f t="shared" si="12"/>
        <v>0.44802950997500007</v>
      </c>
    </row>
    <row r="45" spans="1:27" x14ac:dyDescent="0.2">
      <c r="A45" s="115">
        <v>95</v>
      </c>
      <c r="B45" s="115">
        <v>102</v>
      </c>
      <c r="C45" s="3"/>
      <c r="D45" s="309">
        <v>33</v>
      </c>
      <c r="E45" s="310">
        <f t="shared" si="0"/>
        <v>0.54550039340000012</v>
      </c>
      <c r="F45" s="310">
        <f t="shared" si="1"/>
        <v>0.4875654888</v>
      </c>
      <c r="G45" s="311">
        <f t="shared" si="2"/>
        <v>0.53101666725000007</v>
      </c>
      <c r="H45" s="178"/>
      <c r="I45" s="154">
        <v>33</v>
      </c>
      <c r="J45" s="128">
        <f t="shared" si="13"/>
        <v>0.50468504330000008</v>
      </c>
      <c r="K45" s="128">
        <f t="shared" si="14"/>
        <v>0.45108493560000001</v>
      </c>
      <c r="L45" s="128">
        <f t="shared" si="3"/>
        <v>0.49128501637500005</v>
      </c>
      <c r="M45" s="178"/>
      <c r="N45" s="75">
        <v>33</v>
      </c>
      <c r="O45" s="78">
        <f t="shared" si="4"/>
        <v>0.53189527670000003</v>
      </c>
      <c r="P45" s="78">
        <f t="shared" si="5"/>
        <v>0.47540530440000001</v>
      </c>
      <c r="Q45" s="78">
        <f t="shared" si="6"/>
        <v>0.51777278362500001</v>
      </c>
      <c r="R45" s="178"/>
      <c r="S45" s="155">
        <v>33</v>
      </c>
      <c r="T45" s="129">
        <f t="shared" si="7"/>
        <v>0.45544747810000008</v>
      </c>
      <c r="U45" s="129">
        <f t="shared" si="8"/>
        <v>0.40707664919999997</v>
      </c>
      <c r="V45" s="129">
        <f t="shared" si="9"/>
        <v>0.44335477087500008</v>
      </c>
      <c r="W45" s="178"/>
      <c r="X45" s="156">
        <v>33</v>
      </c>
      <c r="Y45" s="130">
        <f t="shared" si="10"/>
        <v>0.45544747810000008</v>
      </c>
      <c r="Z45" s="130">
        <f t="shared" si="11"/>
        <v>0.40707664919999997</v>
      </c>
      <c r="AA45" s="130">
        <f t="shared" si="12"/>
        <v>0.44335477087500008</v>
      </c>
    </row>
    <row r="46" spans="1:27" x14ac:dyDescent="0.2">
      <c r="A46" s="115">
        <v>96</v>
      </c>
      <c r="B46" s="115">
        <v>103</v>
      </c>
      <c r="C46" s="3"/>
      <c r="D46" s="309">
        <v>34</v>
      </c>
      <c r="E46" s="310">
        <f t="shared" si="0"/>
        <v>0.53994327760000005</v>
      </c>
      <c r="F46" s="310">
        <f t="shared" si="1"/>
        <v>0.48161701140000007</v>
      </c>
      <c r="G46" s="311">
        <f t="shared" si="2"/>
        <v>0.52536171105000007</v>
      </c>
      <c r="H46" s="178"/>
      <c r="I46" s="154">
        <v>34</v>
      </c>
      <c r="J46" s="128">
        <f t="shared" si="13"/>
        <v>0.49954372120000012</v>
      </c>
      <c r="K46" s="128">
        <f t="shared" si="14"/>
        <v>0.44558153430000008</v>
      </c>
      <c r="L46" s="128">
        <f t="shared" si="3"/>
        <v>0.48605317447500007</v>
      </c>
      <c r="M46" s="178"/>
      <c r="N46" s="75">
        <v>34</v>
      </c>
      <c r="O46" s="78">
        <f t="shared" si="4"/>
        <v>0.52647675880000011</v>
      </c>
      <c r="P46" s="78">
        <f t="shared" si="5"/>
        <v>0.46960518570000004</v>
      </c>
      <c r="Q46" s="78">
        <f t="shared" si="6"/>
        <v>0.51225886552500011</v>
      </c>
      <c r="R46" s="178"/>
      <c r="S46" s="155">
        <v>34</v>
      </c>
      <c r="T46" s="129">
        <f t="shared" si="7"/>
        <v>0.45080774840000004</v>
      </c>
      <c r="U46" s="129">
        <f t="shared" si="8"/>
        <v>0.40211016510000003</v>
      </c>
      <c r="V46" s="129">
        <f t="shared" si="9"/>
        <v>0.43863335257500008</v>
      </c>
      <c r="W46" s="178"/>
      <c r="X46" s="156">
        <v>34</v>
      </c>
      <c r="Y46" s="130">
        <f t="shared" si="10"/>
        <v>0.45080774840000004</v>
      </c>
      <c r="Z46" s="130">
        <f t="shared" si="11"/>
        <v>0.40211016510000003</v>
      </c>
      <c r="AA46" s="130">
        <f t="shared" si="12"/>
        <v>0.43863335257500008</v>
      </c>
    </row>
    <row r="47" spans="1:27" x14ac:dyDescent="0.2">
      <c r="A47" s="115">
        <v>97</v>
      </c>
      <c r="B47" s="115">
        <v>104</v>
      </c>
      <c r="C47" s="3"/>
      <c r="D47" s="309">
        <v>35</v>
      </c>
      <c r="E47" s="310">
        <f t="shared" si="0"/>
        <v>0.53433025300000003</v>
      </c>
      <c r="F47" s="310">
        <f t="shared" si="1"/>
        <v>0.47561262520000003</v>
      </c>
      <c r="G47" s="311">
        <f t="shared" si="2"/>
        <v>0.51965084605</v>
      </c>
      <c r="H47" s="178"/>
      <c r="I47" s="154">
        <v>35</v>
      </c>
      <c r="J47" s="128">
        <f t="shared" si="13"/>
        <v>0.4943506735</v>
      </c>
      <c r="K47" s="128">
        <f t="shared" si="14"/>
        <v>0.44002640740000004</v>
      </c>
      <c r="L47" s="128">
        <f t="shared" si="3"/>
        <v>0.48076960697499999</v>
      </c>
      <c r="M47" s="178"/>
      <c r="N47" s="75">
        <v>35</v>
      </c>
      <c r="O47" s="78">
        <f t="shared" si="4"/>
        <v>0.52100372649999993</v>
      </c>
      <c r="P47" s="78">
        <f t="shared" si="5"/>
        <v>0.46375055260000003</v>
      </c>
      <c r="Q47" s="78">
        <f t="shared" si="6"/>
        <v>0.50669043302499994</v>
      </c>
      <c r="R47" s="178"/>
      <c r="S47" s="155">
        <v>35</v>
      </c>
      <c r="T47" s="129">
        <f t="shared" si="7"/>
        <v>0.44612133949999999</v>
      </c>
      <c r="U47" s="129">
        <f t="shared" si="8"/>
        <v>0.39709700180000002</v>
      </c>
      <c r="V47" s="129">
        <f t="shared" si="9"/>
        <v>0.43386525507500001</v>
      </c>
      <c r="W47" s="178"/>
      <c r="X47" s="156">
        <v>35</v>
      </c>
      <c r="Y47" s="130">
        <f t="shared" si="10"/>
        <v>0.44612133949999999</v>
      </c>
      <c r="Z47" s="130">
        <f t="shared" si="11"/>
        <v>0.39709700180000002</v>
      </c>
      <c r="AA47" s="130">
        <f t="shared" si="12"/>
        <v>0.43386525507500001</v>
      </c>
    </row>
    <row r="48" spans="1:27" x14ac:dyDescent="0.2">
      <c r="A48" s="115">
        <v>98</v>
      </c>
      <c r="B48" s="115">
        <v>105</v>
      </c>
      <c r="C48" s="3"/>
      <c r="D48" s="309">
        <v>36</v>
      </c>
      <c r="E48" s="310">
        <f t="shared" si="0"/>
        <v>0.52866131960000007</v>
      </c>
      <c r="F48" s="310">
        <f t="shared" si="1"/>
        <v>0.46955233020000003</v>
      </c>
      <c r="G48" s="311">
        <f t="shared" si="2"/>
        <v>0.5138840722500001</v>
      </c>
      <c r="H48" s="178"/>
      <c r="I48" s="154">
        <v>36</v>
      </c>
      <c r="J48" s="128">
        <f t="shared" si="13"/>
        <v>0.48910590020000005</v>
      </c>
      <c r="K48" s="128">
        <f t="shared" si="14"/>
        <v>0.43441955490000006</v>
      </c>
      <c r="L48" s="128">
        <f t="shared" si="3"/>
        <v>0.47543431387500007</v>
      </c>
      <c r="M48" s="178"/>
      <c r="N48" s="75">
        <v>36</v>
      </c>
      <c r="O48" s="78">
        <f t="shared" si="4"/>
        <v>0.51547617980000005</v>
      </c>
      <c r="P48" s="78">
        <f t="shared" si="5"/>
        <v>0.45784140510000004</v>
      </c>
      <c r="Q48" s="78">
        <f t="shared" si="6"/>
        <v>0.50106748612500007</v>
      </c>
      <c r="R48" s="178"/>
      <c r="S48" s="155">
        <v>36</v>
      </c>
      <c r="T48" s="129">
        <f t="shared" si="7"/>
        <v>0.44138825140000004</v>
      </c>
      <c r="U48" s="129">
        <f t="shared" si="8"/>
        <v>0.39203715930000005</v>
      </c>
      <c r="V48" s="129">
        <f t="shared" si="9"/>
        <v>0.42905047837500004</v>
      </c>
      <c r="W48" s="178"/>
      <c r="X48" s="156">
        <v>36</v>
      </c>
      <c r="Y48" s="130">
        <f t="shared" si="10"/>
        <v>0.44138825140000004</v>
      </c>
      <c r="Z48" s="130">
        <f t="shared" si="11"/>
        <v>0.39203715930000005</v>
      </c>
      <c r="AA48" s="130">
        <f t="shared" si="12"/>
        <v>0.42905047837500004</v>
      </c>
    </row>
    <row r="49" spans="1:27" x14ac:dyDescent="0.2">
      <c r="A49" s="115">
        <v>99</v>
      </c>
      <c r="B49" s="115">
        <v>106</v>
      </c>
      <c r="C49" s="3"/>
      <c r="D49" s="309">
        <v>37</v>
      </c>
      <c r="E49" s="310">
        <f t="shared" si="0"/>
        <v>0.52293647740000004</v>
      </c>
      <c r="F49" s="310">
        <f t="shared" si="1"/>
        <v>0.46343612640000004</v>
      </c>
      <c r="G49" s="311">
        <f t="shared" si="2"/>
        <v>0.50806138965000003</v>
      </c>
      <c r="H49" s="178"/>
      <c r="I49" s="154">
        <v>37</v>
      </c>
      <c r="J49" s="128">
        <f t="shared" si="13"/>
        <v>0.48380940130000005</v>
      </c>
      <c r="K49" s="128">
        <f t="shared" si="14"/>
        <v>0.42876097680000008</v>
      </c>
      <c r="L49" s="128">
        <f t="shared" si="3"/>
        <v>0.47004729517500005</v>
      </c>
      <c r="M49" s="178"/>
      <c r="N49" s="75">
        <v>37</v>
      </c>
      <c r="O49" s="78">
        <f t="shared" si="4"/>
        <v>0.50989411870000001</v>
      </c>
      <c r="P49" s="78">
        <f t="shared" si="5"/>
        <v>0.45187774320000007</v>
      </c>
      <c r="Q49" s="78">
        <f t="shared" si="6"/>
        <v>0.495390024825</v>
      </c>
      <c r="R49" s="178"/>
      <c r="S49" s="155">
        <v>37</v>
      </c>
      <c r="T49" s="129">
        <f t="shared" si="7"/>
        <v>0.43660848409999997</v>
      </c>
      <c r="U49" s="129">
        <f t="shared" si="8"/>
        <v>0.38693063760000002</v>
      </c>
      <c r="V49" s="129">
        <f t="shared" si="9"/>
        <v>0.42418902247500001</v>
      </c>
      <c r="W49" s="178"/>
      <c r="X49" s="156">
        <v>37</v>
      </c>
      <c r="Y49" s="130">
        <f t="shared" si="10"/>
        <v>0.43660848409999997</v>
      </c>
      <c r="Z49" s="130">
        <f t="shared" si="11"/>
        <v>0.38693063760000002</v>
      </c>
      <c r="AA49" s="130">
        <f t="shared" si="12"/>
        <v>0.42418902247500001</v>
      </c>
    </row>
    <row r="50" spans="1:27" x14ac:dyDescent="0.2">
      <c r="A50" s="115">
        <v>100</v>
      </c>
      <c r="B50" s="115">
        <v>107</v>
      </c>
      <c r="C50" s="3"/>
      <c r="D50" s="309">
        <v>38</v>
      </c>
      <c r="E50" s="310">
        <f t="shared" si="0"/>
        <v>0.51715572640000007</v>
      </c>
      <c r="F50" s="310">
        <f t="shared" si="1"/>
        <v>0.45726401379999998</v>
      </c>
      <c r="G50" s="311">
        <f t="shared" si="2"/>
        <v>0.50218279825000012</v>
      </c>
      <c r="H50" s="178"/>
      <c r="I50" s="154">
        <v>38</v>
      </c>
      <c r="J50" s="128">
        <f t="shared" si="13"/>
        <v>0.47846117680000005</v>
      </c>
      <c r="K50" s="128">
        <f t="shared" si="14"/>
        <v>0.4230506731</v>
      </c>
      <c r="L50" s="128">
        <f t="shared" si="3"/>
        <v>0.46460855087500008</v>
      </c>
      <c r="M50" s="178"/>
      <c r="N50" s="75">
        <v>38</v>
      </c>
      <c r="O50" s="78">
        <f t="shared" si="4"/>
        <v>0.50425754320000005</v>
      </c>
      <c r="P50" s="78">
        <f t="shared" si="5"/>
        <v>0.44585956689999995</v>
      </c>
      <c r="Q50" s="78">
        <f t="shared" si="6"/>
        <v>0.48965804912499999</v>
      </c>
      <c r="R50" s="178"/>
      <c r="S50" s="155">
        <v>38</v>
      </c>
      <c r="T50" s="129">
        <f t="shared" si="7"/>
        <v>0.4317820376</v>
      </c>
      <c r="U50" s="129">
        <f t="shared" si="8"/>
        <v>0.38177743669999997</v>
      </c>
      <c r="V50" s="129">
        <f t="shared" si="9"/>
        <v>0.41928088737499997</v>
      </c>
      <c r="W50" s="178"/>
      <c r="X50" s="156">
        <v>38</v>
      </c>
      <c r="Y50" s="130">
        <f t="shared" si="10"/>
        <v>0.4317820376</v>
      </c>
      <c r="Z50" s="130">
        <f t="shared" si="11"/>
        <v>0.38177743669999997</v>
      </c>
      <c r="AA50" s="130">
        <f t="shared" si="12"/>
        <v>0.41928088737499997</v>
      </c>
    </row>
    <row r="51" spans="1:27" x14ac:dyDescent="0.2">
      <c r="A51" s="115">
        <v>101</v>
      </c>
      <c r="B51" s="115">
        <v>108</v>
      </c>
      <c r="D51" s="309">
        <v>39</v>
      </c>
      <c r="E51" s="310">
        <f t="shared" si="0"/>
        <v>0.51131906660000004</v>
      </c>
      <c r="F51" s="310">
        <f t="shared" si="1"/>
        <v>0.45103599240000003</v>
      </c>
      <c r="G51" s="311">
        <f t="shared" si="2"/>
        <v>0.49624829805000004</v>
      </c>
      <c r="H51" s="178"/>
      <c r="I51" s="154">
        <v>39</v>
      </c>
      <c r="J51" s="128">
        <f t="shared" si="13"/>
        <v>0.47306122670000006</v>
      </c>
      <c r="K51" s="128">
        <f t="shared" si="14"/>
        <v>0.41728864380000003</v>
      </c>
      <c r="L51" s="128">
        <f t="shared" si="3"/>
        <v>0.45911808097500006</v>
      </c>
      <c r="M51" s="178"/>
      <c r="N51" s="75">
        <v>39</v>
      </c>
      <c r="O51" s="78">
        <f t="shared" si="4"/>
        <v>0.49856645330000005</v>
      </c>
      <c r="P51" s="78">
        <f t="shared" si="5"/>
        <v>0.43978687620000001</v>
      </c>
      <c r="Q51" s="78">
        <f t="shared" si="6"/>
        <v>0.48387155902500001</v>
      </c>
      <c r="R51" s="178"/>
      <c r="S51" s="155">
        <v>39</v>
      </c>
      <c r="T51" s="129">
        <f t="shared" si="7"/>
        <v>0.42690891190000002</v>
      </c>
      <c r="U51" s="129">
        <f t="shared" si="8"/>
        <v>0.37657755660000003</v>
      </c>
      <c r="V51" s="129">
        <f t="shared" si="9"/>
        <v>0.41432607307500002</v>
      </c>
      <c r="W51" s="178"/>
      <c r="X51" s="156">
        <v>39</v>
      </c>
      <c r="Y51" s="130">
        <f t="shared" si="10"/>
        <v>0.42690891190000002</v>
      </c>
      <c r="Z51" s="130">
        <f t="shared" si="11"/>
        <v>0.37657755660000003</v>
      </c>
      <c r="AA51" s="130">
        <f t="shared" si="12"/>
        <v>0.41432607307500002</v>
      </c>
    </row>
    <row r="52" spans="1:27" x14ac:dyDescent="0.2">
      <c r="A52" s="115">
        <v>102</v>
      </c>
      <c r="B52" s="115">
        <v>109</v>
      </c>
      <c r="D52" s="312">
        <v>40</v>
      </c>
      <c r="E52" s="313">
        <f t="shared" si="0"/>
        <v>0.50542649800000017</v>
      </c>
      <c r="F52" s="313">
        <f t="shared" si="1"/>
        <v>0.44475206219999996</v>
      </c>
      <c r="G52" s="314">
        <f t="shared" si="2"/>
        <v>0.49025788905000012</v>
      </c>
      <c r="H52" s="178"/>
      <c r="I52" s="154">
        <v>40</v>
      </c>
      <c r="J52" s="128">
        <f t="shared" si="13"/>
        <v>0.46760955100000012</v>
      </c>
      <c r="K52" s="128">
        <f t="shared" si="14"/>
        <v>0.4114748889</v>
      </c>
      <c r="L52" s="128">
        <f t="shared" si="3"/>
        <v>0.45357588547500005</v>
      </c>
      <c r="M52" s="178"/>
      <c r="N52" s="75">
        <v>40</v>
      </c>
      <c r="O52" s="78">
        <f t="shared" si="4"/>
        <v>0.49282084900000012</v>
      </c>
      <c r="P52" s="78">
        <f t="shared" si="5"/>
        <v>0.43365967109999998</v>
      </c>
      <c r="Q52" s="78">
        <f t="shared" si="6"/>
        <v>0.4780305545250001</v>
      </c>
      <c r="R52" s="178"/>
      <c r="S52" s="155">
        <v>40</v>
      </c>
      <c r="T52" s="129">
        <f t="shared" si="7"/>
        <v>0.42198910700000009</v>
      </c>
      <c r="U52" s="129">
        <f t="shared" si="8"/>
        <v>0.37133099729999997</v>
      </c>
      <c r="V52" s="129">
        <f t="shared" si="9"/>
        <v>0.40932457957500001</v>
      </c>
      <c r="W52" s="178"/>
      <c r="X52" s="156">
        <v>40</v>
      </c>
      <c r="Y52" s="130">
        <f t="shared" si="10"/>
        <v>0.42198910700000009</v>
      </c>
      <c r="Z52" s="130">
        <f t="shared" si="11"/>
        <v>0.37133099729999997</v>
      </c>
      <c r="AA52" s="130">
        <f t="shared" si="12"/>
        <v>0.40932457957500001</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activeCell="B1" sqref="B1:B1048576"/>
    </sheetView>
  </sheetViews>
  <sheetFormatPr baseColWidth="10" defaultColWidth="8.83203125" defaultRowHeight="15" x14ac:dyDescent="0.2"/>
  <cols>
    <col min="1" max="1" width="48" customWidth="1"/>
    <col min="2" max="2" width="12.83203125" customWidth="1"/>
    <col min="3" max="3" width="10.5" customWidth="1"/>
    <col min="4" max="4" width="9.1640625" customWidth="1"/>
    <col min="5" max="5" width="9.33203125" customWidth="1"/>
    <col min="6" max="6" width="12.1640625" customWidth="1"/>
    <col min="7" max="7" width="14.1640625" customWidth="1"/>
    <col min="8" max="8" width="21.83203125" customWidth="1"/>
    <col min="10" max="10" width="11.5" customWidth="1"/>
    <col min="13" max="13" width="15.5" customWidth="1"/>
  </cols>
  <sheetData>
    <row r="1" spans="1:8" ht="26" customHeight="1" x14ac:dyDescent="0.2">
      <c r="A1" s="65" t="s">
        <v>324</v>
      </c>
      <c r="B1" s="65" t="s">
        <v>325</v>
      </c>
      <c r="C1" s="67" t="s">
        <v>377</v>
      </c>
      <c r="D1" s="380" t="s">
        <v>326</v>
      </c>
      <c r="E1" s="380"/>
      <c r="F1" s="70" t="s">
        <v>459</v>
      </c>
      <c r="G1" s="65" t="s">
        <v>383</v>
      </c>
    </row>
    <row r="2" spans="1:8" ht="32" x14ac:dyDescent="0.2">
      <c r="A2" s="72" t="s">
        <v>327</v>
      </c>
      <c r="B2" s="66" t="s">
        <v>488</v>
      </c>
      <c r="C2" s="52"/>
      <c r="D2" s="52"/>
      <c r="E2" s="52"/>
      <c r="F2" s="52"/>
      <c r="G2" s="71" t="s">
        <v>345</v>
      </c>
    </row>
    <row r="3" spans="1:8" x14ac:dyDescent="0.2">
      <c r="A3" s="73" t="s">
        <v>491</v>
      </c>
      <c r="B3" s="108">
        <v>0.72</v>
      </c>
      <c r="C3" s="52"/>
      <c r="D3" s="52"/>
      <c r="E3" s="52"/>
      <c r="F3" s="52"/>
      <c r="G3" s="71" t="s">
        <v>492</v>
      </c>
    </row>
    <row r="4" spans="1:8" ht="16.5" customHeight="1" x14ac:dyDescent="0.2">
      <c r="A4" s="52" t="s">
        <v>337</v>
      </c>
      <c r="B4" s="198">
        <v>0.5005588376177551</v>
      </c>
      <c r="E4" s="52" t="s">
        <v>350</v>
      </c>
      <c r="F4" s="52"/>
      <c r="G4" t="s">
        <v>635</v>
      </c>
      <c r="H4" s="196" t="s">
        <v>632</v>
      </c>
    </row>
    <row r="5" spans="1:8" ht="14" customHeight="1" x14ac:dyDescent="0.2">
      <c r="A5" s="52" t="s">
        <v>338</v>
      </c>
      <c r="B5" s="198">
        <v>0.47421363563787322</v>
      </c>
      <c r="C5" s="52" t="s">
        <v>350</v>
      </c>
      <c r="D5" s="52" t="s">
        <v>350</v>
      </c>
      <c r="E5" s="52" t="s">
        <v>350</v>
      </c>
      <c r="F5" s="52"/>
      <c r="G5" t="s">
        <v>635</v>
      </c>
      <c r="H5" s="196" t="s">
        <v>633</v>
      </c>
    </row>
    <row r="6" spans="1:8" ht="14.5" customHeight="1" x14ac:dyDescent="0.2">
      <c r="A6" s="52" t="s">
        <v>339</v>
      </c>
      <c r="B6" s="198">
        <v>2.5227526744371707E-2</v>
      </c>
      <c r="C6" s="52" t="s">
        <v>350</v>
      </c>
      <c r="D6" s="52" t="s">
        <v>350</v>
      </c>
      <c r="E6" s="52" t="s">
        <v>350</v>
      </c>
      <c r="F6" s="52"/>
      <c r="G6" t="s">
        <v>635</v>
      </c>
      <c r="H6" s="196" t="s">
        <v>634</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468</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 customHeight="1" x14ac:dyDescent="0.2">
      <c r="A34" s="52"/>
      <c r="B34" s="52"/>
      <c r="C34" s="52"/>
      <c r="D34" s="52"/>
      <c r="E34" s="52"/>
      <c r="F34" s="52"/>
    </row>
    <row r="35" spans="1:7" x14ac:dyDescent="0.2">
      <c r="A35" s="52" t="s">
        <v>453</v>
      </c>
      <c r="B35" s="51">
        <v>0.84199999999999997</v>
      </c>
      <c r="C35" s="51">
        <v>2E-3</v>
      </c>
      <c r="D35" s="64">
        <v>0.83807999999999905</v>
      </c>
      <c r="E35" s="64">
        <v>0.84592000000000001</v>
      </c>
      <c r="F35" s="64" t="s">
        <v>460</v>
      </c>
      <c r="G35" t="s">
        <v>458</v>
      </c>
    </row>
    <row r="36" spans="1:7" x14ac:dyDescent="0.2">
      <c r="A36" s="52" t="s">
        <v>454</v>
      </c>
      <c r="B36" s="51">
        <v>0.77900000000000003</v>
      </c>
      <c r="C36" s="51">
        <v>0.01</v>
      </c>
      <c r="D36" s="64">
        <v>0.75939999999999996</v>
      </c>
      <c r="E36" s="64">
        <v>0.79859999999999998</v>
      </c>
      <c r="F36" s="64" t="s">
        <v>460</v>
      </c>
      <c r="G36" t="s">
        <v>458</v>
      </c>
    </row>
    <row r="37" spans="1:7" x14ac:dyDescent="0.2">
      <c r="A37" s="52" t="s">
        <v>455</v>
      </c>
      <c r="B37" s="51">
        <v>0.82099999999999995</v>
      </c>
      <c r="C37" s="51">
        <v>3.7999999999999999E-2</v>
      </c>
      <c r="D37" s="64">
        <v>0.74651999999999996</v>
      </c>
      <c r="E37" s="64">
        <v>0.89547999999999905</v>
      </c>
      <c r="F37" s="64" t="s">
        <v>460</v>
      </c>
      <c r="G37" t="s">
        <v>458</v>
      </c>
    </row>
    <row r="38" spans="1:7" x14ac:dyDescent="0.2">
      <c r="A38" s="52" t="s">
        <v>456</v>
      </c>
      <c r="B38" s="51">
        <v>0.70299999999999996</v>
      </c>
      <c r="C38" s="51">
        <v>0.01</v>
      </c>
      <c r="D38" s="64">
        <v>0.68340000000000001</v>
      </c>
      <c r="E38" s="64">
        <v>0.72259999999999902</v>
      </c>
      <c r="F38" s="64" t="s">
        <v>460</v>
      </c>
      <c r="G38" t="s">
        <v>458</v>
      </c>
    </row>
    <row r="39" spans="1:7" x14ac:dyDescent="0.2">
      <c r="A39" s="52" t="s">
        <v>457</v>
      </c>
      <c r="B39" s="51">
        <v>0.70299999999999996</v>
      </c>
      <c r="C39" s="51">
        <v>3.7999999999999999E-2</v>
      </c>
      <c r="D39" s="64">
        <v>0.62851999999999997</v>
      </c>
      <c r="E39" s="64">
        <v>0.77747999999999995</v>
      </c>
      <c r="F39" s="64" t="s">
        <v>460</v>
      </c>
      <c r="G39" t="s">
        <v>458</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6" sqref="I16"/>
    </sheetView>
  </sheetViews>
  <sheetFormatPr baseColWidth="10" defaultColWidth="8.83203125" defaultRowHeight="15" x14ac:dyDescent="0.2"/>
  <sheetData>
    <row r="3" spans="3:18" ht="16" thickBot="1" x14ac:dyDescent="0.25"/>
    <row r="4" spans="3:18" x14ac:dyDescent="0.2">
      <c r="C4" s="381" t="s">
        <v>473</v>
      </c>
      <c r="D4" s="382"/>
      <c r="E4" s="382"/>
      <c r="F4" s="383"/>
      <c r="G4" s="56"/>
      <c r="H4" s="56"/>
      <c r="I4" s="56"/>
      <c r="J4" s="56"/>
      <c r="K4" s="56"/>
      <c r="L4" s="56"/>
      <c r="M4" s="56"/>
      <c r="N4" s="56"/>
      <c r="O4" s="56"/>
      <c r="P4" s="56"/>
      <c r="Q4" s="56"/>
      <c r="R4" s="57"/>
    </row>
    <row r="5" spans="3:18" x14ac:dyDescent="0.2">
      <c r="C5" s="58" t="s">
        <v>354</v>
      </c>
      <c r="D5" s="52" t="s">
        <v>465</v>
      </c>
      <c r="E5" s="52" t="s">
        <v>340</v>
      </c>
      <c r="F5" s="52" t="s">
        <v>466</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C1:X133"/>
  <sheetViews>
    <sheetView zoomScale="85" zoomScaleNormal="85" workbookViewId="0">
      <selection activeCell="C14" sqref="C14:L14"/>
    </sheetView>
  </sheetViews>
  <sheetFormatPr baseColWidth="10" defaultColWidth="8.83203125" defaultRowHeight="15" x14ac:dyDescent="0.2"/>
  <cols>
    <col min="3" max="5" width="8.6640625" style="47"/>
    <col min="6" max="6" width="2.1640625" customWidth="1"/>
    <col min="7" max="7" width="8.6640625" style="89" customWidth="1"/>
    <col min="8" max="8" width="8.6640625" style="89"/>
    <col min="9" max="9" width="2.6640625" customWidth="1"/>
    <col min="10" max="12" width="8.6640625" style="90"/>
    <col min="13" max="13" width="2.1640625" customWidth="1"/>
    <col min="14" max="19" width="8.6640625" style="92"/>
    <col min="20" max="20" width="2.1640625" customWidth="1"/>
  </cols>
  <sheetData>
    <row r="1" spans="3:24" x14ac:dyDescent="0.2">
      <c r="U1" s="360" t="s">
        <v>487</v>
      </c>
      <c r="V1" s="360"/>
      <c r="W1" s="360"/>
      <c r="X1" s="360"/>
    </row>
    <row r="2" spans="3:24" ht="21" x14ac:dyDescent="0.25">
      <c r="C2" s="389" t="s">
        <v>484</v>
      </c>
      <c r="D2" s="389"/>
      <c r="E2" s="389"/>
      <c r="F2" s="91"/>
      <c r="G2" s="387" t="s">
        <v>482</v>
      </c>
      <c r="H2" s="387"/>
      <c r="I2" s="91"/>
      <c r="J2" s="390" t="s">
        <v>483</v>
      </c>
      <c r="K2" s="390"/>
      <c r="L2" s="390"/>
      <c r="N2" s="385" t="s">
        <v>485</v>
      </c>
      <c r="O2" s="385"/>
      <c r="P2" s="385"/>
      <c r="Q2" s="385"/>
      <c r="R2" s="385"/>
      <c r="S2" s="385"/>
      <c r="U2" s="92"/>
      <c r="V2" s="92"/>
      <c r="W2" s="92"/>
      <c r="X2" s="92"/>
    </row>
    <row r="3" spans="3:24" x14ac:dyDescent="0.2">
      <c r="C3" s="88"/>
      <c r="J3" s="388"/>
      <c r="K3" s="388"/>
      <c r="L3" s="388"/>
      <c r="U3" s="92"/>
      <c r="V3" s="92"/>
      <c r="W3" s="92"/>
      <c r="X3" s="92"/>
    </row>
    <row r="4" spans="3:24" x14ac:dyDescent="0.2">
      <c r="C4" s="88"/>
      <c r="U4" s="92"/>
      <c r="V4" s="92"/>
      <c r="W4" s="92"/>
      <c r="X4" s="92"/>
    </row>
    <row r="5" spans="3:24" x14ac:dyDescent="0.2">
      <c r="C5" s="88"/>
      <c r="U5" s="92"/>
      <c r="V5" s="92"/>
      <c r="W5" s="92"/>
      <c r="X5" s="92"/>
    </row>
    <row r="6" spans="3:24" x14ac:dyDescent="0.2">
      <c r="C6" s="88"/>
      <c r="U6" s="92"/>
      <c r="V6" s="92"/>
      <c r="W6" s="92"/>
      <c r="X6" s="92"/>
    </row>
    <row r="7" spans="3:24" x14ac:dyDescent="0.2">
      <c r="U7" s="92"/>
      <c r="V7" s="92"/>
      <c r="W7" s="92"/>
      <c r="X7" s="92"/>
    </row>
    <row r="8" spans="3:24" x14ac:dyDescent="0.2">
      <c r="U8" s="92"/>
      <c r="V8" s="92"/>
      <c r="W8" s="92"/>
      <c r="X8" s="92"/>
    </row>
    <row r="9" spans="3:24" x14ac:dyDescent="0.2">
      <c r="U9" s="92"/>
      <c r="V9" s="107"/>
      <c r="W9" s="92"/>
      <c r="X9" s="92"/>
    </row>
    <row r="10" spans="3:24" x14ac:dyDescent="0.2">
      <c r="U10" s="92"/>
      <c r="V10" s="92"/>
      <c r="W10" s="92"/>
      <c r="X10" s="92"/>
    </row>
    <row r="11" spans="3:24" x14ac:dyDescent="0.2">
      <c r="U11" s="92"/>
      <c r="V11" s="92"/>
      <c r="W11" s="92"/>
      <c r="X11" s="92"/>
    </row>
    <row r="12" spans="3:24" x14ac:dyDescent="0.2">
      <c r="U12" s="92"/>
      <c r="V12" s="92"/>
      <c r="W12" s="92"/>
      <c r="X12" s="92"/>
    </row>
    <row r="13" spans="3:24" x14ac:dyDescent="0.2">
      <c r="U13" s="92"/>
      <c r="V13" s="92"/>
      <c r="W13" s="92"/>
      <c r="X13" s="92"/>
    </row>
    <row r="14" spans="3:24" x14ac:dyDescent="0.2">
      <c r="U14" s="92"/>
      <c r="V14" s="92"/>
      <c r="W14" s="92"/>
      <c r="X14" s="92"/>
    </row>
    <row r="15" spans="3:24" x14ac:dyDescent="0.2">
      <c r="C15"/>
      <c r="D15"/>
      <c r="E15"/>
      <c r="G15"/>
      <c r="H15"/>
      <c r="J15"/>
      <c r="K15"/>
      <c r="L15"/>
      <c r="N15"/>
      <c r="O15"/>
      <c r="P15"/>
      <c r="Q15"/>
      <c r="R15"/>
      <c r="S15"/>
    </row>
    <row r="16" spans="3:24" x14ac:dyDescent="0.2">
      <c r="C16"/>
      <c r="D16"/>
      <c r="E16"/>
      <c r="G16"/>
      <c r="H16"/>
      <c r="J16"/>
      <c r="K16"/>
      <c r="L16"/>
      <c r="N16"/>
      <c r="O16"/>
      <c r="P16"/>
      <c r="Q16"/>
      <c r="R16"/>
      <c r="S16"/>
    </row>
    <row r="17" spans="3:24" x14ac:dyDescent="0.2">
      <c r="C17"/>
      <c r="D17"/>
      <c r="E17"/>
      <c r="G17"/>
      <c r="H17"/>
      <c r="J17"/>
      <c r="K17"/>
      <c r="L17"/>
      <c r="N17"/>
      <c r="O17"/>
      <c r="P17"/>
      <c r="Q17"/>
      <c r="R17"/>
      <c r="S17"/>
    </row>
    <row r="18" spans="3:24" x14ac:dyDescent="0.2">
      <c r="C18"/>
      <c r="D18"/>
      <c r="E18"/>
      <c r="G18"/>
      <c r="H18"/>
      <c r="J18"/>
      <c r="K18"/>
      <c r="L18"/>
      <c r="N18"/>
      <c r="O18"/>
      <c r="P18"/>
      <c r="Q18"/>
      <c r="R18"/>
      <c r="S18"/>
    </row>
    <row r="19" spans="3:24" x14ac:dyDescent="0.2">
      <c r="C19"/>
      <c r="D19"/>
      <c r="E19"/>
      <c r="G19"/>
      <c r="H19"/>
      <c r="J19"/>
      <c r="K19"/>
      <c r="L19"/>
      <c r="N19"/>
      <c r="O19"/>
      <c r="P19"/>
      <c r="Q19"/>
      <c r="R19"/>
      <c r="S19"/>
    </row>
    <row r="20" spans="3:24" x14ac:dyDescent="0.2">
      <c r="C20"/>
      <c r="D20"/>
      <c r="E20"/>
      <c r="G20"/>
      <c r="H20"/>
      <c r="J20"/>
      <c r="K20"/>
      <c r="L20"/>
      <c r="N20"/>
      <c r="O20"/>
      <c r="P20"/>
      <c r="Q20"/>
      <c r="R20"/>
      <c r="S20"/>
    </row>
    <row r="21" spans="3:24" x14ac:dyDescent="0.2">
      <c r="C21"/>
      <c r="D21"/>
      <c r="E21"/>
      <c r="G21"/>
      <c r="H21"/>
      <c r="J21"/>
      <c r="K21"/>
      <c r="L21"/>
      <c r="N21"/>
      <c r="O21"/>
      <c r="P21"/>
      <c r="Q21"/>
      <c r="R21"/>
      <c r="S21"/>
      <c r="U21" s="384" t="s">
        <v>487</v>
      </c>
      <c r="V21" s="384"/>
      <c r="W21" s="384"/>
      <c r="X21" s="384"/>
    </row>
    <row r="22" spans="3:24" ht="19" x14ac:dyDescent="0.25">
      <c r="C22" s="386" t="s">
        <v>484</v>
      </c>
      <c r="D22" s="386"/>
      <c r="E22" s="386"/>
      <c r="G22" s="387" t="s">
        <v>482</v>
      </c>
      <c r="H22" s="387"/>
      <c r="I22" s="89"/>
      <c r="J22" s="89"/>
      <c r="K22" s="388" t="s">
        <v>486</v>
      </c>
      <c r="L22" s="388"/>
      <c r="U22" s="92"/>
      <c r="V22" s="92"/>
      <c r="W22" s="92"/>
      <c r="X22" s="92"/>
    </row>
    <row r="23" spans="3:24" x14ac:dyDescent="0.2">
      <c r="C23" s="93"/>
      <c r="D23" s="93"/>
      <c r="E23" s="93"/>
      <c r="I23" s="89"/>
      <c r="J23" s="89"/>
      <c r="U23" s="92"/>
      <c r="V23" s="92"/>
      <c r="W23" s="92"/>
      <c r="X23" s="92"/>
    </row>
    <row r="24" spans="3:24" x14ac:dyDescent="0.2">
      <c r="C24" s="93"/>
      <c r="D24" s="93"/>
      <c r="E24" s="93"/>
      <c r="I24" s="89"/>
      <c r="J24" s="89"/>
      <c r="U24" s="92"/>
      <c r="V24" s="92"/>
      <c r="W24" s="92"/>
      <c r="X24" s="92"/>
    </row>
    <row r="25" spans="3:24" x14ac:dyDescent="0.2">
      <c r="C25" s="93"/>
      <c r="D25" s="93"/>
      <c r="E25" s="93"/>
      <c r="I25" s="89"/>
      <c r="J25" s="89"/>
      <c r="U25" s="92"/>
      <c r="V25" s="92"/>
      <c r="W25" s="92"/>
      <c r="X25" s="92"/>
    </row>
    <row r="26" spans="3:24" x14ac:dyDescent="0.2">
      <c r="C26" s="93"/>
      <c r="D26" s="93"/>
      <c r="E26" s="93"/>
      <c r="I26" s="89"/>
      <c r="J26" s="89"/>
      <c r="U26" s="92"/>
      <c r="V26" s="92"/>
      <c r="W26" s="92"/>
      <c r="X26" s="92"/>
    </row>
    <row r="27" spans="3:24" x14ac:dyDescent="0.2">
      <c r="C27" s="93"/>
      <c r="D27" s="93"/>
      <c r="E27" s="93"/>
      <c r="I27" s="89"/>
      <c r="J27" s="89"/>
      <c r="U27" s="92"/>
      <c r="V27" s="92"/>
      <c r="W27" s="92"/>
      <c r="X27" s="92"/>
    </row>
    <row r="28" spans="3:24" x14ac:dyDescent="0.2">
      <c r="C28" s="93"/>
      <c r="D28" s="93"/>
      <c r="E28" s="93"/>
      <c r="I28" s="89"/>
      <c r="J28" s="89"/>
      <c r="U28" s="92"/>
      <c r="V28" s="92"/>
      <c r="W28" s="92"/>
      <c r="X28" s="92"/>
    </row>
    <row r="29" spans="3:24" x14ac:dyDescent="0.2">
      <c r="C29" s="93"/>
      <c r="D29" s="93"/>
      <c r="E29" s="93"/>
      <c r="I29" s="89"/>
      <c r="J29" s="89"/>
      <c r="U29" s="92"/>
      <c r="V29" s="92"/>
      <c r="W29" s="92"/>
      <c r="X29" s="92"/>
    </row>
    <row r="30" spans="3:24" x14ac:dyDescent="0.2">
      <c r="C30" s="93"/>
      <c r="D30" s="93"/>
      <c r="E30" s="93"/>
      <c r="I30" s="89"/>
      <c r="J30" s="89"/>
      <c r="U30" s="92"/>
      <c r="V30" s="92"/>
      <c r="W30" s="92"/>
      <c r="X30" s="92"/>
    </row>
    <row r="31" spans="3:24" x14ac:dyDescent="0.2">
      <c r="C31" s="93"/>
      <c r="D31" s="93"/>
      <c r="E31" s="93"/>
      <c r="I31" s="89"/>
      <c r="J31" s="89"/>
      <c r="U31" s="92"/>
      <c r="V31" s="92"/>
      <c r="W31" s="92"/>
      <c r="X31" s="92"/>
    </row>
    <row r="32" spans="3:24" x14ac:dyDescent="0.2">
      <c r="C32" s="93"/>
      <c r="D32" s="93"/>
      <c r="E32" s="93"/>
      <c r="I32" s="89"/>
      <c r="J32" s="89"/>
      <c r="U32" s="92"/>
      <c r="V32" s="92"/>
      <c r="W32" s="92"/>
      <c r="X32" s="92"/>
    </row>
    <row r="33" spans="3:24" x14ac:dyDescent="0.2">
      <c r="C33" s="93"/>
      <c r="D33" s="93"/>
      <c r="E33" s="93"/>
      <c r="I33" s="89"/>
      <c r="J33" s="89"/>
      <c r="U33" s="92"/>
      <c r="V33" s="92"/>
      <c r="W33" s="92"/>
      <c r="X33" s="92"/>
    </row>
    <row r="34" spans="3:24" x14ac:dyDescent="0.2">
      <c r="C34" s="93"/>
      <c r="D34" s="93"/>
      <c r="E34" s="93"/>
      <c r="I34" s="89"/>
      <c r="J34" s="89"/>
      <c r="U34" s="92"/>
      <c r="V34" s="92"/>
      <c r="W34" s="92"/>
      <c r="X34" s="92"/>
    </row>
    <row r="35" spans="3:24" x14ac:dyDescent="0.2">
      <c r="C35" s="93"/>
      <c r="D35" s="93"/>
      <c r="E35" s="93"/>
      <c r="I35" s="89"/>
      <c r="J35" s="89"/>
      <c r="U35" s="92"/>
      <c r="V35" s="92"/>
      <c r="W35" s="92"/>
      <c r="X35" s="92"/>
    </row>
    <row r="36" spans="3:24" x14ac:dyDescent="0.2">
      <c r="C36"/>
      <c r="D36"/>
      <c r="E36"/>
      <c r="G36"/>
      <c r="H36"/>
      <c r="J36"/>
      <c r="K36"/>
      <c r="L36"/>
      <c r="N36"/>
      <c r="O36"/>
      <c r="P36"/>
      <c r="Q36"/>
      <c r="R36"/>
      <c r="S36"/>
    </row>
    <row r="37" spans="3:24" x14ac:dyDescent="0.2">
      <c r="C37"/>
      <c r="D37"/>
      <c r="E37"/>
      <c r="G37"/>
      <c r="H37"/>
      <c r="J37"/>
      <c r="K37"/>
      <c r="L37"/>
      <c r="N37"/>
      <c r="O37"/>
      <c r="P37"/>
      <c r="Q37"/>
      <c r="R37"/>
      <c r="S37"/>
    </row>
    <row r="38" spans="3:24" x14ac:dyDescent="0.2">
      <c r="C38"/>
      <c r="D38"/>
      <c r="E38"/>
      <c r="G38"/>
      <c r="H38"/>
      <c r="J38"/>
      <c r="K38"/>
      <c r="L38"/>
      <c r="N38"/>
      <c r="O38"/>
      <c r="P38"/>
      <c r="Q38"/>
      <c r="R38"/>
      <c r="S38"/>
    </row>
    <row r="39" spans="3:24" x14ac:dyDescent="0.2">
      <c r="C39"/>
      <c r="D39"/>
      <c r="E39"/>
      <c r="G39"/>
      <c r="H39"/>
      <c r="J39"/>
      <c r="K39"/>
      <c r="L39"/>
      <c r="N39"/>
      <c r="O39"/>
      <c r="P39"/>
      <c r="Q39"/>
      <c r="R39"/>
      <c r="S39"/>
    </row>
    <row r="40" spans="3:24" x14ac:dyDescent="0.2">
      <c r="C40"/>
      <c r="D40"/>
      <c r="E40"/>
      <c r="G40"/>
      <c r="H40"/>
      <c r="J40"/>
      <c r="K40"/>
      <c r="L40"/>
      <c r="N40"/>
      <c r="O40"/>
      <c r="P40"/>
      <c r="Q40"/>
      <c r="R40"/>
      <c r="S40"/>
    </row>
    <row r="41" spans="3:24" x14ac:dyDescent="0.2">
      <c r="C41"/>
      <c r="D41"/>
      <c r="E41"/>
      <c r="G41"/>
      <c r="H41"/>
      <c r="J41"/>
      <c r="K41"/>
      <c r="L41"/>
      <c r="N41"/>
      <c r="O41"/>
      <c r="P41"/>
      <c r="Q41"/>
      <c r="R41"/>
      <c r="S41"/>
    </row>
    <row r="42" spans="3:24" x14ac:dyDescent="0.2">
      <c r="C42"/>
      <c r="D42"/>
      <c r="E42"/>
      <c r="G42"/>
      <c r="H42"/>
      <c r="J42"/>
      <c r="K42"/>
      <c r="L42"/>
      <c r="N42"/>
      <c r="O42"/>
      <c r="P42"/>
      <c r="Q42"/>
      <c r="R42"/>
      <c r="S42"/>
    </row>
    <row r="43" spans="3:24" x14ac:dyDescent="0.2">
      <c r="C43"/>
      <c r="D43"/>
      <c r="E43"/>
      <c r="G43"/>
      <c r="H43"/>
      <c r="J43"/>
      <c r="K43"/>
      <c r="L43"/>
      <c r="N43"/>
      <c r="O43"/>
      <c r="P43"/>
      <c r="Q43"/>
      <c r="R43"/>
      <c r="S43"/>
    </row>
    <row r="44" spans="3:24" x14ac:dyDescent="0.2">
      <c r="C44"/>
      <c r="D44"/>
      <c r="E44"/>
      <c r="G44"/>
      <c r="H44"/>
      <c r="J44"/>
      <c r="K44"/>
      <c r="L44"/>
      <c r="N44"/>
      <c r="O44"/>
      <c r="P44"/>
      <c r="Q44"/>
      <c r="R44"/>
      <c r="S44"/>
    </row>
    <row r="45" spans="3:24" x14ac:dyDescent="0.2">
      <c r="C45"/>
      <c r="D45"/>
      <c r="E45"/>
      <c r="G45"/>
      <c r="H45"/>
      <c r="J45"/>
      <c r="K45"/>
      <c r="L45"/>
      <c r="N45"/>
      <c r="O45"/>
      <c r="P45"/>
      <c r="Q45"/>
      <c r="R45"/>
      <c r="S45"/>
    </row>
    <row r="46" spans="3:24" x14ac:dyDescent="0.2">
      <c r="C46"/>
      <c r="D46"/>
      <c r="E46"/>
      <c r="G46"/>
      <c r="H46"/>
      <c r="J46"/>
      <c r="K46"/>
      <c r="L46"/>
      <c r="N46"/>
      <c r="O46"/>
      <c r="P46"/>
      <c r="Q46"/>
      <c r="R46"/>
      <c r="S46"/>
    </row>
    <row r="47" spans="3:24" x14ac:dyDescent="0.2">
      <c r="C47"/>
      <c r="D47"/>
      <c r="E47"/>
      <c r="G47"/>
      <c r="H47"/>
      <c r="J47"/>
      <c r="K47"/>
      <c r="L47"/>
      <c r="N47"/>
      <c r="O47"/>
      <c r="P47"/>
      <c r="Q47"/>
      <c r="R47"/>
      <c r="S47"/>
    </row>
    <row r="48" spans="3:24" x14ac:dyDescent="0.2">
      <c r="C48"/>
      <c r="D48"/>
      <c r="E48"/>
      <c r="G48"/>
      <c r="H48"/>
      <c r="J48"/>
      <c r="K48"/>
      <c r="L48"/>
      <c r="N48"/>
      <c r="O48"/>
      <c r="P48"/>
      <c r="Q48"/>
      <c r="R48"/>
      <c r="S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sheetData>
  <mergeCells count="10">
    <mergeCell ref="U1:X1"/>
    <mergeCell ref="U21:X21"/>
    <mergeCell ref="N2:S2"/>
    <mergeCell ref="C22:E22"/>
    <mergeCell ref="G22:H22"/>
    <mergeCell ref="K22:L22"/>
    <mergeCell ref="C2:E2"/>
    <mergeCell ref="G2:H2"/>
    <mergeCell ref="J2:L2"/>
    <mergeCell ref="J3:L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108</vt:i4>
      </vt:variant>
    </vt:vector>
  </HeadingPairs>
  <TitlesOfParts>
    <vt:vector size="123" baseType="lpstr">
      <vt:lpstr>Time Table</vt:lpstr>
      <vt:lpstr>PGX ACS studies </vt:lpstr>
      <vt:lpstr>Previous Model Structures </vt:lpstr>
      <vt:lpstr>Model structure </vt:lpstr>
      <vt:lpstr>assumptions</vt:lpstr>
      <vt:lpstr>Prameters.STEMI</vt:lpstr>
      <vt:lpstr>formula</vt:lpstr>
      <vt:lpstr>Intitial-Calculations</vt:lpstr>
      <vt:lpstr>markov_transition</vt:lpstr>
      <vt:lpstr>costs</vt:lpstr>
      <vt:lpstr>age_sex_dependant_mortality</vt:lpstr>
      <vt:lpstr>age_sex_dependant_utility</vt:lpstr>
      <vt:lpstr>Prameters.NSTEMI</vt:lpstr>
      <vt:lpstr>Data from Pufulete 2022</vt:lpstr>
      <vt:lpstr>timeline</vt:lpstr>
      <vt:lpstr>cost_AC_ld300_md_365</vt:lpstr>
      <vt:lpstr>cost_AC_ld600_md_365</vt:lpstr>
      <vt:lpstr>cost_AC_md_328</vt:lpstr>
      <vt:lpstr>cost_AC_md_360</vt:lpstr>
      <vt:lpstr>cost_AP_10mg</vt:lpstr>
      <vt:lpstr>cost_AP_5mg</vt:lpstr>
      <vt:lpstr>cost_AP_ld60_365md</vt:lpstr>
      <vt:lpstr>cost_AP_md_328</vt:lpstr>
      <vt:lpstr>cost_AP_md_360</vt:lpstr>
      <vt:lpstr>cost_AP_md_halfway</vt:lpstr>
      <vt:lpstr>cost_AT_ld180_md_365</vt:lpstr>
      <vt:lpstr>cost_AT_md_328</vt:lpstr>
      <vt:lpstr>cost_AT_md_360</vt:lpstr>
      <vt:lpstr>cost_AT_md_halfway</vt:lpstr>
      <vt:lpstr>cost_death_tree</vt:lpstr>
      <vt:lpstr>cost_maj_bleed</vt:lpstr>
      <vt:lpstr>cost_MI_tree</vt:lpstr>
      <vt:lpstr>cost_min_bleed</vt:lpstr>
      <vt:lpstr>cost_no_event_markov</vt:lpstr>
      <vt:lpstr>cost_no_event_tree</vt:lpstr>
      <vt:lpstr>cost_PCI</vt:lpstr>
      <vt:lpstr>cost_PoCT</vt:lpstr>
      <vt:lpstr>cost_post_reinfarction_markov</vt:lpstr>
      <vt:lpstr>cost_post_stroke_markov</vt:lpstr>
      <vt:lpstr>cost_pras_weighted</vt:lpstr>
      <vt:lpstr>cost_reinfarction_markov</vt:lpstr>
      <vt:lpstr>cost_stroke_markov</vt:lpstr>
      <vt:lpstr>cost_stroke_tree</vt:lpstr>
      <vt:lpstr>day_cost_ASA</vt:lpstr>
      <vt:lpstr>day_cost_clop</vt:lpstr>
      <vt:lpstr>day_cost_pras_10mg</vt:lpstr>
      <vt:lpstr>day_cost_pras_5mg</vt:lpstr>
      <vt:lpstr>day_cost_tica</vt:lpstr>
      <vt:lpstr>duration_maj_bleed</vt:lpstr>
      <vt:lpstr>duration_min_bleed</vt:lpstr>
      <vt:lpstr>HR_death_AC_no_LOF</vt:lpstr>
      <vt:lpstr>HR_death_lof_AC</vt:lpstr>
      <vt:lpstr>HR_MI_AC_no_LOF</vt:lpstr>
      <vt:lpstr>HR_MI_lof_AC</vt:lpstr>
      <vt:lpstr>HR_stroke_AC_no_LOF</vt:lpstr>
      <vt:lpstr>HR_stroke_lof_AC</vt:lpstr>
      <vt:lpstr>ld_clop_300</vt:lpstr>
      <vt:lpstr>ld_clop_600</vt:lpstr>
      <vt:lpstr>ld_pras_60</vt:lpstr>
      <vt:lpstr>ld_tica_180</vt:lpstr>
      <vt:lpstr>male_proportion_STEMI</vt:lpstr>
      <vt:lpstr>md_328</vt:lpstr>
      <vt:lpstr>md_360_day</vt:lpstr>
      <vt:lpstr>md_365_day</vt:lpstr>
      <vt:lpstr>md_halfway</vt:lpstr>
      <vt:lpstr>OR_death_pras_vs_clop</vt:lpstr>
      <vt:lpstr>OR_death_tica_vs_clop</vt:lpstr>
      <vt:lpstr>OR_maj_bleed__tica_vs_clop</vt:lpstr>
      <vt:lpstr>OR_maj_bleed_pras_vs_clop</vt:lpstr>
      <vt:lpstr>OR_MI_pras_vs_clop</vt:lpstr>
      <vt:lpstr>OR_MI_tica_vs_clop</vt:lpstr>
      <vt:lpstr>OR_min_bleed__tica_vs_clop</vt:lpstr>
      <vt:lpstr>OR_min_bleed_pras_vs_clop</vt:lpstr>
      <vt:lpstr>OR_stroke_pras_vs_clop</vt:lpstr>
      <vt:lpstr>OR_stroke_tica_vs_clop</vt:lpstr>
      <vt:lpstr>prev_LOF_base_case</vt:lpstr>
      <vt:lpstr>prev_LOF_sensitivity</vt:lpstr>
      <vt:lpstr>prob_death_AC</vt:lpstr>
      <vt:lpstr>prob_death_AC_noLOF</vt:lpstr>
      <vt:lpstr>prob_death_AP</vt:lpstr>
      <vt:lpstr>prob_death_AT</vt:lpstr>
      <vt:lpstr>prob_maj_bleed_AC</vt:lpstr>
      <vt:lpstr>prob_maj_bleed_AP</vt:lpstr>
      <vt:lpstr>prob_maj_bleed_AT</vt:lpstr>
      <vt:lpstr>prob_MI_AC</vt:lpstr>
      <vt:lpstr>prob_MI_AC_noLOF</vt:lpstr>
      <vt:lpstr>prob_MI_AP</vt:lpstr>
      <vt:lpstr>prob_MI_AT</vt:lpstr>
      <vt:lpstr>prob_min_bleed_AC</vt:lpstr>
      <vt:lpstr>prob_min_bleed_AP</vt:lpstr>
      <vt:lpstr>prob_min_bleed_AT</vt:lpstr>
      <vt:lpstr>prob_stroke_AC</vt:lpstr>
      <vt:lpstr>prob_stroke_AC_noLOF</vt:lpstr>
      <vt:lpstr>prob_stroke_AP</vt:lpstr>
      <vt:lpstr>prob_stroke_AT</vt:lpstr>
      <vt:lpstr>prob_test_followed</vt:lpstr>
      <vt:lpstr>prob_test_order</vt:lpstr>
      <vt:lpstr>proportion_AC_standard</vt:lpstr>
      <vt:lpstr>proportion_AP_lof</vt:lpstr>
      <vt:lpstr>proportion_AP_standard</vt:lpstr>
      <vt:lpstr>proportion_AT_lof</vt:lpstr>
      <vt:lpstr>proportion_AT_standard</vt:lpstr>
      <vt:lpstr>proportion_pras_5mg</vt:lpstr>
      <vt:lpstr>rate_maj_bleed_AC_noLOF</vt:lpstr>
      <vt:lpstr>rate_min_bleed_AC_noLOF</vt:lpstr>
      <vt:lpstr>SMR_no_further_event</vt:lpstr>
      <vt:lpstr>SMR_post_reinfarction</vt:lpstr>
      <vt:lpstr>SMR_post_stroke</vt:lpstr>
      <vt:lpstr>SMR_reinfarction</vt:lpstr>
      <vt:lpstr>SMR_stroke</vt:lpstr>
      <vt:lpstr>STEMI_cohort_size</vt:lpstr>
      <vt:lpstr>u_dec_maj_bleed</vt:lpstr>
      <vt:lpstr>u_dec_min_bleed</vt:lpstr>
      <vt:lpstr>u_no_event</vt:lpstr>
      <vt:lpstr>u_no_event_tree</vt:lpstr>
      <vt:lpstr>u_post_reinfarction</vt:lpstr>
      <vt:lpstr>u_post_reinfarction_tree</vt:lpstr>
      <vt:lpstr>u_post_stroke</vt:lpstr>
      <vt:lpstr>u_post_stroke_tree</vt:lpstr>
      <vt:lpstr>u_reinfarction</vt:lpstr>
      <vt:lpstr>u_reinfarction_tree</vt:lpstr>
      <vt:lpstr>u_stroke</vt:lpstr>
      <vt:lpstr>u_stroke_tree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2025-03-24T17:22:31Z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ies>
</file>