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6"/>
  <workbookPr/>
  <mc:AlternateContent xmlns:mc="http://schemas.openxmlformats.org/markup-compatibility/2006">
    <mc:Choice Requires="x15">
      <x15ac:absPath xmlns:x15ac="http://schemas.microsoft.com/office/spreadsheetml/2010/11/ac" url="/Users/user/Documents/GitHub/pg-ap-analytics/data-inputs/"/>
    </mc:Choice>
  </mc:AlternateContent>
  <xr:revisionPtr revIDLastSave="0" documentId="13_ncr:1_{1EAF48AC-49BB-0845-B532-DFCB4710E55B}" xr6:coauthVersionLast="47" xr6:coauthVersionMax="47" xr10:uidLastSave="{00000000-0000-0000-0000-000000000000}"/>
  <bookViews>
    <workbookView xWindow="160" yWindow="920" windowWidth="29920" windowHeight="17000" firstSheet="3" activeTab="8" xr2:uid="{00000000-000D-0000-FFFF-FFFF00000000}"/>
  </bookViews>
  <sheets>
    <sheet name="Time Table" sheetId="2" r:id="rId1"/>
    <sheet name="PGX ACS studies " sheetId="1" r:id="rId2"/>
    <sheet name="Previous Model Structures " sheetId="3" r:id="rId3"/>
    <sheet name="Model structure " sheetId="15" r:id="rId4"/>
    <sheet name="assumptions" sheetId="21" r:id="rId5"/>
    <sheet name="Parameters.STEMI" sheetId="16" r:id="rId6"/>
    <sheet name="Intitial-Calculations" sheetId="17" r:id="rId7"/>
    <sheet name="decision tree" sheetId="31" r:id="rId8"/>
    <sheet name="markov" sheetId="39" r:id="rId9"/>
    <sheet name="out-put" sheetId="36" r:id="rId10"/>
    <sheet name="random" sheetId="40" r:id="rId11"/>
    <sheet name="PSA" sheetId="42" r:id="rId12"/>
    <sheet name="costs" sheetId="24" r:id="rId13"/>
    <sheet name="markov_transition" sheetId="30" r:id="rId14"/>
    <sheet name="age_sex_dependant_mortality" sheetId="23" r:id="rId15"/>
    <sheet name="age_sex_dependant_utility" sheetId="26" r:id="rId16"/>
    <sheet name="Parameters.NSTEMI" sheetId="19" r:id="rId17"/>
    <sheet name="Data from Pufulete 2022" sheetId="29" r:id="rId18"/>
    <sheet name="Sheet2" sheetId="35" r:id="rId19"/>
    <sheet name="timeline" sheetId="22" r:id="rId20"/>
    <sheet name="Sheet1" sheetId="41" r:id="rId21"/>
  </sheets>
  <definedNames>
    <definedName name="_xlnm._FilterDatabase" localSheetId="1" hidden="1">'PGX ACS studies '!$A$1:$Z$19</definedName>
    <definedName name="adj_u_noevent">age_sex_dependant_utility!$D$13:$G$51</definedName>
    <definedName name="adj_u_pos_stk">age_sex_dependant_utility!$X$13:$AA$51</definedName>
    <definedName name="adj_u_posrinfarc">age_sex_dependant_utility!$N$13:$Q$51</definedName>
    <definedName name="adj_u_rinfarc">age_sex_dependant_utility!$I$13:$L$51</definedName>
    <definedName name="adj_u_stk">age_sex_dependant_utility!$S$13:$V$51</definedName>
    <definedName name="an_u_dec_maj_bleed">Parameters.STEMI!$D$46</definedName>
    <definedName name="an_u_dec_min_bleed">Parameters.STEMI!$D$45</definedName>
    <definedName name="c_bleed_ac">Parameters.STEMI!$D$86</definedName>
    <definedName name="c_bleed_ap">Parameters.STEMI!$D$88</definedName>
    <definedName name="c_bleed_at">Parameters.STEMI!$D$87</definedName>
    <definedName name="c_dead_tree">costs!$Y$13</definedName>
    <definedName name="c_drug_ac_dead_poc">'decision tree'!$I$28</definedName>
    <definedName name="c_drug_ac_dead_st">'decision tree'!$I$7</definedName>
    <definedName name="c_drug_ac_mi_poc">'decision tree'!$I$26</definedName>
    <definedName name="c_drug_ac_mi_st">'decision tree'!$I$5</definedName>
    <definedName name="c_drug_ac_noevent_poc">'decision tree'!$I$25</definedName>
    <definedName name="c_drug_ac_noevent_st">'decision tree'!$I$4</definedName>
    <definedName name="c_drug_ac_stk_poc">'decision tree'!$I$27</definedName>
    <definedName name="c_drug_ac_stk_st">'decision tree'!$I$6</definedName>
    <definedName name="c_drug_ap_dead_poc">'decision tree'!$I$24</definedName>
    <definedName name="c_drug_ap_dead_st">'decision tree'!$I$15</definedName>
    <definedName name="c_drug_ap_mi_poc">'decision tree'!$I$22</definedName>
    <definedName name="c_drug_ap_mi_st">'decision tree'!$I$13</definedName>
    <definedName name="c_drug_ap_noevent_pc">'decision tree'!$I$21</definedName>
    <definedName name="c_drug_ap_noevent_st">'decision tree'!$I$12</definedName>
    <definedName name="c_drug_ap_stk_poc">'decision tree'!$I$23</definedName>
    <definedName name="c_drug_ap_stk_st">'decision tree'!$I$14</definedName>
    <definedName name="c_drug_at_dead_poc">'decision tree'!$I$20</definedName>
    <definedName name="c_drug_at_dead_st">'decision tree'!$I$11</definedName>
    <definedName name="c_drug_at_mi_poc">'decision tree'!$I$18</definedName>
    <definedName name="c_drug_at_mi_st">'decision tree'!$I$9</definedName>
    <definedName name="c_drug_at_noevent_pc">'decision tree'!$I$17</definedName>
    <definedName name="c_drug_at_noevent_st">'decision tree'!$I$8</definedName>
    <definedName name="c_drug_at_stk_poc">'decision tree'!$I$19</definedName>
    <definedName name="c_drug_at_stk_st">'decision tree'!$I$10</definedName>
    <definedName name="c_dys_ac">Parameters.STEMI!$D$124</definedName>
    <definedName name="c_dys_ap">Parameters.STEMI!$D$126</definedName>
    <definedName name="c_dys_at">Parameters.STEMI!$D$125</definedName>
    <definedName name="c_dys_pp">Parameters.STEMI!$D$123</definedName>
    <definedName name="c_maj_bleed">'out-put'!$F$63</definedName>
    <definedName name="c_mi_tree">costs!$W$13</definedName>
    <definedName name="c_min_bleed">'out-put'!$G$51</definedName>
    <definedName name="c_noevent_markov">costs!$AC$13</definedName>
    <definedName name="c_noevent_tree">costs!$V$13</definedName>
    <definedName name="c_pci">Parameters.STEMI!$D$79</definedName>
    <definedName name="c_poc_test">Parameters.STEMI!$D$62</definedName>
    <definedName name="c_poc_total">markov!$CP$51</definedName>
    <definedName name="c_poc_tree">'decision tree'!$Y$4</definedName>
    <definedName name="c_post_rinfar_mkv">costs!$AE$13</definedName>
    <definedName name="c_post_stk_mkv">costs!$AB$13</definedName>
    <definedName name="c_rinfar_mkv">costs!$AD$13</definedName>
    <definedName name="c_st_total">markov!$BX$49</definedName>
    <definedName name="c_st_tree">'decision tree'!$W$4</definedName>
    <definedName name="c_stk_mkv">costs!$AA$13</definedName>
    <definedName name="c_stk_tree">costs!$X$13</definedName>
    <definedName name="ce_tresh">Parameters.STEMI!$D$98</definedName>
    <definedName name="current_age">markov!$D$9:$D$48</definedName>
    <definedName name="cycle">markov!$C$9:$C$48</definedName>
    <definedName name="day_cost_asa">costs!$B$14</definedName>
    <definedName name="day_cost_clop">costs!$B$15</definedName>
    <definedName name="day_cost_pras">Parameters.STEMI!$D$76</definedName>
    <definedName name="day_cost_pras_10mg">costs!$B$17</definedName>
    <definedName name="day_cost_pras_5mg">costs!$B$16</definedName>
    <definedName name="day_cost_tica">costs!$B$18</definedName>
    <definedName name="disc_cost">'out-put'!$D$57</definedName>
    <definedName name="disc_effect">'out-put'!$E$57</definedName>
    <definedName name="dist_dead_pc_tree">'decision tree'!$W$20</definedName>
    <definedName name="dist_dead_st_tree">'decision tree'!$U$7</definedName>
    <definedName name="dist_nevent_pc_tree">'decision tree'!$W$17</definedName>
    <definedName name="dist_nevent_st_tree">'decision tree'!$U$4</definedName>
    <definedName name="dist_rinfarc_pc_tree">'decision tree'!$W$18</definedName>
    <definedName name="dist_rinfarc_st_tree">'decision tree'!$U$5</definedName>
    <definedName name="dist_stk_pc_tree">'decision tree'!$W$19</definedName>
    <definedName name="dist_stk_st_tree">'decision tree'!$U$6</definedName>
    <definedName name="duration_dys">Parameters.STEMI!$D$129</definedName>
    <definedName name="duration_maj_bleed">Parameters.STEMI!$D$48</definedName>
    <definedName name="duration_min_bleed">Parameters.STEMI!$D$47</definedName>
    <definedName name="ICER">'decision tree'!$AI$4</definedName>
    <definedName name="ld_clop_300">costs!$B$19</definedName>
    <definedName name="ld_clop_600">costs!$B$20</definedName>
    <definedName name="ld_pras_60">costs!$B$21</definedName>
    <definedName name="ld_tica_180">costs!$B$22</definedName>
    <definedName name="life_table">age_sex_dependant_mortality!$A$13:$D$52</definedName>
    <definedName name="LYGs_poc">markov!$BF$49</definedName>
    <definedName name="LYGs_st">markov!$AE$49</definedName>
    <definedName name="male_proportion_STEMI">age_sex_dependant_mortality!$B$9</definedName>
    <definedName name="md_328_day">Parameters.STEMI!$D$66</definedName>
    <definedName name="md_360_day">Parameters.STEMI!$D$65</definedName>
    <definedName name="md_365_day">Parameters.STEMI!$D$64</definedName>
    <definedName name="md_5_day">Parameters.STEMI!$D$68</definedName>
    <definedName name="md_halfway">Parameters.STEMI!$D$67</definedName>
    <definedName name="model_type">'out-put'!$F$8</definedName>
    <definedName name="or_dead_pras_clop">'Intitial-Calculations'!$AK$6</definedName>
    <definedName name="or_dead_tica_clop">'Intitial-Calculations'!$AF$6</definedName>
    <definedName name="or_dys_at_ac">Parameters.STEMI!$D$121</definedName>
    <definedName name="or_maj_bleed_pras_clop">'Intitial-Calculations'!$AK$9</definedName>
    <definedName name="or_maj_bleed_tica_clop">'Intitial-Calculations'!$AF$9</definedName>
    <definedName name="or_mi_pras_clop">'Intitial-Calculations'!$AK$7</definedName>
    <definedName name="or_mi_tica_clop">'Intitial-Calculations'!$AF$7</definedName>
    <definedName name="or_min_bleed_pras_clop">'Intitial-Calculations'!$AK$10</definedName>
    <definedName name="or_min_bleed_tica_clop">'Intitial-Calculations'!$AF$10</definedName>
    <definedName name="or_stk_pras_clop">'Intitial-Calculations'!$AK$8</definedName>
    <definedName name="or_stk_tica_clop">'Intitial-Calculations'!$AF$8</definedName>
    <definedName name="prb_dys_ap">Parameters.STEMI!$D$120</definedName>
    <definedName name="prev_lof_base">Parameters.STEMI!$D$31</definedName>
    <definedName name="prev_lof_sa">'Intitial-Calculations'!$AU$15</definedName>
    <definedName name="prob_dead_ac">Parameters.STEMI!$D$13</definedName>
    <definedName name="prob_dead_ac_nlof">Parameters.STEMI!$D$36</definedName>
    <definedName name="prob_dead_ap">'Intitial-Calculations'!$AN$6</definedName>
    <definedName name="prob_dead_at">'Intitial-Calculations'!$AI$6</definedName>
    <definedName name="prob_dead_noevent">age_sex_dependant_mortality!$G$13:$J$52</definedName>
    <definedName name="prob_dead_pos_reinfarct">age_sex_dependant_mortality!$Q$13:$T$52</definedName>
    <definedName name="prob_dead_pstk">age_sex_dependant_mortality!$AA$13:$AD$52</definedName>
    <definedName name="prob_dead_reinfarction">age_sex_dependant_mortality!$L$13:$O$52</definedName>
    <definedName name="prob_dead_stk">age_sex_dependant_mortality!$V$13:$Y$52</definedName>
    <definedName name="prob_dys_ac">Parameters.STEMI!$D$118</definedName>
    <definedName name="prob_dys_ap">Parameters.STEMI!$D$120</definedName>
    <definedName name="prob_dys_at">Parameters.STEMI!$D$119</definedName>
    <definedName name="prob_maj_bleed_ac">Parameters.STEMI!$D$16</definedName>
    <definedName name="prob_maj_bleed_ap">'Intitial-Calculations'!$AN$9</definedName>
    <definedName name="prob_maj_bleed_at">'Intitial-Calculations'!$AI$9</definedName>
    <definedName name="prob_mi_ac">Parameters.STEMI!$D$14</definedName>
    <definedName name="prob_mi_ac_nlof">Parameters.STEMI!$D$37</definedName>
    <definedName name="prob_mi_ap">'Intitial-Calculations'!$AN$7</definedName>
    <definedName name="prob_mi_at">'Intitial-Calculations'!$AI$7</definedName>
    <definedName name="prob_min_bleed_ac">Parameters.STEMI!$D$17</definedName>
    <definedName name="prob_min_bleed_ap">'Intitial-Calculations'!$AN$10</definedName>
    <definedName name="prob_min_bleed_at">'Intitial-Calculations'!$AI$10</definedName>
    <definedName name="prob_nevent_to_reinfarc">markov!$E$9</definedName>
    <definedName name="prob_stk_ac">Parameters.STEMI!$D$15</definedName>
    <definedName name="prob_stk_ac_nlof">Parameters.STEMI!$D$38</definedName>
    <definedName name="prob_stk_ap">'Intitial-Calculations'!$AN$8</definedName>
    <definedName name="prob_stk_at">'Intitial-Calculations'!$AI$8</definedName>
    <definedName name="prob_test_follow">'out-put'!$G$18</definedName>
    <definedName name="prob_test_order">'out-put'!$G$13</definedName>
    <definedName name="prop_ac_st">'out-put'!$E$24</definedName>
    <definedName name="prop_ap_lof">Parameters.STEMI!$D$34</definedName>
    <definedName name="prop_ap_st">'out-put'!$G$24</definedName>
    <definedName name="prop_at_lof">Parameters.STEMI!$D$33</definedName>
    <definedName name="prop_at_st">'out-put'!$F$24</definedName>
    <definedName name="prop_pras_5mg">Parameters.STEMI!$D$75</definedName>
    <definedName name="prop_test_not_followed">'decision tree'!$G$29</definedName>
    <definedName name="prop_test_not_ordered">'decision tree'!$G$30</definedName>
    <definedName name="qaly_poc_total">markov!$DY$51</definedName>
    <definedName name="qaly_poc_tree">'decision tree'!$AC$4</definedName>
    <definedName name="qaly_st_total">markov!$DG$49</definedName>
    <definedName name="qaly_st_tree">'decision tree'!$AA$4</definedName>
    <definedName name="rate_maj_bleed_ac_nlof">Parameters.STEMI!$D$39</definedName>
    <definedName name="rate_min_bleed_ac_nlof">Parameters.STEMI!$D$40</definedName>
    <definedName name="RR_dead_ac_nlof">Parameters.STEMI!$D$112</definedName>
    <definedName name="rr_maj_bleed_ac_nlof">Parameters.STEMI!$D$115</definedName>
    <definedName name="rr_mi_ac_nlof">Parameters.STEMI!$D$113</definedName>
    <definedName name="rr_min_bleed_ac_nlof">Parameters.STEMI!$D$116</definedName>
    <definedName name="rr_stk_ac_nlof">Parameters.STEMI!$D$114</definedName>
    <definedName name="smr_noevent">'out-put'!$D$46</definedName>
    <definedName name="smr_post_rinfar">'out-put'!$F$46</definedName>
    <definedName name="smr_post_stk">age_sex_dependant_mortality!$B$8</definedName>
    <definedName name="smr_rinfar">'out-put'!$E$46</definedName>
    <definedName name="smr_stk">age_sex_dependant_mortality!$B$7</definedName>
    <definedName name="start_age">63</definedName>
    <definedName name="start_age_f">Parameters.STEMI!$D$4</definedName>
    <definedName name="start_age_m">Parameters.STEMI!$D$3</definedName>
    <definedName name="stemi_size">Parameters.STEMI!$D$5</definedName>
    <definedName name="u_dec_bleed_ac">Parameters.STEMI!$D$51</definedName>
    <definedName name="u_dec_bleed_ap">Parameters.STEMI!$D$53</definedName>
    <definedName name="u_dec_bleed_at">Parameters.STEMI!$D$52</definedName>
    <definedName name="u_dec_dys">Parameters.STEMI!$D$128</definedName>
    <definedName name="u_dec_dys_ac">Parameters.STEMI!$D$130</definedName>
    <definedName name="u_dec_dys_ap">Parameters.STEMI!$D$132</definedName>
    <definedName name="u_dec_dys_at">Parameters.STEMI!$D$131</definedName>
    <definedName name="u_dec_maj_bleed">Parameters.STEMI!$D$50</definedName>
    <definedName name="u_dec_min_bleed">Parameters.STEMI!$D$49</definedName>
    <definedName name="u_noevent">age_sex_dependant_utility!$B$3</definedName>
    <definedName name="u_noevent_tree">Parameters.STEMI!$D$42</definedName>
    <definedName name="u_post_rinfar">age_sex_dependant_utility!$B$5</definedName>
    <definedName name="u_post_rinfar_tree">age_sex_dependant_utility!$Q$13</definedName>
    <definedName name="u_post_stk">age_sex_dependant_utility!$B$7</definedName>
    <definedName name="u_post_stk_tree">age_sex_dependant_utility!$AA$13</definedName>
    <definedName name="u_rinfar">age_sex_dependant_utility!$B$4</definedName>
    <definedName name="u_rinfar_tree">Parameters.STEMI!$D$43</definedName>
    <definedName name="u_stk">age_sex_dependant_utility!$B$6</definedName>
    <definedName name="u_stk_tree">Parameters.STEMI!$D$44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O48" i="39" l="1"/>
  <c r="CN48" i="39"/>
  <c r="CM48" i="39"/>
  <c r="CL48" i="39"/>
  <c r="CK48" i="39"/>
  <c r="CJ48" i="39"/>
  <c r="CP48" i="39" s="1"/>
  <c r="CO47" i="39"/>
  <c r="CN47" i="39"/>
  <c r="CM47" i="39"/>
  <c r="CP47" i="39" s="1"/>
  <c r="CL47" i="39"/>
  <c r="CK47" i="39"/>
  <c r="CJ47" i="39"/>
  <c r="CO46" i="39"/>
  <c r="CN46" i="39"/>
  <c r="CM46" i="39"/>
  <c r="CL46" i="39"/>
  <c r="CK46" i="39"/>
  <c r="CJ46" i="39"/>
  <c r="CP46" i="39" s="1"/>
  <c r="CP45" i="39"/>
  <c r="CO45" i="39"/>
  <c r="CN45" i="39"/>
  <c r="CM45" i="39"/>
  <c r="CL45" i="39"/>
  <c r="CK45" i="39"/>
  <c r="CJ45" i="39"/>
  <c r="CO44" i="39"/>
  <c r="CN44" i="39"/>
  <c r="CM44" i="39"/>
  <c r="CL44" i="39"/>
  <c r="CP44" i="39" s="1"/>
  <c r="CK44" i="39"/>
  <c r="CJ44" i="39"/>
  <c r="CO43" i="39"/>
  <c r="CN43" i="39"/>
  <c r="CM43" i="39"/>
  <c r="CL43" i="39"/>
  <c r="CK43" i="39"/>
  <c r="CJ43" i="39"/>
  <c r="CP43" i="39" s="1"/>
  <c r="CO42" i="39"/>
  <c r="CP42" i="39" s="1"/>
  <c r="CN42" i="39"/>
  <c r="CM42" i="39"/>
  <c r="CL42" i="39"/>
  <c r="CK42" i="39"/>
  <c r="CJ42" i="39"/>
  <c r="CO41" i="39"/>
  <c r="CN41" i="39"/>
  <c r="CM41" i="39"/>
  <c r="CL41" i="39"/>
  <c r="CK41" i="39"/>
  <c r="CP41" i="39" s="1"/>
  <c r="CJ41" i="39"/>
  <c r="CO40" i="39"/>
  <c r="CN40" i="39"/>
  <c r="CM40" i="39"/>
  <c r="CL40" i="39"/>
  <c r="CK40" i="39"/>
  <c r="CJ40" i="39"/>
  <c r="CP40" i="39" s="1"/>
  <c r="CO39" i="39"/>
  <c r="CN39" i="39"/>
  <c r="CP39" i="39" s="1"/>
  <c r="CM39" i="39"/>
  <c r="CL39" i="39"/>
  <c r="CK39" i="39"/>
  <c r="CJ39" i="39"/>
  <c r="CO38" i="39"/>
  <c r="CN38" i="39"/>
  <c r="CM38" i="39"/>
  <c r="CL38" i="39"/>
  <c r="CK38" i="39"/>
  <c r="CJ38" i="39"/>
  <c r="CP38" i="39" s="1"/>
  <c r="CO37" i="39"/>
  <c r="CN37" i="39"/>
  <c r="CM37" i="39"/>
  <c r="CL37" i="39"/>
  <c r="CK37" i="39"/>
  <c r="CJ37" i="39"/>
  <c r="CP37" i="39" s="1"/>
  <c r="CO36" i="39"/>
  <c r="CN36" i="39"/>
  <c r="CM36" i="39"/>
  <c r="CP36" i="39" s="1"/>
  <c r="CL36" i="39"/>
  <c r="CK36" i="39"/>
  <c r="CJ36" i="39"/>
  <c r="CO35" i="39"/>
  <c r="CN35" i="39"/>
  <c r="CM35" i="39"/>
  <c r="CL35" i="39"/>
  <c r="CK35" i="39"/>
  <c r="CJ35" i="39"/>
  <c r="CP35" i="39" s="1"/>
  <c r="CP34" i="39"/>
  <c r="CO34" i="39"/>
  <c r="CN34" i="39"/>
  <c r="CM34" i="39"/>
  <c r="CL34" i="39"/>
  <c r="CK34" i="39"/>
  <c r="CJ34" i="39"/>
  <c r="CO33" i="39"/>
  <c r="CN33" i="39"/>
  <c r="CM33" i="39"/>
  <c r="CL33" i="39"/>
  <c r="CP33" i="39" s="1"/>
  <c r="CK33" i="39"/>
  <c r="CJ33" i="39"/>
  <c r="CO32" i="39"/>
  <c r="CN32" i="39"/>
  <c r="CM32" i="39"/>
  <c r="CL32" i="39"/>
  <c r="CK32" i="39"/>
  <c r="CJ32" i="39"/>
  <c r="CP32" i="39" s="1"/>
  <c r="CO31" i="39"/>
  <c r="CP31" i="39" s="1"/>
  <c r="CN31" i="39"/>
  <c r="CM31" i="39"/>
  <c r="CL31" i="39"/>
  <c r="CK31" i="39"/>
  <c r="CJ31" i="39"/>
  <c r="CO30" i="39"/>
  <c r="CN30" i="39"/>
  <c r="CM30" i="39"/>
  <c r="CL30" i="39"/>
  <c r="CK30" i="39"/>
  <c r="CP30" i="39" s="1"/>
  <c r="CJ30" i="39"/>
  <c r="CO29" i="39"/>
  <c r="CN29" i="39"/>
  <c r="CM29" i="39"/>
  <c r="CL29" i="39"/>
  <c r="CK29" i="39"/>
  <c r="CJ29" i="39"/>
  <c r="CP29" i="39" s="1"/>
  <c r="CO28" i="39"/>
  <c r="CN28" i="39"/>
  <c r="CP28" i="39" s="1"/>
  <c r="CM28" i="39"/>
  <c r="CL28" i="39"/>
  <c r="CK28" i="39"/>
  <c r="CJ28" i="39"/>
  <c r="CO27" i="39"/>
  <c r="CN27" i="39"/>
  <c r="CM27" i="39"/>
  <c r="CL27" i="39"/>
  <c r="CK27" i="39"/>
  <c r="CJ27" i="39"/>
  <c r="CP27" i="39" s="1"/>
  <c r="CO26" i="39"/>
  <c r="CN26" i="39"/>
  <c r="CM26" i="39"/>
  <c r="CL26" i="39"/>
  <c r="CK26" i="39"/>
  <c r="CJ26" i="39"/>
  <c r="CP26" i="39" s="1"/>
  <c r="CO25" i="39"/>
  <c r="CN25" i="39"/>
  <c r="CM25" i="39"/>
  <c r="CP25" i="39" s="1"/>
  <c r="CL25" i="39"/>
  <c r="CK25" i="39"/>
  <c r="CJ25" i="39"/>
  <c r="CO24" i="39"/>
  <c r="CN24" i="39"/>
  <c r="CM24" i="39"/>
  <c r="CL24" i="39"/>
  <c r="CK24" i="39"/>
  <c r="CJ24" i="39"/>
  <c r="CP24" i="39" s="1"/>
  <c r="CP23" i="39"/>
  <c r="CO23" i="39"/>
  <c r="CN23" i="39"/>
  <c r="CM23" i="39"/>
  <c r="CL23" i="39"/>
  <c r="CK23" i="39"/>
  <c r="CJ23" i="39"/>
  <c r="CO22" i="39"/>
  <c r="CN22" i="39"/>
  <c r="CM22" i="39"/>
  <c r="CL22" i="39"/>
  <c r="CP22" i="39" s="1"/>
  <c r="CK22" i="39"/>
  <c r="CJ22" i="39"/>
  <c r="CO21" i="39"/>
  <c r="CN21" i="39"/>
  <c r="CM21" i="39"/>
  <c r="CL21" i="39"/>
  <c r="CK21" i="39"/>
  <c r="CJ21" i="39"/>
  <c r="CP21" i="39" s="1"/>
  <c r="CO20" i="39"/>
  <c r="CP20" i="39" s="1"/>
  <c r="CN20" i="39"/>
  <c r="CM20" i="39"/>
  <c r="CL20" i="39"/>
  <c r="CK20" i="39"/>
  <c r="CJ20" i="39"/>
  <c r="CO19" i="39"/>
  <c r="CN19" i="39"/>
  <c r="CM19" i="39"/>
  <c r="CL19" i="39"/>
  <c r="CK19" i="39"/>
  <c r="CP19" i="39" s="1"/>
  <c r="CJ19" i="39"/>
  <c r="CO18" i="39"/>
  <c r="CN18" i="39"/>
  <c r="CM18" i="39"/>
  <c r="CL18" i="39"/>
  <c r="CK18" i="39"/>
  <c r="CJ18" i="39"/>
  <c r="CP18" i="39" s="1"/>
  <c r="CO17" i="39"/>
  <c r="CN17" i="39"/>
  <c r="CP17" i="39" s="1"/>
  <c r="CM17" i="39"/>
  <c r="CL17" i="39"/>
  <c r="CK17" i="39"/>
  <c r="CJ17" i="39"/>
  <c r="CO16" i="39"/>
  <c r="CN16" i="39"/>
  <c r="CM16" i="39"/>
  <c r="CL16" i="39"/>
  <c r="CK16" i="39"/>
  <c r="CJ16" i="39"/>
  <c r="CP16" i="39" s="1"/>
  <c r="CO15" i="39"/>
  <c r="CN15" i="39"/>
  <c r="CM15" i="39"/>
  <c r="CL15" i="39"/>
  <c r="CK15" i="39"/>
  <c r="CJ15" i="39"/>
  <c r="CP15" i="39" s="1"/>
  <c r="CO14" i="39"/>
  <c r="CN14" i="39"/>
  <c r="CM14" i="39"/>
  <c r="CP14" i="39" s="1"/>
  <c r="CL14" i="39"/>
  <c r="CK14" i="39"/>
  <c r="CJ14" i="39"/>
  <c r="CO13" i="39"/>
  <c r="CN13" i="39"/>
  <c r="CM13" i="39"/>
  <c r="CL13" i="39"/>
  <c r="CK13" i="39"/>
  <c r="CJ13" i="39"/>
  <c r="CP13" i="39" s="1"/>
  <c r="CP12" i="39"/>
  <c r="CO12" i="39"/>
  <c r="CN12" i="39"/>
  <c r="CM12" i="39"/>
  <c r="CL12" i="39"/>
  <c r="CK12" i="39"/>
  <c r="CJ12" i="39"/>
  <c r="CO11" i="39"/>
  <c r="CN11" i="39"/>
  <c r="CM11" i="39"/>
  <c r="CL11" i="39"/>
  <c r="CP11" i="39" s="1"/>
  <c r="CK11" i="39"/>
  <c r="CJ11" i="39"/>
  <c r="CC11" i="39"/>
  <c r="CC12" i="39"/>
  <c r="CC13" i="39"/>
  <c r="CC14" i="39"/>
  <c r="CC15" i="39"/>
  <c r="CC16" i="39"/>
  <c r="CC17" i="39"/>
  <c r="CC18" i="39"/>
  <c r="CC19" i="39"/>
  <c r="CC20" i="39"/>
  <c r="CC21" i="39"/>
  <c r="CC22" i="39"/>
  <c r="CC23" i="39"/>
  <c r="CC24" i="39"/>
  <c r="CC25" i="39"/>
  <c r="CC26" i="39"/>
  <c r="CC27" i="39"/>
  <c r="CC28" i="39"/>
  <c r="CC29" i="39"/>
  <c r="CC30" i="39"/>
  <c r="CC31" i="39"/>
  <c r="CC32" i="39"/>
  <c r="CC33" i="39"/>
  <c r="CC34" i="39"/>
  <c r="CC35" i="39"/>
  <c r="CC36" i="39"/>
  <c r="CC37" i="39"/>
  <c r="CC38" i="39"/>
  <c r="CC39" i="39"/>
  <c r="CC40" i="39"/>
  <c r="CC41" i="39"/>
  <c r="CC42" i="39"/>
  <c r="CC43" i="39"/>
  <c r="CC44" i="39"/>
  <c r="CC45" i="39"/>
  <c r="CC46" i="39"/>
  <c r="CC47" i="39"/>
  <c r="CC48" i="39"/>
  <c r="CE64" i="39"/>
  <c r="CA64" i="39"/>
  <c r="CD64" i="39"/>
  <c r="CC64" i="39"/>
  <c r="CB64" i="39"/>
  <c r="CC60" i="39"/>
  <c r="CB60" i="39"/>
  <c r="CA60" i="39"/>
  <c r="CA10" i="39"/>
  <c r="CA56" i="39"/>
  <c r="CO9" i="39"/>
  <c r="CN9" i="39"/>
  <c r="CM9" i="39"/>
  <c r="CL9" i="39"/>
  <c r="CK9" i="39"/>
  <c r="BN59" i="39"/>
  <c r="BL59" i="39"/>
  <c r="BM59" i="39"/>
  <c r="BK59" i="39"/>
  <c r="BJ10" i="39"/>
  <c r="BD52" i="39"/>
  <c r="N10" i="39"/>
  <c r="BF56" i="39"/>
  <c r="BD81" i="39"/>
  <c r="BD82" i="39"/>
  <c r="BD83" i="39"/>
  <c r="BD84" i="39"/>
  <c r="BD85" i="39"/>
  <c r="BD86" i="39"/>
  <c r="BD87" i="39"/>
  <c r="BD80" i="39"/>
  <c r="WN44" i="40"/>
  <c r="WM44" i="40"/>
  <c r="WL44" i="40"/>
  <c r="WK44" i="40"/>
  <c r="WJ44" i="40"/>
  <c r="WI44" i="40"/>
  <c r="WH44" i="40"/>
  <c r="WG44" i="40"/>
  <c r="WF44" i="40"/>
  <c r="WE44" i="40"/>
  <c r="WD44" i="40"/>
  <c r="WC44" i="40"/>
  <c r="WB44" i="40"/>
  <c r="WA44" i="40"/>
  <c r="VZ44" i="40"/>
  <c r="VY44" i="40"/>
  <c r="VX44" i="40"/>
  <c r="VW44" i="40"/>
  <c r="VV44" i="40"/>
  <c r="VU44" i="40"/>
  <c r="VT44" i="40"/>
  <c r="VS44" i="40"/>
  <c r="VR44" i="40"/>
  <c r="VQ44" i="40"/>
  <c r="VP44" i="40"/>
  <c r="VO44" i="40"/>
  <c r="VN44" i="40"/>
  <c r="VM44" i="40"/>
  <c r="VL44" i="40"/>
  <c r="VK44" i="40"/>
  <c r="VJ44" i="40"/>
  <c r="VI44" i="40"/>
  <c r="VH44" i="40"/>
  <c r="VG44" i="40"/>
  <c r="VF44" i="40"/>
  <c r="VE44" i="40"/>
  <c r="VD44" i="40"/>
  <c r="VC44" i="40"/>
  <c r="VB44" i="40"/>
  <c r="VA44" i="40"/>
  <c r="UZ44" i="40"/>
  <c r="UY44" i="40"/>
  <c r="UX44" i="40"/>
  <c r="UW44" i="40"/>
  <c r="UV44" i="40"/>
  <c r="UU44" i="40"/>
  <c r="UT44" i="40"/>
  <c r="US44" i="40"/>
  <c r="UR44" i="40"/>
  <c r="UQ44" i="40"/>
  <c r="UP44" i="40"/>
  <c r="UO44" i="40"/>
  <c r="UN44" i="40"/>
  <c r="UM44" i="40"/>
  <c r="UL44" i="40"/>
  <c r="UK44" i="40"/>
  <c r="UJ44" i="40"/>
  <c r="UI44" i="40"/>
  <c r="UH44" i="40"/>
  <c r="UG44" i="40"/>
  <c r="UF44" i="40"/>
  <c r="UE44" i="40"/>
  <c r="UD44" i="40"/>
  <c r="UC44" i="40"/>
  <c r="UB44" i="40"/>
  <c r="UA44" i="40"/>
  <c r="TZ44" i="40"/>
  <c r="TY44" i="40"/>
  <c r="TX44" i="40"/>
  <c r="TW44" i="40"/>
  <c r="TV44" i="40"/>
  <c r="TU44" i="40"/>
  <c r="TT44" i="40"/>
  <c r="TS44" i="40"/>
  <c r="TR44" i="40"/>
  <c r="TQ44" i="40"/>
  <c r="TP44" i="40"/>
  <c r="TO44" i="40"/>
  <c r="TN44" i="40"/>
  <c r="TM44" i="40"/>
  <c r="TL44" i="40"/>
  <c r="TK44" i="40"/>
  <c r="TJ44" i="40"/>
  <c r="TI44" i="40"/>
  <c r="TH44" i="40"/>
  <c r="TG44" i="40"/>
  <c r="TF44" i="40"/>
  <c r="TE44" i="40"/>
  <c r="TD44" i="40"/>
  <c r="TC44" i="40"/>
  <c r="TB44" i="40"/>
  <c r="TA44" i="40"/>
  <c r="SZ44" i="40"/>
  <c r="SY44" i="40"/>
  <c r="SX44" i="40"/>
  <c r="SW44" i="40"/>
  <c r="SV44" i="40"/>
  <c r="SU44" i="40"/>
  <c r="ST44" i="40"/>
  <c r="SS44" i="40"/>
  <c r="WN43" i="40"/>
  <c r="WM43" i="40"/>
  <c r="WL43" i="40"/>
  <c r="WK43" i="40"/>
  <c r="WJ43" i="40"/>
  <c r="WI43" i="40"/>
  <c r="WH43" i="40"/>
  <c r="WG43" i="40"/>
  <c r="WF43" i="40"/>
  <c r="WE43" i="40"/>
  <c r="WD43" i="40"/>
  <c r="WC43" i="40"/>
  <c r="WB43" i="40"/>
  <c r="WA43" i="40"/>
  <c r="VZ43" i="40"/>
  <c r="VY43" i="40"/>
  <c r="VX43" i="40"/>
  <c r="VW43" i="40"/>
  <c r="VV43" i="40"/>
  <c r="VU43" i="40"/>
  <c r="VT43" i="40"/>
  <c r="VS43" i="40"/>
  <c r="VR43" i="40"/>
  <c r="VQ43" i="40"/>
  <c r="VP43" i="40"/>
  <c r="VO43" i="40"/>
  <c r="VN43" i="40"/>
  <c r="VM43" i="40"/>
  <c r="VL43" i="40"/>
  <c r="VK43" i="40"/>
  <c r="VJ43" i="40"/>
  <c r="VI43" i="40"/>
  <c r="VH43" i="40"/>
  <c r="VG43" i="40"/>
  <c r="VF43" i="40"/>
  <c r="VE43" i="40"/>
  <c r="VD43" i="40"/>
  <c r="VC43" i="40"/>
  <c r="VB43" i="40"/>
  <c r="VA43" i="40"/>
  <c r="UZ43" i="40"/>
  <c r="UY43" i="40"/>
  <c r="UX43" i="40"/>
  <c r="UW43" i="40"/>
  <c r="UV43" i="40"/>
  <c r="UU43" i="40"/>
  <c r="UT43" i="40"/>
  <c r="US43" i="40"/>
  <c r="UR43" i="40"/>
  <c r="UQ43" i="40"/>
  <c r="UP43" i="40"/>
  <c r="UO43" i="40"/>
  <c r="UN43" i="40"/>
  <c r="UM43" i="40"/>
  <c r="UL43" i="40"/>
  <c r="UK43" i="40"/>
  <c r="UJ43" i="40"/>
  <c r="UI43" i="40"/>
  <c r="UH43" i="40"/>
  <c r="UG43" i="40"/>
  <c r="UF43" i="40"/>
  <c r="UE43" i="40"/>
  <c r="UD43" i="40"/>
  <c r="UC43" i="40"/>
  <c r="UB43" i="40"/>
  <c r="UA43" i="40"/>
  <c r="TZ43" i="40"/>
  <c r="TY43" i="40"/>
  <c r="TX43" i="40"/>
  <c r="TW43" i="40"/>
  <c r="TV43" i="40"/>
  <c r="TU43" i="40"/>
  <c r="TT43" i="40"/>
  <c r="TS43" i="40"/>
  <c r="TR43" i="40"/>
  <c r="TQ43" i="40"/>
  <c r="TP43" i="40"/>
  <c r="TO43" i="40"/>
  <c r="TN43" i="40"/>
  <c r="TM43" i="40"/>
  <c r="TL43" i="40"/>
  <c r="TK43" i="40"/>
  <c r="TJ43" i="40"/>
  <c r="TI43" i="40"/>
  <c r="TH43" i="40"/>
  <c r="TG43" i="40"/>
  <c r="TF43" i="40"/>
  <c r="TE43" i="40"/>
  <c r="TD43" i="40"/>
  <c r="TC43" i="40"/>
  <c r="TB43" i="40"/>
  <c r="TA43" i="40"/>
  <c r="SZ43" i="40"/>
  <c r="SY43" i="40"/>
  <c r="SX43" i="40"/>
  <c r="SW43" i="40"/>
  <c r="SV43" i="40"/>
  <c r="SU43" i="40"/>
  <c r="ST43" i="40"/>
  <c r="SS43" i="40"/>
  <c r="WN42" i="40"/>
  <c r="WM42" i="40"/>
  <c r="WL42" i="40"/>
  <c r="WK42" i="40"/>
  <c r="WJ42" i="40"/>
  <c r="WI42" i="40"/>
  <c r="WH42" i="40"/>
  <c r="WG42" i="40"/>
  <c r="WF42" i="40"/>
  <c r="WE42" i="40"/>
  <c r="WD42" i="40"/>
  <c r="WC42" i="40"/>
  <c r="WB42" i="40"/>
  <c r="WA42" i="40"/>
  <c r="VZ42" i="40"/>
  <c r="VY42" i="40"/>
  <c r="VX42" i="40"/>
  <c r="VW42" i="40"/>
  <c r="VV42" i="40"/>
  <c r="VU42" i="40"/>
  <c r="VT42" i="40"/>
  <c r="VS42" i="40"/>
  <c r="VR42" i="40"/>
  <c r="VQ42" i="40"/>
  <c r="VP42" i="40"/>
  <c r="VO42" i="40"/>
  <c r="VN42" i="40"/>
  <c r="VM42" i="40"/>
  <c r="VL42" i="40"/>
  <c r="VK42" i="40"/>
  <c r="VJ42" i="40"/>
  <c r="VI42" i="40"/>
  <c r="VH42" i="40"/>
  <c r="VG42" i="40"/>
  <c r="VF42" i="40"/>
  <c r="VE42" i="40"/>
  <c r="VD42" i="40"/>
  <c r="VC42" i="40"/>
  <c r="VB42" i="40"/>
  <c r="VA42" i="40"/>
  <c r="UZ42" i="40"/>
  <c r="UY42" i="40"/>
  <c r="UX42" i="40"/>
  <c r="UW42" i="40"/>
  <c r="UV42" i="40"/>
  <c r="UU42" i="40"/>
  <c r="UT42" i="40"/>
  <c r="US42" i="40"/>
  <c r="UR42" i="40"/>
  <c r="UQ42" i="40"/>
  <c r="UP42" i="40"/>
  <c r="UO42" i="40"/>
  <c r="UN42" i="40"/>
  <c r="UM42" i="40"/>
  <c r="UL42" i="40"/>
  <c r="UK42" i="40"/>
  <c r="UJ42" i="40"/>
  <c r="UI42" i="40"/>
  <c r="UH42" i="40"/>
  <c r="UG42" i="40"/>
  <c r="UF42" i="40"/>
  <c r="UE42" i="40"/>
  <c r="UD42" i="40"/>
  <c r="UC42" i="40"/>
  <c r="UB42" i="40"/>
  <c r="UA42" i="40"/>
  <c r="TZ42" i="40"/>
  <c r="TY42" i="40"/>
  <c r="TX42" i="40"/>
  <c r="TW42" i="40"/>
  <c r="TV42" i="40"/>
  <c r="TU42" i="40"/>
  <c r="TT42" i="40"/>
  <c r="TS42" i="40"/>
  <c r="TR42" i="40"/>
  <c r="TQ42" i="40"/>
  <c r="TP42" i="40"/>
  <c r="TO42" i="40"/>
  <c r="TN42" i="40"/>
  <c r="TM42" i="40"/>
  <c r="TL42" i="40"/>
  <c r="TK42" i="40"/>
  <c r="TJ42" i="40"/>
  <c r="TI42" i="40"/>
  <c r="TH42" i="40"/>
  <c r="TG42" i="40"/>
  <c r="TF42" i="40"/>
  <c r="TE42" i="40"/>
  <c r="TD42" i="40"/>
  <c r="TC42" i="40"/>
  <c r="TB42" i="40"/>
  <c r="TA42" i="40"/>
  <c r="SZ42" i="40"/>
  <c r="SY42" i="40"/>
  <c r="SX42" i="40"/>
  <c r="SW42" i="40"/>
  <c r="SV42" i="40"/>
  <c r="SU42" i="40"/>
  <c r="ST42" i="40"/>
  <c r="SS42" i="40"/>
  <c r="WN41" i="40"/>
  <c r="WM41" i="40"/>
  <c r="WL41" i="40"/>
  <c r="WK41" i="40"/>
  <c r="WJ41" i="40"/>
  <c r="WI41" i="40"/>
  <c r="WH41" i="40"/>
  <c r="WG41" i="40"/>
  <c r="WF41" i="40"/>
  <c r="WE41" i="40"/>
  <c r="WD41" i="40"/>
  <c r="WC41" i="40"/>
  <c r="WB41" i="40"/>
  <c r="WA41" i="40"/>
  <c r="VZ41" i="40"/>
  <c r="VY41" i="40"/>
  <c r="VX41" i="40"/>
  <c r="VW41" i="40"/>
  <c r="VV41" i="40"/>
  <c r="VU41" i="40"/>
  <c r="VT41" i="40"/>
  <c r="VS41" i="40"/>
  <c r="VR41" i="40"/>
  <c r="VQ41" i="40"/>
  <c r="VP41" i="40"/>
  <c r="VO41" i="40"/>
  <c r="VN41" i="40"/>
  <c r="VM41" i="40"/>
  <c r="VL41" i="40"/>
  <c r="VK41" i="40"/>
  <c r="VJ41" i="40"/>
  <c r="VI41" i="40"/>
  <c r="VH41" i="40"/>
  <c r="VG41" i="40"/>
  <c r="VF41" i="40"/>
  <c r="VE41" i="40"/>
  <c r="VD41" i="40"/>
  <c r="VC41" i="40"/>
  <c r="VB41" i="40"/>
  <c r="VA41" i="40"/>
  <c r="UZ41" i="40"/>
  <c r="UY41" i="40"/>
  <c r="UX41" i="40"/>
  <c r="UW41" i="40"/>
  <c r="UV41" i="40"/>
  <c r="UU41" i="40"/>
  <c r="UT41" i="40"/>
  <c r="US41" i="40"/>
  <c r="UR41" i="40"/>
  <c r="UQ41" i="40"/>
  <c r="UP41" i="40"/>
  <c r="UO41" i="40"/>
  <c r="UN41" i="40"/>
  <c r="UM41" i="40"/>
  <c r="UL41" i="40"/>
  <c r="UK41" i="40"/>
  <c r="UJ41" i="40"/>
  <c r="UI41" i="40"/>
  <c r="UH41" i="40"/>
  <c r="UG41" i="40"/>
  <c r="UF41" i="40"/>
  <c r="UE41" i="40"/>
  <c r="UD41" i="40"/>
  <c r="UC41" i="40"/>
  <c r="UB41" i="40"/>
  <c r="UA41" i="40"/>
  <c r="TZ41" i="40"/>
  <c r="TY41" i="40"/>
  <c r="TX41" i="40"/>
  <c r="TW41" i="40"/>
  <c r="TV41" i="40"/>
  <c r="TU41" i="40"/>
  <c r="TT41" i="40"/>
  <c r="TS41" i="40"/>
  <c r="TR41" i="40"/>
  <c r="TQ41" i="40"/>
  <c r="TP41" i="40"/>
  <c r="TO41" i="40"/>
  <c r="TN41" i="40"/>
  <c r="TM41" i="40"/>
  <c r="TL41" i="40"/>
  <c r="TK41" i="40"/>
  <c r="TJ41" i="40"/>
  <c r="TI41" i="40"/>
  <c r="TH41" i="40"/>
  <c r="TG41" i="40"/>
  <c r="TF41" i="40"/>
  <c r="TE41" i="40"/>
  <c r="TD41" i="40"/>
  <c r="TC41" i="40"/>
  <c r="TB41" i="40"/>
  <c r="TA41" i="40"/>
  <c r="SZ41" i="40"/>
  <c r="SY41" i="40"/>
  <c r="SX41" i="40"/>
  <c r="SW41" i="40"/>
  <c r="SV41" i="40"/>
  <c r="SU41" i="40"/>
  <c r="ST41" i="40"/>
  <c r="SS41" i="40"/>
  <c r="WN40" i="40"/>
  <c r="WM40" i="40"/>
  <c r="WL40" i="40"/>
  <c r="WK40" i="40"/>
  <c r="WJ40" i="40"/>
  <c r="WI40" i="40"/>
  <c r="WH40" i="40"/>
  <c r="WG40" i="40"/>
  <c r="WF40" i="40"/>
  <c r="WE40" i="40"/>
  <c r="WD40" i="40"/>
  <c r="WC40" i="40"/>
  <c r="WB40" i="40"/>
  <c r="WA40" i="40"/>
  <c r="VZ40" i="40"/>
  <c r="VY40" i="40"/>
  <c r="VX40" i="40"/>
  <c r="VW40" i="40"/>
  <c r="VV40" i="40"/>
  <c r="VU40" i="40"/>
  <c r="VT40" i="40"/>
  <c r="VS40" i="40"/>
  <c r="VR40" i="40"/>
  <c r="VQ40" i="40"/>
  <c r="VP40" i="40"/>
  <c r="VO40" i="40"/>
  <c r="VN40" i="40"/>
  <c r="VM40" i="40"/>
  <c r="VL40" i="40"/>
  <c r="VK40" i="40"/>
  <c r="VJ40" i="40"/>
  <c r="VI40" i="40"/>
  <c r="VH40" i="40"/>
  <c r="VG40" i="40"/>
  <c r="VF40" i="40"/>
  <c r="VE40" i="40"/>
  <c r="VD40" i="40"/>
  <c r="VC40" i="40"/>
  <c r="VB40" i="40"/>
  <c r="VA40" i="40"/>
  <c r="UZ40" i="40"/>
  <c r="UY40" i="40"/>
  <c r="UX40" i="40"/>
  <c r="UW40" i="40"/>
  <c r="UV40" i="40"/>
  <c r="UU40" i="40"/>
  <c r="UT40" i="40"/>
  <c r="US40" i="40"/>
  <c r="UR40" i="40"/>
  <c r="UQ40" i="40"/>
  <c r="UP40" i="40"/>
  <c r="UO40" i="40"/>
  <c r="UN40" i="40"/>
  <c r="UM40" i="40"/>
  <c r="UL40" i="40"/>
  <c r="UK40" i="40"/>
  <c r="UJ40" i="40"/>
  <c r="UI40" i="40"/>
  <c r="UH40" i="40"/>
  <c r="UG40" i="40"/>
  <c r="UF40" i="40"/>
  <c r="UE40" i="40"/>
  <c r="UD40" i="40"/>
  <c r="UC40" i="40"/>
  <c r="UB40" i="40"/>
  <c r="UA40" i="40"/>
  <c r="TZ40" i="40"/>
  <c r="TY40" i="40"/>
  <c r="TX40" i="40"/>
  <c r="TW40" i="40"/>
  <c r="TV40" i="40"/>
  <c r="TU40" i="40"/>
  <c r="TT40" i="40"/>
  <c r="TS40" i="40"/>
  <c r="TR40" i="40"/>
  <c r="TQ40" i="40"/>
  <c r="TP40" i="40"/>
  <c r="TO40" i="40"/>
  <c r="TN40" i="40"/>
  <c r="TM40" i="40"/>
  <c r="TL40" i="40"/>
  <c r="TK40" i="40"/>
  <c r="TJ40" i="40"/>
  <c r="TI40" i="40"/>
  <c r="TH40" i="40"/>
  <c r="TG40" i="40"/>
  <c r="TF40" i="40"/>
  <c r="TE40" i="40"/>
  <c r="TD40" i="40"/>
  <c r="TC40" i="40"/>
  <c r="TB40" i="40"/>
  <c r="TA40" i="40"/>
  <c r="SZ40" i="40"/>
  <c r="SY40" i="40"/>
  <c r="SX40" i="40"/>
  <c r="SW40" i="40"/>
  <c r="SV40" i="40"/>
  <c r="SU40" i="40"/>
  <c r="ST40" i="40"/>
  <c r="SS40" i="40"/>
  <c r="WN39" i="40"/>
  <c r="WM39" i="40"/>
  <c r="WL39" i="40"/>
  <c r="WK39" i="40"/>
  <c r="WJ39" i="40"/>
  <c r="WI39" i="40"/>
  <c r="WH39" i="40"/>
  <c r="WG39" i="40"/>
  <c r="WF39" i="40"/>
  <c r="WE39" i="40"/>
  <c r="WD39" i="40"/>
  <c r="WC39" i="40"/>
  <c r="WB39" i="40"/>
  <c r="WA39" i="40"/>
  <c r="VZ39" i="40"/>
  <c r="VY39" i="40"/>
  <c r="VX39" i="40"/>
  <c r="VW39" i="40"/>
  <c r="VV39" i="40"/>
  <c r="VU39" i="40"/>
  <c r="VT39" i="40"/>
  <c r="VS39" i="40"/>
  <c r="VR39" i="40"/>
  <c r="VQ39" i="40"/>
  <c r="VP39" i="40"/>
  <c r="VO39" i="40"/>
  <c r="VN39" i="40"/>
  <c r="VM39" i="40"/>
  <c r="VL39" i="40"/>
  <c r="VK39" i="40"/>
  <c r="VJ39" i="40"/>
  <c r="VI39" i="40"/>
  <c r="VH39" i="40"/>
  <c r="VG39" i="40"/>
  <c r="VF39" i="40"/>
  <c r="VE39" i="40"/>
  <c r="VD39" i="40"/>
  <c r="VC39" i="40"/>
  <c r="VB39" i="40"/>
  <c r="VA39" i="40"/>
  <c r="UZ39" i="40"/>
  <c r="UY39" i="40"/>
  <c r="UX39" i="40"/>
  <c r="UW39" i="40"/>
  <c r="UV39" i="40"/>
  <c r="UU39" i="40"/>
  <c r="UT39" i="40"/>
  <c r="US39" i="40"/>
  <c r="UR39" i="40"/>
  <c r="UQ39" i="40"/>
  <c r="UP39" i="40"/>
  <c r="UO39" i="40"/>
  <c r="UN39" i="40"/>
  <c r="UM39" i="40"/>
  <c r="UL39" i="40"/>
  <c r="UK39" i="40"/>
  <c r="UJ39" i="40"/>
  <c r="UI39" i="40"/>
  <c r="UH39" i="40"/>
  <c r="UG39" i="40"/>
  <c r="UF39" i="40"/>
  <c r="UE39" i="40"/>
  <c r="UD39" i="40"/>
  <c r="UC39" i="40"/>
  <c r="UB39" i="40"/>
  <c r="UA39" i="40"/>
  <c r="TZ39" i="40"/>
  <c r="TY39" i="40"/>
  <c r="TX39" i="40"/>
  <c r="TW39" i="40"/>
  <c r="TV39" i="40"/>
  <c r="TU39" i="40"/>
  <c r="TT39" i="40"/>
  <c r="TS39" i="40"/>
  <c r="TR39" i="40"/>
  <c r="TQ39" i="40"/>
  <c r="TP39" i="40"/>
  <c r="TO39" i="40"/>
  <c r="TN39" i="40"/>
  <c r="TM39" i="40"/>
  <c r="TL39" i="40"/>
  <c r="TK39" i="40"/>
  <c r="TJ39" i="40"/>
  <c r="TI39" i="40"/>
  <c r="TH39" i="40"/>
  <c r="TG39" i="40"/>
  <c r="TF39" i="40"/>
  <c r="TE39" i="40"/>
  <c r="TD39" i="40"/>
  <c r="TC39" i="40"/>
  <c r="TB39" i="40"/>
  <c r="TA39" i="40"/>
  <c r="SZ39" i="40"/>
  <c r="SY39" i="40"/>
  <c r="SX39" i="40"/>
  <c r="SW39" i="40"/>
  <c r="SV39" i="40"/>
  <c r="SU39" i="40"/>
  <c r="ST39" i="40"/>
  <c r="SS39" i="40"/>
  <c r="WN38" i="40"/>
  <c r="WM38" i="40"/>
  <c r="WL38" i="40"/>
  <c r="WK38" i="40"/>
  <c r="WJ38" i="40"/>
  <c r="WI38" i="40"/>
  <c r="WH38" i="40"/>
  <c r="WG38" i="40"/>
  <c r="WF38" i="40"/>
  <c r="WE38" i="40"/>
  <c r="WD38" i="40"/>
  <c r="WC38" i="40"/>
  <c r="WB38" i="40"/>
  <c r="WA38" i="40"/>
  <c r="VZ38" i="40"/>
  <c r="VY38" i="40"/>
  <c r="VX38" i="40"/>
  <c r="VW38" i="40"/>
  <c r="VV38" i="40"/>
  <c r="VU38" i="40"/>
  <c r="VT38" i="40"/>
  <c r="VS38" i="40"/>
  <c r="VR38" i="40"/>
  <c r="VQ38" i="40"/>
  <c r="VP38" i="40"/>
  <c r="VO38" i="40"/>
  <c r="VN38" i="40"/>
  <c r="VM38" i="40"/>
  <c r="VL38" i="40"/>
  <c r="VK38" i="40"/>
  <c r="VJ38" i="40"/>
  <c r="VI38" i="40"/>
  <c r="VH38" i="40"/>
  <c r="VG38" i="40"/>
  <c r="VF38" i="40"/>
  <c r="VE38" i="40"/>
  <c r="VD38" i="40"/>
  <c r="VC38" i="40"/>
  <c r="VB38" i="40"/>
  <c r="VA38" i="40"/>
  <c r="UZ38" i="40"/>
  <c r="UY38" i="40"/>
  <c r="UX38" i="40"/>
  <c r="UW38" i="40"/>
  <c r="UV38" i="40"/>
  <c r="UU38" i="40"/>
  <c r="UT38" i="40"/>
  <c r="US38" i="40"/>
  <c r="UR38" i="40"/>
  <c r="UQ38" i="40"/>
  <c r="UP38" i="40"/>
  <c r="UO38" i="40"/>
  <c r="UN38" i="40"/>
  <c r="UM38" i="40"/>
  <c r="UL38" i="40"/>
  <c r="UK38" i="40"/>
  <c r="UJ38" i="40"/>
  <c r="UI38" i="40"/>
  <c r="UH38" i="40"/>
  <c r="UG38" i="40"/>
  <c r="UF38" i="40"/>
  <c r="UE38" i="40"/>
  <c r="UD38" i="40"/>
  <c r="UC38" i="40"/>
  <c r="UB38" i="40"/>
  <c r="UA38" i="40"/>
  <c r="TZ38" i="40"/>
  <c r="TY38" i="40"/>
  <c r="TX38" i="40"/>
  <c r="TW38" i="40"/>
  <c r="TV38" i="40"/>
  <c r="TU38" i="40"/>
  <c r="TT38" i="40"/>
  <c r="TS38" i="40"/>
  <c r="TR38" i="40"/>
  <c r="TQ38" i="40"/>
  <c r="TP38" i="40"/>
  <c r="TO38" i="40"/>
  <c r="TN38" i="40"/>
  <c r="TM38" i="40"/>
  <c r="TL38" i="40"/>
  <c r="TK38" i="40"/>
  <c r="TJ38" i="40"/>
  <c r="TI38" i="40"/>
  <c r="TH38" i="40"/>
  <c r="TG38" i="40"/>
  <c r="TF38" i="40"/>
  <c r="TE38" i="40"/>
  <c r="TD38" i="40"/>
  <c r="TC38" i="40"/>
  <c r="TB38" i="40"/>
  <c r="TA38" i="40"/>
  <c r="SZ38" i="40"/>
  <c r="SY38" i="40"/>
  <c r="SX38" i="40"/>
  <c r="SW38" i="40"/>
  <c r="SV38" i="40"/>
  <c r="SU38" i="40"/>
  <c r="ST38" i="40"/>
  <c r="SS38" i="40"/>
  <c r="WN37" i="40"/>
  <c r="WM37" i="40"/>
  <c r="WL37" i="40"/>
  <c r="WK37" i="40"/>
  <c r="WJ37" i="40"/>
  <c r="WI37" i="40"/>
  <c r="WH37" i="40"/>
  <c r="WG37" i="40"/>
  <c r="WF37" i="40"/>
  <c r="WE37" i="40"/>
  <c r="WD37" i="40"/>
  <c r="WC37" i="40"/>
  <c r="WB37" i="40"/>
  <c r="WA37" i="40"/>
  <c r="VZ37" i="40"/>
  <c r="VY37" i="40"/>
  <c r="VX37" i="40"/>
  <c r="VW37" i="40"/>
  <c r="VV37" i="40"/>
  <c r="VU37" i="40"/>
  <c r="VT37" i="40"/>
  <c r="VS37" i="40"/>
  <c r="VR37" i="40"/>
  <c r="VQ37" i="40"/>
  <c r="VP37" i="40"/>
  <c r="VO37" i="40"/>
  <c r="VN37" i="40"/>
  <c r="VM37" i="40"/>
  <c r="VL37" i="40"/>
  <c r="VK37" i="40"/>
  <c r="VJ37" i="40"/>
  <c r="VI37" i="40"/>
  <c r="VH37" i="40"/>
  <c r="VG37" i="40"/>
  <c r="VF37" i="40"/>
  <c r="VE37" i="40"/>
  <c r="VD37" i="40"/>
  <c r="VC37" i="40"/>
  <c r="VB37" i="40"/>
  <c r="VA37" i="40"/>
  <c r="UZ37" i="40"/>
  <c r="UY37" i="40"/>
  <c r="UX37" i="40"/>
  <c r="UW37" i="40"/>
  <c r="UV37" i="40"/>
  <c r="UU37" i="40"/>
  <c r="UT37" i="40"/>
  <c r="US37" i="40"/>
  <c r="UR37" i="40"/>
  <c r="UQ37" i="40"/>
  <c r="UP37" i="40"/>
  <c r="UO37" i="40"/>
  <c r="UN37" i="40"/>
  <c r="UM37" i="40"/>
  <c r="UL37" i="40"/>
  <c r="UK37" i="40"/>
  <c r="UJ37" i="40"/>
  <c r="UI37" i="40"/>
  <c r="UH37" i="40"/>
  <c r="UG37" i="40"/>
  <c r="UF37" i="40"/>
  <c r="UE37" i="40"/>
  <c r="UD37" i="40"/>
  <c r="UC37" i="40"/>
  <c r="UB37" i="40"/>
  <c r="UA37" i="40"/>
  <c r="TZ37" i="40"/>
  <c r="TY37" i="40"/>
  <c r="TX37" i="40"/>
  <c r="TW37" i="40"/>
  <c r="TV37" i="40"/>
  <c r="TU37" i="40"/>
  <c r="TT37" i="40"/>
  <c r="TS37" i="40"/>
  <c r="TR37" i="40"/>
  <c r="TQ37" i="40"/>
  <c r="TP37" i="40"/>
  <c r="TO37" i="40"/>
  <c r="TN37" i="40"/>
  <c r="TM37" i="40"/>
  <c r="TL37" i="40"/>
  <c r="TK37" i="40"/>
  <c r="TJ37" i="40"/>
  <c r="TI37" i="40"/>
  <c r="TH37" i="40"/>
  <c r="TG37" i="40"/>
  <c r="TF37" i="40"/>
  <c r="TE37" i="40"/>
  <c r="TD37" i="40"/>
  <c r="TC37" i="40"/>
  <c r="TB37" i="40"/>
  <c r="TA37" i="40"/>
  <c r="SZ37" i="40"/>
  <c r="SY37" i="40"/>
  <c r="SX37" i="40"/>
  <c r="SW37" i="40"/>
  <c r="SV37" i="40"/>
  <c r="SU37" i="40"/>
  <c r="ST37" i="40"/>
  <c r="SS37" i="40"/>
  <c r="WN36" i="40"/>
  <c r="WM36" i="40"/>
  <c r="WL36" i="40"/>
  <c r="WK36" i="40"/>
  <c r="WJ36" i="40"/>
  <c r="WI36" i="40"/>
  <c r="WH36" i="40"/>
  <c r="WG36" i="40"/>
  <c r="WF36" i="40"/>
  <c r="WE36" i="40"/>
  <c r="WD36" i="40"/>
  <c r="WC36" i="40"/>
  <c r="WB36" i="40"/>
  <c r="WA36" i="40"/>
  <c r="VZ36" i="40"/>
  <c r="VY36" i="40"/>
  <c r="VX36" i="40"/>
  <c r="VW36" i="40"/>
  <c r="VV36" i="40"/>
  <c r="VU36" i="40"/>
  <c r="VT36" i="40"/>
  <c r="VS36" i="40"/>
  <c r="VR36" i="40"/>
  <c r="VQ36" i="40"/>
  <c r="VP36" i="40"/>
  <c r="VO36" i="40"/>
  <c r="VN36" i="40"/>
  <c r="VM36" i="40"/>
  <c r="VL36" i="40"/>
  <c r="VK36" i="40"/>
  <c r="VJ36" i="40"/>
  <c r="VI36" i="40"/>
  <c r="VH36" i="40"/>
  <c r="VG36" i="40"/>
  <c r="VF36" i="40"/>
  <c r="VE36" i="40"/>
  <c r="VD36" i="40"/>
  <c r="VC36" i="40"/>
  <c r="VB36" i="40"/>
  <c r="VA36" i="40"/>
  <c r="UZ36" i="40"/>
  <c r="UY36" i="40"/>
  <c r="UX36" i="40"/>
  <c r="UW36" i="40"/>
  <c r="UV36" i="40"/>
  <c r="UU36" i="40"/>
  <c r="UT36" i="40"/>
  <c r="US36" i="40"/>
  <c r="UR36" i="40"/>
  <c r="UQ36" i="40"/>
  <c r="UP36" i="40"/>
  <c r="UO36" i="40"/>
  <c r="UN36" i="40"/>
  <c r="UM36" i="40"/>
  <c r="UL36" i="40"/>
  <c r="UK36" i="40"/>
  <c r="UJ36" i="40"/>
  <c r="UI36" i="40"/>
  <c r="UH36" i="40"/>
  <c r="UG36" i="40"/>
  <c r="UF36" i="40"/>
  <c r="UE36" i="40"/>
  <c r="UD36" i="40"/>
  <c r="UC36" i="40"/>
  <c r="UB36" i="40"/>
  <c r="UA36" i="40"/>
  <c r="TZ36" i="40"/>
  <c r="TY36" i="40"/>
  <c r="TX36" i="40"/>
  <c r="TW36" i="40"/>
  <c r="TV36" i="40"/>
  <c r="TU36" i="40"/>
  <c r="TT36" i="40"/>
  <c r="TS36" i="40"/>
  <c r="TR36" i="40"/>
  <c r="TQ36" i="40"/>
  <c r="TP36" i="40"/>
  <c r="TO36" i="40"/>
  <c r="TN36" i="40"/>
  <c r="TM36" i="40"/>
  <c r="TL36" i="40"/>
  <c r="TK36" i="40"/>
  <c r="TJ36" i="40"/>
  <c r="TI36" i="40"/>
  <c r="TH36" i="40"/>
  <c r="TG36" i="40"/>
  <c r="TF36" i="40"/>
  <c r="TE36" i="40"/>
  <c r="TD36" i="40"/>
  <c r="TC36" i="40"/>
  <c r="TB36" i="40"/>
  <c r="TA36" i="40"/>
  <c r="SZ36" i="40"/>
  <c r="SY36" i="40"/>
  <c r="SX36" i="40"/>
  <c r="SW36" i="40"/>
  <c r="SV36" i="40"/>
  <c r="SU36" i="40"/>
  <c r="ST36" i="40"/>
  <c r="SS36" i="40"/>
  <c r="WN35" i="40"/>
  <c r="WM35" i="40"/>
  <c r="WL35" i="40"/>
  <c r="WK35" i="40"/>
  <c r="WJ35" i="40"/>
  <c r="WI35" i="40"/>
  <c r="WH35" i="40"/>
  <c r="WG35" i="40"/>
  <c r="WF35" i="40"/>
  <c r="WE35" i="40"/>
  <c r="WD35" i="40"/>
  <c r="WC35" i="40"/>
  <c r="WB35" i="40"/>
  <c r="WA35" i="40"/>
  <c r="VZ35" i="40"/>
  <c r="VY35" i="40"/>
  <c r="VX35" i="40"/>
  <c r="VW35" i="40"/>
  <c r="VV35" i="40"/>
  <c r="VU35" i="40"/>
  <c r="VT35" i="40"/>
  <c r="VS35" i="40"/>
  <c r="VR35" i="40"/>
  <c r="VQ35" i="40"/>
  <c r="VP35" i="40"/>
  <c r="VO35" i="40"/>
  <c r="VN35" i="40"/>
  <c r="VM35" i="40"/>
  <c r="VL35" i="40"/>
  <c r="VK35" i="40"/>
  <c r="VJ35" i="40"/>
  <c r="VI35" i="40"/>
  <c r="VH35" i="40"/>
  <c r="VG35" i="40"/>
  <c r="VF35" i="40"/>
  <c r="VE35" i="40"/>
  <c r="VD35" i="40"/>
  <c r="VC35" i="40"/>
  <c r="VB35" i="40"/>
  <c r="VA35" i="40"/>
  <c r="UZ35" i="40"/>
  <c r="UY35" i="40"/>
  <c r="UX35" i="40"/>
  <c r="UW35" i="40"/>
  <c r="UV35" i="40"/>
  <c r="UU35" i="40"/>
  <c r="UT35" i="40"/>
  <c r="US35" i="40"/>
  <c r="UR35" i="40"/>
  <c r="UQ35" i="40"/>
  <c r="UP35" i="40"/>
  <c r="UO35" i="40"/>
  <c r="UN35" i="40"/>
  <c r="UM35" i="40"/>
  <c r="UL35" i="40"/>
  <c r="UK35" i="40"/>
  <c r="UJ35" i="40"/>
  <c r="UI35" i="40"/>
  <c r="UH35" i="40"/>
  <c r="UG35" i="40"/>
  <c r="UF35" i="40"/>
  <c r="UE35" i="40"/>
  <c r="UD35" i="40"/>
  <c r="UC35" i="40"/>
  <c r="UB35" i="40"/>
  <c r="UA35" i="40"/>
  <c r="TZ35" i="40"/>
  <c r="TY35" i="40"/>
  <c r="TX35" i="40"/>
  <c r="TW35" i="40"/>
  <c r="TV35" i="40"/>
  <c r="TU35" i="40"/>
  <c r="TT35" i="40"/>
  <c r="TS35" i="40"/>
  <c r="TR35" i="40"/>
  <c r="TQ35" i="40"/>
  <c r="TP35" i="40"/>
  <c r="TO35" i="40"/>
  <c r="TN35" i="40"/>
  <c r="TM35" i="40"/>
  <c r="TL35" i="40"/>
  <c r="TK35" i="40"/>
  <c r="TJ35" i="40"/>
  <c r="TI35" i="40"/>
  <c r="TH35" i="40"/>
  <c r="TG35" i="40"/>
  <c r="TF35" i="40"/>
  <c r="TE35" i="40"/>
  <c r="TD35" i="40"/>
  <c r="TC35" i="40"/>
  <c r="TB35" i="40"/>
  <c r="TA35" i="40"/>
  <c r="SZ35" i="40"/>
  <c r="SY35" i="40"/>
  <c r="SX35" i="40"/>
  <c r="SW35" i="40"/>
  <c r="SV35" i="40"/>
  <c r="SU35" i="40"/>
  <c r="ST35" i="40"/>
  <c r="SS35" i="40"/>
  <c r="WN34" i="40"/>
  <c r="WM34" i="40"/>
  <c r="WL34" i="40"/>
  <c r="WK34" i="40"/>
  <c r="WJ34" i="40"/>
  <c r="WI34" i="40"/>
  <c r="WH34" i="40"/>
  <c r="WG34" i="40"/>
  <c r="WF34" i="40"/>
  <c r="WE34" i="40"/>
  <c r="WD34" i="40"/>
  <c r="WC34" i="40"/>
  <c r="WB34" i="40"/>
  <c r="WA34" i="40"/>
  <c r="VZ34" i="40"/>
  <c r="VY34" i="40"/>
  <c r="VX34" i="40"/>
  <c r="VW34" i="40"/>
  <c r="VV34" i="40"/>
  <c r="VU34" i="40"/>
  <c r="VT34" i="40"/>
  <c r="VS34" i="40"/>
  <c r="VR34" i="40"/>
  <c r="VQ34" i="40"/>
  <c r="VP34" i="40"/>
  <c r="VO34" i="40"/>
  <c r="VN34" i="40"/>
  <c r="VM34" i="40"/>
  <c r="VL34" i="40"/>
  <c r="VK34" i="40"/>
  <c r="VJ34" i="40"/>
  <c r="VI34" i="40"/>
  <c r="VH34" i="40"/>
  <c r="VG34" i="40"/>
  <c r="VF34" i="40"/>
  <c r="VE34" i="40"/>
  <c r="VD34" i="40"/>
  <c r="VC34" i="40"/>
  <c r="VB34" i="40"/>
  <c r="VA34" i="40"/>
  <c r="UZ34" i="40"/>
  <c r="UY34" i="40"/>
  <c r="UX34" i="40"/>
  <c r="UW34" i="40"/>
  <c r="UV34" i="40"/>
  <c r="UU34" i="40"/>
  <c r="UT34" i="40"/>
  <c r="US34" i="40"/>
  <c r="UR34" i="40"/>
  <c r="UQ34" i="40"/>
  <c r="UP34" i="40"/>
  <c r="UO34" i="40"/>
  <c r="UN34" i="40"/>
  <c r="UM34" i="40"/>
  <c r="UL34" i="40"/>
  <c r="UK34" i="40"/>
  <c r="UJ34" i="40"/>
  <c r="UI34" i="40"/>
  <c r="UH34" i="40"/>
  <c r="UG34" i="40"/>
  <c r="UF34" i="40"/>
  <c r="UE34" i="40"/>
  <c r="UD34" i="40"/>
  <c r="UC34" i="40"/>
  <c r="UB34" i="40"/>
  <c r="UA34" i="40"/>
  <c r="TZ34" i="40"/>
  <c r="TY34" i="40"/>
  <c r="TX34" i="40"/>
  <c r="TW34" i="40"/>
  <c r="TV34" i="40"/>
  <c r="TU34" i="40"/>
  <c r="TT34" i="40"/>
  <c r="TS34" i="40"/>
  <c r="TR34" i="40"/>
  <c r="TQ34" i="40"/>
  <c r="TP34" i="40"/>
  <c r="TO34" i="40"/>
  <c r="TN34" i="40"/>
  <c r="TM34" i="40"/>
  <c r="TL34" i="40"/>
  <c r="TK34" i="40"/>
  <c r="TJ34" i="40"/>
  <c r="TI34" i="40"/>
  <c r="TH34" i="40"/>
  <c r="TG34" i="40"/>
  <c r="TF34" i="40"/>
  <c r="TE34" i="40"/>
  <c r="TD34" i="40"/>
  <c r="TC34" i="40"/>
  <c r="TB34" i="40"/>
  <c r="TA34" i="40"/>
  <c r="SZ34" i="40"/>
  <c r="SY34" i="40"/>
  <c r="SX34" i="40"/>
  <c r="SW34" i="40"/>
  <c r="SV34" i="40"/>
  <c r="SU34" i="40"/>
  <c r="ST34" i="40"/>
  <c r="SS34" i="40"/>
  <c r="WN33" i="40"/>
  <c r="WM33" i="40"/>
  <c r="WL33" i="40"/>
  <c r="WK33" i="40"/>
  <c r="WJ33" i="40"/>
  <c r="WI33" i="40"/>
  <c r="WH33" i="40"/>
  <c r="WG33" i="40"/>
  <c r="WF33" i="40"/>
  <c r="WE33" i="40"/>
  <c r="WD33" i="40"/>
  <c r="WC33" i="40"/>
  <c r="WB33" i="40"/>
  <c r="WA33" i="40"/>
  <c r="VZ33" i="40"/>
  <c r="VY33" i="40"/>
  <c r="VX33" i="40"/>
  <c r="VW33" i="40"/>
  <c r="VV33" i="40"/>
  <c r="VU33" i="40"/>
  <c r="VT33" i="40"/>
  <c r="VS33" i="40"/>
  <c r="VR33" i="40"/>
  <c r="VQ33" i="40"/>
  <c r="VP33" i="40"/>
  <c r="VO33" i="40"/>
  <c r="VN33" i="40"/>
  <c r="VM33" i="40"/>
  <c r="VL33" i="40"/>
  <c r="VK33" i="40"/>
  <c r="VJ33" i="40"/>
  <c r="VI33" i="40"/>
  <c r="VH33" i="40"/>
  <c r="VG33" i="40"/>
  <c r="VF33" i="40"/>
  <c r="VE33" i="40"/>
  <c r="VD33" i="40"/>
  <c r="VC33" i="40"/>
  <c r="VB33" i="40"/>
  <c r="VA33" i="40"/>
  <c r="UZ33" i="40"/>
  <c r="UY33" i="40"/>
  <c r="UX33" i="40"/>
  <c r="UW33" i="40"/>
  <c r="UV33" i="40"/>
  <c r="UU33" i="40"/>
  <c r="UT33" i="40"/>
  <c r="US33" i="40"/>
  <c r="UR33" i="40"/>
  <c r="UQ33" i="40"/>
  <c r="UP33" i="40"/>
  <c r="UO33" i="40"/>
  <c r="UN33" i="40"/>
  <c r="UM33" i="40"/>
  <c r="UL33" i="40"/>
  <c r="UK33" i="40"/>
  <c r="UJ33" i="40"/>
  <c r="UI33" i="40"/>
  <c r="UH33" i="40"/>
  <c r="UG33" i="40"/>
  <c r="UF33" i="40"/>
  <c r="UE33" i="40"/>
  <c r="UD33" i="40"/>
  <c r="UC33" i="40"/>
  <c r="UB33" i="40"/>
  <c r="UA33" i="40"/>
  <c r="TZ33" i="40"/>
  <c r="TY33" i="40"/>
  <c r="TX33" i="40"/>
  <c r="TW33" i="40"/>
  <c r="TV33" i="40"/>
  <c r="TU33" i="40"/>
  <c r="TT33" i="40"/>
  <c r="TS33" i="40"/>
  <c r="TR33" i="40"/>
  <c r="TQ33" i="40"/>
  <c r="TP33" i="40"/>
  <c r="TO33" i="40"/>
  <c r="TN33" i="40"/>
  <c r="TM33" i="40"/>
  <c r="TL33" i="40"/>
  <c r="TK33" i="40"/>
  <c r="TJ33" i="40"/>
  <c r="TI33" i="40"/>
  <c r="TH33" i="40"/>
  <c r="TG33" i="40"/>
  <c r="TF33" i="40"/>
  <c r="TE33" i="40"/>
  <c r="TD33" i="40"/>
  <c r="TC33" i="40"/>
  <c r="TB33" i="40"/>
  <c r="TA33" i="40"/>
  <c r="SZ33" i="40"/>
  <c r="SY33" i="40"/>
  <c r="SX33" i="40"/>
  <c r="SW33" i="40"/>
  <c r="SV33" i="40"/>
  <c r="SU33" i="40"/>
  <c r="ST33" i="40"/>
  <c r="SS33" i="40"/>
  <c r="WN32" i="40"/>
  <c r="WM32" i="40"/>
  <c r="WL32" i="40"/>
  <c r="WK32" i="40"/>
  <c r="WJ32" i="40"/>
  <c r="WI32" i="40"/>
  <c r="WH32" i="40"/>
  <c r="WG32" i="40"/>
  <c r="WF32" i="40"/>
  <c r="WE32" i="40"/>
  <c r="WD32" i="40"/>
  <c r="WC32" i="40"/>
  <c r="WB32" i="40"/>
  <c r="WA32" i="40"/>
  <c r="VZ32" i="40"/>
  <c r="VY32" i="40"/>
  <c r="VX32" i="40"/>
  <c r="VW32" i="40"/>
  <c r="VV32" i="40"/>
  <c r="VU32" i="40"/>
  <c r="VT32" i="40"/>
  <c r="VS32" i="40"/>
  <c r="VR32" i="40"/>
  <c r="VQ32" i="40"/>
  <c r="VP32" i="40"/>
  <c r="VO32" i="40"/>
  <c r="VN32" i="40"/>
  <c r="VM32" i="40"/>
  <c r="VL32" i="40"/>
  <c r="VK32" i="40"/>
  <c r="VJ32" i="40"/>
  <c r="VI32" i="40"/>
  <c r="VH32" i="40"/>
  <c r="VG32" i="40"/>
  <c r="VF32" i="40"/>
  <c r="VE32" i="40"/>
  <c r="VD32" i="40"/>
  <c r="VC32" i="40"/>
  <c r="VB32" i="40"/>
  <c r="VA32" i="40"/>
  <c r="UZ32" i="40"/>
  <c r="UY32" i="40"/>
  <c r="UX32" i="40"/>
  <c r="UW32" i="40"/>
  <c r="UV32" i="40"/>
  <c r="UU32" i="40"/>
  <c r="UT32" i="40"/>
  <c r="US32" i="40"/>
  <c r="UR32" i="40"/>
  <c r="UQ32" i="40"/>
  <c r="UP32" i="40"/>
  <c r="UO32" i="40"/>
  <c r="UN32" i="40"/>
  <c r="UM32" i="40"/>
  <c r="UL32" i="40"/>
  <c r="UK32" i="40"/>
  <c r="UJ32" i="40"/>
  <c r="UI32" i="40"/>
  <c r="UH32" i="40"/>
  <c r="UG32" i="40"/>
  <c r="UF32" i="40"/>
  <c r="UE32" i="40"/>
  <c r="UD32" i="40"/>
  <c r="UC32" i="40"/>
  <c r="UB32" i="40"/>
  <c r="UA32" i="40"/>
  <c r="TZ32" i="40"/>
  <c r="TY32" i="40"/>
  <c r="TX32" i="40"/>
  <c r="TW32" i="40"/>
  <c r="TV32" i="40"/>
  <c r="TU32" i="40"/>
  <c r="TT32" i="40"/>
  <c r="TS32" i="40"/>
  <c r="TR32" i="40"/>
  <c r="TQ32" i="40"/>
  <c r="TP32" i="40"/>
  <c r="TO32" i="40"/>
  <c r="TN32" i="40"/>
  <c r="TM32" i="40"/>
  <c r="TL32" i="40"/>
  <c r="TK32" i="40"/>
  <c r="TJ32" i="40"/>
  <c r="TI32" i="40"/>
  <c r="TH32" i="40"/>
  <c r="TG32" i="40"/>
  <c r="TF32" i="40"/>
  <c r="TE32" i="40"/>
  <c r="TD32" i="40"/>
  <c r="TC32" i="40"/>
  <c r="TB32" i="40"/>
  <c r="TA32" i="40"/>
  <c r="SZ32" i="40"/>
  <c r="SY32" i="40"/>
  <c r="SX32" i="40"/>
  <c r="SW32" i="40"/>
  <c r="SV32" i="40"/>
  <c r="SU32" i="40"/>
  <c r="ST32" i="40"/>
  <c r="SS32" i="40"/>
  <c r="WN31" i="40"/>
  <c r="WM31" i="40"/>
  <c r="WL31" i="40"/>
  <c r="WK31" i="40"/>
  <c r="WJ31" i="40"/>
  <c r="WI31" i="40"/>
  <c r="WH31" i="40"/>
  <c r="WG31" i="40"/>
  <c r="WF31" i="40"/>
  <c r="WE31" i="40"/>
  <c r="WD31" i="40"/>
  <c r="WC31" i="40"/>
  <c r="WB31" i="40"/>
  <c r="WA31" i="40"/>
  <c r="VZ31" i="40"/>
  <c r="VY31" i="40"/>
  <c r="VX31" i="40"/>
  <c r="VW31" i="40"/>
  <c r="VV31" i="40"/>
  <c r="VU31" i="40"/>
  <c r="VT31" i="40"/>
  <c r="VS31" i="40"/>
  <c r="VR31" i="40"/>
  <c r="VQ31" i="40"/>
  <c r="VP31" i="40"/>
  <c r="VO31" i="40"/>
  <c r="VN31" i="40"/>
  <c r="VM31" i="40"/>
  <c r="VL31" i="40"/>
  <c r="VK31" i="40"/>
  <c r="VJ31" i="40"/>
  <c r="VI31" i="40"/>
  <c r="VH31" i="40"/>
  <c r="VG31" i="40"/>
  <c r="VF31" i="40"/>
  <c r="VE31" i="40"/>
  <c r="VD31" i="40"/>
  <c r="VC31" i="40"/>
  <c r="VB31" i="40"/>
  <c r="VA31" i="40"/>
  <c r="UZ31" i="40"/>
  <c r="UY31" i="40"/>
  <c r="UX31" i="40"/>
  <c r="UW31" i="40"/>
  <c r="UV31" i="40"/>
  <c r="UU31" i="40"/>
  <c r="UT31" i="40"/>
  <c r="US31" i="40"/>
  <c r="UR31" i="40"/>
  <c r="UQ31" i="40"/>
  <c r="UP31" i="40"/>
  <c r="UO31" i="40"/>
  <c r="UN31" i="40"/>
  <c r="UM31" i="40"/>
  <c r="UL31" i="40"/>
  <c r="UK31" i="40"/>
  <c r="UJ31" i="40"/>
  <c r="UI31" i="40"/>
  <c r="UH31" i="40"/>
  <c r="UG31" i="40"/>
  <c r="UF31" i="40"/>
  <c r="UE31" i="40"/>
  <c r="UD31" i="40"/>
  <c r="UC31" i="40"/>
  <c r="UB31" i="40"/>
  <c r="UA31" i="40"/>
  <c r="TZ31" i="40"/>
  <c r="TY31" i="40"/>
  <c r="TX31" i="40"/>
  <c r="TW31" i="40"/>
  <c r="TV31" i="40"/>
  <c r="TU31" i="40"/>
  <c r="TT31" i="40"/>
  <c r="TS31" i="40"/>
  <c r="TR31" i="40"/>
  <c r="TQ31" i="40"/>
  <c r="TP31" i="40"/>
  <c r="TO31" i="40"/>
  <c r="TN31" i="40"/>
  <c r="TM31" i="40"/>
  <c r="TL31" i="40"/>
  <c r="TK31" i="40"/>
  <c r="TJ31" i="40"/>
  <c r="TI31" i="40"/>
  <c r="TH31" i="40"/>
  <c r="TG31" i="40"/>
  <c r="TF31" i="40"/>
  <c r="TE31" i="40"/>
  <c r="TD31" i="40"/>
  <c r="TC31" i="40"/>
  <c r="TB31" i="40"/>
  <c r="TA31" i="40"/>
  <c r="SZ31" i="40"/>
  <c r="SY31" i="40"/>
  <c r="SX31" i="40"/>
  <c r="SW31" i="40"/>
  <c r="SV31" i="40"/>
  <c r="SU31" i="40"/>
  <c r="ST31" i="40"/>
  <c r="SS31" i="40"/>
  <c r="WN30" i="40"/>
  <c r="WM30" i="40"/>
  <c r="WL30" i="40"/>
  <c r="WK30" i="40"/>
  <c r="WJ30" i="40"/>
  <c r="WI30" i="40"/>
  <c r="WH30" i="40"/>
  <c r="WG30" i="40"/>
  <c r="WF30" i="40"/>
  <c r="WE30" i="40"/>
  <c r="WD30" i="40"/>
  <c r="WC30" i="40"/>
  <c r="WB30" i="40"/>
  <c r="WA30" i="40"/>
  <c r="VZ30" i="40"/>
  <c r="VY30" i="40"/>
  <c r="VX30" i="40"/>
  <c r="VW30" i="40"/>
  <c r="VV30" i="40"/>
  <c r="VU30" i="40"/>
  <c r="VT30" i="40"/>
  <c r="VS30" i="40"/>
  <c r="VR30" i="40"/>
  <c r="VQ30" i="40"/>
  <c r="VP30" i="40"/>
  <c r="VO30" i="40"/>
  <c r="VN30" i="40"/>
  <c r="VM30" i="40"/>
  <c r="VL30" i="40"/>
  <c r="VK30" i="40"/>
  <c r="VJ30" i="40"/>
  <c r="VI30" i="40"/>
  <c r="VH30" i="40"/>
  <c r="VG30" i="40"/>
  <c r="VF30" i="40"/>
  <c r="VE30" i="40"/>
  <c r="VD30" i="40"/>
  <c r="VC30" i="40"/>
  <c r="VB30" i="40"/>
  <c r="VA30" i="40"/>
  <c r="UZ30" i="40"/>
  <c r="UY30" i="40"/>
  <c r="UX30" i="40"/>
  <c r="UW30" i="40"/>
  <c r="UV30" i="40"/>
  <c r="UU30" i="40"/>
  <c r="UT30" i="40"/>
  <c r="US30" i="40"/>
  <c r="UR30" i="40"/>
  <c r="UQ30" i="40"/>
  <c r="UP30" i="40"/>
  <c r="UO30" i="40"/>
  <c r="UN30" i="40"/>
  <c r="UM30" i="40"/>
  <c r="UL30" i="40"/>
  <c r="UK30" i="40"/>
  <c r="UJ30" i="40"/>
  <c r="UI30" i="40"/>
  <c r="UH30" i="40"/>
  <c r="UG30" i="40"/>
  <c r="UF30" i="40"/>
  <c r="UE30" i="40"/>
  <c r="UD30" i="40"/>
  <c r="UC30" i="40"/>
  <c r="UB30" i="40"/>
  <c r="UA30" i="40"/>
  <c r="TZ30" i="40"/>
  <c r="TY30" i="40"/>
  <c r="TX30" i="40"/>
  <c r="TW30" i="40"/>
  <c r="TV30" i="40"/>
  <c r="TU30" i="40"/>
  <c r="TT30" i="40"/>
  <c r="TS30" i="40"/>
  <c r="TR30" i="40"/>
  <c r="TQ30" i="40"/>
  <c r="TP30" i="40"/>
  <c r="TO30" i="40"/>
  <c r="TN30" i="40"/>
  <c r="TM30" i="40"/>
  <c r="TL30" i="40"/>
  <c r="TK30" i="40"/>
  <c r="TJ30" i="40"/>
  <c r="TI30" i="40"/>
  <c r="TH30" i="40"/>
  <c r="TG30" i="40"/>
  <c r="TF30" i="40"/>
  <c r="TE30" i="40"/>
  <c r="TD30" i="40"/>
  <c r="TC30" i="40"/>
  <c r="TB30" i="40"/>
  <c r="TA30" i="40"/>
  <c r="SZ30" i="40"/>
  <c r="SY30" i="40"/>
  <c r="SX30" i="40"/>
  <c r="SW30" i="40"/>
  <c r="SV30" i="40"/>
  <c r="SU30" i="40"/>
  <c r="ST30" i="40"/>
  <c r="SS30" i="40"/>
  <c r="WN29" i="40"/>
  <c r="WM29" i="40"/>
  <c r="WL29" i="40"/>
  <c r="WK29" i="40"/>
  <c r="WJ29" i="40"/>
  <c r="WI29" i="40"/>
  <c r="WH29" i="40"/>
  <c r="WG29" i="40"/>
  <c r="WF29" i="40"/>
  <c r="WE29" i="40"/>
  <c r="WD29" i="40"/>
  <c r="WC29" i="40"/>
  <c r="WB29" i="40"/>
  <c r="WA29" i="40"/>
  <c r="VZ29" i="40"/>
  <c r="VY29" i="40"/>
  <c r="VX29" i="40"/>
  <c r="VW29" i="40"/>
  <c r="VV29" i="40"/>
  <c r="VU29" i="40"/>
  <c r="VT29" i="40"/>
  <c r="VS29" i="40"/>
  <c r="VR29" i="40"/>
  <c r="VQ29" i="40"/>
  <c r="VP29" i="40"/>
  <c r="VO29" i="40"/>
  <c r="VN29" i="40"/>
  <c r="VM29" i="40"/>
  <c r="VL29" i="40"/>
  <c r="VK29" i="40"/>
  <c r="VJ29" i="40"/>
  <c r="VI29" i="40"/>
  <c r="VH29" i="40"/>
  <c r="VG29" i="40"/>
  <c r="VF29" i="40"/>
  <c r="VE29" i="40"/>
  <c r="VD29" i="40"/>
  <c r="VC29" i="40"/>
  <c r="VB29" i="40"/>
  <c r="VA29" i="40"/>
  <c r="UZ29" i="40"/>
  <c r="UY29" i="40"/>
  <c r="UX29" i="40"/>
  <c r="UW29" i="40"/>
  <c r="UV29" i="40"/>
  <c r="UU29" i="40"/>
  <c r="UT29" i="40"/>
  <c r="US29" i="40"/>
  <c r="UR29" i="40"/>
  <c r="UQ29" i="40"/>
  <c r="UP29" i="40"/>
  <c r="UO29" i="40"/>
  <c r="UN29" i="40"/>
  <c r="UM29" i="40"/>
  <c r="UL29" i="40"/>
  <c r="UK29" i="40"/>
  <c r="UJ29" i="40"/>
  <c r="UI29" i="40"/>
  <c r="UH29" i="40"/>
  <c r="UG29" i="40"/>
  <c r="UF29" i="40"/>
  <c r="UE29" i="40"/>
  <c r="UD29" i="40"/>
  <c r="UC29" i="40"/>
  <c r="UB29" i="40"/>
  <c r="UA29" i="40"/>
  <c r="TZ29" i="40"/>
  <c r="TY29" i="40"/>
  <c r="TX29" i="40"/>
  <c r="TW29" i="40"/>
  <c r="TV29" i="40"/>
  <c r="TU29" i="40"/>
  <c r="TT29" i="40"/>
  <c r="TS29" i="40"/>
  <c r="TR29" i="40"/>
  <c r="TQ29" i="40"/>
  <c r="TP29" i="40"/>
  <c r="TO29" i="40"/>
  <c r="TN29" i="40"/>
  <c r="TM29" i="40"/>
  <c r="TL29" i="40"/>
  <c r="TK29" i="40"/>
  <c r="TJ29" i="40"/>
  <c r="TI29" i="40"/>
  <c r="TH29" i="40"/>
  <c r="TG29" i="40"/>
  <c r="TF29" i="40"/>
  <c r="TE29" i="40"/>
  <c r="TD29" i="40"/>
  <c r="TC29" i="40"/>
  <c r="TB29" i="40"/>
  <c r="TA29" i="40"/>
  <c r="SZ29" i="40"/>
  <c r="SY29" i="40"/>
  <c r="SX29" i="40"/>
  <c r="SW29" i="40"/>
  <c r="SV29" i="40"/>
  <c r="SU29" i="40"/>
  <c r="ST29" i="40"/>
  <c r="SS29" i="40"/>
  <c r="WN28" i="40"/>
  <c r="WM28" i="40"/>
  <c r="WL28" i="40"/>
  <c r="WK28" i="40"/>
  <c r="WJ28" i="40"/>
  <c r="WI28" i="40"/>
  <c r="WH28" i="40"/>
  <c r="WG28" i="40"/>
  <c r="WF28" i="40"/>
  <c r="WE28" i="40"/>
  <c r="WD28" i="40"/>
  <c r="WC28" i="40"/>
  <c r="WB28" i="40"/>
  <c r="WA28" i="40"/>
  <c r="VZ28" i="40"/>
  <c r="VY28" i="40"/>
  <c r="VX28" i="40"/>
  <c r="VW28" i="40"/>
  <c r="VV28" i="40"/>
  <c r="VU28" i="40"/>
  <c r="VT28" i="40"/>
  <c r="VS28" i="40"/>
  <c r="VR28" i="40"/>
  <c r="VQ28" i="40"/>
  <c r="VP28" i="40"/>
  <c r="VO28" i="40"/>
  <c r="VN28" i="40"/>
  <c r="VM28" i="40"/>
  <c r="VL28" i="40"/>
  <c r="VK28" i="40"/>
  <c r="VJ28" i="40"/>
  <c r="VI28" i="40"/>
  <c r="VH28" i="40"/>
  <c r="VG28" i="40"/>
  <c r="VF28" i="40"/>
  <c r="VE28" i="40"/>
  <c r="VD28" i="40"/>
  <c r="VC28" i="40"/>
  <c r="VB28" i="40"/>
  <c r="VA28" i="40"/>
  <c r="UZ28" i="40"/>
  <c r="UY28" i="40"/>
  <c r="UX28" i="40"/>
  <c r="UW28" i="40"/>
  <c r="UV28" i="40"/>
  <c r="UU28" i="40"/>
  <c r="UT28" i="40"/>
  <c r="US28" i="40"/>
  <c r="UR28" i="40"/>
  <c r="UQ28" i="40"/>
  <c r="UP28" i="40"/>
  <c r="UO28" i="40"/>
  <c r="UN28" i="40"/>
  <c r="UM28" i="40"/>
  <c r="UL28" i="40"/>
  <c r="UK28" i="40"/>
  <c r="UJ28" i="40"/>
  <c r="UI28" i="40"/>
  <c r="UH28" i="40"/>
  <c r="UG28" i="40"/>
  <c r="UF28" i="40"/>
  <c r="UE28" i="40"/>
  <c r="UD28" i="40"/>
  <c r="UC28" i="40"/>
  <c r="UB28" i="40"/>
  <c r="UA28" i="40"/>
  <c r="TZ28" i="40"/>
  <c r="TY28" i="40"/>
  <c r="TX28" i="40"/>
  <c r="TW28" i="40"/>
  <c r="TV28" i="40"/>
  <c r="TU28" i="40"/>
  <c r="TT28" i="40"/>
  <c r="TS28" i="40"/>
  <c r="TR28" i="40"/>
  <c r="TQ28" i="40"/>
  <c r="TP28" i="40"/>
  <c r="TO28" i="40"/>
  <c r="TN28" i="40"/>
  <c r="TM28" i="40"/>
  <c r="TL28" i="40"/>
  <c r="TK28" i="40"/>
  <c r="TJ28" i="40"/>
  <c r="TI28" i="40"/>
  <c r="TH28" i="40"/>
  <c r="TG28" i="40"/>
  <c r="TF28" i="40"/>
  <c r="TE28" i="40"/>
  <c r="TD28" i="40"/>
  <c r="TC28" i="40"/>
  <c r="TB28" i="40"/>
  <c r="TA28" i="40"/>
  <c r="SZ28" i="40"/>
  <c r="SY28" i="40"/>
  <c r="SX28" i="40"/>
  <c r="SW28" i="40"/>
  <c r="SV28" i="40"/>
  <c r="SU28" i="40"/>
  <c r="ST28" i="40"/>
  <c r="SS28" i="40"/>
  <c r="WN27" i="40"/>
  <c r="WM27" i="40"/>
  <c r="WL27" i="40"/>
  <c r="WK27" i="40"/>
  <c r="WJ27" i="40"/>
  <c r="WI27" i="40"/>
  <c r="WH27" i="40"/>
  <c r="WG27" i="40"/>
  <c r="WF27" i="40"/>
  <c r="WE27" i="40"/>
  <c r="WD27" i="40"/>
  <c r="WC27" i="40"/>
  <c r="WB27" i="40"/>
  <c r="WA27" i="40"/>
  <c r="VZ27" i="40"/>
  <c r="VY27" i="40"/>
  <c r="VX27" i="40"/>
  <c r="VW27" i="40"/>
  <c r="VV27" i="40"/>
  <c r="VU27" i="40"/>
  <c r="VT27" i="40"/>
  <c r="VS27" i="40"/>
  <c r="VR27" i="40"/>
  <c r="VQ27" i="40"/>
  <c r="VP27" i="40"/>
  <c r="VO27" i="40"/>
  <c r="VN27" i="40"/>
  <c r="VM27" i="40"/>
  <c r="VL27" i="40"/>
  <c r="VK27" i="40"/>
  <c r="VJ27" i="40"/>
  <c r="VI27" i="40"/>
  <c r="VH27" i="40"/>
  <c r="VG27" i="40"/>
  <c r="VF27" i="40"/>
  <c r="VE27" i="40"/>
  <c r="VD27" i="40"/>
  <c r="VC27" i="40"/>
  <c r="VB27" i="40"/>
  <c r="VA27" i="40"/>
  <c r="UZ27" i="40"/>
  <c r="UY27" i="40"/>
  <c r="UX27" i="40"/>
  <c r="UW27" i="40"/>
  <c r="UV27" i="40"/>
  <c r="UU27" i="40"/>
  <c r="UT27" i="40"/>
  <c r="US27" i="40"/>
  <c r="UR27" i="40"/>
  <c r="UQ27" i="40"/>
  <c r="UP27" i="40"/>
  <c r="UO27" i="40"/>
  <c r="UN27" i="40"/>
  <c r="UM27" i="40"/>
  <c r="UL27" i="40"/>
  <c r="UK27" i="40"/>
  <c r="UJ27" i="40"/>
  <c r="UI27" i="40"/>
  <c r="UH27" i="40"/>
  <c r="UG27" i="40"/>
  <c r="UF27" i="40"/>
  <c r="UE27" i="40"/>
  <c r="UD27" i="40"/>
  <c r="UC27" i="40"/>
  <c r="UB27" i="40"/>
  <c r="UA27" i="40"/>
  <c r="TZ27" i="40"/>
  <c r="TY27" i="40"/>
  <c r="TX27" i="40"/>
  <c r="TW27" i="40"/>
  <c r="TV27" i="40"/>
  <c r="TU27" i="40"/>
  <c r="TT27" i="40"/>
  <c r="TS27" i="40"/>
  <c r="TR27" i="40"/>
  <c r="TQ27" i="40"/>
  <c r="TP27" i="40"/>
  <c r="TO27" i="40"/>
  <c r="TN27" i="40"/>
  <c r="TM27" i="40"/>
  <c r="TL27" i="40"/>
  <c r="TK27" i="40"/>
  <c r="TJ27" i="40"/>
  <c r="TI27" i="40"/>
  <c r="TH27" i="40"/>
  <c r="TG27" i="40"/>
  <c r="TF27" i="40"/>
  <c r="TE27" i="40"/>
  <c r="TD27" i="40"/>
  <c r="TC27" i="40"/>
  <c r="TB27" i="40"/>
  <c r="TA27" i="40"/>
  <c r="SZ27" i="40"/>
  <c r="SY27" i="40"/>
  <c r="SX27" i="40"/>
  <c r="SW27" i="40"/>
  <c r="SV27" i="40"/>
  <c r="SU27" i="40"/>
  <c r="ST27" i="40"/>
  <c r="SS27" i="40"/>
  <c r="WN26" i="40"/>
  <c r="WM26" i="40"/>
  <c r="WL26" i="40"/>
  <c r="WK26" i="40"/>
  <c r="WJ26" i="40"/>
  <c r="WI26" i="40"/>
  <c r="WH26" i="40"/>
  <c r="WG26" i="40"/>
  <c r="WF26" i="40"/>
  <c r="WE26" i="40"/>
  <c r="WD26" i="40"/>
  <c r="WC26" i="40"/>
  <c r="WB26" i="40"/>
  <c r="WA26" i="40"/>
  <c r="VZ26" i="40"/>
  <c r="VY26" i="40"/>
  <c r="VX26" i="40"/>
  <c r="VW26" i="40"/>
  <c r="VV26" i="40"/>
  <c r="VU26" i="40"/>
  <c r="VT26" i="40"/>
  <c r="VS26" i="40"/>
  <c r="VR26" i="40"/>
  <c r="VQ26" i="40"/>
  <c r="VP26" i="40"/>
  <c r="VO26" i="40"/>
  <c r="VN26" i="40"/>
  <c r="VM26" i="40"/>
  <c r="VL26" i="40"/>
  <c r="VK26" i="40"/>
  <c r="VJ26" i="40"/>
  <c r="VI26" i="40"/>
  <c r="VH26" i="40"/>
  <c r="VG26" i="40"/>
  <c r="VF26" i="40"/>
  <c r="VE26" i="40"/>
  <c r="VD26" i="40"/>
  <c r="VC26" i="40"/>
  <c r="VB26" i="40"/>
  <c r="VA26" i="40"/>
  <c r="UZ26" i="40"/>
  <c r="UY26" i="40"/>
  <c r="UX26" i="40"/>
  <c r="UW26" i="40"/>
  <c r="UV26" i="40"/>
  <c r="UU26" i="40"/>
  <c r="UT26" i="40"/>
  <c r="US26" i="40"/>
  <c r="UR26" i="40"/>
  <c r="UQ26" i="40"/>
  <c r="UP26" i="40"/>
  <c r="UO26" i="40"/>
  <c r="UN26" i="40"/>
  <c r="UM26" i="40"/>
  <c r="UL26" i="40"/>
  <c r="UK26" i="40"/>
  <c r="UJ26" i="40"/>
  <c r="UI26" i="40"/>
  <c r="UH26" i="40"/>
  <c r="UG26" i="40"/>
  <c r="UF26" i="40"/>
  <c r="UE26" i="40"/>
  <c r="UD26" i="40"/>
  <c r="UC26" i="40"/>
  <c r="UB26" i="40"/>
  <c r="UA26" i="40"/>
  <c r="TZ26" i="40"/>
  <c r="TY26" i="40"/>
  <c r="TX26" i="40"/>
  <c r="TW26" i="40"/>
  <c r="TV26" i="40"/>
  <c r="TU26" i="40"/>
  <c r="TT26" i="40"/>
  <c r="TS26" i="40"/>
  <c r="TR26" i="40"/>
  <c r="TQ26" i="40"/>
  <c r="TP26" i="40"/>
  <c r="TO26" i="40"/>
  <c r="TN26" i="40"/>
  <c r="TM26" i="40"/>
  <c r="TL26" i="40"/>
  <c r="TK26" i="40"/>
  <c r="TJ26" i="40"/>
  <c r="TI26" i="40"/>
  <c r="TH26" i="40"/>
  <c r="TG26" i="40"/>
  <c r="TF26" i="40"/>
  <c r="TE26" i="40"/>
  <c r="TD26" i="40"/>
  <c r="TC26" i="40"/>
  <c r="TB26" i="40"/>
  <c r="TA26" i="40"/>
  <c r="SZ26" i="40"/>
  <c r="SY26" i="40"/>
  <c r="SX26" i="40"/>
  <c r="SW26" i="40"/>
  <c r="SV26" i="40"/>
  <c r="SU26" i="40"/>
  <c r="ST26" i="40"/>
  <c r="SS26" i="40"/>
  <c r="WN25" i="40"/>
  <c r="WM25" i="40"/>
  <c r="WL25" i="40"/>
  <c r="WK25" i="40"/>
  <c r="WJ25" i="40"/>
  <c r="WI25" i="40"/>
  <c r="WH25" i="40"/>
  <c r="WG25" i="40"/>
  <c r="WF25" i="40"/>
  <c r="WE25" i="40"/>
  <c r="WD25" i="40"/>
  <c r="WC25" i="40"/>
  <c r="WB25" i="40"/>
  <c r="WA25" i="40"/>
  <c r="VZ25" i="40"/>
  <c r="VY25" i="40"/>
  <c r="VX25" i="40"/>
  <c r="VW25" i="40"/>
  <c r="VV25" i="40"/>
  <c r="VU25" i="40"/>
  <c r="VT25" i="40"/>
  <c r="VS25" i="40"/>
  <c r="VR25" i="40"/>
  <c r="VQ25" i="40"/>
  <c r="VP25" i="40"/>
  <c r="VO25" i="40"/>
  <c r="VN25" i="40"/>
  <c r="VM25" i="40"/>
  <c r="VL25" i="40"/>
  <c r="VK25" i="40"/>
  <c r="VJ25" i="40"/>
  <c r="VI25" i="40"/>
  <c r="VH25" i="40"/>
  <c r="VG25" i="40"/>
  <c r="VF25" i="40"/>
  <c r="VE25" i="40"/>
  <c r="VD25" i="40"/>
  <c r="VC25" i="40"/>
  <c r="VB25" i="40"/>
  <c r="VA25" i="40"/>
  <c r="UZ25" i="40"/>
  <c r="UY25" i="40"/>
  <c r="UX25" i="40"/>
  <c r="UW25" i="40"/>
  <c r="UV25" i="40"/>
  <c r="UU25" i="40"/>
  <c r="UT25" i="40"/>
  <c r="US25" i="40"/>
  <c r="UR25" i="40"/>
  <c r="UQ25" i="40"/>
  <c r="UP25" i="40"/>
  <c r="UO25" i="40"/>
  <c r="UN25" i="40"/>
  <c r="UM25" i="40"/>
  <c r="UL25" i="40"/>
  <c r="UK25" i="40"/>
  <c r="UJ25" i="40"/>
  <c r="UI25" i="40"/>
  <c r="UH25" i="40"/>
  <c r="UG25" i="40"/>
  <c r="UF25" i="40"/>
  <c r="UE25" i="40"/>
  <c r="UD25" i="40"/>
  <c r="UC25" i="40"/>
  <c r="UB25" i="40"/>
  <c r="UA25" i="40"/>
  <c r="TZ25" i="40"/>
  <c r="TY25" i="40"/>
  <c r="TX25" i="40"/>
  <c r="TW25" i="40"/>
  <c r="TV25" i="40"/>
  <c r="TU25" i="40"/>
  <c r="TT25" i="40"/>
  <c r="TS25" i="40"/>
  <c r="TR25" i="40"/>
  <c r="TQ25" i="40"/>
  <c r="TP25" i="40"/>
  <c r="TO25" i="40"/>
  <c r="TN25" i="40"/>
  <c r="TM25" i="40"/>
  <c r="TL25" i="40"/>
  <c r="TK25" i="40"/>
  <c r="TJ25" i="40"/>
  <c r="TI25" i="40"/>
  <c r="TH25" i="40"/>
  <c r="TG25" i="40"/>
  <c r="TF25" i="40"/>
  <c r="TE25" i="40"/>
  <c r="TD25" i="40"/>
  <c r="TC25" i="40"/>
  <c r="TB25" i="40"/>
  <c r="TA25" i="40"/>
  <c r="SZ25" i="40"/>
  <c r="SY25" i="40"/>
  <c r="SX25" i="40"/>
  <c r="SW25" i="40"/>
  <c r="SV25" i="40"/>
  <c r="SU25" i="40"/>
  <c r="ST25" i="40"/>
  <c r="SS25" i="40"/>
  <c r="WN24" i="40"/>
  <c r="WM24" i="40"/>
  <c r="WL24" i="40"/>
  <c r="WK24" i="40"/>
  <c r="WJ24" i="40"/>
  <c r="WI24" i="40"/>
  <c r="WH24" i="40"/>
  <c r="WG24" i="40"/>
  <c r="WF24" i="40"/>
  <c r="WE24" i="40"/>
  <c r="WD24" i="40"/>
  <c r="WC24" i="40"/>
  <c r="WB24" i="40"/>
  <c r="WA24" i="40"/>
  <c r="VZ24" i="40"/>
  <c r="VY24" i="40"/>
  <c r="VX24" i="40"/>
  <c r="VW24" i="40"/>
  <c r="VV24" i="40"/>
  <c r="VU24" i="40"/>
  <c r="VT24" i="40"/>
  <c r="VS24" i="40"/>
  <c r="VR24" i="40"/>
  <c r="VQ24" i="40"/>
  <c r="VP24" i="40"/>
  <c r="VO24" i="40"/>
  <c r="VN24" i="40"/>
  <c r="VM24" i="40"/>
  <c r="VL24" i="40"/>
  <c r="VK24" i="40"/>
  <c r="VJ24" i="40"/>
  <c r="VI24" i="40"/>
  <c r="VH24" i="40"/>
  <c r="VG24" i="40"/>
  <c r="VF24" i="40"/>
  <c r="VE24" i="40"/>
  <c r="VD24" i="40"/>
  <c r="VC24" i="40"/>
  <c r="VB24" i="40"/>
  <c r="VA24" i="40"/>
  <c r="UZ24" i="40"/>
  <c r="UY24" i="40"/>
  <c r="UX24" i="40"/>
  <c r="UW24" i="40"/>
  <c r="UV24" i="40"/>
  <c r="UU24" i="40"/>
  <c r="UT24" i="40"/>
  <c r="US24" i="40"/>
  <c r="UR24" i="40"/>
  <c r="UQ24" i="40"/>
  <c r="UP24" i="40"/>
  <c r="UO24" i="40"/>
  <c r="UN24" i="40"/>
  <c r="UM24" i="40"/>
  <c r="UL24" i="40"/>
  <c r="UK24" i="40"/>
  <c r="UJ24" i="40"/>
  <c r="UI24" i="40"/>
  <c r="UH24" i="40"/>
  <c r="UG24" i="40"/>
  <c r="UF24" i="40"/>
  <c r="UE24" i="40"/>
  <c r="UD24" i="40"/>
  <c r="UC24" i="40"/>
  <c r="UB24" i="40"/>
  <c r="UA24" i="40"/>
  <c r="TZ24" i="40"/>
  <c r="TY24" i="40"/>
  <c r="TX24" i="40"/>
  <c r="TW24" i="40"/>
  <c r="TV24" i="40"/>
  <c r="TU24" i="40"/>
  <c r="TT24" i="40"/>
  <c r="TS24" i="40"/>
  <c r="TR24" i="40"/>
  <c r="TQ24" i="40"/>
  <c r="TP24" i="40"/>
  <c r="TO24" i="40"/>
  <c r="TN24" i="40"/>
  <c r="TM24" i="40"/>
  <c r="TL24" i="40"/>
  <c r="TK24" i="40"/>
  <c r="TJ24" i="40"/>
  <c r="TI24" i="40"/>
  <c r="TH24" i="40"/>
  <c r="TG24" i="40"/>
  <c r="TF24" i="40"/>
  <c r="TE24" i="40"/>
  <c r="TD24" i="40"/>
  <c r="TC24" i="40"/>
  <c r="TB24" i="40"/>
  <c r="TA24" i="40"/>
  <c r="SZ24" i="40"/>
  <c r="SY24" i="40"/>
  <c r="SX24" i="40"/>
  <c r="SW24" i="40"/>
  <c r="SV24" i="40"/>
  <c r="SU24" i="40"/>
  <c r="ST24" i="40"/>
  <c r="SS24" i="40"/>
  <c r="WN23" i="40"/>
  <c r="WM23" i="40"/>
  <c r="WL23" i="40"/>
  <c r="WK23" i="40"/>
  <c r="WJ23" i="40"/>
  <c r="WI23" i="40"/>
  <c r="WH23" i="40"/>
  <c r="WG23" i="40"/>
  <c r="WF23" i="40"/>
  <c r="WE23" i="40"/>
  <c r="WD23" i="40"/>
  <c r="WC23" i="40"/>
  <c r="WB23" i="40"/>
  <c r="WA23" i="40"/>
  <c r="VZ23" i="40"/>
  <c r="VY23" i="40"/>
  <c r="VX23" i="40"/>
  <c r="VW23" i="40"/>
  <c r="VV23" i="40"/>
  <c r="VU23" i="40"/>
  <c r="VT23" i="40"/>
  <c r="VS23" i="40"/>
  <c r="VR23" i="40"/>
  <c r="VQ23" i="40"/>
  <c r="VP23" i="40"/>
  <c r="VO23" i="40"/>
  <c r="VN23" i="40"/>
  <c r="VM23" i="40"/>
  <c r="VL23" i="40"/>
  <c r="VK23" i="40"/>
  <c r="VJ23" i="40"/>
  <c r="VI23" i="40"/>
  <c r="VH23" i="40"/>
  <c r="VG23" i="40"/>
  <c r="VF23" i="40"/>
  <c r="VE23" i="40"/>
  <c r="VD23" i="40"/>
  <c r="VC23" i="40"/>
  <c r="VB23" i="40"/>
  <c r="VA23" i="40"/>
  <c r="UZ23" i="40"/>
  <c r="UY23" i="40"/>
  <c r="UX23" i="40"/>
  <c r="UW23" i="40"/>
  <c r="UV23" i="40"/>
  <c r="UU23" i="40"/>
  <c r="UT23" i="40"/>
  <c r="US23" i="40"/>
  <c r="UR23" i="40"/>
  <c r="UQ23" i="40"/>
  <c r="UP23" i="40"/>
  <c r="UO23" i="40"/>
  <c r="UN23" i="40"/>
  <c r="UM23" i="40"/>
  <c r="UL23" i="40"/>
  <c r="UK23" i="40"/>
  <c r="UJ23" i="40"/>
  <c r="UI23" i="40"/>
  <c r="UH23" i="40"/>
  <c r="UG23" i="40"/>
  <c r="UF23" i="40"/>
  <c r="UE23" i="40"/>
  <c r="UD23" i="40"/>
  <c r="UC23" i="40"/>
  <c r="UB23" i="40"/>
  <c r="UA23" i="40"/>
  <c r="TZ23" i="40"/>
  <c r="TY23" i="40"/>
  <c r="TX23" i="40"/>
  <c r="TW23" i="40"/>
  <c r="TV23" i="40"/>
  <c r="TU23" i="40"/>
  <c r="TT23" i="40"/>
  <c r="TS23" i="40"/>
  <c r="TR23" i="40"/>
  <c r="TQ23" i="40"/>
  <c r="TP23" i="40"/>
  <c r="TO23" i="40"/>
  <c r="TN23" i="40"/>
  <c r="TM23" i="40"/>
  <c r="TL23" i="40"/>
  <c r="TK23" i="40"/>
  <c r="TJ23" i="40"/>
  <c r="TI23" i="40"/>
  <c r="TH23" i="40"/>
  <c r="TG23" i="40"/>
  <c r="TF23" i="40"/>
  <c r="TE23" i="40"/>
  <c r="TD23" i="40"/>
  <c r="TC23" i="40"/>
  <c r="TB23" i="40"/>
  <c r="TA23" i="40"/>
  <c r="SZ23" i="40"/>
  <c r="SY23" i="40"/>
  <c r="SX23" i="40"/>
  <c r="SW23" i="40"/>
  <c r="SV23" i="40"/>
  <c r="SU23" i="40"/>
  <c r="ST23" i="40"/>
  <c r="SS23" i="40"/>
  <c r="WN22" i="40"/>
  <c r="WM22" i="40"/>
  <c r="WL22" i="40"/>
  <c r="WK22" i="40"/>
  <c r="WJ22" i="40"/>
  <c r="WI22" i="40"/>
  <c r="WH22" i="40"/>
  <c r="WG22" i="40"/>
  <c r="WF22" i="40"/>
  <c r="WE22" i="40"/>
  <c r="WD22" i="40"/>
  <c r="WC22" i="40"/>
  <c r="WB22" i="40"/>
  <c r="WA22" i="40"/>
  <c r="VZ22" i="40"/>
  <c r="VY22" i="40"/>
  <c r="VX22" i="40"/>
  <c r="VW22" i="40"/>
  <c r="VV22" i="40"/>
  <c r="VU22" i="40"/>
  <c r="VT22" i="40"/>
  <c r="VS22" i="40"/>
  <c r="VR22" i="40"/>
  <c r="VQ22" i="40"/>
  <c r="VP22" i="40"/>
  <c r="VO22" i="40"/>
  <c r="VN22" i="40"/>
  <c r="VM22" i="40"/>
  <c r="VL22" i="40"/>
  <c r="VK22" i="40"/>
  <c r="VJ22" i="40"/>
  <c r="VI22" i="40"/>
  <c r="VH22" i="40"/>
  <c r="VG22" i="40"/>
  <c r="VF22" i="40"/>
  <c r="VE22" i="40"/>
  <c r="VD22" i="40"/>
  <c r="VC22" i="40"/>
  <c r="VB22" i="40"/>
  <c r="VA22" i="40"/>
  <c r="UZ22" i="40"/>
  <c r="UY22" i="40"/>
  <c r="UX22" i="40"/>
  <c r="UW22" i="40"/>
  <c r="UV22" i="40"/>
  <c r="UU22" i="40"/>
  <c r="UT22" i="40"/>
  <c r="US22" i="40"/>
  <c r="UR22" i="40"/>
  <c r="UQ22" i="40"/>
  <c r="UP22" i="40"/>
  <c r="UO22" i="40"/>
  <c r="UN22" i="40"/>
  <c r="UM22" i="40"/>
  <c r="UL22" i="40"/>
  <c r="UK22" i="40"/>
  <c r="UJ22" i="40"/>
  <c r="UI22" i="40"/>
  <c r="UH22" i="40"/>
  <c r="UG22" i="40"/>
  <c r="UF22" i="40"/>
  <c r="UE22" i="40"/>
  <c r="UD22" i="40"/>
  <c r="UC22" i="40"/>
  <c r="UB22" i="40"/>
  <c r="UA22" i="40"/>
  <c r="TZ22" i="40"/>
  <c r="TY22" i="40"/>
  <c r="TX22" i="40"/>
  <c r="TW22" i="40"/>
  <c r="TV22" i="40"/>
  <c r="TU22" i="40"/>
  <c r="TT22" i="40"/>
  <c r="TS22" i="40"/>
  <c r="TR22" i="40"/>
  <c r="TQ22" i="40"/>
  <c r="TP22" i="40"/>
  <c r="TO22" i="40"/>
  <c r="TN22" i="40"/>
  <c r="TM22" i="40"/>
  <c r="TL22" i="40"/>
  <c r="TK22" i="40"/>
  <c r="TJ22" i="40"/>
  <c r="TI22" i="40"/>
  <c r="TH22" i="40"/>
  <c r="TG22" i="40"/>
  <c r="TF22" i="40"/>
  <c r="TE22" i="40"/>
  <c r="TD22" i="40"/>
  <c r="TC22" i="40"/>
  <c r="TB22" i="40"/>
  <c r="TA22" i="40"/>
  <c r="SZ22" i="40"/>
  <c r="SY22" i="40"/>
  <c r="SX22" i="40"/>
  <c r="SW22" i="40"/>
  <c r="SV22" i="40"/>
  <c r="SU22" i="40"/>
  <c r="ST22" i="40"/>
  <c r="SS22" i="40"/>
  <c r="WN21" i="40"/>
  <c r="WM21" i="40"/>
  <c r="WL21" i="40"/>
  <c r="WK21" i="40"/>
  <c r="WJ21" i="40"/>
  <c r="WI21" i="40"/>
  <c r="WH21" i="40"/>
  <c r="WG21" i="40"/>
  <c r="WF21" i="40"/>
  <c r="WE21" i="40"/>
  <c r="WD21" i="40"/>
  <c r="WC21" i="40"/>
  <c r="WB21" i="40"/>
  <c r="WA21" i="40"/>
  <c r="VZ21" i="40"/>
  <c r="VY21" i="40"/>
  <c r="VX21" i="40"/>
  <c r="VW21" i="40"/>
  <c r="VV21" i="40"/>
  <c r="VU21" i="40"/>
  <c r="VT21" i="40"/>
  <c r="VS21" i="40"/>
  <c r="VR21" i="40"/>
  <c r="VQ21" i="40"/>
  <c r="VP21" i="40"/>
  <c r="VO21" i="40"/>
  <c r="VN21" i="40"/>
  <c r="VM21" i="40"/>
  <c r="VL21" i="40"/>
  <c r="VK21" i="40"/>
  <c r="VJ21" i="40"/>
  <c r="VI21" i="40"/>
  <c r="VH21" i="40"/>
  <c r="VG21" i="40"/>
  <c r="VF21" i="40"/>
  <c r="VE21" i="40"/>
  <c r="VD21" i="40"/>
  <c r="VC21" i="40"/>
  <c r="VB21" i="40"/>
  <c r="VA21" i="40"/>
  <c r="UZ21" i="40"/>
  <c r="UY21" i="40"/>
  <c r="UX21" i="40"/>
  <c r="UW21" i="40"/>
  <c r="UV21" i="40"/>
  <c r="UU21" i="40"/>
  <c r="UT21" i="40"/>
  <c r="US21" i="40"/>
  <c r="UR21" i="40"/>
  <c r="UQ21" i="40"/>
  <c r="UP21" i="40"/>
  <c r="UO21" i="40"/>
  <c r="UN21" i="40"/>
  <c r="UM21" i="40"/>
  <c r="UL21" i="40"/>
  <c r="UK21" i="40"/>
  <c r="UJ21" i="40"/>
  <c r="UI21" i="40"/>
  <c r="UH21" i="40"/>
  <c r="UG21" i="40"/>
  <c r="UF21" i="40"/>
  <c r="UE21" i="40"/>
  <c r="UD21" i="40"/>
  <c r="UC21" i="40"/>
  <c r="UB21" i="40"/>
  <c r="UA21" i="40"/>
  <c r="TZ21" i="40"/>
  <c r="TY21" i="40"/>
  <c r="TX21" i="40"/>
  <c r="TW21" i="40"/>
  <c r="TV21" i="40"/>
  <c r="TU21" i="40"/>
  <c r="TT21" i="40"/>
  <c r="TS21" i="40"/>
  <c r="TR21" i="40"/>
  <c r="TQ21" i="40"/>
  <c r="TP21" i="40"/>
  <c r="TO21" i="40"/>
  <c r="TN21" i="40"/>
  <c r="TM21" i="40"/>
  <c r="TL21" i="40"/>
  <c r="TK21" i="40"/>
  <c r="TJ21" i="40"/>
  <c r="TI21" i="40"/>
  <c r="TH21" i="40"/>
  <c r="TG21" i="40"/>
  <c r="TF21" i="40"/>
  <c r="TE21" i="40"/>
  <c r="TD21" i="40"/>
  <c r="TC21" i="40"/>
  <c r="TB21" i="40"/>
  <c r="TA21" i="40"/>
  <c r="SZ21" i="40"/>
  <c r="SY21" i="40"/>
  <c r="SX21" i="40"/>
  <c r="SW21" i="40"/>
  <c r="SV21" i="40"/>
  <c r="SU21" i="40"/>
  <c r="ST21" i="40"/>
  <c r="SS21" i="40"/>
  <c r="WN20" i="40"/>
  <c r="WM20" i="40"/>
  <c r="WL20" i="40"/>
  <c r="WK20" i="40"/>
  <c r="WJ20" i="40"/>
  <c r="WI20" i="40"/>
  <c r="WH20" i="40"/>
  <c r="WG20" i="40"/>
  <c r="WF20" i="40"/>
  <c r="WE20" i="40"/>
  <c r="WD20" i="40"/>
  <c r="WC20" i="40"/>
  <c r="WB20" i="40"/>
  <c r="WA20" i="40"/>
  <c r="VZ20" i="40"/>
  <c r="VY20" i="40"/>
  <c r="VX20" i="40"/>
  <c r="VW20" i="40"/>
  <c r="VV20" i="40"/>
  <c r="VU20" i="40"/>
  <c r="VT20" i="40"/>
  <c r="VS20" i="40"/>
  <c r="VR20" i="40"/>
  <c r="VQ20" i="40"/>
  <c r="VP20" i="40"/>
  <c r="VO20" i="40"/>
  <c r="VN20" i="40"/>
  <c r="VM20" i="40"/>
  <c r="VL20" i="40"/>
  <c r="VK20" i="40"/>
  <c r="VJ20" i="40"/>
  <c r="VI20" i="40"/>
  <c r="VH20" i="40"/>
  <c r="VG20" i="40"/>
  <c r="VF20" i="40"/>
  <c r="VE20" i="40"/>
  <c r="VD20" i="40"/>
  <c r="VC20" i="40"/>
  <c r="VB20" i="40"/>
  <c r="VA20" i="40"/>
  <c r="UZ20" i="40"/>
  <c r="UY20" i="40"/>
  <c r="UX20" i="40"/>
  <c r="UW20" i="40"/>
  <c r="UV20" i="40"/>
  <c r="UU20" i="40"/>
  <c r="UT20" i="40"/>
  <c r="US20" i="40"/>
  <c r="UR20" i="40"/>
  <c r="UQ20" i="40"/>
  <c r="UP20" i="40"/>
  <c r="UO20" i="40"/>
  <c r="UN20" i="40"/>
  <c r="UM20" i="40"/>
  <c r="UL20" i="40"/>
  <c r="UK20" i="40"/>
  <c r="UJ20" i="40"/>
  <c r="UI20" i="40"/>
  <c r="UH20" i="40"/>
  <c r="UG20" i="40"/>
  <c r="UF20" i="40"/>
  <c r="UE20" i="40"/>
  <c r="UD20" i="40"/>
  <c r="UC20" i="40"/>
  <c r="UB20" i="40"/>
  <c r="UA20" i="40"/>
  <c r="TZ20" i="40"/>
  <c r="TY20" i="40"/>
  <c r="TX20" i="40"/>
  <c r="TW20" i="40"/>
  <c r="TV20" i="40"/>
  <c r="TU20" i="40"/>
  <c r="TT20" i="40"/>
  <c r="TS20" i="40"/>
  <c r="TR20" i="40"/>
  <c r="TQ20" i="40"/>
  <c r="TP20" i="40"/>
  <c r="TO20" i="40"/>
  <c r="TN20" i="40"/>
  <c r="TM20" i="40"/>
  <c r="TL20" i="40"/>
  <c r="TK20" i="40"/>
  <c r="TJ20" i="40"/>
  <c r="TI20" i="40"/>
  <c r="TH20" i="40"/>
  <c r="TG20" i="40"/>
  <c r="TF20" i="40"/>
  <c r="TE20" i="40"/>
  <c r="TD20" i="40"/>
  <c r="TC20" i="40"/>
  <c r="TB20" i="40"/>
  <c r="TA20" i="40"/>
  <c r="SZ20" i="40"/>
  <c r="SY20" i="40"/>
  <c r="SX20" i="40"/>
  <c r="SW20" i="40"/>
  <c r="SV20" i="40"/>
  <c r="SU20" i="40"/>
  <c r="ST20" i="40"/>
  <c r="SS20" i="40"/>
  <c r="WN19" i="40"/>
  <c r="WM19" i="40"/>
  <c r="WL19" i="40"/>
  <c r="WK19" i="40"/>
  <c r="WJ19" i="40"/>
  <c r="WI19" i="40"/>
  <c r="WH19" i="40"/>
  <c r="WG19" i="40"/>
  <c r="WF19" i="40"/>
  <c r="WE19" i="40"/>
  <c r="WD19" i="40"/>
  <c r="WC19" i="40"/>
  <c r="WB19" i="40"/>
  <c r="WA19" i="40"/>
  <c r="VZ19" i="40"/>
  <c r="VY19" i="40"/>
  <c r="VX19" i="40"/>
  <c r="VW19" i="40"/>
  <c r="VV19" i="40"/>
  <c r="VU19" i="40"/>
  <c r="VT19" i="40"/>
  <c r="VS19" i="40"/>
  <c r="VR19" i="40"/>
  <c r="VQ19" i="40"/>
  <c r="VP19" i="40"/>
  <c r="VO19" i="40"/>
  <c r="VN19" i="40"/>
  <c r="VM19" i="40"/>
  <c r="VL19" i="40"/>
  <c r="VK19" i="40"/>
  <c r="VJ19" i="40"/>
  <c r="VI19" i="40"/>
  <c r="VH19" i="40"/>
  <c r="VG19" i="40"/>
  <c r="VF19" i="40"/>
  <c r="VE19" i="40"/>
  <c r="VD19" i="40"/>
  <c r="VC19" i="40"/>
  <c r="VB19" i="40"/>
  <c r="VA19" i="40"/>
  <c r="UZ19" i="40"/>
  <c r="UY19" i="40"/>
  <c r="UX19" i="40"/>
  <c r="UW19" i="40"/>
  <c r="UV19" i="40"/>
  <c r="UU19" i="40"/>
  <c r="UT19" i="40"/>
  <c r="US19" i="40"/>
  <c r="UR19" i="40"/>
  <c r="UQ19" i="40"/>
  <c r="UP19" i="40"/>
  <c r="UO19" i="40"/>
  <c r="UN19" i="40"/>
  <c r="UM19" i="40"/>
  <c r="UL19" i="40"/>
  <c r="UK19" i="40"/>
  <c r="UJ19" i="40"/>
  <c r="UI19" i="40"/>
  <c r="UH19" i="40"/>
  <c r="UG19" i="40"/>
  <c r="UF19" i="40"/>
  <c r="UE19" i="40"/>
  <c r="UD19" i="40"/>
  <c r="UC19" i="40"/>
  <c r="UB19" i="40"/>
  <c r="UA19" i="40"/>
  <c r="TZ19" i="40"/>
  <c r="TY19" i="40"/>
  <c r="TX19" i="40"/>
  <c r="TW19" i="40"/>
  <c r="TV19" i="40"/>
  <c r="TU19" i="40"/>
  <c r="TT19" i="40"/>
  <c r="TS19" i="40"/>
  <c r="TR19" i="40"/>
  <c r="TQ19" i="40"/>
  <c r="TP19" i="40"/>
  <c r="TO19" i="40"/>
  <c r="TN19" i="40"/>
  <c r="TM19" i="40"/>
  <c r="TL19" i="40"/>
  <c r="TK19" i="40"/>
  <c r="TJ19" i="40"/>
  <c r="TI19" i="40"/>
  <c r="TH19" i="40"/>
  <c r="TG19" i="40"/>
  <c r="TF19" i="40"/>
  <c r="TE19" i="40"/>
  <c r="TD19" i="40"/>
  <c r="TC19" i="40"/>
  <c r="TB19" i="40"/>
  <c r="TA19" i="40"/>
  <c r="SZ19" i="40"/>
  <c r="SY19" i="40"/>
  <c r="SX19" i="40"/>
  <c r="SW19" i="40"/>
  <c r="SV19" i="40"/>
  <c r="SU19" i="40"/>
  <c r="ST19" i="40"/>
  <c r="SS19" i="40"/>
  <c r="WN18" i="40"/>
  <c r="WM18" i="40"/>
  <c r="WL18" i="40"/>
  <c r="WK18" i="40"/>
  <c r="WJ18" i="40"/>
  <c r="WI18" i="40"/>
  <c r="WH18" i="40"/>
  <c r="WG18" i="40"/>
  <c r="WF18" i="40"/>
  <c r="WE18" i="40"/>
  <c r="WD18" i="40"/>
  <c r="WC18" i="40"/>
  <c r="WB18" i="40"/>
  <c r="WA18" i="40"/>
  <c r="VZ18" i="40"/>
  <c r="VY18" i="40"/>
  <c r="VX18" i="40"/>
  <c r="VW18" i="40"/>
  <c r="VV18" i="40"/>
  <c r="VU18" i="40"/>
  <c r="VT18" i="40"/>
  <c r="VS18" i="40"/>
  <c r="VR18" i="40"/>
  <c r="VQ18" i="40"/>
  <c r="VP18" i="40"/>
  <c r="VO18" i="40"/>
  <c r="VN18" i="40"/>
  <c r="VM18" i="40"/>
  <c r="VL18" i="40"/>
  <c r="VK18" i="40"/>
  <c r="VJ18" i="40"/>
  <c r="VI18" i="40"/>
  <c r="VH18" i="40"/>
  <c r="VG18" i="40"/>
  <c r="VF18" i="40"/>
  <c r="VE18" i="40"/>
  <c r="VD18" i="40"/>
  <c r="VC18" i="40"/>
  <c r="VB18" i="40"/>
  <c r="VA18" i="40"/>
  <c r="UZ18" i="40"/>
  <c r="UY18" i="40"/>
  <c r="UX18" i="40"/>
  <c r="UW18" i="40"/>
  <c r="UV18" i="40"/>
  <c r="UU18" i="40"/>
  <c r="UT18" i="40"/>
  <c r="US18" i="40"/>
  <c r="UR18" i="40"/>
  <c r="UQ18" i="40"/>
  <c r="UP18" i="40"/>
  <c r="UO18" i="40"/>
  <c r="UN18" i="40"/>
  <c r="UM18" i="40"/>
  <c r="UL18" i="40"/>
  <c r="UK18" i="40"/>
  <c r="UJ18" i="40"/>
  <c r="UI18" i="40"/>
  <c r="UH18" i="40"/>
  <c r="UG18" i="40"/>
  <c r="UF18" i="40"/>
  <c r="UE18" i="40"/>
  <c r="UD18" i="40"/>
  <c r="UC18" i="40"/>
  <c r="UB18" i="40"/>
  <c r="UA18" i="40"/>
  <c r="TZ18" i="40"/>
  <c r="TY18" i="40"/>
  <c r="TX18" i="40"/>
  <c r="TW18" i="40"/>
  <c r="TV18" i="40"/>
  <c r="TU18" i="40"/>
  <c r="TT18" i="40"/>
  <c r="TS18" i="40"/>
  <c r="TR18" i="40"/>
  <c r="TQ18" i="40"/>
  <c r="TP18" i="40"/>
  <c r="TO18" i="40"/>
  <c r="TN18" i="40"/>
  <c r="TM18" i="40"/>
  <c r="TL18" i="40"/>
  <c r="TK18" i="40"/>
  <c r="TJ18" i="40"/>
  <c r="TI18" i="40"/>
  <c r="TH18" i="40"/>
  <c r="TG18" i="40"/>
  <c r="TF18" i="40"/>
  <c r="TE18" i="40"/>
  <c r="TD18" i="40"/>
  <c r="TC18" i="40"/>
  <c r="TB18" i="40"/>
  <c r="TA18" i="40"/>
  <c r="SZ18" i="40"/>
  <c r="SY18" i="40"/>
  <c r="SX18" i="40"/>
  <c r="SW18" i="40"/>
  <c r="SV18" i="40"/>
  <c r="SU18" i="40"/>
  <c r="ST18" i="40"/>
  <c r="SS18" i="40"/>
  <c r="WN17" i="40"/>
  <c r="WM17" i="40"/>
  <c r="WL17" i="40"/>
  <c r="WK17" i="40"/>
  <c r="WJ17" i="40"/>
  <c r="WI17" i="40"/>
  <c r="WH17" i="40"/>
  <c r="WG17" i="40"/>
  <c r="WF17" i="40"/>
  <c r="WE17" i="40"/>
  <c r="WD17" i="40"/>
  <c r="WC17" i="40"/>
  <c r="WB17" i="40"/>
  <c r="WA17" i="40"/>
  <c r="VZ17" i="40"/>
  <c r="VY17" i="40"/>
  <c r="VX17" i="40"/>
  <c r="VW17" i="40"/>
  <c r="VV17" i="40"/>
  <c r="VU17" i="40"/>
  <c r="VT17" i="40"/>
  <c r="VS17" i="40"/>
  <c r="VR17" i="40"/>
  <c r="VQ17" i="40"/>
  <c r="VP17" i="40"/>
  <c r="VO17" i="40"/>
  <c r="VN17" i="40"/>
  <c r="VM17" i="40"/>
  <c r="VL17" i="40"/>
  <c r="VK17" i="40"/>
  <c r="VJ17" i="40"/>
  <c r="VI17" i="40"/>
  <c r="VH17" i="40"/>
  <c r="VG17" i="40"/>
  <c r="VF17" i="40"/>
  <c r="VE17" i="40"/>
  <c r="VD17" i="40"/>
  <c r="VC17" i="40"/>
  <c r="VB17" i="40"/>
  <c r="VA17" i="40"/>
  <c r="UZ17" i="40"/>
  <c r="UY17" i="40"/>
  <c r="UX17" i="40"/>
  <c r="UW17" i="40"/>
  <c r="UV17" i="40"/>
  <c r="UU17" i="40"/>
  <c r="UT17" i="40"/>
  <c r="US17" i="40"/>
  <c r="UR17" i="40"/>
  <c r="UQ17" i="40"/>
  <c r="UP17" i="40"/>
  <c r="UO17" i="40"/>
  <c r="UN17" i="40"/>
  <c r="UM17" i="40"/>
  <c r="UL17" i="40"/>
  <c r="UK17" i="40"/>
  <c r="UJ17" i="40"/>
  <c r="UI17" i="40"/>
  <c r="UH17" i="40"/>
  <c r="UG17" i="40"/>
  <c r="UF17" i="40"/>
  <c r="UE17" i="40"/>
  <c r="UD17" i="40"/>
  <c r="UC17" i="40"/>
  <c r="UB17" i="40"/>
  <c r="UA17" i="40"/>
  <c r="TZ17" i="40"/>
  <c r="TY17" i="40"/>
  <c r="TX17" i="40"/>
  <c r="TW17" i="40"/>
  <c r="TV17" i="40"/>
  <c r="TU17" i="40"/>
  <c r="TT17" i="40"/>
  <c r="TS17" i="40"/>
  <c r="TR17" i="40"/>
  <c r="TQ17" i="40"/>
  <c r="TP17" i="40"/>
  <c r="TO17" i="40"/>
  <c r="TN17" i="40"/>
  <c r="TM17" i="40"/>
  <c r="TL17" i="40"/>
  <c r="TK17" i="40"/>
  <c r="TJ17" i="40"/>
  <c r="TI17" i="40"/>
  <c r="TH17" i="40"/>
  <c r="TG17" i="40"/>
  <c r="TF17" i="40"/>
  <c r="TE17" i="40"/>
  <c r="TD17" i="40"/>
  <c r="TC17" i="40"/>
  <c r="TB17" i="40"/>
  <c r="TA17" i="40"/>
  <c r="SZ17" i="40"/>
  <c r="SY17" i="40"/>
  <c r="SX17" i="40"/>
  <c r="SW17" i="40"/>
  <c r="SV17" i="40"/>
  <c r="SU17" i="40"/>
  <c r="ST17" i="40"/>
  <c r="SS17" i="40"/>
  <c r="WN16" i="40"/>
  <c r="WM16" i="40"/>
  <c r="WL16" i="40"/>
  <c r="WK16" i="40"/>
  <c r="WJ16" i="40"/>
  <c r="WI16" i="40"/>
  <c r="WH16" i="40"/>
  <c r="WG16" i="40"/>
  <c r="WF16" i="40"/>
  <c r="WE16" i="40"/>
  <c r="WD16" i="40"/>
  <c r="WC16" i="40"/>
  <c r="WB16" i="40"/>
  <c r="WA16" i="40"/>
  <c r="VZ16" i="40"/>
  <c r="VY16" i="40"/>
  <c r="VX16" i="40"/>
  <c r="VW16" i="40"/>
  <c r="VV16" i="40"/>
  <c r="VU16" i="40"/>
  <c r="VT16" i="40"/>
  <c r="VS16" i="40"/>
  <c r="VR16" i="40"/>
  <c r="VQ16" i="40"/>
  <c r="VP16" i="40"/>
  <c r="VO16" i="40"/>
  <c r="VN16" i="40"/>
  <c r="VM16" i="40"/>
  <c r="VL16" i="40"/>
  <c r="VK16" i="40"/>
  <c r="VJ16" i="40"/>
  <c r="VI16" i="40"/>
  <c r="VH16" i="40"/>
  <c r="VG16" i="40"/>
  <c r="VF16" i="40"/>
  <c r="VE16" i="40"/>
  <c r="VD16" i="40"/>
  <c r="VC16" i="40"/>
  <c r="VB16" i="40"/>
  <c r="VA16" i="40"/>
  <c r="UZ16" i="40"/>
  <c r="UY16" i="40"/>
  <c r="UX16" i="40"/>
  <c r="UW16" i="40"/>
  <c r="UV16" i="40"/>
  <c r="UU16" i="40"/>
  <c r="UT16" i="40"/>
  <c r="US16" i="40"/>
  <c r="UR16" i="40"/>
  <c r="UQ16" i="40"/>
  <c r="UP16" i="40"/>
  <c r="UO16" i="40"/>
  <c r="UN16" i="40"/>
  <c r="UM16" i="40"/>
  <c r="UL16" i="40"/>
  <c r="UK16" i="40"/>
  <c r="UJ16" i="40"/>
  <c r="UI16" i="40"/>
  <c r="UH16" i="40"/>
  <c r="UG16" i="40"/>
  <c r="UF16" i="40"/>
  <c r="UE16" i="40"/>
  <c r="UD16" i="40"/>
  <c r="UC16" i="40"/>
  <c r="UB16" i="40"/>
  <c r="UA16" i="40"/>
  <c r="TZ16" i="40"/>
  <c r="TY16" i="40"/>
  <c r="TX16" i="40"/>
  <c r="TW16" i="40"/>
  <c r="TV16" i="40"/>
  <c r="TU16" i="40"/>
  <c r="TT16" i="40"/>
  <c r="TS16" i="40"/>
  <c r="TR16" i="40"/>
  <c r="TQ16" i="40"/>
  <c r="TP16" i="40"/>
  <c r="TO16" i="40"/>
  <c r="TN16" i="40"/>
  <c r="TM16" i="40"/>
  <c r="TL16" i="40"/>
  <c r="TK16" i="40"/>
  <c r="TJ16" i="40"/>
  <c r="TI16" i="40"/>
  <c r="TH16" i="40"/>
  <c r="TG16" i="40"/>
  <c r="TF16" i="40"/>
  <c r="TE16" i="40"/>
  <c r="TD16" i="40"/>
  <c r="TC16" i="40"/>
  <c r="TB16" i="40"/>
  <c r="TA16" i="40"/>
  <c r="SZ16" i="40"/>
  <c r="SY16" i="40"/>
  <c r="SX16" i="40"/>
  <c r="SW16" i="40"/>
  <c r="SV16" i="40"/>
  <c r="SU16" i="40"/>
  <c r="ST16" i="40"/>
  <c r="SS16" i="40"/>
  <c r="WN15" i="40"/>
  <c r="WM15" i="40"/>
  <c r="WL15" i="40"/>
  <c r="WK15" i="40"/>
  <c r="WJ15" i="40"/>
  <c r="WI15" i="40"/>
  <c r="WH15" i="40"/>
  <c r="WG15" i="40"/>
  <c r="WF15" i="40"/>
  <c r="WE15" i="40"/>
  <c r="WD15" i="40"/>
  <c r="WC15" i="40"/>
  <c r="WB15" i="40"/>
  <c r="WA15" i="40"/>
  <c r="VZ15" i="40"/>
  <c r="VY15" i="40"/>
  <c r="VX15" i="40"/>
  <c r="VW15" i="40"/>
  <c r="VV15" i="40"/>
  <c r="VU15" i="40"/>
  <c r="VT15" i="40"/>
  <c r="VS15" i="40"/>
  <c r="VR15" i="40"/>
  <c r="VQ15" i="40"/>
  <c r="VP15" i="40"/>
  <c r="VO15" i="40"/>
  <c r="VN15" i="40"/>
  <c r="VM15" i="40"/>
  <c r="VL15" i="40"/>
  <c r="VK15" i="40"/>
  <c r="VJ15" i="40"/>
  <c r="VI15" i="40"/>
  <c r="VH15" i="40"/>
  <c r="VG15" i="40"/>
  <c r="VF15" i="40"/>
  <c r="VE15" i="40"/>
  <c r="VD15" i="40"/>
  <c r="VC15" i="40"/>
  <c r="VB15" i="40"/>
  <c r="VA15" i="40"/>
  <c r="UZ15" i="40"/>
  <c r="UY15" i="40"/>
  <c r="UX15" i="40"/>
  <c r="UW15" i="40"/>
  <c r="UV15" i="40"/>
  <c r="UU15" i="40"/>
  <c r="UT15" i="40"/>
  <c r="US15" i="40"/>
  <c r="UR15" i="40"/>
  <c r="UQ15" i="40"/>
  <c r="UP15" i="40"/>
  <c r="UO15" i="40"/>
  <c r="UN15" i="40"/>
  <c r="UM15" i="40"/>
  <c r="UL15" i="40"/>
  <c r="UK15" i="40"/>
  <c r="UJ15" i="40"/>
  <c r="UI15" i="40"/>
  <c r="UH15" i="40"/>
  <c r="UG15" i="40"/>
  <c r="UF15" i="40"/>
  <c r="UE15" i="40"/>
  <c r="UD15" i="40"/>
  <c r="UC15" i="40"/>
  <c r="UB15" i="40"/>
  <c r="UA15" i="40"/>
  <c r="TZ15" i="40"/>
  <c r="TY15" i="40"/>
  <c r="TX15" i="40"/>
  <c r="TW15" i="40"/>
  <c r="TV15" i="40"/>
  <c r="TU15" i="40"/>
  <c r="TT15" i="40"/>
  <c r="TS15" i="40"/>
  <c r="TR15" i="40"/>
  <c r="TQ15" i="40"/>
  <c r="TP15" i="40"/>
  <c r="TO15" i="40"/>
  <c r="TN15" i="40"/>
  <c r="TM15" i="40"/>
  <c r="TL15" i="40"/>
  <c r="TK15" i="40"/>
  <c r="TJ15" i="40"/>
  <c r="TI15" i="40"/>
  <c r="TH15" i="40"/>
  <c r="TG15" i="40"/>
  <c r="TF15" i="40"/>
  <c r="TE15" i="40"/>
  <c r="TD15" i="40"/>
  <c r="TC15" i="40"/>
  <c r="TB15" i="40"/>
  <c r="TA15" i="40"/>
  <c r="SZ15" i="40"/>
  <c r="SY15" i="40"/>
  <c r="SX15" i="40"/>
  <c r="SW15" i="40"/>
  <c r="SV15" i="40"/>
  <c r="SU15" i="40"/>
  <c r="ST15" i="40"/>
  <c r="SS15" i="40"/>
  <c r="WN14" i="40"/>
  <c r="WM14" i="40"/>
  <c r="WL14" i="40"/>
  <c r="WK14" i="40"/>
  <c r="WJ14" i="40"/>
  <c r="WI14" i="40"/>
  <c r="WH14" i="40"/>
  <c r="WG14" i="40"/>
  <c r="WF14" i="40"/>
  <c r="WE14" i="40"/>
  <c r="WD14" i="40"/>
  <c r="WC14" i="40"/>
  <c r="WB14" i="40"/>
  <c r="WA14" i="40"/>
  <c r="VZ14" i="40"/>
  <c r="VY14" i="40"/>
  <c r="VX14" i="40"/>
  <c r="VW14" i="40"/>
  <c r="VV14" i="40"/>
  <c r="VU14" i="40"/>
  <c r="VT14" i="40"/>
  <c r="VS14" i="40"/>
  <c r="VR14" i="40"/>
  <c r="VQ14" i="40"/>
  <c r="VP14" i="40"/>
  <c r="VO14" i="40"/>
  <c r="VN14" i="40"/>
  <c r="VM14" i="40"/>
  <c r="VL14" i="40"/>
  <c r="VK14" i="40"/>
  <c r="VJ14" i="40"/>
  <c r="VI14" i="40"/>
  <c r="VH14" i="40"/>
  <c r="VG14" i="40"/>
  <c r="VF14" i="40"/>
  <c r="VE14" i="40"/>
  <c r="VD14" i="40"/>
  <c r="VC14" i="40"/>
  <c r="VB14" i="40"/>
  <c r="VA14" i="40"/>
  <c r="UZ14" i="40"/>
  <c r="UY14" i="40"/>
  <c r="UX14" i="40"/>
  <c r="UW14" i="40"/>
  <c r="UV14" i="40"/>
  <c r="UU14" i="40"/>
  <c r="UT14" i="40"/>
  <c r="US14" i="40"/>
  <c r="UR14" i="40"/>
  <c r="UQ14" i="40"/>
  <c r="UP14" i="40"/>
  <c r="UO14" i="40"/>
  <c r="UN14" i="40"/>
  <c r="UM14" i="40"/>
  <c r="UL14" i="40"/>
  <c r="UK14" i="40"/>
  <c r="UJ14" i="40"/>
  <c r="UI14" i="40"/>
  <c r="UH14" i="40"/>
  <c r="UG14" i="40"/>
  <c r="UF14" i="40"/>
  <c r="UE14" i="40"/>
  <c r="UD14" i="40"/>
  <c r="UC14" i="40"/>
  <c r="UB14" i="40"/>
  <c r="UA14" i="40"/>
  <c r="TZ14" i="40"/>
  <c r="TY14" i="40"/>
  <c r="TX14" i="40"/>
  <c r="TW14" i="40"/>
  <c r="TV14" i="40"/>
  <c r="TU14" i="40"/>
  <c r="TT14" i="40"/>
  <c r="TS14" i="40"/>
  <c r="TR14" i="40"/>
  <c r="TQ14" i="40"/>
  <c r="TP14" i="40"/>
  <c r="TO14" i="40"/>
  <c r="TN14" i="40"/>
  <c r="TM14" i="40"/>
  <c r="TL14" i="40"/>
  <c r="TK14" i="40"/>
  <c r="TJ14" i="40"/>
  <c r="TI14" i="40"/>
  <c r="TH14" i="40"/>
  <c r="TG14" i="40"/>
  <c r="TF14" i="40"/>
  <c r="TE14" i="40"/>
  <c r="TD14" i="40"/>
  <c r="TC14" i="40"/>
  <c r="TB14" i="40"/>
  <c r="TA14" i="40"/>
  <c r="SZ14" i="40"/>
  <c r="SY14" i="40"/>
  <c r="SX14" i="40"/>
  <c r="SW14" i="40"/>
  <c r="SV14" i="40"/>
  <c r="SU14" i="40"/>
  <c r="ST14" i="40"/>
  <c r="SS14" i="40"/>
  <c r="WN13" i="40"/>
  <c r="WM13" i="40"/>
  <c r="WL13" i="40"/>
  <c r="WK13" i="40"/>
  <c r="WJ13" i="40"/>
  <c r="WI13" i="40"/>
  <c r="WH13" i="40"/>
  <c r="WG13" i="40"/>
  <c r="WF13" i="40"/>
  <c r="WE13" i="40"/>
  <c r="WD13" i="40"/>
  <c r="WC13" i="40"/>
  <c r="WB13" i="40"/>
  <c r="WA13" i="40"/>
  <c r="VZ13" i="40"/>
  <c r="VY13" i="40"/>
  <c r="VX13" i="40"/>
  <c r="VW13" i="40"/>
  <c r="VV13" i="40"/>
  <c r="VU13" i="40"/>
  <c r="VT13" i="40"/>
  <c r="VS13" i="40"/>
  <c r="VR13" i="40"/>
  <c r="VQ13" i="40"/>
  <c r="VP13" i="40"/>
  <c r="VO13" i="40"/>
  <c r="VN13" i="40"/>
  <c r="VM13" i="40"/>
  <c r="VL13" i="40"/>
  <c r="VK13" i="40"/>
  <c r="VJ13" i="40"/>
  <c r="VI13" i="40"/>
  <c r="VH13" i="40"/>
  <c r="VG13" i="40"/>
  <c r="VF13" i="40"/>
  <c r="VE13" i="40"/>
  <c r="VD13" i="40"/>
  <c r="VC13" i="40"/>
  <c r="VB13" i="40"/>
  <c r="VA13" i="40"/>
  <c r="UZ13" i="40"/>
  <c r="UY13" i="40"/>
  <c r="UX13" i="40"/>
  <c r="UW13" i="40"/>
  <c r="UV13" i="40"/>
  <c r="UU13" i="40"/>
  <c r="UT13" i="40"/>
  <c r="US13" i="40"/>
  <c r="UR13" i="40"/>
  <c r="UQ13" i="40"/>
  <c r="UP13" i="40"/>
  <c r="UO13" i="40"/>
  <c r="UN13" i="40"/>
  <c r="UM13" i="40"/>
  <c r="UL13" i="40"/>
  <c r="UK13" i="40"/>
  <c r="UJ13" i="40"/>
  <c r="UI13" i="40"/>
  <c r="UH13" i="40"/>
  <c r="UG13" i="40"/>
  <c r="UF13" i="40"/>
  <c r="UE13" i="40"/>
  <c r="UD13" i="40"/>
  <c r="UC13" i="40"/>
  <c r="UB13" i="40"/>
  <c r="UA13" i="40"/>
  <c r="TZ13" i="40"/>
  <c r="TY13" i="40"/>
  <c r="TX13" i="40"/>
  <c r="TW13" i="40"/>
  <c r="TV13" i="40"/>
  <c r="TU13" i="40"/>
  <c r="TT13" i="40"/>
  <c r="TS13" i="40"/>
  <c r="TR13" i="40"/>
  <c r="TQ13" i="40"/>
  <c r="TP13" i="40"/>
  <c r="TO13" i="40"/>
  <c r="TN13" i="40"/>
  <c r="TM13" i="40"/>
  <c r="TL13" i="40"/>
  <c r="TK13" i="40"/>
  <c r="TJ13" i="40"/>
  <c r="TI13" i="40"/>
  <c r="TH13" i="40"/>
  <c r="TG13" i="40"/>
  <c r="TF13" i="40"/>
  <c r="TE13" i="40"/>
  <c r="TD13" i="40"/>
  <c r="TC13" i="40"/>
  <c r="TB13" i="40"/>
  <c r="TA13" i="40"/>
  <c r="SZ13" i="40"/>
  <c r="SY13" i="40"/>
  <c r="SX13" i="40"/>
  <c r="SW13" i="40"/>
  <c r="SV13" i="40"/>
  <c r="SU13" i="40"/>
  <c r="ST13" i="40"/>
  <c r="SS13" i="40"/>
  <c r="WN12" i="40"/>
  <c r="WM12" i="40"/>
  <c r="WL12" i="40"/>
  <c r="WK12" i="40"/>
  <c r="WJ12" i="40"/>
  <c r="WI12" i="40"/>
  <c r="WH12" i="40"/>
  <c r="WG12" i="40"/>
  <c r="WF12" i="40"/>
  <c r="WE12" i="40"/>
  <c r="WD12" i="40"/>
  <c r="WC12" i="40"/>
  <c r="WB12" i="40"/>
  <c r="WA12" i="40"/>
  <c r="VZ12" i="40"/>
  <c r="VY12" i="40"/>
  <c r="VX12" i="40"/>
  <c r="VW12" i="40"/>
  <c r="VV12" i="40"/>
  <c r="VU12" i="40"/>
  <c r="VT12" i="40"/>
  <c r="VS12" i="40"/>
  <c r="VR12" i="40"/>
  <c r="VQ12" i="40"/>
  <c r="VP12" i="40"/>
  <c r="VO12" i="40"/>
  <c r="VN12" i="40"/>
  <c r="VM12" i="40"/>
  <c r="VL12" i="40"/>
  <c r="VK12" i="40"/>
  <c r="VJ12" i="40"/>
  <c r="VI12" i="40"/>
  <c r="VH12" i="40"/>
  <c r="VG12" i="40"/>
  <c r="VF12" i="40"/>
  <c r="VE12" i="40"/>
  <c r="VD12" i="40"/>
  <c r="VC12" i="40"/>
  <c r="VB12" i="40"/>
  <c r="VA12" i="40"/>
  <c r="UZ12" i="40"/>
  <c r="UY12" i="40"/>
  <c r="UX12" i="40"/>
  <c r="UW12" i="40"/>
  <c r="UV12" i="40"/>
  <c r="UU12" i="40"/>
  <c r="UT12" i="40"/>
  <c r="US12" i="40"/>
  <c r="UR12" i="40"/>
  <c r="UQ12" i="40"/>
  <c r="UP12" i="40"/>
  <c r="UO12" i="40"/>
  <c r="UN12" i="40"/>
  <c r="UM12" i="40"/>
  <c r="UL12" i="40"/>
  <c r="UK12" i="40"/>
  <c r="UJ12" i="40"/>
  <c r="UI12" i="40"/>
  <c r="UH12" i="40"/>
  <c r="UG12" i="40"/>
  <c r="UF12" i="40"/>
  <c r="UE12" i="40"/>
  <c r="UD12" i="40"/>
  <c r="UC12" i="40"/>
  <c r="UB12" i="40"/>
  <c r="UA12" i="40"/>
  <c r="TZ12" i="40"/>
  <c r="TY12" i="40"/>
  <c r="TX12" i="40"/>
  <c r="TW12" i="40"/>
  <c r="TV12" i="40"/>
  <c r="TU12" i="40"/>
  <c r="TT12" i="40"/>
  <c r="TS12" i="40"/>
  <c r="TR12" i="40"/>
  <c r="TQ12" i="40"/>
  <c r="TP12" i="40"/>
  <c r="TO12" i="40"/>
  <c r="TN12" i="40"/>
  <c r="TM12" i="40"/>
  <c r="TL12" i="40"/>
  <c r="TK12" i="40"/>
  <c r="TJ12" i="40"/>
  <c r="TI12" i="40"/>
  <c r="TH12" i="40"/>
  <c r="TG12" i="40"/>
  <c r="TF12" i="40"/>
  <c r="TE12" i="40"/>
  <c r="TD12" i="40"/>
  <c r="TC12" i="40"/>
  <c r="TB12" i="40"/>
  <c r="TA12" i="40"/>
  <c r="SZ12" i="40"/>
  <c r="SY12" i="40"/>
  <c r="SX12" i="40"/>
  <c r="SW12" i="40"/>
  <c r="SV12" i="40"/>
  <c r="SU12" i="40"/>
  <c r="ST12" i="40"/>
  <c r="SS12" i="40"/>
  <c r="WN11" i="40"/>
  <c r="WM11" i="40"/>
  <c r="WL11" i="40"/>
  <c r="WK11" i="40"/>
  <c r="WJ11" i="40"/>
  <c r="WI11" i="40"/>
  <c r="WH11" i="40"/>
  <c r="WG11" i="40"/>
  <c r="WF11" i="40"/>
  <c r="WE11" i="40"/>
  <c r="WD11" i="40"/>
  <c r="WC11" i="40"/>
  <c r="WB11" i="40"/>
  <c r="WA11" i="40"/>
  <c r="VZ11" i="40"/>
  <c r="VY11" i="40"/>
  <c r="VX11" i="40"/>
  <c r="VW11" i="40"/>
  <c r="VV11" i="40"/>
  <c r="VU11" i="40"/>
  <c r="VT11" i="40"/>
  <c r="VS11" i="40"/>
  <c r="VR11" i="40"/>
  <c r="VQ11" i="40"/>
  <c r="VP11" i="40"/>
  <c r="VO11" i="40"/>
  <c r="VN11" i="40"/>
  <c r="VM11" i="40"/>
  <c r="VL11" i="40"/>
  <c r="VK11" i="40"/>
  <c r="VJ11" i="40"/>
  <c r="VI11" i="40"/>
  <c r="VH11" i="40"/>
  <c r="VG11" i="40"/>
  <c r="VF11" i="40"/>
  <c r="VE11" i="40"/>
  <c r="VD11" i="40"/>
  <c r="VC11" i="40"/>
  <c r="VB11" i="40"/>
  <c r="VA11" i="40"/>
  <c r="UZ11" i="40"/>
  <c r="UY11" i="40"/>
  <c r="UX11" i="40"/>
  <c r="UW11" i="40"/>
  <c r="UV11" i="40"/>
  <c r="UU11" i="40"/>
  <c r="UT11" i="40"/>
  <c r="US11" i="40"/>
  <c r="UR11" i="40"/>
  <c r="UQ11" i="40"/>
  <c r="UP11" i="40"/>
  <c r="UO11" i="40"/>
  <c r="UN11" i="40"/>
  <c r="UM11" i="40"/>
  <c r="UL11" i="40"/>
  <c r="UK11" i="40"/>
  <c r="UJ11" i="40"/>
  <c r="UI11" i="40"/>
  <c r="UH11" i="40"/>
  <c r="UG11" i="40"/>
  <c r="UF11" i="40"/>
  <c r="UE11" i="40"/>
  <c r="UD11" i="40"/>
  <c r="UC11" i="40"/>
  <c r="UB11" i="40"/>
  <c r="UA11" i="40"/>
  <c r="TZ11" i="40"/>
  <c r="TY11" i="40"/>
  <c r="TX11" i="40"/>
  <c r="TW11" i="40"/>
  <c r="TV11" i="40"/>
  <c r="TU11" i="40"/>
  <c r="TT11" i="40"/>
  <c r="TS11" i="40"/>
  <c r="TR11" i="40"/>
  <c r="TQ11" i="40"/>
  <c r="TP11" i="40"/>
  <c r="TO11" i="40"/>
  <c r="TN11" i="40"/>
  <c r="TM11" i="40"/>
  <c r="TL11" i="40"/>
  <c r="TK11" i="40"/>
  <c r="TJ11" i="40"/>
  <c r="TI11" i="40"/>
  <c r="TH11" i="40"/>
  <c r="TG11" i="40"/>
  <c r="TF11" i="40"/>
  <c r="TE11" i="40"/>
  <c r="TD11" i="40"/>
  <c r="TC11" i="40"/>
  <c r="TB11" i="40"/>
  <c r="TA11" i="40"/>
  <c r="SZ11" i="40"/>
  <c r="SY11" i="40"/>
  <c r="SX11" i="40"/>
  <c r="SW11" i="40"/>
  <c r="SV11" i="40"/>
  <c r="SU11" i="40"/>
  <c r="ST11" i="40"/>
  <c r="SS11" i="40"/>
  <c r="WN10" i="40"/>
  <c r="WM10" i="40"/>
  <c r="WL10" i="40"/>
  <c r="WK10" i="40"/>
  <c r="WJ10" i="40"/>
  <c r="WI10" i="40"/>
  <c r="WH10" i="40"/>
  <c r="WG10" i="40"/>
  <c r="WF10" i="40"/>
  <c r="WE10" i="40"/>
  <c r="WD10" i="40"/>
  <c r="WC10" i="40"/>
  <c r="WB10" i="40"/>
  <c r="WA10" i="40"/>
  <c r="VZ10" i="40"/>
  <c r="VY10" i="40"/>
  <c r="VX10" i="40"/>
  <c r="VW10" i="40"/>
  <c r="VV10" i="40"/>
  <c r="VU10" i="40"/>
  <c r="VT10" i="40"/>
  <c r="VS10" i="40"/>
  <c r="VR10" i="40"/>
  <c r="VQ10" i="40"/>
  <c r="VP10" i="40"/>
  <c r="VO10" i="40"/>
  <c r="VN10" i="40"/>
  <c r="VM10" i="40"/>
  <c r="VL10" i="40"/>
  <c r="VK10" i="40"/>
  <c r="VJ10" i="40"/>
  <c r="VI10" i="40"/>
  <c r="VH10" i="40"/>
  <c r="VG10" i="40"/>
  <c r="VF10" i="40"/>
  <c r="VE10" i="40"/>
  <c r="VD10" i="40"/>
  <c r="VC10" i="40"/>
  <c r="VB10" i="40"/>
  <c r="VA10" i="40"/>
  <c r="UZ10" i="40"/>
  <c r="UY10" i="40"/>
  <c r="UX10" i="40"/>
  <c r="UW10" i="40"/>
  <c r="UV10" i="40"/>
  <c r="UU10" i="40"/>
  <c r="UT10" i="40"/>
  <c r="US10" i="40"/>
  <c r="UR10" i="40"/>
  <c r="UQ10" i="40"/>
  <c r="UP10" i="40"/>
  <c r="UO10" i="40"/>
  <c r="UN10" i="40"/>
  <c r="UM10" i="40"/>
  <c r="UL10" i="40"/>
  <c r="UK10" i="40"/>
  <c r="UJ10" i="40"/>
  <c r="UI10" i="40"/>
  <c r="UH10" i="40"/>
  <c r="UG10" i="40"/>
  <c r="UF10" i="40"/>
  <c r="UE10" i="40"/>
  <c r="UD10" i="40"/>
  <c r="UC10" i="40"/>
  <c r="UB10" i="40"/>
  <c r="UA10" i="40"/>
  <c r="TZ10" i="40"/>
  <c r="TY10" i="40"/>
  <c r="TX10" i="40"/>
  <c r="TW10" i="40"/>
  <c r="TV10" i="40"/>
  <c r="TU10" i="40"/>
  <c r="TT10" i="40"/>
  <c r="TS10" i="40"/>
  <c r="TR10" i="40"/>
  <c r="TQ10" i="40"/>
  <c r="TP10" i="40"/>
  <c r="TO10" i="40"/>
  <c r="TN10" i="40"/>
  <c r="TM10" i="40"/>
  <c r="TL10" i="40"/>
  <c r="TK10" i="40"/>
  <c r="TJ10" i="40"/>
  <c r="TI10" i="40"/>
  <c r="TH10" i="40"/>
  <c r="TG10" i="40"/>
  <c r="TF10" i="40"/>
  <c r="TE10" i="40"/>
  <c r="TD10" i="40"/>
  <c r="TC10" i="40"/>
  <c r="TB10" i="40"/>
  <c r="TA10" i="40"/>
  <c r="SZ10" i="40"/>
  <c r="SY10" i="40"/>
  <c r="SX10" i="40"/>
  <c r="SW10" i="40"/>
  <c r="SV10" i="40"/>
  <c r="SU10" i="40"/>
  <c r="ST10" i="40"/>
  <c r="SS10" i="40"/>
  <c r="WN9" i="40"/>
  <c r="WM9" i="40"/>
  <c r="WL9" i="40"/>
  <c r="WK9" i="40"/>
  <c r="WJ9" i="40"/>
  <c r="WI9" i="40"/>
  <c r="WH9" i="40"/>
  <c r="WG9" i="40"/>
  <c r="WF9" i="40"/>
  <c r="WE9" i="40"/>
  <c r="WD9" i="40"/>
  <c r="WC9" i="40"/>
  <c r="WB9" i="40"/>
  <c r="WA9" i="40"/>
  <c r="VZ9" i="40"/>
  <c r="VY9" i="40"/>
  <c r="VX9" i="40"/>
  <c r="VW9" i="40"/>
  <c r="VV9" i="40"/>
  <c r="VU9" i="40"/>
  <c r="VT9" i="40"/>
  <c r="VS9" i="40"/>
  <c r="VR9" i="40"/>
  <c r="VQ9" i="40"/>
  <c r="VP9" i="40"/>
  <c r="VO9" i="40"/>
  <c r="VN9" i="40"/>
  <c r="VM9" i="40"/>
  <c r="VL9" i="40"/>
  <c r="VK9" i="40"/>
  <c r="VJ9" i="40"/>
  <c r="VI9" i="40"/>
  <c r="VH9" i="40"/>
  <c r="VG9" i="40"/>
  <c r="VF9" i="40"/>
  <c r="VE9" i="40"/>
  <c r="VD9" i="40"/>
  <c r="VC9" i="40"/>
  <c r="VB9" i="40"/>
  <c r="VA9" i="40"/>
  <c r="UZ9" i="40"/>
  <c r="UY9" i="40"/>
  <c r="UX9" i="40"/>
  <c r="UW9" i="40"/>
  <c r="UV9" i="40"/>
  <c r="UU9" i="40"/>
  <c r="UT9" i="40"/>
  <c r="US9" i="40"/>
  <c r="UR9" i="40"/>
  <c r="UQ9" i="40"/>
  <c r="UP9" i="40"/>
  <c r="UO9" i="40"/>
  <c r="UN9" i="40"/>
  <c r="UM9" i="40"/>
  <c r="UL9" i="40"/>
  <c r="UK9" i="40"/>
  <c r="UJ9" i="40"/>
  <c r="UI9" i="40"/>
  <c r="UH9" i="40"/>
  <c r="UG9" i="40"/>
  <c r="UF9" i="40"/>
  <c r="UE9" i="40"/>
  <c r="UD9" i="40"/>
  <c r="UC9" i="40"/>
  <c r="UB9" i="40"/>
  <c r="UA9" i="40"/>
  <c r="TZ9" i="40"/>
  <c r="TY9" i="40"/>
  <c r="TX9" i="40"/>
  <c r="TW9" i="40"/>
  <c r="TV9" i="40"/>
  <c r="TU9" i="40"/>
  <c r="TT9" i="40"/>
  <c r="TS9" i="40"/>
  <c r="TR9" i="40"/>
  <c r="TQ9" i="40"/>
  <c r="TP9" i="40"/>
  <c r="TO9" i="40"/>
  <c r="TN9" i="40"/>
  <c r="TM9" i="40"/>
  <c r="TL9" i="40"/>
  <c r="TK9" i="40"/>
  <c r="TJ9" i="40"/>
  <c r="TI9" i="40"/>
  <c r="TH9" i="40"/>
  <c r="TG9" i="40"/>
  <c r="TF9" i="40"/>
  <c r="TE9" i="40"/>
  <c r="TD9" i="40"/>
  <c r="TC9" i="40"/>
  <c r="TB9" i="40"/>
  <c r="TA9" i="40"/>
  <c r="SZ9" i="40"/>
  <c r="SY9" i="40"/>
  <c r="SX9" i="40"/>
  <c r="SW9" i="40"/>
  <c r="SV9" i="40"/>
  <c r="SU9" i="40"/>
  <c r="ST9" i="40"/>
  <c r="SS9" i="40"/>
  <c r="WN8" i="40"/>
  <c r="WM8" i="40"/>
  <c r="WL8" i="40"/>
  <c r="WK8" i="40"/>
  <c r="WJ8" i="40"/>
  <c r="WI8" i="40"/>
  <c r="WH8" i="40"/>
  <c r="WG8" i="40"/>
  <c r="WF8" i="40"/>
  <c r="WE8" i="40"/>
  <c r="WD8" i="40"/>
  <c r="WC8" i="40"/>
  <c r="WB8" i="40"/>
  <c r="WA8" i="40"/>
  <c r="VZ8" i="40"/>
  <c r="VY8" i="40"/>
  <c r="VX8" i="40"/>
  <c r="VW8" i="40"/>
  <c r="VV8" i="40"/>
  <c r="VU8" i="40"/>
  <c r="VT8" i="40"/>
  <c r="VS8" i="40"/>
  <c r="VR8" i="40"/>
  <c r="VQ8" i="40"/>
  <c r="VP8" i="40"/>
  <c r="VO8" i="40"/>
  <c r="VN8" i="40"/>
  <c r="VM8" i="40"/>
  <c r="VL8" i="40"/>
  <c r="VK8" i="40"/>
  <c r="VJ8" i="40"/>
  <c r="VI8" i="40"/>
  <c r="VH8" i="40"/>
  <c r="VG8" i="40"/>
  <c r="VF8" i="40"/>
  <c r="VE8" i="40"/>
  <c r="VD8" i="40"/>
  <c r="VC8" i="40"/>
  <c r="VB8" i="40"/>
  <c r="VA8" i="40"/>
  <c r="UZ8" i="40"/>
  <c r="UY8" i="40"/>
  <c r="UX8" i="40"/>
  <c r="UW8" i="40"/>
  <c r="UV8" i="40"/>
  <c r="UU8" i="40"/>
  <c r="UT8" i="40"/>
  <c r="US8" i="40"/>
  <c r="UR8" i="40"/>
  <c r="UQ8" i="40"/>
  <c r="UP8" i="40"/>
  <c r="UO8" i="40"/>
  <c r="UN8" i="40"/>
  <c r="UM8" i="40"/>
  <c r="UL8" i="40"/>
  <c r="UK8" i="40"/>
  <c r="UJ8" i="40"/>
  <c r="UI8" i="40"/>
  <c r="UH8" i="40"/>
  <c r="UG8" i="40"/>
  <c r="UF8" i="40"/>
  <c r="UE8" i="40"/>
  <c r="UD8" i="40"/>
  <c r="UC8" i="40"/>
  <c r="UB8" i="40"/>
  <c r="UA8" i="40"/>
  <c r="TZ8" i="40"/>
  <c r="TY8" i="40"/>
  <c r="TX8" i="40"/>
  <c r="TW8" i="40"/>
  <c r="TV8" i="40"/>
  <c r="TU8" i="40"/>
  <c r="TT8" i="40"/>
  <c r="TS8" i="40"/>
  <c r="TR8" i="40"/>
  <c r="TQ8" i="40"/>
  <c r="TP8" i="40"/>
  <c r="TO8" i="40"/>
  <c r="TN8" i="40"/>
  <c r="TM8" i="40"/>
  <c r="TL8" i="40"/>
  <c r="TK8" i="40"/>
  <c r="TJ8" i="40"/>
  <c r="TI8" i="40"/>
  <c r="TH8" i="40"/>
  <c r="TG8" i="40"/>
  <c r="TF8" i="40"/>
  <c r="TE8" i="40"/>
  <c r="TD8" i="40"/>
  <c r="TC8" i="40"/>
  <c r="TB8" i="40"/>
  <c r="TA8" i="40"/>
  <c r="SZ8" i="40"/>
  <c r="SY8" i="40"/>
  <c r="SX8" i="40"/>
  <c r="SW8" i="40"/>
  <c r="SV8" i="40"/>
  <c r="SU8" i="40"/>
  <c r="ST8" i="40"/>
  <c r="SS8" i="40"/>
  <c r="WN7" i="40"/>
  <c r="WM7" i="40"/>
  <c r="WL7" i="40"/>
  <c r="WK7" i="40"/>
  <c r="WJ7" i="40"/>
  <c r="WI7" i="40"/>
  <c r="WH7" i="40"/>
  <c r="WG7" i="40"/>
  <c r="WF7" i="40"/>
  <c r="WE7" i="40"/>
  <c r="WD7" i="40"/>
  <c r="WC7" i="40"/>
  <c r="WB7" i="40"/>
  <c r="WA7" i="40"/>
  <c r="VZ7" i="40"/>
  <c r="VY7" i="40"/>
  <c r="VX7" i="40"/>
  <c r="VW7" i="40"/>
  <c r="VV7" i="40"/>
  <c r="VU7" i="40"/>
  <c r="VT7" i="40"/>
  <c r="VS7" i="40"/>
  <c r="VR7" i="40"/>
  <c r="VQ7" i="40"/>
  <c r="VP7" i="40"/>
  <c r="VO7" i="40"/>
  <c r="VN7" i="40"/>
  <c r="VM7" i="40"/>
  <c r="VL7" i="40"/>
  <c r="VK7" i="40"/>
  <c r="VJ7" i="40"/>
  <c r="VI7" i="40"/>
  <c r="VH7" i="40"/>
  <c r="VG7" i="40"/>
  <c r="VF7" i="40"/>
  <c r="VE7" i="40"/>
  <c r="VD7" i="40"/>
  <c r="VC7" i="40"/>
  <c r="VB7" i="40"/>
  <c r="VA7" i="40"/>
  <c r="UZ7" i="40"/>
  <c r="UY7" i="40"/>
  <c r="UX7" i="40"/>
  <c r="UW7" i="40"/>
  <c r="UV7" i="40"/>
  <c r="UU7" i="40"/>
  <c r="UT7" i="40"/>
  <c r="US7" i="40"/>
  <c r="UR7" i="40"/>
  <c r="UQ7" i="40"/>
  <c r="UP7" i="40"/>
  <c r="UO7" i="40"/>
  <c r="UN7" i="40"/>
  <c r="UM7" i="40"/>
  <c r="UL7" i="40"/>
  <c r="UK7" i="40"/>
  <c r="UJ7" i="40"/>
  <c r="UI7" i="40"/>
  <c r="UH7" i="40"/>
  <c r="UG7" i="40"/>
  <c r="UF7" i="40"/>
  <c r="UE7" i="40"/>
  <c r="UD7" i="40"/>
  <c r="UC7" i="40"/>
  <c r="UB7" i="40"/>
  <c r="UA7" i="40"/>
  <c r="TZ7" i="40"/>
  <c r="TY7" i="40"/>
  <c r="TX7" i="40"/>
  <c r="TW7" i="40"/>
  <c r="TV7" i="40"/>
  <c r="TU7" i="40"/>
  <c r="TT7" i="40"/>
  <c r="TS7" i="40"/>
  <c r="TR7" i="40"/>
  <c r="TQ7" i="40"/>
  <c r="TP7" i="40"/>
  <c r="TO7" i="40"/>
  <c r="TN7" i="40"/>
  <c r="TM7" i="40"/>
  <c r="TL7" i="40"/>
  <c r="TK7" i="40"/>
  <c r="TJ7" i="40"/>
  <c r="TI7" i="40"/>
  <c r="TH7" i="40"/>
  <c r="TG7" i="40"/>
  <c r="TF7" i="40"/>
  <c r="TE7" i="40"/>
  <c r="TD7" i="40"/>
  <c r="TC7" i="40"/>
  <c r="TB7" i="40"/>
  <c r="TA7" i="40"/>
  <c r="SZ7" i="40"/>
  <c r="SY7" i="40"/>
  <c r="SX7" i="40"/>
  <c r="SW7" i="40"/>
  <c r="SV7" i="40"/>
  <c r="SU7" i="40"/>
  <c r="ST7" i="40"/>
  <c r="SS7" i="40"/>
  <c r="WN6" i="40"/>
  <c r="WM6" i="40"/>
  <c r="WL6" i="40"/>
  <c r="WK6" i="40"/>
  <c r="WJ6" i="40"/>
  <c r="WI6" i="40"/>
  <c r="WH6" i="40"/>
  <c r="WG6" i="40"/>
  <c r="WF6" i="40"/>
  <c r="WE6" i="40"/>
  <c r="WD6" i="40"/>
  <c r="WC6" i="40"/>
  <c r="WB6" i="40"/>
  <c r="WA6" i="40"/>
  <c r="VZ6" i="40"/>
  <c r="VY6" i="40"/>
  <c r="VX6" i="40"/>
  <c r="VW6" i="40"/>
  <c r="VV6" i="40"/>
  <c r="VU6" i="40"/>
  <c r="VT6" i="40"/>
  <c r="VS6" i="40"/>
  <c r="VR6" i="40"/>
  <c r="VQ6" i="40"/>
  <c r="VP6" i="40"/>
  <c r="VO6" i="40"/>
  <c r="VN6" i="40"/>
  <c r="VM6" i="40"/>
  <c r="VL6" i="40"/>
  <c r="VK6" i="40"/>
  <c r="VJ6" i="40"/>
  <c r="VI6" i="40"/>
  <c r="VH6" i="40"/>
  <c r="VG6" i="40"/>
  <c r="VF6" i="40"/>
  <c r="VE6" i="40"/>
  <c r="VD6" i="40"/>
  <c r="VC6" i="40"/>
  <c r="VB6" i="40"/>
  <c r="VA6" i="40"/>
  <c r="UZ6" i="40"/>
  <c r="UY6" i="40"/>
  <c r="UX6" i="40"/>
  <c r="UW6" i="40"/>
  <c r="UV6" i="40"/>
  <c r="UU6" i="40"/>
  <c r="UT6" i="40"/>
  <c r="US6" i="40"/>
  <c r="UR6" i="40"/>
  <c r="UQ6" i="40"/>
  <c r="UP6" i="40"/>
  <c r="UO6" i="40"/>
  <c r="UN6" i="40"/>
  <c r="UM6" i="40"/>
  <c r="UL6" i="40"/>
  <c r="UK6" i="40"/>
  <c r="UJ6" i="40"/>
  <c r="UI6" i="40"/>
  <c r="UH6" i="40"/>
  <c r="UG6" i="40"/>
  <c r="UF6" i="40"/>
  <c r="UE6" i="40"/>
  <c r="UD6" i="40"/>
  <c r="UC6" i="40"/>
  <c r="UB6" i="40"/>
  <c r="UA6" i="40"/>
  <c r="TZ6" i="40"/>
  <c r="TY6" i="40"/>
  <c r="TX6" i="40"/>
  <c r="TW6" i="40"/>
  <c r="TV6" i="40"/>
  <c r="TU6" i="40"/>
  <c r="TT6" i="40"/>
  <c r="TS6" i="40"/>
  <c r="TR6" i="40"/>
  <c r="TQ6" i="40"/>
  <c r="TP6" i="40"/>
  <c r="TO6" i="40"/>
  <c r="TN6" i="40"/>
  <c r="TM6" i="40"/>
  <c r="TL6" i="40"/>
  <c r="TK6" i="40"/>
  <c r="TJ6" i="40"/>
  <c r="TI6" i="40"/>
  <c r="TH6" i="40"/>
  <c r="TG6" i="40"/>
  <c r="TF6" i="40"/>
  <c r="TE6" i="40"/>
  <c r="TD6" i="40"/>
  <c r="TC6" i="40"/>
  <c r="TB6" i="40"/>
  <c r="TA6" i="40"/>
  <c r="SZ6" i="40"/>
  <c r="SY6" i="40"/>
  <c r="SX6" i="40"/>
  <c r="SW6" i="40"/>
  <c r="SV6" i="40"/>
  <c r="SU6" i="40"/>
  <c r="ST6" i="40"/>
  <c r="SS6" i="40"/>
  <c r="WN5" i="40"/>
  <c r="WM5" i="40"/>
  <c r="WL5" i="40"/>
  <c r="WK5" i="40"/>
  <c r="WJ5" i="40"/>
  <c r="WI5" i="40"/>
  <c r="WH5" i="40"/>
  <c r="WG5" i="40"/>
  <c r="WF5" i="40"/>
  <c r="WE5" i="40"/>
  <c r="WD5" i="40"/>
  <c r="WC5" i="40"/>
  <c r="WB5" i="40"/>
  <c r="WA5" i="40"/>
  <c r="VZ5" i="40"/>
  <c r="VY5" i="40"/>
  <c r="VX5" i="40"/>
  <c r="VW5" i="40"/>
  <c r="VV5" i="40"/>
  <c r="VU5" i="40"/>
  <c r="VT5" i="40"/>
  <c r="VS5" i="40"/>
  <c r="VR5" i="40"/>
  <c r="VQ5" i="40"/>
  <c r="VP5" i="40"/>
  <c r="VO5" i="40"/>
  <c r="VN5" i="40"/>
  <c r="VM5" i="40"/>
  <c r="VL5" i="40"/>
  <c r="VK5" i="40"/>
  <c r="VJ5" i="40"/>
  <c r="VI5" i="40"/>
  <c r="VH5" i="40"/>
  <c r="VG5" i="40"/>
  <c r="VF5" i="40"/>
  <c r="VE5" i="40"/>
  <c r="VD5" i="40"/>
  <c r="VC5" i="40"/>
  <c r="VB5" i="40"/>
  <c r="VA5" i="40"/>
  <c r="UZ5" i="40"/>
  <c r="UY5" i="40"/>
  <c r="UX5" i="40"/>
  <c r="UW5" i="40"/>
  <c r="UV5" i="40"/>
  <c r="UU5" i="40"/>
  <c r="UT5" i="40"/>
  <c r="US5" i="40"/>
  <c r="UR5" i="40"/>
  <c r="UQ5" i="40"/>
  <c r="UP5" i="40"/>
  <c r="UO5" i="40"/>
  <c r="UN5" i="40"/>
  <c r="UM5" i="40"/>
  <c r="UL5" i="40"/>
  <c r="UK5" i="40"/>
  <c r="UJ5" i="40"/>
  <c r="UI5" i="40"/>
  <c r="UH5" i="40"/>
  <c r="UG5" i="40"/>
  <c r="UF5" i="40"/>
  <c r="UE5" i="40"/>
  <c r="UD5" i="40"/>
  <c r="UC5" i="40"/>
  <c r="UB5" i="40"/>
  <c r="UA5" i="40"/>
  <c r="TZ5" i="40"/>
  <c r="TY5" i="40"/>
  <c r="TX5" i="40"/>
  <c r="TW5" i="40"/>
  <c r="TV5" i="40"/>
  <c r="TU5" i="40"/>
  <c r="TT5" i="40"/>
  <c r="TS5" i="40"/>
  <c r="TR5" i="40"/>
  <c r="TQ5" i="40"/>
  <c r="TP5" i="40"/>
  <c r="TO5" i="40"/>
  <c r="TN5" i="40"/>
  <c r="TM5" i="40"/>
  <c r="TL5" i="40"/>
  <c r="TK5" i="40"/>
  <c r="TJ5" i="40"/>
  <c r="TI5" i="40"/>
  <c r="TH5" i="40"/>
  <c r="TG5" i="40"/>
  <c r="TF5" i="40"/>
  <c r="TE5" i="40"/>
  <c r="TD5" i="40"/>
  <c r="TC5" i="40"/>
  <c r="TB5" i="40"/>
  <c r="TA5" i="40"/>
  <c r="SZ5" i="40"/>
  <c r="SY5" i="40"/>
  <c r="SX5" i="40"/>
  <c r="SW5" i="40"/>
  <c r="SV5" i="40"/>
  <c r="SU5" i="40"/>
  <c r="ST5" i="40"/>
  <c r="SS5" i="40"/>
  <c r="WN4" i="40"/>
  <c r="WM4" i="40"/>
  <c r="WL4" i="40"/>
  <c r="WK4" i="40"/>
  <c r="WJ4" i="40"/>
  <c r="WI4" i="40"/>
  <c r="WH4" i="40"/>
  <c r="WG4" i="40"/>
  <c r="WF4" i="40"/>
  <c r="WE4" i="40"/>
  <c r="WD4" i="40"/>
  <c r="WC4" i="40"/>
  <c r="WB4" i="40"/>
  <c r="WA4" i="40"/>
  <c r="VZ4" i="40"/>
  <c r="VY4" i="40"/>
  <c r="VX4" i="40"/>
  <c r="VW4" i="40"/>
  <c r="VV4" i="40"/>
  <c r="VU4" i="40"/>
  <c r="VT4" i="40"/>
  <c r="VS4" i="40"/>
  <c r="VR4" i="40"/>
  <c r="VQ4" i="40"/>
  <c r="VP4" i="40"/>
  <c r="VO4" i="40"/>
  <c r="VN4" i="40"/>
  <c r="VM4" i="40"/>
  <c r="VL4" i="40"/>
  <c r="VK4" i="40"/>
  <c r="VJ4" i="40"/>
  <c r="VI4" i="40"/>
  <c r="VH4" i="40"/>
  <c r="VG4" i="40"/>
  <c r="VF4" i="40"/>
  <c r="VE4" i="40"/>
  <c r="VD4" i="40"/>
  <c r="VC4" i="40"/>
  <c r="VB4" i="40"/>
  <c r="VA4" i="40"/>
  <c r="UZ4" i="40"/>
  <c r="UY4" i="40"/>
  <c r="UX4" i="40"/>
  <c r="UW4" i="40"/>
  <c r="UV4" i="40"/>
  <c r="UU4" i="40"/>
  <c r="UT4" i="40"/>
  <c r="US4" i="40"/>
  <c r="UR4" i="40"/>
  <c r="UQ4" i="40"/>
  <c r="UP4" i="40"/>
  <c r="UO4" i="40"/>
  <c r="UN4" i="40"/>
  <c r="UM4" i="40"/>
  <c r="UL4" i="40"/>
  <c r="UK4" i="40"/>
  <c r="UJ4" i="40"/>
  <c r="UI4" i="40"/>
  <c r="UH4" i="40"/>
  <c r="UG4" i="40"/>
  <c r="UF4" i="40"/>
  <c r="UE4" i="40"/>
  <c r="UD4" i="40"/>
  <c r="UC4" i="40"/>
  <c r="UB4" i="40"/>
  <c r="UA4" i="40"/>
  <c r="TZ4" i="40"/>
  <c r="TY4" i="40"/>
  <c r="TX4" i="40"/>
  <c r="TW4" i="40"/>
  <c r="TV4" i="40"/>
  <c r="TU4" i="40"/>
  <c r="TT4" i="40"/>
  <c r="TS4" i="40"/>
  <c r="TR4" i="40"/>
  <c r="TQ4" i="40"/>
  <c r="TP4" i="40"/>
  <c r="TO4" i="40"/>
  <c r="TN4" i="40"/>
  <c r="TM4" i="40"/>
  <c r="TL4" i="40"/>
  <c r="TK4" i="40"/>
  <c r="TJ4" i="40"/>
  <c r="TI4" i="40"/>
  <c r="TH4" i="40"/>
  <c r="TG4" i="40"/>
  <c r="TF4" i="40"/>
  <c r="TE4" i="40"/>
  <c r="TD4" i="40"/>
  <c r="TC4" i="40"/>
  <c r="TB4" i="40"/>
  <c r="TA4" i="40"/>
  <c r="SZ4" i="40"/>
  <c r="SY4" i="40"/>
  <c r="SX4" i="40"/>
  <c r="SW4" i="40"/>
  <c r="SV4" i="40"/>
  <c r="SU4" i="40"/>
  <c r="ST4" i="40"/>
  <c r="SS4" i="40"/>
  <c r="WN3" i="40"/>
  <c r="WM3" i="40"/>
  <c r="WL3" i="40"/>
  <c r="WK3" i="40"/>
  <c r="WJ3" i="40"/>
  <c r="WI3" i="40"/>
  <c r="WH3" i="40"/>
  <c r="WG3" i="40"/>
  <c r="WF3" i="40"/>
  <c r="WE3" i="40"/>
  <c r="WD3" i="40"/>
  <c r="WC3" i="40"/>
  <c r="WB3" i="40"/>
  <c r="WA3" i="40"/>
  <c r="VZ3" i="40"/>
  <c r="VY3" i="40"/>
  <c r="VX3" i="40"/>
  <c r="VW3" i="40"/>
  <c r="VV3" i="40"/>
  <c r="VU3" i="40"/>
  <c r="VT3" i="40"/>
  <c r="VS3" i="40"/>
  <c r="VR3" i="40"/>
  <c r="VQ3" i="40"/>
  <c r="VP3" i="40"/>
  <c r="VO3" i="40"/>
  <c r="VN3" i="40"/>
  <c r="VM3" i="40"/>
  <c r="VL3" i="40"/>
  <c r="VK3" i="40"/>
  <c r="VJ3" i="40"/>
  <c r="VI3" i="40"/>
  <c r="VH3" i="40"/>
  <c r="VG3" i="40"/>
  <c r="VF3" i="40"/>
  <c r="VE3" i="40"/>
  <c r="VD3" i="40"/>
  <c r="VC3" i="40"/>
  <c r="VB3" i="40"/>
  <c r="VA3" i="40"/>
  <c r="UZ3" i="40"/>
  <c r="UY3" i="40"/>
  <c r="UX3" i="40"/>
  <c r="UW3" i="40"/>
  <c r="UV3" i="40"/>
  <c r="UU3" i="40"/>
  <c r="UT3" i="40"/>
  <c r="US3" i="40"/>
  <c r="UR3" i="40"/>
  <c r="UQ3" i="40"/>
  <c r="UP3" i="40"/>
  <c r="UO3" i="40"/>
  <c r="UN3" i="40"/>
  <c r="UM3" i="40"/>
  <c r="UL3" i="40"/>
  <c r="UK3" i="40"/>
  <c r="UJ3" i="40"/>
  <c r="UI3" i="40"/>
  <c r="UH3" i="40"/>
  <c r="UG3" i="40"/>
  <c r="UF3" i="40"/>
  <c r="UE3" i="40"/>
  <c r="UD3" i="40"/>
  <c r="UC3" i="40"/>
  <c r="UB3" i="40"/>
  <c r="UA3" i="40"/>
  <c r="TZ3" i="40"/>
  <c r="TY3" i="40"/>
  <c r="TX3" i="40"/>
  <c r="TW3" i="40"/>
  <c r="TV3" i="40"/>
  <c r="TU3" i="40"/>
  <c r="TT3" i="40"/>
  <c r="TS3" i="40"/>
  <c r="TR3" i="40"/>
  <c r="TQ3" i="40"/>
  <c r="TP3" i="40"/>
  <c r="TO3" i="40"/>
  <c r="TN3" i="40"/>
  <c r="TM3" i="40"/>
  <c r="TL3" i="40"/>
  <c r="TK3" i="40"/>
  <c r="TJ3" i="40"/>
  <c r="TI3" i="40"/>
  <c r="TH3" i="40"/>
  <c r="TG3" i="40"/>
  <c r="TF3" i="40"/>
  <c r="TE3" i="40"/>
  <c r="TD3" i="40"/>
  <c r="TC3" i="40"/>
  <c r="TB3" i="40"/>
  <c r="TA3" i="40"/>
  <c r="SZ3" i="40"/>
  <c r="SY3" i="40"/>
  <c r="SX3" i="40"/>
  <c r="SW3" i="40"/>
  <c r="SV3" i="40"/>
  <c r="SU3" i="40"/>
  <c r="ST3" i="40"/>
  <c r="SS3" i="40"/>
  <c r="SR44" i="40"/>
  <c r="SQ44" i="40"/>
  <c r="SP44" i="40"/>
  <c r="SO44" i="40"/>
  <c r="SN44" i="40"/>
  <c r="SM44" i="40"/>
  <c r="SL44" i="40"/>
  <c r="SK44" i="40"/>
  <c r="SJ44" i="40"/>
  <c r="SI44" i="40"/>
  <c r="SH44" i="40"/>
  <c r="SG44" i="40"/>
  <c r="SF44" i="40"/>
  <c r="SE44" i="40"/>
  <c r="SD44" i="40"/>
  <c r="SC44" i="40"/>
  <c r="SB44" i="40"/>
  <c r="SA44" i="40"/>
  <c r="RZ44" i="40"/>
  <c r="RY44" i="40"/>
  <c r="RX44" i="40"/>
  <c r="RW44" i="40"/>
  <c r="RV44" i="40"/>
  <c r="RU44" i="40"/>
  <c r="RT44" i="40"/>
  <c r="RS44" i="40"/>
  <c r="RR44" i="40"/>
  <c r="RQ44" i="40"/>
  <c r="RP44" i="40"/>
  <c r="RO44" i="40"/>
  <c r="RN44" i="40"/>
  <c r="RM44" i="40"/>
  <c r="RL44" i="40"/>
  <c r="RK44" i="40"/>
  <c r="RJ44" i="40"/>
  <c r="RI44" i="40"/>
  <c r="RH44" i="40"/>
  <c r="RG44" i="40"/>
  <c r="RF44" i="40"/>
  <c r="RE44" i="40"/>
  <c r="RD44" i="40"/>
  <c r="RC44" i="40"/>
  <c r="RB44" i="40"/>
  <c r="RA44" i="40"/>
  <c r="QZ44" i="40"/>
  <c r="QY44" i="40"/>
  <c r="QX44" i="40"/>
  <c r="QW44" i="40"/>
  <c r="QV44" i="40"/>
  <c r="QU44" i="40"/>
  <c r="QT44" i="40"/>
  <c r="QS44" i="40"/>
  <c r="QR44" i="40"/>
  <c r="QQ44" i="40"/>
  <c r="QP44" i="40"/>
  <c r="QO44" i="40"/>
  <c r="QN44" i="40"/>
  <c r="QM44" i="40"/>
  <c r="QL44" i="40"/>
  <c r="QK44" i="40"/>
  <c r="QJ44" i="40"/>
  <c r="QI44" i="40"/>
  <c r="QH44" i="40"/>
  <c r="QG44" i="40"/>
  <c r="QF44" i="40"/>
  <c r="QE44" i="40"/>
  <c r="QD44" i="40"/>
  <c r="QC44" i="40"/>
  <c r="QB44" i="40"/>
  <c r="QA44" i="40"/>
  <c r="PZ44" i="40"/>
  <c r="PY44" i="40"/>
  <c r="PX44" i="40"/>
  <c r="PW44" i="40"/>
  <c r="PV44" i="40"/>
  <c r="PU44" i="40"/>
  <c r="PT44" i="40"/>
  <c r="PS44" i="40"/>
  <c r="PR44" i="40"/>
  <c r="PQ44" i="40"/>
  <c r="PP44" i="40"/>
  <c r="PO44" i="40"/>
  <c r="PN44" i="40"/>
  <c r="PM44" i="40"/>
  <c r="PL44" i="40"/>
  <c r="PK44" i="40"/>
  <c r="PJ44" i="40"/>
  <c r="PI44" i="40"/>
  <c r="PH44" i="40"/>
  <c r="PG44" i="40"/>
  <c r="PF44" i="40"/>
  <c r="PE44" i="40"/>
  <c r="PD44" i="40"/>
  <c r="PC44" i="40"/>
  <c r="PB44" i="40"/>
  <c r="PA44" i="40"/>
  <c r="OZ44" i="40"/>
  <c r="OY44" i="40"/>
  <c r="OX44" i="40"/>
  <c r="OW44" i="40"/>
  <c r="SR43" i="40"/>
  <c r="SQ43" i="40"/>
  <c r="SP43" i="40"/>
  <c r="SO43" i="40"/>
  <c r="SN43" i="40"/>
  <c r="SM43" i="40"/>
  <c r="SL43" i="40"/>
  <c r="SK43" i="40"/>
  <c r="SJ43" i="40"/>
  <c r="SI43" i="40"/>
  <c r="SH43" i="40"/>
  <c r="SG43" i="40"/>
  <c r="SF43" i="40"/>
  <c r="SE43" i="40"/>
  <c r="SD43" i="40"/>
  <c r="SC43" i="40"/>
  <c r="SB43" i="40"/>
  <c r="SA43" i="40"/>
  <c r="RZ43" i="40"/>
  <c r="RY43" i="40"/>
  <c r="RX43" i="40"/>
  <c r="RW43" i="40"/>
  <c r="RV43" i="40"/>
  <c r="RU43" i="40"/>
  <c r="RT43" i="40"/>
  <c r="RS43" i="40"/>
  <c r="RR43" i="40"/>
  <c r="RQ43" i="40"/>
  <c r="RP43" i="40"/>
  <c r="RO43" i="40"/>
  <c r="RN43" i="40"/>
  <c r="RM43" i="40"/>
  <c r="RL43" i="40"/>
  <c r="RK43" i="40"/>
  <c r="RJ43" i="40"/>
  <c r="RI43" i="40"/>
  <c r="RH43" i="40"/>
  <c r="RG43" i="40"/>
  <c r="RF43" i="40"/>
  <c r="RE43" i="40"/>
  <c r="RD43" i="40"/>
  <c r="RC43" i="40"/>
  <c r="RB43" i="40"/>
  <c r="RA43" i="40"/>
  <c r="QZ43" i="40"/>
  <c r="QY43" i="40"/>
  <c r="QX43" i="40"/>
  <c r="QW43" i="40"/>
  <c r="QV43" i="40"/>
  <c r="QU43" i="40"/>
  <c r="QT43" i="40"/>
  <c r="QS43" i="40"/>
  <c r="QR43" i="40"/>
  <c r="QQ43" i="40"/>
  <c r="QP43" i="40"/>
  <c r="QO43" i="40"/>
  <c r="QN43" i="40"/>
  <c r="QM43" i="40"/>
  <c r="QL43" i="40"/>
  <c r="QK43" i="40"/>
  <c r="QJ43" i="40"/>
  <c r="QI43" i="40"/>
  <c r="QH43" i="40"/>
  <c r="QG43" i="40"/>
  <c r="QF43" i="40"/>
  <c r="QE43" i="40"/>
  <c r="QD43" i="40"/>
  <c r="QC43" i="40"/>
  <c r="QB43" i="40"/>
  <c r="QA43" i="40"/>
  <c r="PZ43" i="40"/>
  <c r="PY43" i="40"/>
  <c r="PX43" i="40"/>
  <c r="PW43" i="40"/>
  <c r="PV43" i="40"/>
  <c r="PU43" i="40"/>
  <c r="PT43" i="40"/>
  <c r="PS43" i="40"/>
  <c r="PR43" i="40"/>
  <c r="PQ43" i="40"/>
  <c r="PP43" i="40"/>
  <c r="PO43" i="40"/>
  <c r="PN43" i="40"/>
  <c r="PM43" i="40"/>
  <c r="PL43" i="40"/>
  <c r="PK43" i="40"/>
  <c r="PJ43" i="40"/>
  <c r="PI43" i="40"/>
  <c r="PH43" i="40"/>
  <c r="PG43" i="40"/>
  <c r="PF43" i="40"/>
  <c r="PE43" i="40"/>
  <c r="PD43" i="40"/>
  <c r="PC43" i="40"/>
  <c r="PB43" i="40"/>
  <c r="PA43" i="40"/>
  <c r="OZ43" i="40"/>
  <c r="OY43" i="40"/>
  <c r="OX43" i="40"/>
  <c r="OW43" i="40"/>
  <c r="SR42" i="40"/>
  <c r="SQ42" i="40"/>
  <c r="SP42" i="40"/>
  <c r="SO42" i="40"/>
  <c r="SN42" i="40"/>
  <c r="SM42" i="40"/>
  <c r="SL42" i="40"/>
  <c r="SK42" i="40"/>
  <c r="SJ42" i="40"/>
  <c r="SI42" i="40"/>
  <c r="SH42" i="40"/>
  <c r="SG42" i="40"/>
  <c r="SF42" i="40"/>
  <c r="SE42" i="40"/>
  <c r="SD42" i="40"/>
  <c r="SC42" i="40"/>
  <c r="SB42" i="40"/>
  <c r="SA42" i="40"/>
  <c r="RZ42" i="40"/>
  <c r="RY42" i="40"/>
  <c r="RX42" i="40"/>
  <c r="RW42" i="40"/>
  <c r="RV42" i="40"/>
  <c r="RU42" i="40"/>
  <c r="RT42" i="40"/>
  <c r="RS42" i="40"/>
  <c r="RR42" i="40"/>
  <c r="RQ42" i="40"/>
  <c r="RP42" i="40"/>
  <c r="RO42" i="40"/>
  <c r="RN42" i="40"/>
  <c r="RM42" i="40"/>
  <c r="RL42" i="40"/>
  <c r="RK42" i="40"/>
  <c r="RJ42" i="40"/>
  <c r="RI42" i="40"/>
  <c r="RH42" i="40"/>
  <c r="RG42" i="40"/>
  <c r="RF42" i="40"/>
  <c r="RE42" i="40"/>
  <c r="RD42" i="40"/>
  <c r="RC42" i="40"/>
  <c r="RB42" i="40"/>
  <c r="RA42" i="40"/>
  <c r="QZ42" i="40"/>
  <c r="QY42" i="40"/>
  <c r="QX42" i="40"/>
  <c r="QW42" i="40"/>
  <c r="QV42" i="40"/>
  <c r="QU42" i="40"/>
  <c r="QT42" i="40"/>
  <c r="QS42" i="40"/>
  <c r="QR42" i="40"/>
  <c r="QQ42" i="40"/>
  <c r="QP42" i="40"/>
  <c r="QO42" i="40"/>
  <c r="QN42" i="40"/>
  <c r="QM42" i="40"/>
  <c r="QL42" i="40"/>
  <c r="QK42" i="40"/>
  <c r="QJ42" i="40"/>
  <c r="QI42" i="40"/>
  <c r="QH42" i="40"/>
  <c r="QG42" i="40"/>
  <c r="QF42" i="40"/>
  <c r="QE42" i="40"/>
  <c r="QD42" i="40"/>
  <c r="QC42" i="40"/>
  <c r="QB42" i="40"/>
  <c r="QA42" i="40"/>
  <c r="PZ42" i="40"/>
  <c r="PY42" i="40"/>
  <c r="PX42" i="40"/>
  <c r="PW42" i="40"/>
  <c r="PV42" i="40"/>
  <c r="PU42" i="40"/>
  <c r="PT42" i="40"/>
  <c r="PS42" i="40"/>
  <c r="PR42" i="40"/>
  <c r="PQ42" i="40"/>
  <c r="PP42" i="40"/>
  <c r="PO42" i="40"/>
  <c r="PN42" i="40"/>
  <c r="PM42" i="40"/>
  <c r="PL42" i="40"/>
  <c r="PK42" i="40"/>
  <c r="PJ42" i="40"/>
  <c r="PI42" i="40"/>
  <c r="PH42" i="40"/>
  <c r="PG42" i="40"/>
  <c r="PF42" i="40"/>
  <c r="PE42" i="40"/>
  <c r="PD42" i="40"/>
  <c r="PC42" i="40"/>
  <c r="PB42" i="40"/>
  <c r="PA42" i="40"/>
  <c r="OZ42" i="40"/>
  <c r="OY42" i="40"/>
  <c r="OX42" i="40"/>
  <c r="OW42" i="40"/>
  <c r="SR41" i="40"/>
  <c r="SQ41" i="40"/>
  <c r="SP41" i="40"/>
  <c r="SO41" i="40"/>
  <c r="SN41" i="40"/>
  <c r="SM41" i="40"/>
  <c r="SL41" i="40"/>
  <c r="SK41" i="40"/>
  <c r="SJ41" i="40"/>
  <c r="SI41" i="40"/>
  <c r="SH41" i="40"/>
  <c r="SG41" i="40"/>
  <c r="SF41" i="40"/>
  <c r="SE41" i="40"/>
  <c r="SD41" i="40"/>
  <c r="SC41" i="40"/>
  <c r="SB41" i="40"/>
  <c r="SA41" i="40"/>
  <c r="RZ41" i="40"/>
  <c r="RY41" i="40"/>
  <c r="RX41" i="40"/>
  <c r="RW41" i="40"/>
  <c r="RV41" i="40"/>
  <c r="RU41" i="40"/>
  <c r="RT41" i="40"/>
  <c r="RS41" i="40"/>
  <c r="RR41" i="40"/>
  <c r="RQ41" i="40"/>
  <c r="RP41" i="40"/>
  <c r="RO41" i="40"/>
  <c r="RN41" i="40"/>
  <c r="RM41" i="40"/>
  <c r="RL41" i="40"/>
  <c r="RK41" i="40"/>
  <c r="RJ41" i="40"/>
  <c r="RI41" i="40"/>
  <c r="RH41" i="40"/>
  <c r="RG41" i="40"/>
  <c r="RF41" i="40"/>
  <c r="RE41" i="40"/>
  <c r="RD41" i="40"/>
  <c r="RC41" i="40"/>
  <c r="RB41" i="40"/>
  <c r="RA41" i="40"/>
  <c r="QZ41" i="40"/>
  <c r="QY41" i="40"/>
  <c r="QX41" i="40"/>
  <c r="QW41" i="40"/>
  <c r="QV41" i="40"/>
  <c r="QU41" i="40"/>
  <c r="QT41" i="40"/>
  <c r="QS41" i="40"/>
  <c r="QR41" i="40"/>
  <c r="QQ41" i="40"/>
  <c r="QP41" i="40"/>
  <c r="QO41" i="40"/>
  <c r="QN41" i="40"/>
  <c r="QM41" i="40"/>
  <c r="QL41" i="40"/>
  <c r="QK41" i="40"/>
  <c r="QJ41" i="40"/>
  <c r="QI41" i="40"/>
  <c r="QH41" i="40"/>
  <c r="QG41" i="40"/>
  <c r="QF41" i="40"/>
  <c r="QE41" i="40"/>
  <c r="QD41" i="40"/>
  <c r="QC41" i="40"/>
  <c r="QB41" i="40"/>
  <c r="QA41" i="40"/>
  <c r="PZ41" i="40"/>
  <c r="PY41" i="40"/>
  <c r="PX41" i="40"/>
  <c r="PW41" i="40"/>
  <c r="PV41" i="40"/>
  <c r="PU41" i="40"/>
  <c r="PT41" i="40"/>
  <c r="PS41" i="40"/>
  <c r="PR41" i="40"/>
  <c r="PQ41" i="40"/>
  <c r="PP41" i="40"/>
  <c r="PO41" i="40"/>
  <c r="PN41" i="40"/>
  <c r="PM41" i="40"/>
  <c r="PL41" i="40"/>
  <c r="PK41" i="40"/>
  <c r="PJ41" i="40"/>
  <c r="PI41" i="40"/>
  <c r="PH41" i="40"/>
  <c r="PG41" i="40"/>
  <c r="PF41" i="40"/>
  <c r="PE41" i="40"/>
  <c r="PD41" i="40"/>
  <c r="PC41" i="40"/>
  <c r="PB41" i="40"/>
  <c r="PA41" i="40"/>
  <c r="OZ41" i="40"/>
  <c r="OY41" i="40"/>
  <c r="OX41" i="40"/>
  <c r="OW41" i="40"/>
  <c r="SR40" i="40"/>
  <c r="SQ40" i="40"/>
  <c r="SP40" i="40"/>
  <c r="SO40" i="40"/>
  <c r="SN40" i="40"/>
  <c r="SM40" i="40"/>
  <c r="SL40" i="40"/>
  <c r="SK40" i="40"/>
  <c r="SJ40" i="40"/>
  <c r="SI40" i="40"/>
  <c r="SH40" i="40"/>
  <c r="SG40" i="40"/>
  <c r="SF40" i="40"/>
  <c r="SE40" i="40"/>
  <c r="SD40" i="40"/>
  <c r="SC40" i="40"/>
  <c r="SB40" i="40"/>
  <c r="SA40" i="40"/>
  <c r="RZ40" i="40"/>
  <c r="RY40" i="40"/>
  <c r="RX40" i="40"/>
  <c r="RW40" i="40"/>
  <c r="RV40" i="40"/>
  <c r="RU40" i="40"/>
  <c r="RT40" i="40"/>
  <c r="RS40" i="40"/>
  <c r="RR40" i="40"/>
  <c r="RQ40" i="40"/>
  <c r="RP40" i="40"/>
  <c r="RO40" i="40"/>
  <c r="RN40" i="40"/>
  <c r="RM40" i="40"/>
  <c r="RL40" i="40"/>
  <c r="RK40" i="40"/>
  <c r="RJ40" i="40"/>
  <c r="RI40" i="40"/>
  <c r="RH40" i="40"/>
  <c r="RG40" i="40"/>
  <c r="RF40" i="40"/>
  <c r="RE40" i="40"/>
  <c r="RD40" i="40"/>
  <c r="RC40" i="40"/>
  <c r="RB40" i="40"/>
  <c r="RA40" i="40"/>
  <c r="QZ40" i="40"/>
  <c r="QY40" i="40"/>
  <c r="QX40" i="40"/>
  <c r="QW40" i="40"/>
  <c r="QV40" i="40"/>
  <c r="QU40" i="40"/>
  <c r="QT40" i="40"/>
  <c r="QS40" i="40"/>
  <c r="QR40" i="40"/>
  <c r="QQ40" i="40"/>
  <c r="QP40" i="40"/>
  <c r="QO40" i="40"/>
  <c r="QN40" i="40"/>
  <c r="QM40" i="40"/>
  <c r="QL40" i="40"/>
  <c r="QK40" i="40"/>
  <c r="QJ40" i="40"/>
  <c r="QI40" i="40"/>
  <c r="QH40" i="40"/>
  <c r="QG40" i="40"/>
  <c r="QF40" i="40"/>
  <c r="QE40" i="40"/>
  <c r="QD40" i="40"/>
  <c r="QC40" i="40"/>
  <c r="QB40" i="40"/>
  <c r="QA40" i="40"/>
  <c r="PZ40" i="40"/>
  <c r="PY40" i="40"/>
  <c r="PX40" i="40"/>
  <c r="PW40" i="40"/>
  <c r="PV40" i="40"/>
  <c r="PU40" i="40"/>
  <c r="PT40" i="40"/>
  <c r="PS40" i="40"/>
  <c r="PR40" i="40"/>
  <c r="PQ40" i="40"/>
  <c r="PP40" i="40"/>
  <c r="PO40" i="40"/>
  <c r="PN40" i="40"/>
  <c r="PM40" i="40"/>
  <c r="PL40" i="40"/>
  <c r="PK40" i="40"/>
  <c r="PJ40" i="40"/>
  <c r="PI40" i="40"/>
  <c r="PH40" i="40"/>
  <c r="PG40" i="40"/>
  <c r="PF40" i="40"/>
  <c r="PE40" i="40"/>
  <c r="PD40" i="40"/>
  <c r="PC40" i="40"/>
  <c r="PB40" i="40"/>
  <c r="PA40" i="40"/>
  <c r="OZ40" i="40"/>
  <c r="OY40" i="40"/>
  <c r="OX40" i="40"/>
  <c r="OW40" i="40"/>
  <c r="SR39" i="40"/>
  <c r="SQ39" i="40"/>
  <c r="SP39" i="40"/>
  <c r="SO39" i="40"/>
  <c r="SN39" i="40"/>
  <c r="SM39" i="40"/>
  <c r="SL39" i="40"/>
  <c r="SK39" i="40"/>
  <c r="SJ39" i="40"/>
  <c r="SI39" i="40"/>
  <c r="SH39" i="40"/>
  <c r="SG39" i="40"/>
  <c r="SF39" i="40"/>
  <c r="SE39" i="40"/>
  <c r="SD39" i="40"/>
  <c r="SC39" i="40"/>
  <c r="SB39" i="40"/>
  <c r="SA39" i="40"/>
  <c r="RZ39" i="40"/>
  <c r="RY39" i="40"/>
  <c r="RX39" i="40"/>
  <c r="RW39" i="40"/>
  <c r="RV39" i="40"/>
  <c r="RU39" i="40"/>
  <c r="RT39" i="40"/>
  <c r="RS39" i="40"/>
  <c r="RR39" i="40"/>
  <c r="RQ39" i="40"/>
  <c r="RP39" i="40"/>
  <c r="RO39" i="40"/>
  <c r="RN39" i="40"/>
  <c r="RM39" i="40"/>
  <c r="RL39" i="40"/>
  <c r="RK39" i="40"/>
  <c r="RJ39" i="40"/>
  <c r="RI39" i="40"/>
  <c r="RH39" i="40"/>
  <c r="RG39" i="40"/>
  <c r="RF39" i="40"/>
  <c r="RE39" i="40"/>
  <c r="RD39" i="40"/>
  <c r="RC39" i="40"/>
  <c r="RB39" i="40"/>
  <c r="RA39" i="40"/>
  <c r="QZ39" i="40"/>
  <c r="QY39" i="40"/>
  <c r="QX39" i="40"/>
  <c r="QW39" i="40"/>
  <c r="QV39" i="40"/>
  <c r="QU39" i="40"/>
  <c r="QT39" i="40"/>
  <c r="QS39" i="40"/>
  <c r="QR39" i="40"/>
  <c r="QQ39" i="40"/>
  <c r="QP39" i="40"/>
  <c r="QO39" i="40"/>
  <c r="QN39" i="40"/>
  <c r="QM39" i="40"/>
  <c r="QL39" i="40"/>
  <c r="QK39" i="40"/>
  <c r="QJ39" i="40"/>
  <c r="QI39" i="40"/>
  <c r="QH39" i="40"/>
  <c r="QG39" i="40"/>
  <c r="QF39" i="40"/>
  <c r="QE39" i="40"/>
  <c r="QD39" i="40"/>
  <c r="QC39" i="40"/>
  <c r="QB39" i="40"/>
  <c r="QA39" i="40"/>
  <c r="PZ39" i="40"/>
  <c r="PY39" i="40"/>
  <c r="PX39" i="40"/>
  <c r="PW39" i="40"/>
  <c r="PV39" i="40"/>
  <c r="PU39" i="40"/>
  <c r="PT39" i="40"/>
  <c r="PS39" i="40"/>
  <c r="PR39" i="40"/>
  <c r="PQ39" i="40"/>
  <c r="PP39" i="40"/>
  <c r="PO39" i="40"/>
  <c r="PN39" i="40"/>
  <c r="PM39" i="40"/>
  <c r="PL39" i="40"/>
  <c r="PK39" i="40"/>
  <c r="PJ39" i="40"/>
  <c r="PI39" i="40"/>
  <c r="PH39" i="40"/>
  <c r="PG39" i="40"/>
  <c r="PF39" i="40"/>
  <c r="PE39" i="40"/>
  <c r="PD39" i="40"/>
  <c r="PC39" i="40"/>
  <c r="PB39" i="40"/>
  <c r="PA39" i="40"/>
  <c r="OZ39" i="40"/>
  <c r="OY39" i="40"/>
  <c r="OX39" i="40"/>
  <c r="OW39" i="40"/>
  <c r="SR38" i="40"/>
  <c r="SQ38" i="40"/>
  <c r="SP38" i="40"/>
  <c r="SO38" i="40"/>
  <c r="SN38" i="40"/>
  <c r="SM38" i="40"/>
  <c r="SL38" i="40"/>
  <c r="SK38" i="40"/>
  <c r="SJ38" i="40"/>
  <c r="SI38" i="40"/>
  <c r="SH38" i="40"/>
  <c r="SG38" i="40"/>
  <c r="SF38" i="40"/>
  <c r="SE38" i="40"/>
  <c r="SD38" i="40"/>
  <c r="SC38" i="40"/>
  <c r="SB38" i="40"/>
  <c r="SA38" i="40"/>
  <c r="RZ38" i="40"/>
  <c r="RY38" i="40"/>
  <c r="RX38" i="40"/>
  <c r="RW38" i="40"/>
  <c r="RV38" i="40"/>
  <c r="RU38" i="40"/>
  <c r="RT38" i="40"/>
  <c r="RS38" i="40"/>
  <c r="RR38" i="40"/>
  <c r="RQ38" i="40"/>
  <c r="RP38" i="40"/>
  <c r="RO38" i="40"/>
  <c r="RN38" i="40"/>
  <c r="RM38" i="40"/>
  <c r="RL38" i="40"/>
  <c r="RK38" i="40"/>
  <c r="RJ38" i="40"/>
  <c r="RI38" i="40"/>
  <c r="RH38" i="40"/>
  <c r="RG38" i="40"/>
  <c r="RF38" i="40"/>
  <c r="RE38" i="40"/>
  <c r="RD38" i="40"/>
  <c r="RC38" i="40"/>
  <c r="RB38" i="40"/>
  <c r="RA38" i="40"/>
  <c r="QZ38" i="40"/>
  <c r="QY38" i="40"/>
  <c r="QX38" i="40"/>
  <c r="QW38" i="40"/>
  <c r="QV38" i="40"/>
  <c r="QU38" i="40"/>
  <c r="QT38" i="40"/>
  <c r="QS38" i="40"/>
  <c r="QR38" i="40"/>
  <c r="QQ38" i="40"/>
  <c r="QP38" i="40"/>
  <c r="QO38" i="40"/>
  <c r="QN38" i="40"/>
  <c r="QM38" i="40"/>
  <c r="QL38" i="40"/>
  <c r="QK38" i="40"/>
  <c r="QJ38" i="40"/>
  <c r="QI38" i="40"/>
  <c r="QH38" i="40"/>
  <c r="QG38" i="40"/>
  <c r="QF38" i="40"/>
  <c r="QE38" i="40"/>
  <c r="QD38" i="40"/>
  <c r="QC38" i="40"/>
  <c r="QB38" i="40"/>
  <c r="QA38" i="40"/>
  <c r="PZ38" i="40"/>
  <c r="PY38" i="40"/>
  <c r="PX38" i="40"/>
  <c r="PW38" i="40"/>
  <c r="PV38" i="40"/>
  <c r="PU38" i="40"/>
  <c r="PT38" i="40"/>
  <c r="PS38" i="40"/>
  <c r="PR38" i="40"/>
  <c r="PQ38" i="40"/>
  <c r="PP38" i="40"/>
  <c r="PO38" i="40"/>
  <c r="PN38" i="40"/>
  <c r="PM38" i="40"/>
  <c r="PL38" i="40"/>
  <c r="PK38" i="40"/>
  <c r="PJ38" i="40"/>
  <c r="PI38" i="40"/>
  <c r="PH38" i="40"/>
  <c r="PG38" i="40"/>
  <c r="PF38" i="40"/>
  <c r="PE38" i="40"/>
  <c r="PD38" i="40"/>
  <c r="PC38" i="40"/>
  <c r="PB38" i="40"/>
  <c r="PA38" i="40"/>
  <c r="OZ38" i="40"/>
  <c r="OY38" i="40"/>
  <c r="OX38" i="40"/>
  <c r="OW38" i="40"/>
  <c r="SR37" i="40"/>
  <c r="SQ37" i="40"/>
  <c r="SP37" i="40"/>
  <c r="SO37" i="40"/>
  <c r="SN37" i="40"/>
  <c r="SM37" i="40"/>
  <c r="SL37" i="40"/>
  <c r="SK37" i="40"/>
  <c r="SJ37" i="40"/>
  <c r="SI37" i="40"/>
  <c r="SH37" i="40"/>
  <c r="SG37" i="40"/>
  <c r="SF37" i="40"/>
  <c r="SE37" i="40"/>
  <c r="SD37" i="40"/>
  <c r="SC37" i="40"/>
  <c r="SB37" i="40"/>
  <c r="SA37" i="40"/>
  <c r="RZ37" i="40"/>
  <c r="RY37" i="40"/>
  <c r="RX37" i="40"/>
  <c r="RW37" i="40"/>
  <c r="RV37" i="40"/>
  <c r="RU37" i="40"/>
  <c r="RT37" i="40"/>
  <c r="RS37" i="40"/>
  <c r="RR37" i="40"/>
  <c r="RQ37" i="40"/>
  <c r="RP37" i="40"/>
  <c r="RO37" i="40"/>
  <c r="RN37" i="40"/>
  <c r="RM37" i="40"/>
  <c r="RL37" i="40"/>
  <c r="RK37" i="40"/>
  <c r="RJ37" i="40"/>
  <c r="RI37" i="40"/>
  <c r="RH37" i="40"/>
  <c r="RG37" i="40"/>
  <c r="RF37" i="40"/>
  <c r="RE37" i="40"/>
  <c r="RD37" i="40"/>
  <c r="RC37" i="40"/>
  <c r="RB37" i="40"/>
  <c r="RA37" i="40"/>
  <c r="QZ37" i="40"/>
  <c r="QY37" i="40"/>
  <c r="QX37" i="40"/>
  <c r="QW37" i="40"/>
  <c r="QV37" i="40"/>
  <c r="QU37" i="40"/>
  <c r="QT37" i="40"/>
  <c r="QS37" i="40"/>
  <c r="QR37" i="40"/>
  <c r="QQ37" i="40"/>
  <c r="QP37" i="40"/>
  <c r="QO37" i="40"/>
  <c r="QN37" i="40"/>
  <c r="QM37" i="40"/>
  <c r="QL37" i="40"/>
  <c r="QK37" i="40"/>
  <c r="QJ37" i="40"/>
  <c r="QI37" i="40"/>
  <c r="QH37" i="40"/>
  <c r="QG37" i="40"/>
  <c r="QF37" i="40"/>
  <c r="QE37" i="40"/>
  <c r="QD37" i="40"/>
  <c r="QC37" i="40"/>
  <c r="QB37" i="40"/>
  <c r="QA37" i="40"/>
  <c r="PZ37" i="40"/>
  <c r="PY37" i="40"/>
  <c r="PX37" i="40"/>
  <c r="PW37" i="40"/>
  <c r="PV37" i="40"/>
  <c r="PU37" i="40"/>
  <c r="PT37" i="40"/>
  <c r="PS37" i="40"/>
  <c r="PR37" i="40"/>
  <c r="PQ37" i="40"/>
  <c r="PP37" i="40"/>
  <c r="PO37" i="40"/>
  <c r="PN37" i="40"/>
  <c r="PM37" i="40"/>
  <c r="PL37" i="40"/>
  <c r="PK37" i="40"/>
  <c r="PJ37" i="40"/>
  <c r="PI37" i="40"/>
  <c r="PH37" i="40"/>
  <c r="PG37" i="40"/>
  <c r="PF37" i="40"/>
  <c r="PE37" i="40"/>
  <c r="PD37" i="40"/>
  <c r="PC37" i="40"/>
  <c r="PB37" i="40"/>
  <c r="PA37" i="40"/>
  <c r="OZ37" i="40"/>
  <c r="OY37" i="40"/>
  <c r="OX37" i="40"/>
  <c r="OW37" i="40"/>
  <c r="SR36" i="40"/>
  <c r="SQ36" i="40"/>
  <c r="SP36" i="40"/>
  <c r="SO36" i="40"/>
  <c r="SN36" i="40"/>
  <c r="SM36" i="40"/>
  <c r="SL36" i="40"/>
  <c r="SK36" i="40"/>
  <c r="SJ36" i="40"/>
  <c r="SI36" i="40"/>
  <c r="SH36" i="40"/>
  <c r="SG36" i="40"/>
  <c r="SF36" i="40"/>
  <c r="SE36" i="40"/>
  <c r="SD36" i="40"/>
  <c r="SC36" i="40"/>
  <c r="SB36" i="40"/>
  <c r="SA36" i="40"/>
  <c r="RZ36" i="40"/>
  <c r="RY36" i="40"/>
  <c r="RX36" i="40"/>
  <c r="RW36" i="40"/>
  <c r="RV36" i="40"/>
  <c r="RU36" i="40"/>
  <c r="RT36" i="40"/>
  <c r="RS36" i="40"/>
  <c r="RR36" i="40"/>
  <c r="RQ36" i="40"/>
  <c r="RP36" i="40"/>
  <c r="RO36" i="40"/>
  <c r="RN36" i="40"/>
  <c r="RM36" i="40"/>
  <c r="RL36" i="40"/>
  <c r="RK36" i="40"/>
  <c r="RJ36" i="40"/>
  <c r="RI36" i="40"/>
  <c r="RH36" i="40"/>
  <c r="RG36" i="40"/>
  <c r="RF36" i="40"/>
  <c r="RE36" i="40"/>
  <c r="RD36" i="40"/>
  <c r="RC36" i="40"/>
  <c r="RB36" i="40"/>
  <c r="RA36" i="40"/>
  <c r="QZ36" i="40"/>
  <c r="QY36" i="40"/>
  <c r="QX36" i="40"/>
  <c r="QW36" i="40"/>
  <c r="QV36" i="40"/>
  <c r="QU36" i="40"/>
  <c r="QT36" i="40"/>
  <c r="QS36" i="40"/>
  <c r="QR36" i="40"/>
  <c r="QQ36" i="40"/>
  <c r="QP36" i="40"/>
  <c r="QO36" i="40"/>
  <c r="QN36" i="40"/>
  <c r="QM36" i="40"/>
  <c r="QL36" i="40"/>
  <c r="QK36" i="40"/>
  <c r="QJ36" i="40"/>
  <c r="QI36" i="40"/>
  <c r="QH36" i="40"/>
  <c r="QG36" i="40"/>
  <c r="QF36" i="40"/>
  <c r="QE36" i="40"/>
  <c r="QD36" i="40"/>
  <c r="QC36" i="40"/>
  <c r="QB36" i="40"/>
  <c r="QA36" i="40"/>
  <c r="PZ36" i="40"/>
  <c r="PY36" i="40"/>
  <c r="PX36" i="40"/>
  <c r="PW36" i="40"/>
  <c r="PV36" i="40"/>
  <c r="PU36" i="40"/>
  <c r="PT36" i="40"/>
  <c r="PS36" i="40"/>
  <c r="PR36" i="40"/>
  <c r="PQ36" i="40"/>
  <c r="PP36" i="40"/>
  <c r="PO36" i="40"/>
  <c r="PN36" i="40"/>
  <c r="PM36" i="40"/>
  <c r="PL36" i="40"/>
  <c r="PK36" i="40"/>
  <c r="PJ36" i="40"/>
  <c r="PI36" i="40"/>
  <c r="PH36" i="40"/>
  <c r="PG36" i="40"/>
  <c r="PF36" i="40"/>
  <c r="PE36" i="40"/>
  <c r="PD36" i="40"/>
  <c r="PC36" i="40"/>
  <c r="PB36" i="40"/>
  <c r="PA36" i="40"/>
  <c r="OZ36" i="40"/>
  <c r="OY36" i="40"/>
  <c r="OX36" i="40"/>
  <c r="OW36" i="40"/>
  <c r="SR35" i="40"/>
  <c r="SQ35" i="40"/>
  <c r="SP35" i="40"/>
  <c r="SO35" i="40"/>
  <c r="SN35" i="40"/>
  <c r="SM35" i="40"/>
  <c r="SL35" i="40"/>
  <c r="SK35" i="40"/>
  <c r="SJ35" i="40"/>
  <c r="SI35" i="40"/>
  <c r="SH35" i="40"/>
  <c r="SG35" i="40"/>
  <c r="SF35" i="40"/>
  <c r="SE35" i="40"/>
  <c r="SD35" i="40"/>
  <c r="SC35" i="40"/>
  <c r="SB35" i="40"/>
  <c r="SA35" i="40"/>
  <c r="RZ35" i="40"/>
  <c r="RY35" i="40"/>
  <c r="RX35" i="40"/>
  <c r="RW35" i="40"/>
  <c r="RV35" i="40"/>
  <c r="RU35" i="40"/>
  <c r="RT35" i="40"/>
  <c r="RS35" i="40"/>
  <c r="RR35" i="40"/>
  <c r="RQ35" i="40"/>
  <c r="RP35" i="40"/>
  <c r="RO35" i="40"/>
  <c r="RN35" i="40"/>
  <c r="RM35" i="40"/>
  <c r="RL35" i="40"/>
  <c r="RK35" i="40"/>
  <c r="RJ35" i="40"/>
  <c r="RI35" i="40"/>
  <c r="RH35" i="40"/>
  <c r="RG35" i="40"/>
  <c r="RF35" i="40"/>
  <c r="RE35" i="40"/>
  <c r="RD35" i="40"/>
  <c r="RC35" i="40"/>
  <c r="RB35" i="40"/>
  <c r="RA35" i="40"/>
  <c r="QZ35" i="40"/>
  <c r="QY35" i="40"/>
  <c r="QX35" i="40"/>
  <c r="QW35" i="40"/>
  <c r="QV35" i="40"/>
  <c r="QU35" i="40"/>
  <c r="QT35" i="40"/>
  <c r="QS35" i="40"/>
  <c r="QR35" i="40"/>
  <c r="QQ35" i="40"/>
  <c r="QP35" i="40"/>
  <c r="QO35" i="40"/>
  <c r="QN35" i="40"/>
  <c r="QM35" i="40"/>
  <c r="QL35" i="40"/>
  <c r="QK35" i="40"/>
  <c r="QJ35" i="40"/>
  <c r="QI35" i="40"/>
  <c r="QH35" i="40"/>
  <c r="QG35" i="40"/>
  <c r="QF35" i="40"/>
  <c r="QE35" i="40"/>
  <c r="QD35" i="40"/>
  <c r="QC35" i="40"/>
  <c r="QB35" i="40"/>
  <c r="QA35" i="40"/>
  <c r="PZ35" i="40"/>
  <c r="PY35" i="40"/>
  <c r="PX35" i="40"/>
  <c r="PW35" i="40"/>
  <c r="PV35" i="40"/>
  <c r="PU35" i="40"/>
  <c r="PT35" i="40"/>
  <c r="PS35" i="40"/>
  <c r="PR35" i="40"/>
  <c r="PQ35" i="40"/>
  <c r="PP35" i="40"/>
  <c r="PO35" i="40"/>
  <c r="PN35" i="40"/>
  <c r="PM35" i="40"/>
  <c r="PL35" i="40"/>
  <c r="PK35" i="40"/>
  <c r="PJ35" i="40"/>
  <c r="PI35" i="40"/>
  <c r="PH35" i="40"/>
  <c r="PG35" i="40"/>
  <c r="PF35" i="40"/>
  <c r="PE35" i="40"/>
  <c r="PD35" i="40"/>
  <c r="PC35" i="40"/>
  <c r="PB35" i="40"/>
  <c r="PA35" i="40"/>
  <c r="OZ35" i="40"/>
  <c r="OY35" i="40"/>
  <c r="OX35" i="40"/>
  <c r="OW35" i="40"/>
  <c r="SR34" i="40"/>
  <c r="SQ34" i="40"/>
  <c r="SP34" i="40"/>
  <c r="SO34" i="40"/>
  <c r="SN34" i="40"/>
  <c r="SM34" i="40"/>
  <c r="SL34" i="40"/>
  <c r="SK34" i="40"/>
  <c r="SJ34" i="40"/>
  <c r="SI34" i="40"/>
  <c r="SH34" i="40"/>
  <c r="SG34" i="40"/>
  <c r="SF34" i="40"/>
  <c r="SE34" i="40"/>
  <c r="SD34" i="40"/>
  <c r="SC34" i="40"/>
  <c r="SB34" i="40"/>
  <c r="SA34" i="40"/>
  <c r="RZ34" i="40"/>
  <c r="RY34" i="40"/>
  <c r="RX34" i="40"/>
  <c r="RW34" i="40"/>
  <c r="RV34" i="40"/>
  <c r="RU34" i="40"/>
  <c r="RT34" i="40"/>
  <c r="RS34" i="40"/>
  <c r="RR34" i="40"/>
  <c r="RQ34" i="40"/>
  <c r="RP34" i="40"/>
  <c r="RO34" i="40"/>
  <c r="RN34" i="40"/>
  <c r="RM34" i="40"/>
  <c r="RL34" i="40"/>
  <c r="RK34" i="40"/>
  <c r="RJ34" i="40"/>
  <c r="RI34" i="40"/>
  <c r="RH34" i="40"/>
  <c r="RG34" i="40"/>
  <c r="RF34" i="40"/>
  <c r="RE34" i="40"/>
  <c r="RD34" i="40"/>
  <c r="RC34" i="40"/>
  <c r="RB34" i="40"/>
  <c r="RA34" i="40"/>
  <c r="QZ34" i="40"/>
  <c r="QY34" i="40"/>
  <c r="QX34" i="40"/>
  <c r="QW34" i="40"/>
  <c r="QV34" i="40"/>
  <c r="QU34" i="40"/>
  <c r="QT34" i="40"/>
  <c r="QS34" i="40"/>
  <c r="QR34" i="40"/>
  <c r="QQ34" i="40"/>
  <c r="QP34" i="40"/>
  <c r="QO34" i="40"/>
  <c r="QN34" i="40"/>
  <c r="QM34" i="40"/>
  <c r="QL34" i="40"/>
  <c r="QK34" i="40"/>
  <c r="QJ34" i="40"/>
  <c r="QI34" i="40"/>
  <c r="QH34" i="40"/>
  <c r="QG34" i="40"/>
  <c r="QF34" i="40"/>
  <c r="QE34" i="40"/>
  <c r="QD34" i="40"/>
  <c r="QC34" i="40"/>
  <c r="QB34" i="40"/>
  <c r="QA34" i="40"/>
  <c r="PZ34" i="40"/>
  <c r="PY34" i="40"/>
  <c r="PX34" i="40"/>
  <c r="PW34" i="40"/>
  <c r="PV34" i="40"/>
  <c r="PU34" i="40"/>
  <c r="PT34" i="40"/>
  <c r="PS34" i="40"/>
  <c r="PR34" i="40"/>
  <c r="PQ34" i="40"/>
  <c r="PP34" i="40"/>
  <c r="PO34" i="40"/>
  <c r="PN34" i="40"/>
  <c r="PM34" i="40"/>
  <c r="PL34" i="40"/>
  <c r="PK34" i="40"/>
  <c r="PJ34" i="40"/>
  <c r="PI34" i="40"/>
  <c r="PH34" i="40"/>
  <c r="PG34" i="40"/>
  <c r="PF34" i="40"/>
  <c r="PE34" i="40"/>
  <c r="PD34" i="40"/>
  <c r="PC34" i="40"/>
  <c r="PB34" i="40"/>
  <c r="PA34" i="40"/>
  <c r="OZ34" i="40"/>
  <c r="OY34" i="40"/>
  <c r="OX34" i="40"/>
  <c r="OW34" i="40"/>
  <c r="SR33" i="40"/>
  <c r="SQ33" i="40"/>
  <c r="SP33" i="40"/>
  <c r="SO33" i="40"/>
  <c r="SN33" i="40"/>
  <c r="SM33" i="40"/>
  <c r="SL33" i="40"/>
  <c r="SK33" i="40"/>
  <c r="SJ33" i="40"/>
  <c r="SI33" i="40"/>
  <c r="SH33" i="40"/>
  <c r="SG33" i="40"/>
  <c r="SF33" i="40"/>
  <c r="SE33" i="40"/>
  <c r="SD33" i="40"/>
  <c r="SC33" i="40"/>
  <c r="SB33" i="40"/>
  <c r="SA33" i="40"/>
  <c r="RZ33" i="40"/>
  <c r="RY33" i="40"/>
  <c r="RX33" i="40"/>
  <c r="RW33" i="40"/>
  <c r="RV33" i="40"/>
  <c r="RU33" i="40"/>
  <c r="RT33" i="40"/>
  <c r="RS33" i="40"/>
  <c r="RR33" i="40"/>
  <c r="RQ33" i="40"/>
  <c r="RP33" i="40"/>
  <c r="RO33" i="40"/>
  <c r="RN33" i="40"/>
  <c r="RM33" i="40"/>
  <c r="RL33" i="40"/>
  <c r="RK33" i="40"/>
  <c r="RJ33" i="40"/>
  <c r="RI33" i="40"/>
  <c r="RH33" i="40"/>
  <c r="RG33" i="40"/>
  <c r="RF33" i="40"/>
  <c r="RE33" i="40"/>
  <c r="RD33" i="40"/>
  <c r="RC33" i="40"/>
  <c r="RB33" i="40"/>
  <c r="RA33" i="40"/>
  <c r="QZ33" i="40"/>
  <c r="QY33" i="40"/>
  <c r="QX33" i="40"/>
  <c r="QW33" i="40"/>
  <c r="QV33" i="40"/>
  <c r="QU33" i="40"/>
  <c r="QT33" i="40"/>
  <c r="QS33" i="40"/>
  <c r="QR33" i="40"/>
  <c r="QQ33" i="40"/>
  <c r="QP33" i="40"/>
  <c r="QO33" i="40"/>
  <c r="QN33" i="40"/>
  <c r="QM33" i="40"/>
  <c r="QL33" i="40"/>
  <c r="QK33" i="40"/>
  <c r="QJ33" i="40"/>
  <c r="QI33" i="40"/>
  <c r="QH33" i="40"/>
  <c r="QG33" i="40"/>
  <c r="QF33" i="40"/>
  <c r="QE33" i="40"/>
  <c r="QD33" i="40"/>
  <c r="QC33" i="40"/>
  <c r="QB33" i="40"/>
  <c r="QA33" i="40"/>
  <c r="PZ33" i="40"/>
  <c r="PY33" i="40"/>
  <c r="PX33" i="40"/>
  <c r="PW33" i="40"/>
  <c r="PV33" i="40"/>
  <c r="PU33" i="40"/>
  <c r="PT33" i="40"/>
  <c r="PS33" i="40"/>
  <c r="PR33" i="40"/>
  <c r="PQ33" i="40"/>
  <c r="PP33" i="40"/>
  <c r="PO33" i="40"/>
  <c r="PN33" i="40"/>
  <c r="PM33" i="40"/>
  <c r="PL33" i="40"/>
  <c r="PK33" i="40"/>
  <c r="PJ33" i="40"/>
  <c r="PI33" i="40"/>
  <c r="PH33" i="40"/>
  <c r="PG33" i="40"/>
  <c r="PF33" i="40"/>
  <c r="PE33" i="40"/>
  <c r="PD33" i="40"/>
  <c r="PC33" i="40"/>
  <c r="PB33" i="40"/>
  <c r="PA33" i="40"/>
  <c r="OZ33" i="40"/>
  <c r="OY33" i="40"/>
  <c r="OX33" i="40"/>
  <c r="OW33" i="40"/>
  <c r="SR32" i="40"/>
  <c r="SQ32" i="40"/>
  <c r="SP32" i="40"/>
  <c r="SO32" i="40"/>
  <c r="SN32" i="40"/>
  <c r="SM32" i="40"/>
  <c r="SL32" i="40"/>
  <c r="SK32" i="40"/>
  <c r="SJ32" i="40"/>
  <c r="SI32" i="40"/>
  <c r="SH32" i="40"/>
  <c r="SG32" i="40"/>
  <c r="SF32" i="40"/>
  <c r="SE32" i="40"/>
  <c r="SD32" i="40"/>
  <c r="SC32" i="40"/>
  <c r="SB32" i="40"/>
  <c r="SA32" i="40"/>
  <c r="RZ32" i="40"/>
  <c r="RY32" i="40"/>
  <c r="RX32" i="40"/>
  <c r="RW32" i="40"/>
  <c r="RV32" i="40"/>
  <c r="RU32" i="40"/>
  <c r="RT32" i="40"/>
  <c r="RS32" i="40"/>
  <c r="RR32" i="40"/>
  <c r="RQ32" i="40"/>
  <c r="RP32" i="40"/>
  <c r="RO32" i="40"/>
  <c r="RN32" i="40"/>
  <c r="RM32" i="40"/>
  <c r="RL32" i="40"/>
  <c r="RK32" i="40"/>
  <c r="RJ32" i="40"/>
  <c r="RI32" i="40"/>
  <c r="RH32" i="40"/>
  <c r="RG32" i="40"/>
  <c r="RF32" i="40"/>
  <c r="RE32" i="40"/>
  <c r="RD32" i="40"/>
  <c r="RC32" i="40"/>
  <c r="RB32" i="40"/>
  <c r="RA32" i="40"/>
  <c r="QZ32" i="40"/>
  <c r="QY32" i="40"/>
  <c r="QX32" i="40"/>
  <c r="QW32" i="40"/>
  <c r="QV32" i="40"/>
  <c r="QU32" i="40"/>
  <c r="QT32" i="40"/>
  <c r="QS32" i="40"/>
  <c r="QR32" i="40"/>
  <c r="QQ32" i="40"/>
  <c r="QP32" i="40"/>
  <c r="QO32" i="40"/>
  <c r="QN32" i="40"/>
  <c r="QM32" i="40"/>
  <c r="QL32" i="40"/>
  <c r="QK32" i="40"/>
  <c r="QJ32" i="40"/>
  <c r="QI32" i="40"/>
  <c r="QH32" i="40"/>
  <c r="QG32" i="40"/>
  <c r="QF32" i="40"/>
  <c r="QE32" i="40"/>
  <c r="QD32" i="40"/>
  <c r="QC32" i="40"/>
  <c r="QB32" i="40"/>
  <c r="QA32" i="40"/>
  <c r="PZ32" i="40"/>
  <c r="PY32" i="40"/>
  <c r="PX32" i="40"/>
  <c r="PW32" i="40"/>
  <c r="PV32" i="40"/>
  <c r="PU32" i="40"/>
  <c r="PT32" i="40"/>
  <c r="PS32" i="40"/>
  <c r="PR32" i="40"/>
  <c r="PQ32" i="40"/>
  <c r="PP32" i="40"/>
  <c r="PO32" i="40"/>
  <c r="PN32" i="40"/>
  <c r="PM32" i="40"/>
  <c r="PL32" i="40"/>
  <c r="PK32" i="40"/>
  <c r="PJ32" i="40"/>
  <c r="PI32" i="40"/>
  <c r="PH32" i="40"/>
  <c r="PG32" i="40"/>
  <c r="PF32" i="40"/>
  <c r="PE32" i="40"/>
  <c r="PD32" i="40"/>
  <c r="PC32" i="40"/>
  <c r="PB32" i="40"/>
  <c r="PA32" i="40"/>
  <c r="OZ32" i="40"/>
  <c r="OY32" i="40"/>
  <c r="OX32" i="40"/>
  <c r="OW32" i="40"/>
  <c r="SR31" i="40"/>
  <c r="SQ31" i="40"/>
  <c r="SP31" i="40"/>
  <c r="SO31" i="40"/>
  <c r="SN31" i="40"/>
  <c r="SM31" i="40"/>
  <c r="SL31" i="40"/>
  <c r="SK31" i="40"/>
  <c r="SJ31" i="40"/>
  <c r="SI31" i="40"/>
  <c r="SH31" i="40"/>
  <c r="SG31" i="40"/>
  <c r="SF31" i="40"/>
  <c r="SE31" i="40"/>
  <c r="SD31" i="40"/>
  <c r="SC31" i="40"/>
  <c r="SB31" i="40"/>
  <c r="SA31" i="40"/>
  <c r="RZ31" i="40"/>
  <c r="RY31" i="40"/>
  <c r="RX31" i="40"/>
  <c r="RW31" i="40"/>
  <c r="RV31" i="40"/>
  <c r="RU31" i="40"/>
  <c r="RT31" i="40"/>
  <c r="RS31" i="40"/>
  <c r="RR31" i="40"/>
  <c r="RQ31" i="40"/>
  <c r="RP31" i="40"/>
  <c r="RO31" i="40"/>
  <c r="RN31" i="40"/>
  <c r="RM31" i="40"/>
  <c r="RL31" i="40"/>
  <c r="RK31" i="40"/>
  <c r="RJ31" i="40"/>
  <c r="RI31" i="40"/>
  <c r="RH31" i="40"/>
  <c r="RG31" i="40"/>
  <c r="RF31" i="40"/>
  <c r="RE31" i="40"/>
  <c r="RD31" i="40"/>
  <c r="RC31" i="40"/>
  <c r="RB31" i="40"/>
  <c r="RA31" i="40"/>
  <c r="QZ31" i="40"/>
  <c r="QY31" i="40"/>
  <c r="QX31" i="40"/>
  <c r="QW31" i="40"/>
  <c r="QV31" i="40"/>
  <c r="QU31" i="40"/>
  <c r="QT31" i="40"/>
  <c r="QS31" i="40"/>
  <c r="QR31" i="40"/>
  <c r="QQ31" i="40"/>
  <c r="QP31" i="40"/>
  <c r="QO31" i="40"/>
  <c r="QN31" i="40"/>
  <c r="QM31" i="40"/>
  <c r="QL31" i="40"/>
  <c r="QK31" i="40"/>
  <c r="QJ31" i="40"/>
  <c r="QI31" i="40"/>
  <c r="QH31" i="40"/>
  <c r="QG31" i="40"/>
  <c r="QF31" i="40"/>
  <c r="QE31" i="40"/>
  <c r="QD31" i="40"/>
  <c r="QC31" i="40"/>
  <c r="QB31" i="40"/>
  <c r="QA31" i="40"/>
  <c r="PZ31" i="40"/>
  <c r="PY31" i="40"/>
  <c r="PX31" i="40"/>
  <c r="PW31" i="40"/>
  <c r="PV31" i="40"/>
  <c r="PU31" i="40"/>
  <c r="PT31" i="40"/>
  <c r="PS31" i="40"/>
  <c r="PR31" i="40"/>
  <c r="PQ31" i="40"/>
  <c r="PP31" i="40"/>
  <c r="PO31" i="40"/>
  <c r="PN31" i="40"/>
  <c r="PM31" i="40"/>
  <c r="PL31" i="40"/>
  <c r="PK31" i="40"/>
  <c r="PJ31" i="40"/>
  <c r="PI31" i="40"/>
  <c r="PH31" i="40"/>
  <c r="PG31" i="40"/>
  <c r="PF31" i="40"/>
  <c r="PE31" i="40"/>
  <c r="PD31" i="40"/>
  <c r="PC31" i="40"/>
  <c r="PB31" i="40"/>
  <c r="PA31" i="40"/>
  <c r="OZ31" i="40"/>
  <c r="OY31" i="40"/>
  <c r="OX31" i="40"/>
  <c r="OW31" i="40"/>
  <c r="SR30" i="40"/>
  <c r="SQ30" i="40"/>
  <c r="SP30" i="40"/>
  <c r="SO30" i="40"/>
  <c r="SN30" i="40"/>
  <c r="SM30" i="40"/>
  <c r="SL30" i="40"/>
  <c r="SK30" i="40"/>
  <c r="SJ30" i="40"/>
  <c r="SI30" i="40"/>
  <c r="SH30" i="40"/>
  <c r="SG30" i="40"/>
  <c r="SF30" i="40"/>
  <c r="SE30" i="40"/>
  <c r="SD30" i="40"/>
  <c r="SC30" i="40"/>
  <c r="SB30" i="40"/>
  <c r="SA30" i="40"/>
  <c r="RZ30" i="40"/>
  <c r="RY30" i="40"/>
  <c r="RX30" i="40"/>
  <c r="RW30" i="40"/>
  <c r="RV30" i="40"/>
  <c r="RU30" i="40"/>
  <c r="RT30" i="40"/>
  <c r="RS30" i="40"/>
  <c r="RR30" i="40"/>
  <c r="RQ30" i="40"/>
  <c r="RP30" i="40"/>
  <c r="RO30" i="40"/>
  <c r="RN30" i="40"/>
  <c r="RM30" i="40"/>
  <c r="RL30" i="40"/>
  <c r="RK30" i="40"/>
  <c r="RJ30" i="40"/>
  <c r="RI30" i="40"/>
  <c r="RH30" i="40"/>
  <c r="RG30" i="40"/>
  <c r="RF30" i="40"/>
  <c r="RE30" i="40"/>
  <c r="RD30" i="40"/>
  <c r="RC30" i="40"/>
  <c r="RB30" i="40"/>
  <c r="RA30" i="40"/>
  <c r="QZ30" i="40"/>
  <c r="QY30" i="40"/>
  <c r="QX30" i="40"/>
  <c r="QW30" i="40"/>
  <c r="QV30" i="40"/>
  <c r="QU30" i="40"/>
  <c r="QT30" i="40"/>
  <c r="QS30" i="40"/>
  <c r="QR30" i="40"/>
  <c r="QQ30" i="40"/>
  <c r="QP30" i="40"/>
  <c r="QO30" i="40"/>
  <c r="QN30" i="40"/>
  <c r="QM30" i="40"/>
  <c r="QL30" i="40"/>
  <c r="QK30" i="40"/>
  <c r="QJ30" i="40"/>
  <c r="QI30" i="40"/>
  <c r="QH30" i="40"/>
  <c r="QG30" i="40"/>
  <c r="QF30" i="40"/>
  <c r="QE30" i="40"/>
  <c r="QD30" i="40"/>
  <c r="QC30" i="40"/>
  <c r="QB30" i="40"/>
  <c r="QA30" i="40"/>
  <c r="PZ30" i="40"/>
  <c r="PY30" i="40"/>
  <c r="PX30" i="40"/>
  <c r="PW30" i="40"/>
  <c r="PV30" i="40"/>
  <c r="PU30" i="40"/>
  <c r="PT30" i="40"/>
  <c r="PS30" i="40"/>
  <c r="PR30" i="40"/>
  <c r="PQ30" i="40"/>
  <c r="PP30" i="40"/>
  <c r="PO30" i="40"/>
  <c r="PN30" i="40"/>
  <c r="PM30" i="40"/>
  <c r="PL30" i="40"/>
  <c r="PK30" i="40"/>
  <c r="PJ30" i="40"/>
  <c r="PI30" i="40"/>
  <c r="PH30" i="40"/>
  <c r="PG30" i="40"/>
  <c r="PF30" i="40"/>
  <c r="PE30" i="40"/>
  <c r="PD30" i="40"/>
  <c r="PC30" i="40"/>
  <c r="PB30" i="40"/>
  <c r="PA30" i="40"/>
  <c r="OZ30" i="40"/>
  <c r="OY30" i="40"/>
  <c r="OX30" i="40"/>
  <c r="OW30" i="40"/>
  <c r="SR29" i="40"/>
  <c r="SQ29" i="40"/>
  <c r="SP29" i="40"/>
  <c r="SO29" i="40"/>
  <c r="SN29" i="40"/>
  <c r="SM29" i="40"/>
  <c r="SL29" i="40"/>
  <c r="SK29" i="40"/>
  <c r="SJ29" i="40"/>
  <c r="SI29" i="40"/>
  <c r="SH29" i="40"/>
  <c r="SG29" i="40"/>
  <c r="SF29" i="40"/>
  <c r="SE29" i="40"/>
  <c r="SD29" i="40"/>
  <c r="SC29" i="40"/>
  <c r="SB29" i="40"/>
  <c r="SA29" i="40"/>
  <c r="RZ29" i="40"/>
  <c r="RY29" i="40"/>
  <c r="RX29" i="40"/>
  <c r="RW29" i="40"/>
  <c r="RV29" i="40"/>
  <c r="RU29" i="40"/>
  <c r="RT29" i="40"/>
  <c r="RS29" i="40"/>
  <c r="RR29" i="40"/>
  <c r="RQ29" i="40"/>
  <c r="RP29" i="40"/>
  <c r="RO29" i="40"/>
  <c r="RN29" i="40"/>
  <c r="RM29" i="40"/>
  <c r="RL29" i="40"/>
  <c r="RK29" i="40"/>
  <c r="RJ29" i="40"/>
  <c r="RI29" i="40"/>
  <c r="RH29" i="40"/>
  <c r="RG29" i="40"/>
  <c r="RF29" i="40"/>
  <c r="RE29" i="40"/>
  <c r="RD29" i="40"/>
  <c r="RC29" i="40"/>
  <c r="RB29" i="40"/>
  <c r="RA29" i="40"/>
  <c r="QZ29" i="40"/>
  <c r="QY29" i="40"/>
  <c r="QX29" i="40"/>
  <c r="QW29" i="40"/>
  <c r="QV29" i="40"/>
  <c r="QU29" i="40"/>
  <c r="QT29" i="40"/>
  <c r="QS29" i="40"/>
  <c r="QR29" i="40"/>
  <c r="QQ29" i="40"/>
  <c r="QP29" i="40"/>
  <c r="QO29" i="40"/>
  <c r="QN29" i="40"/>
  <c r="QM29" i="40"/>
  <c r="QL29" i="40"/>
  <c r="QK29" i="40"/>
  <c r="QJ29" i="40"/>
  <c r="QI29" i="40"/>
  <c r="QH29" i="40"/>
  <c r="QG29" i="40"/>
  <c r="QF29" i="40"/>
  <c r="QE29" i="40"/>
  <c r="QD29" i="40"/>
  <c r="QC29" i="40"/>
  <c r="QB29" i="40"/>
  <c r="QA29" i="40"/>
  <c r="PZ29" i="40"/>
  <c r="PY29" i="40"/>
  <c r="PX29" i="40"/>
  <c r="PW29" i="40"/>
  <c r="PV29" i="40"/>
  <c r="PU29" i="40"/>
  <c r="PT29" i="40"/>
  <c r="PS29" i="40"/>
  <c r="PR29" i="40"/>
  <c r="PQ29" i="40"/>
  <c r="PP29" i="40"/>
  <c r="PO29" i="40"/>
  <c r="PN29" i="40"/>
  <c r="PM29" i="40"/>
  <c r="PL29" i="40"/>
  <c r="PK29" i="40"/>
  <c r="PJ29" i="40"/>
  <c r="PI29" i="40"/>
  <c r="PH29" i="40"/>
  <c r="PG29" i="40"/>
  <c r="PF29" i="40"/>
  <c r="PE29" i="40"/>
  <c r="PD29" i="40"/>
  <c r="PC29" i="40"/>
  <c r="PB29" i="40"/>
  <c r="PA29" i="40"/>
  <c r="OZ29" i="40"/>
  <c r="OY29" i="40"/>
  <c r="OX29" i="40"/>
  <c r="OW29" i="40"/>
  <c r="SR28" i="40"/>
  <c r="SQ28" i="40"/>
  <c r="SP28" i="40"/>
  <c r="SO28" i="40"/>
  <c r="SN28" i="40"/>
  <c r="SM28" i="40"/>
  <c r="SL28" i="40"/>
  <c r="SK28" i="40"/>
  <c r="SJ28" i="40"/>
  <c r="SI28" i="40"/>
  <c r="SH28" i="40"/>
  <c r="SG28" i="40"/>
  <c r="SF28" i="40"/>
  <c r="SE28" i="40"/>
  <c r="SD28" i="40"/>
  <c r="SC28" i="40"/>
  <c r="SB28" i="40"/>
  <c r="SA28" i="40"/>
  <c r="RZ28" i="40"/>
  <c r="RY28" i="40"/>
  <c r="RX28" i="40"/>
  <c r="RW28" i="40"/>
  <c r="RV28" i="40"/>
  <c r="RU28" i="40"/>
  <c r="RT28" i="40"/>
  <c r="RS28" i="40"/>
  <c r="RR28" i="40"/>
  <c r="RQ28" i="40"/>
  <c r="RP28" i="40"/>
  <c r="RO28" i="40"/>
  <c r="RN28" i="40"/>
  <c r="RM28" i="40"/>
  <c r="RL28" i="40"/>
  <c r="RK28" i="40"/>
  <c r="RJ28" i="40"/>
  <c r="RI28" i="40"/>
  <c r="RH28" i="40"/>
  <c r="RG28" i="40"/>
  <c r="RF28" i="40"/>
  <c r="RE28" i="40"/>
  <c r="RD28" i="40"/>
  <c r="RC28" i="40"/>
  <c r="RB28" i="40"/>
  <c r="RA28" i="40"/>
  <c r="QZ28" i="40"/>
  <c r="QY28" i="40"/>
  <c r="QX28" i="40"/>
  <c r="QW28" i="40"/>
  <c r="QV28" i="40"/>
  <c r="QU28" i="40"/>
  <c r="QT28" i="40"/>
  <c r="QS28" i="40"/>
  <c r="QR28" i="40"/>
  <c r="QQ28" i="40"/>
  <c r="QP28" i="40"/>
  <c r="QO28" i="40"/>
  <c r="QN28" i="40"/>
  <c r="QM28" i="40"/>
  <c r="QL28" i="40"/>
  <c r="QK28" i="40"/>
  <c r="QJ28" i="40"/>
  <c r="QI28" i="40"/>
  <c r="QH28" i="40"/>
  <c r="QG28" i="40"/>
  <c r="QF28" i="40"/>
  <c r="QE28" i="40"/>
  <c r="QD28" i="40"/>
  <c r="QC28" i="40"/>
  <c r="QB28" i="40"/>
  <c r="QA28" i="40"/>
  <c r="PZ28" i="40"/>
  <c r="PY28" i="40"/>
  <c r="PX28" i="40"/>
  <c r="PW28" i="40"/>
  <c r="PV28" i="40"/>
  <c r="PU28" i="40"/>
  <c r="PT28" i="40"/>
  <c r="PS28" i="40"/>
  <c r="PR28" i="40"/>
  <c r="PQ28" i="40"/>
  <c r="PP28" i="40"/>
  <c r="PO28" i="40"/>
  <c r="PN28" i="40"/>
  <c r="PM28" i="40"/>
  <c r="PL28" i="40"/>
  <c r="PK28" i="40"/>
  <c r="PJ28" i="40"/>
  <c r="PI28" i="40"/>
  <c r="PH28" i="40"/>
  <c r="PG28" i="40"/>
  <c r="PF28" i="40"/>
  <c r="PE28" i="40"/>
  <c r="PD28" i="40"/>
  <c r="PC28" i="40"/>
  <c r="PB28" i="40"/>
  <c r="PA28" i="40"/>
  <c r="OZ28" i="40"/>
  <c r="OY28" i="40"/>
  <c r="OX28" i="40"/>
  <c r="OW28" i="40"/>
  <c r="SR27" i="40"/>
  <c r="SQ27" i="40"/>
  <c r="SP27" i="40"/>
  <c r="SO27" i="40"/>
  <c r="SN27" i="40"/>
  <c r="SM27" i="40"/>
  <c r="SL27" i="40"/>
  <c r="SK27" i="40"/>
  <c r="SJ27" i="40"/>
  <c r="SI27" i="40"/>
  <c r="SH27" i="40"/>
  <c r="SG27" i="40"/>
  <c r="SF27" i="40"/>
  <c r="SE27" i="40"/>
  <c r="SD27" i="40"/>
  <c r="SC27" i="40"/>
  <c r="SB27" i="40"/>
  <c r="SA27" i="40"/>
  <c r="RZ27" i="40"/>
  <c r="RY27" i="40"/>
  <c r="RX27" i="40"/>
  <c r="RW27" i="40"/>
  <c r="RV27" i="40"/>
  <c r="RU27" i="40"/>
  <c r="RT27" i="40"/>
  <c r="RS27" i="40"/>
  <c r="RR27" i="40"/>
  <c r="RQ27" i="40"/>
  <c r="RP27" i="40"/>
  <c r="RO27" i="40"/>
  <c r="RN27" i="40"/>
  <c r="RM27" i="40"/>
  <c r="RL27" i="40"/>
  <c r="RK27" i="40"/>
  <c r="RJ27" i="40"/>
  <c r="RI27" i="40"/>
  <c r="RH27" i="40"/>
  <c r="RG27" i="40"/>
  <c r="RF27" i="40"/>
  <c r="RE27" i="40"/>
  <c r="RD27" i="40"/>
  <c r="RC27" i="40"/>
  <c r="RB27" i="40"/>
  <c r="RA27" i="40"/>
  <c r="QZ27" i="40"/>
  <c r="QY27" i="40"/>
  <c r="QX27" i="40"/>
  <c r="QW27" i="40"/>
  <c r="QV27" i="40"/>
  <c r="QU27" i="40"/>
  <c r="QT27" i="40"/>
  <c r="QS27" i="40"/>
  <c r="QR27" i="40"/>
  <c r="QQ27" i="40"/>
  <c r="QP27" i="40"/>
  <c r="QO27" i="40"/>
  <c r="QN27" i="40"/>
  <c r="QM27" i="40"/>
  <c r="QL27" i="40"/>
  <c r="QK27" i="40"/>
  <c r="QJ27" i="40"/>
  <c r="QI27" i="40"/>
  <c r="QH27" i="40"/>
  <c r="QG27" i="40"/>
  <c r="QF27" i="40"/>
  <c r="QE27" i="40"/>
  <c r="QD27" i="40"/>
  <c r="QC27" i="40"/>
  <c r="QB27" i="40"/>
  <c r="QA27" i="40"/>
  <c r="PZ27" i="40"/>
  <c r="PY27" i="40"/>
  <c r="PX27" i="40"/>
  <c r="PW27" i="40"/>
  <c r="PV27" i="40"/>
  <c r="PU27" i="40"/>
  <c r="PT27" i="40"/>
  <c r="PS27" i="40"/>
  <c r="PR27" i="40"/>
  <c r="PQ27" i="40"/>
  <c r="PP27" i="40"/>
  <c r="PO27" i="40"/>
  <c r="PN27" i="40"/>
  <c r="PM27" i="40"/>
  <c r="PL27" i="40"/>
  <c r="PK27" i="40"/>
  <c r="PJ27" i="40"/>
  <c r="PI27" i="40"/>
  <c r="PH27" i="40"/>
  <c r="PG27" i="40"/>
  <c r="PF27" i="40"/>
  <c r="PE27" i="40"/>
  <c r="PD27" i="40"/>
  <c r="PC27" i="40"/>
  <c r="PB27" i="40"/>
  <c r="PA27" i="40"/>
  <c r="OZ27" i="40"/>
  <c r="OY27" i="40"/>
  <c r="OX27" i="40"/>
  <c r="OW27" i="40"/>
  <c r="SR26" i="40"/>
  <c r="SQ26" i="40"/>
  <c r="SP26" i="40"/>
  <c r="SO26" i="40"/>
  <c r="SN26" i="40"/>
  <c r="SM26" i="40"/>
  <c r="SL26" i="40"/>
  <c r="SK26" i="40"/>
  <c r="SJ26" i="40"/>
  <c r="SI26" i="40"/>
  <c r="SH26" i="40"/>
  <c r="SG26" i="40"/>
  <c r="SF26" i="40"/>
  <c r="SE26" i="40"/>
  <c r="SD26" i="40"/>
  <c r="SC26" i="40"/>
  <c r="SB26" i="40"/>
  <c r="SA26" i="40"/>
  <c r="RZ26" i="40"/>
  <c r="RY26" i="40"/>
  <c r="RX26" i="40"/>
  <c r="RW26" i="40"/>
  <c r="RV26" i="40"/>
  <c r="RU26" i="40"/>
  <c r="RT26" i="40"/>
  <c r="RS26" i="40"/>
  <c r="RR26" i="40"/>
  <c r="RQ26" i="40"/>
  <c r="RP26" i="40"/>
  <c r="RO26" i="40"/>
  <c r="RN26" i="40"/>
  <c r="RM26" i="40"/>
  <c r="RL26" i="40"/>
  <c r="RK26" i="40"/>
  <c r="RJ26" i="40"/>
  <c r="RI26" i="40"/>
  <c r="RH26" i="40"/>
  <c r="RG26" i="40"/>
  <c r="RF26" i="40"/>
  <c r="RE26" i="40"/>
  <c r="RD26" i="40"/>
  <c r="RC26" i="40"/>
  <c r="RB26" i="40"/>
  <c r="RA26" i="40"/>
  <c r="QZ26" i="40"/>
  <c r="QY26" i="40"/>
  <c r="QX26" i="40"/>
  <c r="QW26" i="40"/>
  <c r="QV26" i="40"/>
  <c r="QU26" i="40"/>
  <c r="QT26" i="40"/>
  <c r="QS26" i="40"/>
  <c r="QR26" i="40"/>
  <c r="QQ26" i="40"/>
  <c r="QP26" i="40"/>
  <c r="QO26" i="40"/>
  <c r="QN26" i="40"/>
  <c r="QM26" i="40"/>
  <c r="QL26" i="40"/>
  <c r="QK26" i="40"/>
  <c r="QJ26" i="40"/>
  <c r="QI26" i="40"/>
  <c r="QH26" i="40"/>
  <c r="QG26" i="40"/>
  <c r="QF26" i="40"/>
  <c r="QE26" i="40"/>
  <c r="QD26" i="40"/>
  <c r="QC26" i="40"/>
  <c r="QB26" i="40"/>
  <c r="QA26" i="40"/>
  <c r="PZ26" i="40"/>
  <c r="PY26" i="40"/>
  <c r="PX26" i="40"/>
  <c r="PW26" i="40"/>
  <c r="PV26" i="40"/>
  <c r="PU26" i="40"/>
  <c r="PT26" i="40"/>
  <c r="PS26" i="40"/>
  <c r="PR26" i="40"/>
  <c r="PQ26" i="40"/>
  <c r="PP26" i="40"/>
  <c r="PO26" i="40"/>
  <c r="PN26" i="40"/>
  <c r="PM26" i="40"/>
  <c r="PL26" i="40"/>
  <c r="PK26" i="40"/>
  <c r="PJ26" i="40"/>
  <c r="PI26" i="40"/>
  <c r="PH26" i="40"/>
  <c r="PG26" i="40"/>
  <c r="PF26" i="40"/>
  <c r="PE26" i="40"/>
  <c r="PD26" i="40"/>
  <c r="PC26" i="40"/>
  <c r="PB26" i="40"/>
  <c r="PA26" i="40"/>
  <c r="OZ26" i="40"/>
  <c r="OY26" i="40"/>
  <c r="OX26" i="40"/>
  <c r="OW26" i="40"/>
  <c r="SR25" i="40"/>
  <c r="SQ25" i="40"/>
  <c r="SP25" i="40"/>
  <c r="SO25" i="40"/>
  <c r="SN25" i="40"/>
  <c r="SM25" i="40"/>
  <c r="SL25" i="40"/>
  <c r="SK25" i="40"/>
  <c r="SJ25" i="40"/>
  <c r="SI25" i="40"/>
  <c r="SH25" i="40"/>
  <c r="SG25" i="40"/>
  <c r="SF25" i="40"/>
  <c r="SE25" i="40"/>
  <c r="SD25" i="40"/>
  <c r="SC25" i="40"/>
  <c r="SB25" i="40"/>
  <c r="SA25" i="40"/>
  <c r="RZ25" i="40"/>
  <c r="RY25" i="40"/>
  <c r="RX25" i="40"/>
  <c r="RW25" i="40"/>
  <c r="RV25" i="40"/>
  <c r="RU25" i="40"/>
  <c r="RT25" i="40"/>
  <c r="RS25" i="40"/>
  <c r="RR25" i="40"/>
  <c r="RQ25" i="40"/>
  <c r="RP25" i="40"/>
  <c r="RO25" i="40"/>
  <c r="RN25" i="40"/>
  <c r="RM25" i="40"/>
  <c r="RL25" i="40"/>
  <c r="RK25" i="40"/>
  <c r="RJ25" i="40"/>
  <c r="RI25" i="40"/>
  <c r="RH25" i="40"/>
  <c r="RG25" i="40"/>
  <c r="RF25" i="40"/>
  <c r="RE25" i="40"/>
  <c r="RD25" i="40"/>
  <c r="RC25" i="40"/>
  <c r="RB25" i="40"/>
  <c r="RA25" i="40"/>
  <c r="QZ25" i="40"/>
  <c r="QY25" i="40"/>
  <c r="QX25" i="40"/>
  <c r="QW25" i="40"/>
  <c r="QV25" i="40"/>
  <c r="QU25" i="40"/>
  <c r="QT25" i="40"/>
  <c r="QS25" i="40"/>
  <c r="QR25" i="40"/>
  <c r="QQ25" i="40"/>
  <c r="QP25" i="40"/>
  <c r="QO25" i="40"/>
  <c r="QN25" i="40"/>
  <c r="QM25" i="40"/>
  <c r="QL25" i="40"/>
  <c r="QK25" i="40"/>
  <c r="QJ25" i="40"/>
  <c r="QI25" i="40"/>
  <c r="QH25" i="40"/>
  <c r="QG25" i="40"/>
  <c r="QF25" i="40"/>
  <c r="QE25" i="40"/>
  <c r="QD25" i="40"/>
  <c r="QC25" i="40"/>
  <c r="QB25" i="40"/>
  <c r="QA25" i="40"/>
  <c r="PZ25" i="40"/>
  <c r="PY25" i="40"/>
  <c r="PX25" i="40"/>
  <c r="PW25" i="40"/>
  <c r="PV25" i="40"/>
  <c r="PU25" i="40"/>
  <c r="PT25" i="40"/>
  <c r="PS25" i="40"/>
  <c r="PR25" i="40"/>
  <c r="PQ25" i="40"/>
  <c r="PP25" i="40"/>
  <c r="PO25" i="40"/>
  <c r="PN25" i="40"/>
  <c r="PM25" i="40"/>
  <c r="PL25" i="40"/>
  <c r="PK25" i="40"/>
  <c r="PJ25" i="40"/>
  <c r="PI25" i="40"/>
  <c r="PH25" i="40"/>
  <c r="PG25" i="40"/>
  <c r="PF25" i="40"/>
  <c r="PE25" i="40"/>
  <c r="PD25" i="40"/>
  <c r="PC25" i="40"/>
  <c r="PB25" i="40"/>
  <c r="PA25" i="40"/>
  <c r="OZ25" i="40"/>
  <c r="OY25" i="40"/>
  <c r="OX25" i="40"/>
  <c r="OW25" i="40"/>
  <c r="SR24" i="40"/>
  <c r="SQ24" i="40"/>
  <c r="SP24" i="40"/>
  <c r="SO24" i="40"/>
  <c r="SN24" i="40"/>
  <c r="SM24" i="40"/>
  <c r="SL24" i="40"/>
  <c r="SK24" i="40"/>
  <c r="SJ24" i="40"/>
  <c r="SI24" i="40"/>
  <c r="SH24" i="40"/>
  <c r="SG24" i="40"/>
  <c r="SF24" i="40"/>
  <c r="SE24" i="40"/>
  <c r="SD24" i="40"/>
  <c r="SC24" i="40"/>
  <c r="SB24" i="40"/>
  <c r="SA24" i="40"/>
  <c r="RZ24" i="40"/>
  <c r="RY24" i="40"/>
  <c r="RX24" i="40"/>
  <c r="RW24" i="40"/>
  <c r="RV24" i="40"/>
  <c r="RU24" i="40"/>
  <c r="RT24" i="40"/>
  <c r="RS24" i="40"/>
  <c r="RR24" i="40"/>
  <c r="RQ24" i="40"/>
  <c r="RP24" i="40"/>
  <c r="RO24" i="40"/>
  <c r="RN24" i="40"/>
  <c r="RM24" i="40"/>
  <c r="RL24" i="40"/>
  <c r="RK24" i="40"/>
  <c r="RJ24" i="40"/>
  <c r="RI24" i="40"/>
  <c r="RH24" i="40"/>
  <c r="RG24" i="40"/>
  <c r="RF24" i="40"/>
  <c r="RE24" i="40"/>
  <c r="RD24" i="40"/>
  <c r="RC24" i="40"/>
  <c r="RB24" i="40"/>
  <c r="RA24" i="40"/>
  <c r="QZ24" i="40"/>
  <c r="QY24" i="40"/>
  <c r="QX24" i="40"/>
  <c r="QW24" i="40"/>
  <c r="QV24" i="40"/>
  <c r="QU24" i="40"/>
  <c r="QT24" i="40"/>
  <c r="QS24" i="40"/>
  <c r="QR24" i="40"/>
  <c r="QQ24" i="40"/>
  <c r="QP24" i="40"/>
  <c r="QO24" i="40"/>
  <c r="QN24" i="40"/>
  <c r="QM24" i="40"/>
  <c r="QL24" i="40"/>
  <c r="QK24" i="40"/>
  <c r="QJ24" i="40"/>
  <c r="QI24" i="40"/>
  <c r="QH24" i="40"/>
  <c r="QG24" i="40"/>
  <c r="QF24" i="40"/>
  <c r="QE24" i="40"/>
  <c r="QD24" i="40"/>
  <c r="QC24" i="40"/>
  <c r="QB24" i="40"/>
  <c r="QA24" i="40"/>
  <c r="PZ24" i="40"/>
  <c r="PY24" i="40"/>
  <c r="PX24" i="40"/>
  <c r="PW24" i="40"/>
  <c r="PV24" i="40"/>
  <c r="PU24" i="40"/>
  <c r="PT24" i="40"/>
  <c r="PS24" i="40"/>
  <c r="PR24" i="40"/>
  <c r="PQ24" i="40"/>
  <c r="PP24" i="40"/>
  <c r="PO24" i="40"/>
  <c r="PN24" i="40"/>
  <c r="PM24" i="40"/>
  <c r="PL24" i="40"/>
  <c r="PK24" i="40"/>
  <c r="PJ24" i="40"/>
  <c r="PI24" i="40"/>
  <c r="PH24" i="40"/>
  <c r="PG24" i="40"/>
  <c r="PF24" i="40"/>
  <c r="PE24" i="40"/>
  <c r="PD24" i="40"/>
  <c r="PC24" i="40"/>
  <c r="PB24" i="40"/>
  <c r="PA24" i="40"/>
  <c r="OZ24" i="40"/>
  <c r="OY24" i="40"/>
  <c r="OX24" i="40"/>
  <c r="OW24" i="40"/>
  <c r="SR23" i="40"/>
  <c r="SQ23" i="40"/>
  <c r="SP23" i="40"/>
  <c r="SO23" i="40"/>
  <c r="SN23" i="40"/>
  <c r="SM23" i="40"/>
  <c r="SL23" i="40"/>
  <c r="SK23" i="40"/>
  <c r="SJ23" i="40"/>
  <c r="SI23" i="40"/>
  <c r="SH23" i="40"/>
  <c r="SG23" i="40"/>
  <c r="SF23" i="40"/>
  <c r="SE23" i="40"/>
  <c r="SD23" i="40"/>
  <c r="SC23" i="40"/>
  <c r="SB23" i="40"/>
  <c r="SA23" i="40"/>
  <c r="RZ23" i="40"/>
  <c r="RY23" i="40"/>
  <c r="RX23" i="40"/>
  <c r="RW23" i="40"/>
  <c r="RV23" i="40"/>
  <c r="RU23" i="40"/>
  <c r="RT23" i="40"/>
  <c r="RS23" i="40"/>
  <c r="RR23" i="40"/>
  <c r="RQ23" i="40"/>
  <c r="RP23" i="40"/>
  <c r="RO23" i="40"/>
  <c r="RN23" i="40"/>
  <c r="RM23" i="40"/>
  <c r="RL23" i="40"/>
  <c r="RK23" i="40"/>
  <c r="RJ23" i="40"/>
  <c r="RI23" i="40"/>
  <c r="RH23" i="40"/>
  <c r="RG23" i="40"/>
  <c r="RF23" i="40"/>
  <c r="RE23" i="40"/>
  <c r="RD23" i="40"/>
  <c r="RC23" i="40"/>
  <c r="RB23" i="40"/>
  <c r="RA23" i="40"/>
  <c r="QZ23" i="40"/>
  <c r="QY23" i="40"/>
  <c r="QX23" i="40"/>
  <c r="QW23" i="40"/>
  <c r="QV23" i="40"/>
  <c r="QU23" i="40"/>
  <c r="QT23" i="40"/>
  <c r="QS23" i="40"/>
  <c r="QR23" i="40"/>
  <c r="QQ23" i="40"/>
  <c r="QP23" i="40"/>
  <c r="QO23" i="40"/>
  <c r="QN23" i="40"/>
  <c r="QM23" i="40"/>
  <c r="QL23" i="40"/>
  <c r="QK23" i="40"/>
  <c r="QJ23" i="40"/>
  <c r="QI23" i="40"/>
  <c r="QH23" i="40"/>
  <c r="QG23" i="40"/>
  <c r="QF23" i="40"/>
  <c r="QE23" i="40"/>
  <c r="QD23" i="40"/>
  <c r="QC23" i="40"/>
  <c r="QB23" i="40"/>
  <c r="QA23" i="40"/>
  <c r="PZ23" i="40"/>
  <c r="PY23" i="40"/>
  <c r="PX23" i="40"/>
  <c r="PW23" i="40"/>
  <c r="PV23" i="40"/>
  <c r="PU23" i="40"/>
  <c r="PT23" i="40"/>
  <c r="PS23" i="40"/>
  <c r="PR23" i="40"/>
  <c r="PQ23" i="40"/>
  <c r="PP23" i="40"/>
  <c r="PO23" i="40"/>
  <c r="PN23" i="40"/>
  <c r="PM23" i="40"/>
  <c r="PL23" i="40"/>
  <c r="PK23" i="40"/>
  <c r="PJ23" i="40"/>
  <c r="PI23" i="40"/>
  <c r="PH23" i="40"/>
  <c r="PG23" i="40"/>
  <c r="PF23" i="40"/>
  <c r="PE23" i="40"/>
  <c r="PD23" i="40"/>
  <c r="PC23" i="40"/>
  <c r="PB23" i="40"/>
  <c r="PA23" i="40"/>
  <c r="OZ23" i="40"/>
  <c r="OY23" i="40"/>
  <c r="OX23" i="40"/>
  <c r="OW23" i="40"/>
  <c r="SR22" i="40"/>
  <c r="SQ22" i="40"/>
  <c r="SP22" i="40"/>
  <c r="SO22" i="40"/>
  <c r="SN22" i="40"/>
  <c r="SM22" i="40"/>
  <c r="SL22" i="40"/>
  <c r="SK22" i="40"/>
  <c r="SJ22" i="40"/>
  <c r="SI22" i="40"/>
  <c r="SH22" i="40"/>
  <c r="SG22" i="40"/>
  <c r="SF22" i="40"/>
  <c r="SE22" i="40"/>
  <c r="SD22" i="40"/>
  <c r="SC22" i="40"/>
  <c r="SB22" i="40"/>
  <c r="SA22" i="40"/>
  <c r="RZ22" i="40"/>
  <c r="RY22" i="40"/>
  <c r="RX22" i="40"/>
  <c r="RW22" i="40"/>
  <c r="RV22" i="40"/>
  <c r="RU22" i="40"/>
  <c r="RT22" i="40"/>
  <c r="RS22" i="40"/>
  <c r="RR22" i="40"/>
  <c r="RQ22" i="40"/>
  <c r="RP22" i="40"/>
  <c r="RO22" i="40"/>
  <c r="RN22" i="40"/>
  <c r="RM22" i="40"/>
  <c r="RL22" i="40"/>
  <c r="RK22" i="40"/>
  <c r="RJ22" i="40"/>
  <c r="RI22" i="40"/>
  <c r="RH22" i="40"/>
  <c r="RG22" i="40"/>
  <c r="RF22" i="40"/>
  <c r="RE22" i="40"/>
  <c r="RD22" i="40"/>
  <c r="RC22" i="40"/>
  <c r="RB22" i="40"/>
  <c r="RA22" i="40"/>
  <c r="QZ22" i="40"/>
  <c r="QY22" i="40"/>
  <c r="QX22" i="40"/>
  <c r="QW22" i="40"/>
  <c r="QV22" i="40"/>
  <c r="QU22" i="40"/>
  <c r="QT22" i="40"/>
  <c r="QS22" i="40"/>
  <c r="QR22" i="40"/>
  <c r="QQ22" i="40"/>
  <c r="QP22" i="40"/>
  <c r="QO22" i="40"/>
  <c r="QN22" i="40"/>
  <c r="QM22" i="40"/>
  <c r="QL22" i="40"/>
  <c r="QK22" i="40"/>
  <c r="QJ22" i="40"/>
  <c r="QI22" i="40"/>
  <c r="QH22" i="40"/>
  <c r="QG22" i="40"/>
  <c r="QF22" i="40"/>
  <c r="QE22" i="40"/>
  <c r="QD22" i="40"/>
  <c r="QC22" i="40"/>
  <c r="QB22" i="40"/>
  <c r="QA22" i="40"/>
  <c r="PZ22" i="40"/>
  <c r="PY22" i="40"/>
  <c r="PX22" i="40"/>
  <c r="PW22" i="40"/>
  <c r="PV22" i="40"/>
  <c r="PU22" i="40"/>
  <c r="PT22" i="40"/>
  <c r="PS22" i="40"/>
  <c r="PR22" i="40"/>
  <c r="PQ22" i="40"/>
  <c r="PP22" i="40"/>
  <c r="PO22" i="40"/>
  <c r="PN22" i="40"/>
  <c r="PM22" i="40"/>
  <c r="PL22" i="40"/>
  <c r="PK22" i="40"/>
  <c r="PJ22" i="40"/>
  <c r="PI22" i="40"/>
  <c r="PH22" i="40"/>
  <c r="PG22" i="40"/>
  <c r="PF22" i="40"/>
  <c r="PE22" i="40"/>
  <c r="PD22" i="40"/>
  <c r="PC22" i="40"/>
  <c r="PB22" i="40"/>
  <c r="PA22" i="40"/>
  <c r="OZ22" i="40"/>
  <c r="OY22" i="40"/>
  <c r="OX22" i="40"/>
  <c r="OW22" i="40"/>
  <c r="SR21" i="40"/>
  <c r="SQ21" i="40"/>
  <c r="SP21" i="40"/>
  <c r="SO21" i="40"/>
  <c r="SN21" i="40"/>
  <c r="SM21" i="40"/>
  <c r="SL21" i="40"/>
  <c r="SK21" i="40"/>
  <c r="SJ21" i="40"/>
  <c r="SI21" i="40"/>
  <c r="SH21" i="40"/>
  <c r="SG21" i="40"/>
  <c r="SF21" i="40"/>
  <c r="SE21" i="40"/>
  <c r="SD21" i="40"/>
  <c r="SC21" i="40"/>
  <c r="SB21" i="40"/>
  <c r="SA21" i="40"/>
  <c r="RZ21" i="40"/>
  <c r="RY21" i="40"/>
  <c r="RX21" i="40"/>
  <c r="RW21" i="40"/>
  <c r="RV21" i="40"/>
  <c r="RU21" i="40"/>
  <c r="RT21" i="40"/>
  <c r="RS21" i="40"/>
  <c r="RR21" i="40"/>
  <c r="RQ21" i="40"/>
  <c r="RP21" i="40"/>
  <c r="RO21" i="40"/>
  <c r="RN21" i="40"/>
  <c r="RM21" i="40"/>
  <c r="RL21" i="40"/>
  <c r="RK21" i="40"/>
  <c r="RJ21" i="40"/>
  <c r="RI21" i="40"/>
  <c r="RH21" i="40"/>
  <c r="RG21" i="40"/>
  <c r="RF21" i="40"/>
  <c r="RE21" i="40"/>
  <c r="RD21" i="40"/>
  <c r="RC21" i="40"/>
  <c r="RB21" i="40"/>
  <c r="RA21" i="40"/>
  <c r="QZ21" i="40"/>
  <c r="QY21" i="40"/>
  <c r="QX21" i="40"/>
  <c r="QW21" i="40"/>
  <c r="QV21" i="40"/>
  <c r="QU21" i="40"/>
  <c r="QT21" i="40"/>
  <c r="QS21" i="40"/>
  <c r="QR21" i="40"/>
  <c r="QQ21" i="40"/>
  <c r="QP21" i="40"/>
  <c r="QO21" i="40"/>
  <c r="QN21" i="40"/>
  <c r="QM21" i="40"/>
  <c r="QL21" i="40"/>
  <c r="QK21" i="40"/>
  <c r="QJ21" i="40"/>
  <c r="QI21" i="40"/>
  <c r="QH21" i="40"/>
  <c r="QG21" i="40"/>
  <c r="QF21" i="40"/>
  <c r="QE21" i="40"/>
  <c r="QD21" i="40"/>
  <c r="QC21" i="40"/>
  <c r="QB21" i="40"/>
  <c r="QA21" i="40"/>
  <c r="PZ21" i="40"/>
  <c r="PY21" i="40"/>
  <c r="PX21" i="40"/>
  <c r="PW21" i="40"/>
  <c r="PV21" i="40"/>
  <c r="PU21" i="40"/>
  <c r="PT21" i="40"/>
  <c r="PS21" i="40"/>
  <c r="PR21" i="40"/>
  <c r="PQ21" i="40"/>
  <c r="PP21" i="40"/>
  <c r="PO21" i="40"/>
  <c r="PN21" i="40"/>
  <c r="PM21" i="40"/>
  <c r="PL21" i="40"/>
  <c r="PK21" i="40"/>
  <c r="PJ21" i="40"/>
  <c r="PI21" i="40"/>
  <c r="PH21" i="40"/>
  <c r="PG21" i="40"/>
  <c r="PF21" i="40"/>
  <c r="PE21" i="40"/>
  <c r="PD21" i="40"/>
  <c r="PC21" i="40"/>
  <c r="PB21" i="40"/>
  <c r="PA21" i="40"/>
  <c r="OZ21" i="40"/>
  <c r="OY21" i="40"/>
  <c r="OX21" i="40"/>
  <c r="OW21" i="40"/>
  <c r="SR20" i="40"/>
  <c r="SQ20" i="40"/>
  <c r="SP20" i="40"/>
  <c r="SO20" i="40"/>
  <c r="SN20" i="40"/>
  <c r="SM20" i="40"/>
  <c r="SL20" i="40"/>
  <c r="SK20" i="40"/>
  <c r="SJ20" i="40"/>
  <c r="SI20" i="40"/>
  <c r="SH20" i="40"/>
  <c r="SG20" i="40"/>
  <c r="SF20" i="40"/>
  <c r="SE20" i="40"/>
  <c r="SD20" i="40"/>
  <c r="SC20" i="40"/>
  <c r="SB20" i="40"/>
  <c r="SA20" i="40"/>
  <c r="RZ20" i="40"/>
  <c r="RY20" i="40"/>
  <c r="RX20" i="40"/>
  <c r="RW20" i="40"/>
  <c r="RV20" i="40"/>
  <c r="RU20" i="40"/>
  <c r="RT20" i="40"/>
  <c r="RS20" i="40"/>
  <c r="RR20" i="40"/>
  <c r="RQ20" i="40"/>
  <c r="RP20" i="40"/>
  <c r="RO20" i="40"/>
  <c r="RN20" i="40"/>
  <c r="RM20" i="40"/>
  <c r="RL20" i="40"/>
  <c r="RK20" i="40"/>
  <c r="RJ20" i="40"/>
  <c r="RI20" i="40"/>
  <c r="RH20" i="40"/>
  <c r="RG20" i="40"/>
  <c r="RF20" i="40"/>
  <c r="RE20" i="40"/>
  <c r="RD20" i="40"/>
  <c r="RC20" i="40"/>
  <c r="RB20" i="40"/>
  <c r="RA20" i="40"/>
  <c r="QZ20" i="40"/>
  <c r="QY20" i="40"/>
  <c r="QX20" i="40"/>
  <c r="QW20" i="40"/>
  <c r="QV20" i="40"/>
  <c r="QU20" i="40"/>
  <c r="QT20" i="40"/>
  <c r="QS20" i="40"/>
  <c r="QR20" i="40"/>
  <c r="QQ20" i="40"/>
  <c r="QP20" i="40"/>
  <c r="QO20" i="40"/>
  <c r="QN20" i="40"/>
  <c r="QM20" i="40"/>
  <c r="QL20" i="40"/>
  <c r="QK20" i="40"/>
  <c r="QJ20" i="40"/>
  <c r="QI20" i="40"/>
  <c r="QH20" i="40"/>
  <c r="QG20" i="40"/>
  <c r="QF20" i="40"/>
  <c r="QE20" i="40"/>
  <c r="QD20" i="40"/>
  <c r="QC20" i="40"/>
  <c r="QB20" i="40"/>
  <c r="QA20" i="40"/>
  <c r="PZ20" i="40"/>
  <c r="PY20" i="40"/>
  <c r="PX20" i="40"/>
  <c r="PW20" i="40"/>
  <c r="PV20" i="40"/>
  <c r="PU20" i="40"/>
  <c r="PT20" i="40"/>
  <c r="PS20" i="40"/>
  <c r="PR20" i="40"/>
  <c r="PQ20" i="40"/>
  <c r="PP20" i="40"/>
  <c r="PO20" i="40"/>
  <c r="PN20" i="40"/>
  <c r="PM20" i="40"/>
  <c r="PL20" i="40"/>
  <c r="PK20" i="40"/>
  <c r="PJ20" i="40"/>
  <c r="PI20" i="40"/>
  <c r="PH20" i="40"/>
  <c r="PG20" i="40"/>
  <c r="PF20" i="40"/>
  <c r="PE20" i="40"/>
  <c r="PD20" i="40"/>
  <c r="PC20" i="40"/>
  <c r="PB20" i="40"/>
  <c r="PA20" i="40"/>
  <c r="OZ20" i="40"/>
  <c r="OY20" i="40"/>
  <c r="OX20" i="40"/>
  <c r="OW20" i="40"/>
  <c r="SR19" i="40"/>
  <c r="SQ19" i="40"/>
  <c r="SP19" i="40"/>
  <c r="SO19" i="40"/>
  <c r="SN19" i="40"/>
  <c r="SM19" i="40"/>
  <c r="SL19" i="40"/>
  <c r="SK19" i="40"/>
  <c r="SJ19" i="40"/>
  <c r="SI19" i="40"/>
  <c r="SH19" i="40"/>
  <c r="SG19" i="40"/>
  <c r="SF19" i="40"/>
  <c r="SE19" i="40"/>
  <c r="SD19" i="40"/>
  <c r="SC19" i="40"/>
  <c r="SB19" i="40"/>
  <c r="SA19" i="40"/>
  <c r="RZ19" i="40"/>
  <c r="RY19" i="40"/>
  <c r="RX19" i="40"/>
  <c r="RW19" i="40"/>
  <c r="RV19" i="40"/>
  <c r="RU19" i="40"/>
  <c r="RT19" i="40"/>
  <c r="RS19" i="40"/>
  <c r="RR19" i="40"/>
  <c r="RQ19" i="40"/>
  <c r="RP19" i="40"/>
  <c r="RO19" i="40"/>
  <c r="RN19" i="40"/>
  <c r="RM19" i="40"/>
  <c r="RL19" i="40"/>
  <c r="RK19" i="40"/>
  <c r="RJ19" i="40"/>
  <c r="RI19" i="40"/>
  <c r="RH19" i="40"/>
  <c r="RG19" i="40"/>
  <c r="RF19" i="40"/>
  <c r="RE19" i="40"/>
  <c r="RD19" i="40"/>
  <c r="RC19" i="40"/>
  <c r="RB19" i="40"/>
  <c r="RA19" i="40"/>
  <c r="QZ19" i="40"/>
  <c r="QY19" i="40"/>
  <c r="QX19" i="40"/>
  <c r="QW19" i="40"/>
  <c r="QV19" i="40"/>
  <c r="QU19" i="40"/>
  <c r="QT19" i="40"/>
  <c r="QS19" i="40"/>
  <c r="QR19" i="40"/>
  <c r="QQ19" i="40"/>
  <c r="QP19" i="40"/>
  <c r="QO19" i="40"/>
  <c r="QN19" i="40"/>
  <c r="QM19" i="40"/>
  <c r="QL19" i="40"/>
  <c r="QK19" i="40"/>
  <c r="QJ19" i="40"/>
  <c r="QI19" i="40"/>
  <c r="QH19" i="40"/>
  <c r="QG19" i="40"/>
  <c r="QF19" i="40"/>
  <c r="QE19" i="40"/>
  <c r="QD19" i="40"/>
  <c r="QC19" i="40"/>
  <c r="QB19" i="40"/>
  <c r="QA19" i="40"/>
  <c r="PZ19" i="40"/>
  <c r="PY19" i="40"/>
  <c r="PX19" i="40"/>
  <c r="PW19" i="40"/>
  <c r="PV19" i="40"/>
  <c r="PU19" i="40"/>
  <c r="PT19" i="40"/>
  <c r="PS19" i="40"/>
  <c r="PR19" i="40"/>
  <c r="PQ19" i="40"/>
  <c r="PP19" i="40"/>
  <c r="PO19" i="40"/>
  <c r="PN19" i="40"/>
  <c r="PM19" i="40"/>
  <c r="PL19" i="40"/>
  <c r="PK19" i="40"/>
  <c r="PJ19" i="40"/>
  <c r="PI19" i="40"/>
  <c r="PH19" i="40"/>
  <c r="PG19" i="40"/>
  <c r="PF19" i="40"/>
  <c r="PE19" i="40"/>
  <c r="PD19" i="40"/>
  <c r="PC19" i="40"/>
  <c r="PB19" i="40"/>
  <c r="PA19" i="40"/>
  <c r="OZ19" i="40"/>
  <c r="OY19" i="40"/>
  <c r="OX19" i="40"/>
  <c r="OW19" i="40"/>
  <c r="SR18" i="40"/>
  <c r="SQ18" i="40"/>
  <c r="SP18" i="40"/>
  <c r="SO18" i="40"/>
  <c r="SN18" i="40"/>
  <c r="SM18" i="40"/>
  <c r="SL18" i="40"/>
  <c r="SK18" i="40"/>
  <c r="SJ18" i="40"/>
  <c r="SI18" i="40"/>
  <c r="SH18" i="40"/>
  <c r="SG18" i="40"/>
  <c r="SF18" i="40"/>
  <c r="SE18" i="40"/>
  <c r="SD18" i="40"/>
  <c r="SC18" i="40"/>
  <c r="SB18" i="40"/>
  <c r="SA18" i="40"/>
  <c r="RZ18" i="40"/>
  <c r="RY18" i="40"/>
  <c r="RX18" i="40"/>
  <c r="RW18" i="40"/>
  <c r="RV18" i="40"/>
  <c r="RU18" i="40"/>
  <c r="RT18" i="40"/>
  <c r="RS18" i="40"/>
  <c r="RR18" i="40"/>
  <c r="RQ18" i="40"/>
  <c r="RP18" i="40"/>
  <c r="RO18" i="40"/>
  <c r="RN18" i="40"/>
  <c r="RM18" i="40"/>
  <c r="RL18" i="40"/>
  <c r="RK18" i="40"/>
  <c r="RJ18" i="40"/>
  <c r="RI18" i="40"/>
  <c r="RH18" i="40"/>
  <c r="RG18" i="40"/>
  <c r="RF18" i="40"/>
  <c r="RE18" i="40"/>
  <c r="RD18" i="40"/>
  <c r="RC18" i="40"/>
  <c r="RB18" i="40"/>
  <c r="RA18" i="40"/>
  <c r="QZ18" i="40"/>
  <c r="QY18" i="40"/>
  <c r="QX18" i="40"/>
  <c r="QW18" i="40"/>
  <c r="QV18" i="40"/>
  <c r="QU18" i="40"/>
  <c r="QT18" i="40"/>
  <c r="QS18" i="40"/>
  <c r="QR18" i="40"/>
  <c r="QQ18" i="40"/>
  <c r="QP18" i="40"/>
  <c r="QO18" i="40"/>
  <c r="QN18" i="40"/>
  <c r="QM18" i="40"/>
  <c r="QL18" i="40"/>
  <c r="QK18" i="40"/>
  <c r="QJ18" i="40"/>
  <c r="QI18" i="40"/>
  <c r="QH18" i="40"/>
  <c r="QG18" i="40"/>
  <c r="QF18" i="40"/>
  <c r="QE18" i="40"/>
  <c r="QD18" i="40"/>
  <c r="QC18" i="40"/>
  <c r="QB18" i="40"/>
  <c r="QA18" i="40"/>
  <c r="PZ18" i="40"/>
  <c r="PY18" i="40"/>
  <c r="PX18" i="40"/>
  <c r="PW18" i="40"/>
  <c r="PV18" i="40"/>
  <c r="PU18" i="40"/>
  <c r="PT18" i="40"/>
  <c r="PS18" i="40"/>
  <c r="PR18" i="40"/>
  <c r="PQ18" i="40"/>
  <c r="PP18" i="40"/>
  <c r="PO18" i="40"/>
  <c r="PN18" i="40"/>
  <c r="PM18" i="40"/>
  <c r="PL18" i="40"/>
  <c r="PK18" i="40"/>
  <c r="PJ18" i="40"/>
  <c r="PI18" i="40"/>
  <c r="PH18" i="40"/>
  <c r="PG18" i="40"/>
  <c r="PF18" i="40"/>
  <c r="PE18" i="40"/>
  <c r="PD18" i="40"/>
  <c r="PC18" i="40"/>
  <c r="PB18" i="40"/>
  <c r="PA18" i="40"/>
  <c r="OZ18" i="40"/>
  <c r="OY18" i="40"/>
  <c r="OX18" i="40"/>
  <c r="OW18" i="40"/>
  <c r="SR17" i="40"/>
  <c r="SQ17" i="40"/>
  <c r="SP17" i="40"/>
  <c r="SO17" i="40"/>
  <c r="SN17" i="40"/>
  <c r="SM17" i="40"/>
  <c r="SL17" i="40"/>
  <c r="SK17" i="40"/>
  <c r="SJ17" i="40"/>
  <c r="SI17" i="40"/>
  <c r="SH17" i="40"/>
  <c r="SG17" i="40"/>
  <c r="SF17" i="40"/>
  <c r="SE17" i="40"/>
  <c r="SD17" i="40"/>
  <c r="SC17" i="40"/>
  <c r="SB17" i="40"/>
  <c r="SA17" i="40"/>
  <c r="RZ17" i="40"/>
  <c r="RY17" i="40"/>
  <c r="RX17" i="40"/>
  <c r="RW17" i="40"/>
  <c r="RV17" i="40"/>
  <c r="RU17" i="40"/>
  <c r="RT17" i="40"/>
  <c r="RS17" i="40"/>
  <c r="RR17" i="40"/>
  <c r="RQ17" i="40"/>
  <c r="RP17" i="40"/>
  <c r="RO17" i="40"/>
  <c r="RN17" i="40"/>
  <c r="RM17" i="40"/>
  <c r="RL17" i="40"/>
  <c r="RK17" i="40"/>
  <c r="RJ17" i="40"/>
  <c r="RI17" i="40"/>
  <c r="RH17" i="40"/>
  <c r="RG17" i="40"/>
  <c r="RF17" i="40"/>
  <c r="RE17" i="40"/>
  <c r="RD17" i="40"/>
  <c r="RC17" i="40"/>
  <c r="RB17" i="40"/>
  <c r="RA17" i="40"/>
  <c r="QZ17" i="40"/>
  <c r="QY17" i="40"/>
  <c r="QX17" i="40"/>
  <c r="QW17" i="40"/>
  <c r="QV17" i="40"/>
  <c r="QU17" i="40"/>
  <c r="QT17" i="40"/>
  <c r="QS17" i="40"/>
  <c r="QR17" i="40"/>
  <c r="QQ17" i="40"/>
  <c r="QP17" i="40"/>
  <c r="QO17" i="40"/>
  <c r="QN17" i="40"/>
  <c r="QM17" i="40"/>
  <c r="QL17" i="40"/>
  <c r="QK17" i="40"/>
  <c r="QJ17" i="40"/>
  <c r="QI17" i="40"/>
  <c r="QH17" i="40"/>
  <c r="QG17" i="40"/>
  <c r="QF17" i="40"/>
  <c r="QE17" i="40"/>
  <c r="QD17" i="40"/>
  <c r="QC17" i="40"/>
  <c r="QB17" i="40"/>
  <c r="QA17" i="40"/>
  <c r="PZ17" i="40"/>
  <c r="PY17" i="40"/>
  <c r="PX17" i="40"/>
  <c r="PW17" i="40"/>
  <c r="PV17" i="40"/>
  <c r="PU17" i="40"/>
  <c r="PT17" i="40"/>
  <c r="PS17" i="40"/>
  <c r="PR17" i="40"/>
  <c r="PQ17" i="40"/>
  <c r="PP17" i="40"/>
  <c r="PO17" i="40"/>
  <c r="PN17" i="40"/>
  <c r="PM17" i="40"/>
  <c r="PL17" i="40"/>
  <c r="PK17" i="40"/>
  <c r="PJ17" i="40"/>
  <c r="PI17" i="40"/>
  <c r="PH17" i="40"/>
  <c r="PG17" i="40"/>
  <c r="PF17" i="40"/>
  <c r="PE17" i="40"/>
  <c r="PD17" i="40"/>
  <c r="PC17" i="40"/>
  <c r="PB17" i="40"/>
  <c r="PA17" i="40"/>
  <c r="OZ17" i="40"/>
  <c r="OY17" i="40"/>
  <c r="OX17" i="40"/>
  <c r="OW17" i="40"/>
  <c r="SR16" i="40"/>
  <c r="SQ16" i="40"/>
  <c r="SP16" i="40"/>
  <c r="SO16" i="40"/>
  <c r="SN16" i="40"/>
  <c r="SM16" i="40"/>
  <c r="SL16" i="40"/>
  <c r="SK16" i="40"/>
  <c r="SJ16" i="40"/>
  <c r="SI16" i="40"/>
  <c r="SH16" i="40"/>
  <c r="SG16" i="40"/>
  <c r="SF16" i="40"/>
  <c r="SE16" i="40"/>
  <c r="SD16" i="40"/>
  <c r="SC16" i="40"/>
  <c r="SB16" i="40"/>
  <c r="SA16" i="40"/>
  <c r="RZ16" i="40"/>
  <c r="RY16" i="40"/>
  <c r="RX16" i="40"/>
  <c r="RW16" i="40"/>
  <c r="RV16" i="40"/>
  <c r="RU16" i="40"/>
  <c r="RT16" i="40"/>
  <c r="RS16" i="40"/>
  <c r="RR16" i="40"/>
  <c r="RQ16" i="40"/>
  <c r="RP16" i="40"/>
  <c r="RO16" i="40"/>
  <c r="RN16" i="40"/>
  <c r="RM16" i="40"/>
  <c r="RL16" i="40"/>
  <c r="RK16" i="40"/>
  <c r="RJ16" i="40"/>
  <c r="RI16" i="40"/>
  <c r="RH16" i="40"/>
  <c r="RG16" i="40"/>
  <c r="RF16" i="40"/>
  <c r="RE16" i="40"/>
  <c r="RD16" i="40"/>
  <c r="RC16" i="40"/>
  <c r="RB16" i="40"/>
  <c r="RA16" i="40"/>
  <c r="QZ16" i="40"/>
  <c r="QY16" i="40"/>
  <c r="QX16" i="40"/>
  <c r="QW16" i="40"/>
  <c r="QV16" i="40"/>
  <c r="QU16" i="40"/>
  <c r="QT16" i="40"/>
  <c r="QS16" i="40"/>
  <c r="QR16" i="40"/>
  <c r="QQ16" i="40"/>
  <c r="QP16" i="40"/>
  <c r="QO16" i="40"/>
  <c r="QN16" i="40"/>
  <c r="QM16" i="40"/>
  <c r="QL16" i="40"/>
  <c r="QK16" i="40"/>
  <c r="QJ16" i="40"/>
  <c r="QI16" i="40"/>
  <c r="QH16" i="40"/>
  <c r="QG16" i="40"/>
  <c r="QF16" i="40"/>
  <c r="QE16" i="40"/>
  <c r="QD16" i="40"/>
  <c r="QC16" i="40"/>
  <c r="QB16" i="40"/>
  <c r="QA16" i="40"/>
  <c r="PZ16" i="40"/>
  <c r="PY16" i="40"/>
  <c r="PX16" i="40"/>
  <c r="PW16" i="40"/>
  <c r="PV16" i="40"/>
  <c r="PU16" i="40"/>
  <c r="PT16" i="40"/>
  <c r="PS16" i="40"/>
  <c r="PR16" i="40"/>
  <c r="PQ16" i="40"/>
  <c r="PP16" i="40"/>
  <c r="PO16" i="40"/>
  <c r="PN16" i="40"/>
  <c r="PM16" i="40"/>
  <c r="PL16" i="40"/>
  <c r="PK16" i="40"/>
  <c r="PJ16" i="40"/>
  <c r="PI16" i="40"/>
  <c r="PH16" i="40"/>
  <c r="PG16" i="40"/>
  <c r="PF16" i="40"/>
  <c r="PE16" i="40"/>
  <c r="PD16" i="40"/>
  <c r="PC16" i="40"/>
  <c r="PB16" i="40"/>
  <c r="PA16" i="40"/>
  <c r="OZ16" i="40"/>
  <c r="OY16" i="40"/>
  <c r="OX16" i="40"/>
  <c r="OW16" i="40"/>
  <c r="SR15" i="40"/>
  <c r="SQ15" i="40"/>
  <c r="SP15" i="40"/>
  <c r="SO15" i="40"/>
  <c r="SN15" i="40"/>
  <c r="SM15" i="40"/>
  <c r="SL15" i="40"/>
  <c r="SK15" i="40"/>
  <c r="SJ15" i="40"/>
  <c r="SI15" i="40"/>
  <c r="SH15" i="40"/>
  <c r="SG15" i="40"/>
  <c r="SF15" i="40"/>
  <c r="SE15" i="40"/>
  <c r="SD15" i="40"/>
  <c r="SC15" i="40"/>
  <c r="SB15" i="40"/>
  <c r="SA15" i="40"/>
  <c r="RZ15" i="40"/>
  <c r="RY15" i="40"/>
  <c r="RX15" i="40"/>
  <c r="RW15" i="40"/>
  <c r="RV15" i="40"/>
  <c r="RU15" i="40"/>
  <c r="RT15" i="40"/>
  <c r="RS15" i="40"/>
  <c r="RR15" i="40"/>
  <c r="RQ15" i="40"/>
  <c r="RP15" i="40"/>
  <c r="RO15" i="40"/>
  <c r="RN15" i="40"/>
  <c r="RM15" i="40"/>
  <c r="RL15" i="40"/>
  <c r="RK15" i="40"/>
  <c r="RJ15" i="40"/>
  <c r="RI15" i="40"/>
  <c r="RH15" i="40"/>
  <c r="RG15" i="40"/>
  <c r="RF15" i="40"/>
  <c r="RE15" i="40"/>
  <c r="RD15" i="40"/>
  <c r="RC15" i="40"/>
  <c r="RB15" i="40"/>
  <c r="RA15" i="40"/>
  <c r="QZ15" i="40"/>
  <c r="QY15" i="40"/>
  <c r="QX15" i="40"/>
  <c r="QW15" i="40"/>
  <c r="QV15" i="40"/>
  <c r="QU15" i="40"/>
  <c r="QT15" i="40"/>
  <c r="QS15" i="40"/>
  <c r="QR15" i="40"/>
  <c r="QQ15" i="40"/>
  <c r="QP15" i="40"/>
  <c r="QO15" i="40"/>
  <c r="QN15" i="40"/>
  <c r="QM15" i="40"/>
  <c r="QL15" i="40"/>
  <c r="QK15" i="40"/>
  <c r="QJ15" i="40"/>
  <c r="QI15" i="40"/>
  <c r="QH15" i="40"/>
  <c r="QG15" i="40"/>
  <c r="QF15" i="40"/>
  <c r="QE15" i="40"/>
  <c r="QD15" i="40"/>
  <c r="QC15" i="40"/>
  <c r="QB15" i="40"/>
  <c r="QA15" i="40"/>
  <c r="PZ15" i="40"/>
  <c r="PY15" i="40"/>
  <c r="PX15" i="40"/>
  <c r="PW15" i="40"/>
  <c r="PV15" i="40"/>
  <c r="PU15" i="40"/>
  <c r="PT15" i="40"/>
  <c r="PS15" i="40"/>
  <c r="PR15" i="40"/>
  <c r="PQ15" i="40"/>
  <c r="PP15" i="40"/>
  <c r="PO15" i="40"/>
  <c r="PN15" i="40"/>
  <c r="PM15" i="40"/>
  <c r="PL15" i="40"/>
  <c r="PK15" i="40"/>
  <c r="PJ15" i="40"/>
  <c r="PI15" i="40"/>
  <c r="PH15" i="40"/>
  <c r="PG15" i="40"/>
  <c r="PF15" i="40"/>
  <c r="PE15" i="40"/>
  <c r="PD15" i="40"/>
  <c r="PC15" i="40"/>
  <c r="PB15" i="40"/>
  <c r="PA15" i="40"/>
  <c r="OZ15" i="40"/>
  <c r="OY15" i="40"/>
  <c r="OX15" i="40"/>
  <c r="OW15" i="40"/>
  <c r="SR14" i="40"/>
  <c r="SQ14" i="40"/>
  <c r="SP14" i="40"/>
  <c r="SO14" i="40"/>
  <c r="SN14" i="40"/>
  <c r="SM14" i="40"/>
  <c r="SL14" i="40"/>
  <c r="SK14" i="40"/>
  <c r="SJ14" i="40"/>
  <c r="SI14" i="40"/>
  <c r="SH14" i="40"/>
  <c r="SG14" i="40"/>
  <c r="SF14" i="40"/>
  <c r="SE14" i="40"/>
  <c r="SD14" i="40"/>
  <c r="SC14" i="40"/>
  <c r="SB14" i="40"/>
  <c r="SA14" i="40"/>
  <c r="RZ14" i="40"/>
  <c r="RY14" i="40"/>
  <c r="RX14" i="40"/>
  <c r="RW14" i="40"/>
  <c r="RV14" i="40"/>
  <c r="RU14" i="40"/>
  <c r="RT14" i="40"/>
  <c r="RS14" i="40"/>
  <c r="RR14" i="40"/>
  <c r="RQ14" i="40"/>
  <c r="RP14" i="40"/>
  <c r="RO14" i="40"/>
  <c r="RN14" i="40"/>
  <c r="RM14" i="40"/>
  <c r="RL14" i="40"/>
  <c r="RK14" i="40"/>
  <c r="RJ14" i="40"/>
  <c r="RI14" i="40"/>
  <c r="RH14" i="40"/>
  <c r="RG14" i="40"/>
  <c r="RF14" i="40"/>
  <c r="RE14" i="40"/>
  <c r="RD14" i="40"/>
  <c r="RC14" i="40"/>
  <c r="RB14" i="40"/>
  <c r="RA14" i="40"/>
  <c r="QZ14" i="40"/>
  <c r="QY14" i="40"/>
  <c r="QX14" i="40"/>
  <c r="QW14" i="40"/>
  <c r="QV14" i="40"/>
  <c r="QU14" i="40"/>
  <c r="QT14" i="40"/>
  <c r="QS14" i="40"/>
  <c r="QR14" i="40"/>
  <c r="QQ14" i="40"/>
  <c r="QP14" i="40"/>
  <c r="QO14" i="40"/>
  <c r="QN14" i="40"/>
  <c r="QM14" i="40"/>
  <c r="QL14" i="40"/>
  <c r="QK14" i="40"/>
  <c r="QJ14" i="40"/>
  <c r="QI14" i="40"/>
  <c r="QH14" i="40"/>
  <c r="QG14" i="40"/>
  <c r="QF14" i="40"/>
  <c r="QE14" i="40"/>
  <c r="QD14" i="40"/>
  <c r="QC14" i="40"/>
  <c r="QB14" i="40"/>
  <c r="QA14" i="40"/>
  <c r="PZ14" i="40"/>
  <c r="PY14" i="40"/>
  <c r="PX14" i="40"/>
  <c r="PW14" i="40"/>
  <c r="PV14" i="40"/>
  <c r="PU14" i="40"/>
  <c r="PT14" i="40"/>
  <c r="PS14" i="40"/>
  <c r="PR14" i="40"/>
  <c r="PQ14" i="40"/>
  <c r="PP14" i="40"/>
  <c r="PO14" i="40"/>
  <c r="PN14" i="40"/>
  <c r="PM14" i="40"/>
  <c r="PL14" i="40"/>
  <c r="PK14" i="40"/>
  <c r="PJ14" i="40"/>
  <c r="PI14" i="40"/>
  <c r="PH14" i="40"/>
  <c r="PG14" i="40"/>
  <c r="PF14" i="40"/>
  <c r="PE14" i="40"/>
  <c r="PD14" i="40"/>
  <c r="PC14" i="40"/>
  <c r="PB14" i="40"/>
  <c r="PA14" i="40"/>
  <c r="OZ14" i="40"/>
  <c r="OY14" i="40"/>
  <c r="OX14" i="40"/>
  <c r="OW14" i="40"/>
  <c r="SR13" i="40"/>
  <c r="SQ13" i="40"/>
  <c r="SP13" i="40"/>
  <c r="SO13" i="40"/>
  <c r="SN13" i="40"/>
  <c r="SM13" i="40"/>
  <c r="SL13" i="40"/>
  <c r="SK13" i="40"/>
  <c r="SJ13" i="40"/>
  <c r="SI13" i="40"/>
  <c r="SH13" i="40"/>
  <c r="SG13" i="40"/>
  <c r="SF13" i="40"/>
  <c r="SE13" i="40"/>
  <c r="SD13" i="40"/>
  <c r="SC13" i="40"/>
  <c r="SB13" i="40"/>
  <c r="SA13" i="40"/>
  <c r="RZ13" i="40"/>
  <c r="RY13" i="40"/>
  <c r="RX13" i="40"/>
  <c r="RW13" i="40"/>
  <c r="RV13" i="40"/>
  <c r="RU13" i="40"/>
  <c r="RT13" i="40"/>
  <c r="RS13" i="40"/>
  <c r="RR13" i="40"/>
  <c r="RQ13" i="40"/>
  <c r="RP13" i="40"/>
  <c r="RO13" i="40"/>
  <c r="RN13" i="40"/>
  <c r="RM13" i="40"/>
  <c r="RL13" i="40"/>
  <c r="RK13" i="40"/>
  <c r="RJ13" i="40"/>
  <c r="RI13" i="40"/>
  <c r="RH13" i="40"/>
  <c r="RG13" i="40"/>
  <c r="RF13" i="40"/>
  <c r="RE13" i="40"/>
  <c r="RD13" i="40"/>
  <c r="RC13" i="40"/>
  <c r="RB13" i="40"/>
  <c r="RA13" i="40"/>
  <c r="QZ13" i="40"/>
  <c r="QY13" i="40"/>
  <c r="QX13" i="40"/>
  <c r="QW13" i="40"/>
  <c r="QV13" i="40"/>
  <c r="QU13" i="40"/>
  <c r="QT13" i="40"/>
  <c r="QS13" i="40"/>
  <c r="QR13" i="40"/>
  <c r="QQ13" i="40"/>
  <c r="QP13" i="40"/>
  <c r="QO13" i="40"/>
  <c r="QN13" i="40"/>
  <c r="QM13" i="40"/>
  <c r="QL13" i="40"/>
  <c r="QK13" i="40"/>
  <c r="QJ13" i="40"/>
  <c r="QI13" i="40"/>
  <c r="QH13" i="40"/>
  <c r="QG13" i="40"/>
  <c r="QF13" i="40"/>
  <c r="QE13" i="40"/>
  <c r="QD13" i="40"/>
  <c r="QC13" i="40"/>
  <c r="QB13" i="40"/>
  <c r="QA13" i="40"/>
  <c r="PZ13" i="40"/>
  <c r="PY13" i="40"/>
  <c r="PX13" i="40"/>
  <c r="PW13" i="40"/>
  <c r="PV13" i="40"/>
  <c r="PU13" i="40"/>
  <c r="PT13" i="40"/>
  <c r="PS13" i="40"/>
  <c r="PR13" i="40"/>
  <c r="PQ13" i="40"/>
  <c r="PP13" i="40"/>
  <c r="PO13" i="40"/>
  <c r="PN13" i="40"/>
  <c r="PM13" i="40"/>
  <c r="PL13" i="40"/>
  <c r="PK13" i="40"/>
  <c r="PJ13" i="40"/>
  <c r="PI13" i="40"/>
  <c r="PH13" i="40"/>
  <c r="PG13" i="40"/>
  <c r="PF13" i="40"/>
  <c r="PE13" i="40"/>
  <c r="PD13" i="40"/>
  <c r="PC13" i="40"/>
  <c r="PB13" i="40"/>
  <c r="PA13" i="40"/>
  <c r="OZ13" i="40"/>
  <c r="OY13" i="40"/>
  <c r="OX13" i="40"/>
  <c r="OW13" i="40"/>
  <c r="SR12" i="40"/>
  <c r="SQ12" i="40"/>
  <c r="SP12" i="40"/>
  <c r="SO12" i="40"/>
  <c r="SN12" i="40"/>
  <c r="SM12" i="40"/>
  <c r="SL12" i="40"/>
  <c r="SK12" i="40"/>
  <c r="SJ12" i="40"/>
  <c r="SI12" i="40"/>
  <c r="SH12" i="40"/>
  <c r="SG12" i="40"/>
  <c r="SF12" i="40"/>
  <c r="SE12" i="40"/>
  <c r="SD12" i="40"/>
  <c r="SC12" i="40"/>
  <c r="SB12" i="40"/>
  <c r="SA12" i="40"/>
  <c r="RZ12" i="40"/>
  <c r="RY12" i="40"/>
  <c r="RX12" i="40"/>
  <c r="RW12" i="40"/>
  <c r="RV12" i="40"/>
  <c r="RU12" i="40"/>
  <c r="RT12" i="40"/>
  <c r="RS12" i="40"/>
  <c r="RR12" i="40"/>
  <c r="RQ12" i="40"/>
  <c r="RP12" i="40"/>
  <c r="RO12" i="40"/>
  <c r="RN12" i="40"/>
  <c r="RM12" i="40"/>
  <c r="RL12" i="40"/>
  <c r="RK12" i="40"/>
  <c r="RJ12" i="40"/>
  <c r="RI12" i="40"/>
  <c r="RH12" i="40"/>
  <c r="RG12" i="40"/>
  <c r="RF12" i="40"/>
  <c r="RE12" i="40"/>
  <c r="RD12" i="40"/>
  <c r="RC12" i="40"/>
  <c r="RB12" i="40"/>
  <c r="RA12" i="40"/>
  <c r="QZ12" i="40"/>
  <c r="QY12" i="40"/>
  <c r="QX12" i="40"/>
  <c r="QW12" i="40"/>
  <c r="QV12" i="40"/>
  <c r="QU12" i="40"/>
  <c r="QT12" i="40"/>
  <c r="QS12" i="40"/>
  <c r="QR12" i="40"/>
  <c r="QQ12" i="40"/>
  <c r="QP12" i="40"/>
  <c r="QO12" i="40"/>
  <c r="QN12" i="40"/>
  <c r="QM12" i="40"/>
  <c r="QL12" i="40"/>
  <c r="QK12" i="40"/>
  <c r="QJ12" i="40"/>
  <c r="QI12" i="40"/>
  <c r="QH12" i="40"/>
  <c r="QG12" i="40"/>
  <c r="QF12" i="40"/>
  <c r="QE12" i="40"/>
  <c r="QD12" i="40"/>
  <c r="QC12" i="40"/>
  <c r="QB12" i="40"/>
  <c r="QA12" i="40"/>
  <c r="PZ12" i="40"/>
  <c r="PY12" i="40"/>
  <c r="PX12" i="40"/>
  <c r="PW12" i="40"/>
  <c r="PV12" i="40"/>
  <c r="PU12" i="40"/>
  <c r="PT12" i="40"/>
  <c r="PS12" i="40"/>
  <c r="PR12" i="40"/>
  <c r="PQ12" i="40"/>
  <c r="PP12" i="40"/>
  <c r="PO12" i="40"/>
  <c r="PN12" i="40"/>
  <c r="PM12" i="40"/>
  <c r="PL12" i="40"/>
  <c r="PK12" i="40"/>
  <c r="PJ12" i="40"/>
  <c r="PI12" i="40"/>
  <c r="PH12" i="40"/>
  <c r="PG12" i="40"/>
  <c r="PF12" i="40"/>
  <c r="PE12" i="40"/>
  <c r="PD12" i="40"/>
  <c r="PC12" i="40"/>
  <c r="PB12" i="40"/>
  <c r="PA12" i="40"/>
  <c r="OZ12" i="40"/>
  <c r="OY12" i="40"/>
  <c r="OX12" i="40"/>
  <c r="OW12" i="40"/>
  <c r="SR11" i="40"/>
  <c r="SQ11" i="40"/>
  <c r="SP11" i="40"/>
  <c r="SO11" i="40"/>
  <c r="SN11" i="40"/>
  <c r="SM11" i="40"/>
  <c r="SL11" i="40"/>
  <c r="SK11" i="40"/>
  <c r="SJ11" i="40"/>
  <c r="SI11" i="40"/>
  <c r="SH11" i="40"/>
  <c r="SG11" i="40"/>
  <c r="SF11" i="40"/>
  <c r="SE11" i="40"/>
  <c r="SD11" i="40"/>
  <c r="SC11" i="40"/>
  <c r="SB11" i="40"/>
  <c r="SA11" i="40"/>
  <c r="RZ11" i="40"/>
  <c r="RY11" i="40"/>
  <c r="RX11" i="40"/>
  <c r="RW11" i="40"/>
  <c r="RV11" i="40"/>
  <c r="RU11" i="40"/>
  <c r="RT11" i="40"/>
  <c r="RS11" i="40"/>
  <c r="RR11" i="40"/>
  <c r="RQ11" i="40"/>
  <c r="RP11" i="40"/>
  <c r="RO11" i="40"/>
  <c r="RN11" i="40"/>
  <c r="RM11" i="40"/>
  <c r="RL11" i="40"/>
  <c r="RK11" i="40"/>
  <c r="RJ11" i="40"/>
  <c r="RI11" i="40"/>
  <c r="RH11" i="40"/>
  <c r="RG11" i="40"/>
  <c r="RF11" i="40"/>
  <c r="RE11" i="40"/>
  <c r="RD11" i="40"/>
  <c r="RC11" i="40"/>
  <c r="RB11" i="40"/>
  <c r="RA11" i="40"/>
  <c r="QZ11" i="40"/>
  <c r="QY11" i="40"/>
  <c r="QX11" i="40"/>
  <c r="QW11" i="40"/>
  <c r="QV11" i="40"/>
  <c r="QU11" i="40"/>
  <c r="QT11" i="40"/>
  <c r="QS11" i="40"/>
  <c r="QR11" i="40"/>
  <c r="QQ11" i="40"/>
  <c r="QP11" i="40"/>
  <c r="QO11" i="40"/>
  <c r="QN11" i="40"/>
  <c r="QM11" i="40"/>
  <c r="QL11" i="40"/>
  <c r="QK11" i="40"/>
  <c r="QJ11" i="40"/>
  <c r="QI11" i="40"/>
  <c r="QH11" i="40"/>
  <c r="QG11" i="40"/>
  <c r="QF11" i="40"/>
  <c r="QE11" i="40"/>
  <c r="QD11" i="40"/>
  <c r="QC11" i="40"/>
  <c r="QB11" i="40"/>
  <c r="QA11" i="40"/>
  <c r="PZ11" i="40"/>
  <c r="PY11" i="40"/>
  <c r="PX11" i="40"/>
  <c r="PW11" i="40"/>
  <c r="PV11" i="40"/>
  <c r="PU11" i="40"/>
  <c r="PT11" i="40"/>
  <c r="PS11" i="40"/>
  <c r="PR11" i="40"/>
  <c r="PQ11" i="40"/>
  <c r="PP11" i="40"/>
  <c r="PO11" i="40"/>
  <c r="PN11" i="40"/>
  <c r="PM11" i="40"/>
  <c r="PL11" i="40"/>
  <c r="PK11" i="40"/>
  <c r="PJ11" i="40"/>
  <c r="PI11" i="40"/>
  <c r="PH11" i="40"/>
  <c r="PG11" i="40"/>
  <c r="PF11" i="40"/>
  <c r="PE11" i="40"/>
  <c r="PD11" i="40"/>
  <c r="PC11" i="40"/>
  <c r="PB11" i="40"/>
  <c r="PA11" i="40"/>
  <c r="OZ11" i="40"/>
  <c r="OY11" i="40"/>
  <c r="OX11" i="40"/>
  <c r="OW11" i="40"/>
  <c r="SR10" i="40"/>
  <c r="SQ10" i="40"/>
  <c r="SP10" i="40"/>
  <c r="SO10" i="40"/>
  <c r="SN10" i="40"/>
  <c r="SM10" i="40"/>
  <c r="SL10" i="40"/>
  <c r="SK10" i="40"/>
  <c r="SJ10" i="40"/>
  <c r="SI10" i="40"/>
  <c r="SH10" i="40"/>
  <c r="SG10" i="40"/>
  <c r="SF10" i="40"/>
  <c r="SE10" i="40"/>
  <c r="SD10" i="40"/>
  <c r="SC10" i="40"/>
  <c r="SB10" i="40"/>
  <c r="SA10" i="40"/>
  <c r="RZ10" i="40"/>
  <c r="RY10" i="40"/>
  <c r="RX10" i="40"/>
  <c r="RW10" i="40"/>
  <c r="RV10" i="40"/>
  <c r="RU10" i="40"/>
  <c r="RT10" i="40"/>
  <c r="RS10" i="40"/>
  <c r="RR10" i="40"/>
  <c r="RQ10" i="40"/>
  <c r="RP10" i="40"/>
  <c r="RO10" i="40"/>
  <c r="RN10" i="40"/>
  <c r="RM10" i="40"/>
  <c r="RL10" i="40"/>
  <c r="RK10" i="40"/>
  <c r="RJ10" i="40"/>
  <c r="RI10" i="40"/>
  <c r="RH10" i="40"/>
  <c r="RG10" i="40"/>
  <c r="RF10" i="40"/>
  <c r="RE10" i="40"/>
  <c r="RD10" i="40"/>
  <c r="RC10" i="40"/>
  <c r="RB10" i="40"/>
  <c r="RA10" i="40"/>
  <c r="QZ10" i="40"/>
  <c r="QY10" i="40"/>
  <c r="QX10" i="40"/>
  <c r="QW10" i="40"/>
  <c r="QV10" i="40"/>
  <c r="QU10" i="40"/>
  <c r="QT10" i="40"/>
  <c r="QS10" i="40"/>
  <c r="QR10" i="40"/>
  <c r="QQ10" i="40"/>
  <c r="QP10" i="40"/>
  <c r="QO10" i="40"/>
  <c r="QN10" i="40"/>
  <c r="QM10" i="40"/>
  <c r="QL10" i="40"/>
  <c r="QK10" i="40"/>
  <c r="QJ10" i="40"/>
  <c r="QI10" i="40"/>
  <c r="QH10" i="40"/>
  <c r="QG10" i="40"/>
  <c r="QF10" i="40"/>
  <c r="QE10" i="40"/>
  <c r="QD10" i="40"/>
  <c r="QC10" i="40"/>
  <c r="QB10" i="40"/>
  <c r="QA10" i="40"/>
  <c r="PZ10" i="40"/>
  <c r="PY10" i="40"/>
  <c r="PX10" i="40"/>
  <c r="PW10" i="40"/>
  <c r="PV10" i="40"/>
  <c r="PU10" i="40"/>
  <c r="PT10" i="40"/>
  <c r="PS10" i="40"/>
  <c r="PR10" i="40"/>
  <c r="PQ10" i="40"/>
  <c r="PP10" i="40"/>
  <c r="PO10" i="40"/>
  <c r="PN10" i="40"/>
  <c r="PM10" i="40"/>
  <c r="PL10" i="40"/>
  <c r="PK10" i="40"/>
  <c r="PJ10" i="40"/>
  <c r="PI10" i="40"/>
  <c r="PH10" i="40"/>
  <c r="PG10" i="40"/>
  <c r="PF10" i="40"/>
  <c r="PE10" i="40"/>
  <c r="PD10" i="40"/>
  <c r="PC10" i="40"/>
  <c r="PB10" i="40"/>
  <c r="PA10" i="40"/>
  <c r="OZ10" i="40"/>
  <c r="OY10" i="40"/>
  <c r="OX10" i="40"/>
  <c r="OW10" i="40"/>
  <c r="SR9" i="40"/>
  <c r="SQ9" i="40"/>
  <c r="SP9" i="40"/>
  <c r="SO9" i="40"/>
  <c r="SN9" i="40"/>
  <c r="SM9" i="40"/>
  <c r="SL9" i="40"/>
  <c r="SK9" i="40"/>
  <c r="SJ9" i="40"/>
  <c r="SI9" i="40"/>
  <c r="SH9" i="40"/>
  <c r="SG9" i="40"/>
  <c r="SF9" i="40"/>
  <c r="SE9" i="40"/>
  <c r="SD9" i="40"/>
  <c r="SC9" i="40"/>
  <c r="SB9" i="40"/>
  <c r="SA9" i="40"/>
  <c r="RZ9" i="40"/>
  <c r="RY9" i="40"/>
  <c r="RX9" i="40"/>
  <c r="RW9" i="40"/>
  <c r="RV9" i="40"/>
  <c r="RU9" i="40"/>
  <c r="RT9" i="40"/>
  <c r="RS9" i="40"/>
  <c r="RR9" i="40"/>
  <c r="RQ9" i="40"/>
  <c r="RP9" i="40"/>
  <c r="RO9" i="40"/>
  <c r="RN9" i="40"/>
  <c r="RM9" i="40"/>
  <c r="RL9" i="40"/>
  <c r="RK9" i="40"/>
  <c r="RJ9" i="40"/>
  <c r="RI9" i="40"/>
  <c r="RH9" i="40"/>
  <c r="RG9" i="40"/>
  <c r="RF9" i="40"/>
  <c r="RE9" i="40"/>
  <c r="RD9" i="40"/>
  <c r="RC9" i="40"/>
  <c r="RB9" i="40"/>
  <c r="RA9" i="40"/>
  <c r="QZ9" i="40"/>
  <c r="QY9" i="40"/>
  <c r="QX9" i="40"/>
  <c r="QW9" i="40"/>
  <c r="QV9" i="40"/>
  <c r="QU9" i="40"/>
  <c r="QT9" i="40"/>
  <c r="QS9" i="40"/>
  <c r="QR9" i="40"/>
  <c r="QQ9" i="40"/>
  <c r="QP9" i="40"/>
  <c r="QO9" i="40"/>
  <c r="QN9" i="40"/>
  <c r="QM9" i="40"/>
  <c r="QL9" i="40"/>
  <c r="QK9" i="40"/>
  <c r="QJ9" i="40"/>
  <c r="QI9" i="40"/>
  <c r="QH9" i="40"/>
  <c r="QG9" i="40"/>
  <c r="QF9" i="40"/>
  <c r="QE9" i="40"/>
  <c r="QD9" i="40"/>
  <c r="QC9" i="40"/>
  <c r="QB9" i="40"/>
  <c r="QA9" i="40"/>
  <c r="PZ9" i="40"/>
  <c r="PY9" i="40"/>
  <c r="PX9" i="40"/>
  <c r="PW9" i="40"/>
  <c r="PV9" i="40"/>
  <c r="PU9" i="40"/>
  <c r="PT9" i="40"/>
  <c r="PS9" i="40"/>
  <c r="PR9" i="40"/>
  <c r="PQ9" i="40"/>
  <c r="PP9" i="40"/>
  <c r="PO9" i="40"/>
  <c r="PN9" i="40"/>
  <c r="PM9" i="40"/>
  <c r="PL9" i="40"/>
  <c r="PK9" i="40"/>
  <c r="PJ9" i="40"/>
  <c r="PI9" i="40"/>
  <c r="PH9" i="40"/>
  <c r="PG9" i="40"/>
  <c r="PF9" i="40"/>
  <c r="PE9" i="40"/>
  <c r="PD9" i="40"/>
  <c r="PC9" i="40"/>
  <c r="PB9" i="40"/>
  <c r="PA9" i="40"/>
  <c r="OZ9" i="40"/>
  <c r="OY9" i="40"/>
  <c r="OX9" i="40"/>
  <c r="OW9" i="40"/>
  <c r="SR8" i="40"/>
  <c r="SQ8" i="40"/>
  <c r="SP8" i="40"/>
  <c r="SO8" i="40"/>
  <c r="SN8" i="40"/>
  <c r="SM8" i="40"/>
  <c r="SL8" i="40"/>
  <c r="SK8" i="40"/>
  <c r="SJ8" i="40"/>
  <c r="SI8" i="40"/>
  <c r="SH8" i="40"/>
  <c r="SG8" i="40"/>
  <c r="SF8" i="40"/>
  <c r="SE8" i="40"/>
  <c r="SD8" i="40"/>
  <c r="SC8" i="40"/>
  <c r="SB8" i="40"/>
  <c r="SA8" i="40"/>
  <c r="RZ8" i="40"/>
  <c r="RY8" i="40"/>
  <c r="RX8" i="40"/>
  <c r="RW8" i="40"/>
  <c r="RV8" i="40"/>
  <c r="RU8" i="40"/>
  <c r="RT8" i="40"/>
  <c r="RS8" i="40"/>
  <c r="RR8" i="40"/>
  <c r="RQ8" i="40"/>
  <c r="RP8" i="40"/>
  <c r="RO8" i="40"/>
  <c r="RN8" i="40"/>
  <c r="RM8" i="40"/>
  <c r="RL8" i="40"/>
  <c r="RK8" i="40"/>
  <c r="RJ8" i="40"/>
  <c r="RI8" i="40"/>
  <c r="RH8" i="40"/>
  <c r="RG8" i="40"/>
  <c r="RF8" i="40"/>
  <c r="RE8" i="40"/>
  <c r="RD8" i="40"/>
  <c r="RC8" i="40"/>
  <c r="RB8" i="40"/>
  <c r="RA8" i="40"/>
  <c r="QZ8" i="40"/>
  <c r="QY8" i="40"/>
  <c r="QX8" i="40"/>
  <c r="QW8" i="40"/>
  <c r="QV8" i="40"/>
  <c r="QU8" i="40"/>
  <c r="QT8" i="40"/>
  <c r="QS8" i="40"/>
  <c r="QR8" i="40"/>
  <c r="QQ8" i="40"/>
  <c r="QP8" i="40"/>
  <c r="QO8" i="40"/>
  <c r="QN8" i="40"/>
  <c r="QM8" i="40"/>
  <c r="QL8" i="40"/>
  <c r="QK8" i="40"/>
  <c r="QJ8" i="40"/>
  <c r="QI8" i="40"/>
  <c r="QH8" i="40"/>
  <c r="QG8" i="40"/>
  <c r="QF8" i="40"/>
  <c r="QE8" i="40"/>
  <c r="QD8" i="40"/>
  <c r="QC8" i="40"/>
  <c r="QB8" i="40"/>
  <c r="QA8" i="40"/>
  <c r="PZ8" i="40"/>
  <c r="PY8" i="40"/>
  <c r="PX8" i="40"/>
  <c r="PW8" i="40"/>
  <c r="PV8" i="40"/>
  <c r="PU8" i="40"/>
  <c r="PT8" i="40"/>
  <c r="PS8" i="40"/>
  <c r="PR8" i="40"/>
  <c r="PQ8" i="40"/>
  <c r="PP8" i="40"/>
  <c r="PO8" i="40"/>
  <c r="PN8" i="40"/>
  <c r="PM8" i="40"/>
  <c r="PL8" i="40"/>
  <c r="PK8" i="40"/>
  <c r="PJ8" i="40"/>
  <c r="PI8" i="40"/>
  <c r="PH8" i="40"/>
  <c r="PG8" i="40"/>
  <c r="PF8" i="40"/>
  <c r="PE8" i="40"/>
  <c r="PD8" i="40"/>
  <c r="PC8" i="40"/>
  <c r="PB8" i="40"/>
  <c r="PA8" i="40"/>
  <c r="OZ8" i="40"/>
  <c r="OY8" i="40"/>
  <c r="OX8" i="40"/>
  <c r="OW8" i="40"/>
  <c r="SR7" i="40"/>
  <c r="SQ7" i="40"/>
  <c r="SP7" i="40"/>
  <c r="SO7" i="40"/>
  <c r="SN7" i="40"/>
  <c r="SM7" i="40"/>
  <c r="SL7" i="40"/>
  <c r="SK7" i="40"/>
  <c r="SJ7" i="40"/>
  <c r="SI7" i="40"/>
  <c r="SH7" i="40"/>
  <c r="SG7" i="40"/>
  <c r="SF7" i="40"/>
  <c r="SE7" i="40"/>
  <c r="SD7" i="40"/>
  <c r="SC7" i="40"/>
  <c r="SB7" i="40"/>
  <c r="SA7" i="40"/>
  <c r="RZ7" i="40"/>
  <c r="RY7" i="40"/>
  <c r="RX7" i="40"/>
  <c r="RW7" i="40"/>
  <c r="RV7" i="40"/>
  <c r="RU7" i="40"/>
  <c r="RT7" i="40"/>
  <c r="RS7" i="40"/>
  <c r="RR7" i="40"/>
  <c r="RQ7" i="40"/>
  <c r="RP7" i="40"/>
  <c r="RO7" i="40"/>
  <c r="RN7" i="40"/>
  <c r="RM7" i="40"/>
  <c r="RL7" i="40"/>
  <c r="RK7" i="40"/>
  <c r="RJ7" i="40"/>
  <c r="RI7" i="40"/>
  <c r="RH7" i="40"/>
  <c r="RG7" i="40"/>
  <c r="RF7" i="40"/>
  <c r="RE7" i="40"/>
  <c r="RD7" i="40"/>
  <c r="RC7" i="40"/>
  <c r="RB7" i="40"/>
  <c r="RA7" i="40"/>
  <c r="QZ7" i="40"/>
  <c r="QY7" i="40"/>
  <c r="QX7" i="40"/>
  <c r="QW7" i="40"/>
  <c r="QV7" i="40"/>
  <c r="QU7" i="40"/>
  <c r="QT7" i="40"/>
  <c r="QS7" i="40"/>
  <c r="QR7" i="40"/>
  <c r="QQ7" i="40"/>
  <c r="QP7" i="40"/>
  <c r="QO7" i="40"/>
  <c r="QN7" i="40"/>
  <c r="QM7" i="40"/>
  <c r="QL7" i="40"/>
  <c r="QK7" i="40"/>
  <c r="QJ7" i="40"/>
  <c r="QI7" i="40"/>
  <c r="QH7" i="40"/>
  <c r="QG7" i="40"/>
  <c r="QF7" i="40"/>
  <c r="QE7" i="40"/>
  <c r="QD7" i="40"/>
  <c r="QC7" i="40"/>
  <c r="QB7" i="40"/>
  <c r="QA7" i="40"/>
  <c r="PZ7" i="40"/>
  <c r="PY7" i="40"/>
  <c r="PX7" i="40"/>
  <c r="PW7" i="40"/>
  <c r="PV7" i="40"/>
  <c r="PU7" i="40"/>
  <c r="PT7" i="40"/>
  <c r="PS7" i="40"/>
  <c r="PR7" i="40"/>
  <c r="PQ7" i="40"/>
  <c r="PP7" i="40"/>
  <c r="PO7" i="40"/>
  <c r="PN7" i="40"/>
  <c r="PM7" i="40"/>
  <c r="PL7" i="40"/>
  <c r="PK7" i="40"/>
  <c r="PJ7" i="40"/>
  <c r="PI7" i="40"/>
  <c r="PH7" i="40"/>
  <c r="PG7" i="40"/>
  <c r="PF7" i="40"/>
  <c r="PE7" i="40"/>
  <c r="PD7" i="40"/>
  <c r="PC7" i="40"/>
  <c r="PB7" i="40"/>
  <c r="PA7" i="40"/>
  <c r="OZ7" i="40"/>
  <c r="OY7" i="40"/>
  <c r="OX7" i="40"/>
  <c r="OW7" i="40"/>
  <c r="SR6" i="40"/>
  <c r="SQ6" i="40"/>
  <c r="SP6" i="40"/>
  <c r="SO6" i="40"/>
  <c r="SN6" i="40"/>
  <c r="SM6" i="40"/>
  <c r="SL6" i="40"/>
  <c r="SK6" i="40"/>
  <c r="SJ6" i="40"/>
  <c r="SI6" i="40"/>
  <c r="SH6" i="40"/>
  <c r="SG6" i="40"/>
  <c r="SF6" i="40"/>
  <c r="SE6" i="40"/>
  <c r="SD6" i="40"/>
  <c r="SC6" i="40"/>
  <c r="SB6" i="40"/>
  <c r="SA6" i="40"/>
  <c r="RZ6" i="40"/>
  <c r="RY6" i="40"/>
  <c r="RX6" i="40"/>
  <c r="RW6" i="40"/>
  <c r="RV6" i="40"/>
  <c r="RU6" i="40"/>
  <c r="RT6" i="40"/>
  <c r="RS6" i="40"/>
  <c r="RR6" i="40"/>
  <c r="RQ6" i="40"/>
  <c r="RP6" i="40"/>
  <c r="RO6" i="40"/>
  <c r="RN6" i="40"/>
  <c r="RM6" i="40"/>
  <c r="RL6" i="40"/>
  <c r="RK6" i="40"/>
  <c r="RJ6" i="40"/>
  <c r="RI6" i="40"/>
  <c r="RH6" i="40"/>
  <c r="RG6" i="40"/>
  <c r="RF6" i="40"/>
  <c r="RE6" i="40"/>
  <c r="RD6" i="40"/>
  <c r="RC6" i="40"/>
  <c r="RB6" i="40"/>
  <c r="RA6" i="40"/>
  <c r="QZ6" i="40"/>
  <c r="QY6" i="40"/>
  <c r="QX6" i="40"/>
  <c r="QW6" i="40"/>
  <c r="QV6" i="40"/>
  <c r="QU6" i="40"/>
  <c r="QT6" i="40"/>
  <c r="QS6" i="40"/>
  <c r="QR6" i="40"/>
  <c r="QQ6" i="40"/>
  <c r="QP6" i="40"/>
  <c r="QO6" i="40"/>
  <c r="QN6" i="40"/>
  <c r="QM6" i="40"/>
  <c r="QL6" i="40"/>
  <c r="QK6" i="40"/>
  <c r="QJ6" i="40"/>
  <c r="QI6" i="40"/>
  <c r="QH6" i="40"/>
  <c r="QG6" i="40"/>
  <c r="QF6" i="40"/>
  <c r="QE6" i="40"/>
  <c r="QD6" i="40"/>
  <c r="QC6" i="40"/>
  <c r="QB6" i="40"/>
  <c r="QA6" i="40"/>
  <c r="PZ6" i="40"/>
  <c r="PY6" i="40"/>
  <c r="PX6" i="40"/>
  <c r="PW6" i="40"/>
  <c r="PV6" i="40"/>
  <c r="PU6" i="40"/>
  <c r="PT6" i="40"/>
  <c r="PS6" i="40"/>
  <c r="PR6" i="40"/>
  <c r="PQ6" i="40"/>
  <c r="PP6" i="40"/>
  <c r="PO6" i="40"/>
  <c r="PN6" i="40"/>
  <c r="PM6" i="40"/>
  <c r="PL6" i="40"/>
  <c r="PK6" i="40"/>
  <c r="PJ6" i="40"/>
  <c r="PI6" i="40"/>
  <c r="PH6" i="40"/>
  <c r="PG6" i="40"/>
  <c r="PF6" i="40"/>
  <c r="PE6" i="40"/>
  <c r="PD6" i="40"/>
  <c r="PC6" i="40"/>
  <c r="PB6" i="40"/>
  <c r="PA6" i="40"/>
  <c r="OZ6" i="40"/>
  <c r="OY6" i="40"/>
  <c r="OX6" i="40"/>
  <c r="OW6" i="40"/>
  <c r="SR5" i="40"/>
  <c r="SQ5" i="40"/>
  <c r="SP5" i="40"/>
  <c r="SO5" i="40"/>
  <c r="SN5" i="40"/>
  <c r="SM5" i="40"/>
  <c r="SL5" i="40"/>
  <c r="SK5" i="40"/>
  <c r="SJ5" i="40"/>
  <c r="SI5" i="40"/>
  <c r="SH5" i="40"/>
  <c r="SG5" i="40"/>
  <c r="SF5" i="40"/>
  <c r="SE5" i="40"/>
  <c r="SD5" i="40"/>
  <c r="SC5" i="40"/>
  <c r="SB5" i="40"/>
  <c r="SA5" i="40"/>
  <c r="RZ5" i="40"/>
  <c r="RY5" i="40"/>
  <c r="RX5" i="40"/>
  <c r="RW5" i="40"/>
  <c r="RV5" i="40"/>
  <c r="RU5" i="40"/>
  <c r="RT5" i="40"/>
  <c r="RS5" i="40"/>
  <c r="RR5" i="40"/>
  <c r="RQ5" i="40"/>
  <c r="RP5" i="40"/>
  <c r="RO5" i="40"/>
  <c r="RN5" i="40"/>
  <c r="RM5" i="40"/>
  <c r="RL5" i="40"/>
  <c r="RK5" i="40"/>
  <c r="RJ5" i="40"/>
  <c r="RI5" i="40"/>
  <c r="RH5" i="40"/>
  <c r="RG5" i="40"/>
  <c r="RF5" i="40"/>
  <c r="RE5" i="40"/>
  <c r="RD5" i="40"/>
  <c r="RC5" i="40"/>
  <c r="RB5" i="40"/>
  <c r="RA5" i="40"/>
  <c r="QZ5" i="40"/>
  <c r="QY5" i="40"/>
  <c r="QX5" i="40"/>
  <c r="QW5" i="40"/>
  <c r="QV5" i="40"/>
  <c r="QU5" i="40"/>
  <c r="QT5" i="40"/>
  <c r="QS5" i="40"/>
  <c r="QR5" i="40"/>
  <c r="QQ5" i="40"/>
  <c r="QP5" i="40"/>
  <c r="QO5" i="40"/>
  <c r="QN5" i="40"/>
  <c r="QM5" i="40"/>
  <c r="QL5" i="40"/>
  <c r="QK5" i="40"/>
  <c r="QJ5" i="40"/>
  <c r="QI5" i="40"/>
  <c r="QH5" i="40"/>
  <c r="QG5" i="40"/>
  <c r="QF5" i="40"/>
  <c r="QE5" i="40"/>
  <c r="QD5" i="40"/>
  <c r="QC5" i="40"/>
  <c r="QB5" i="40"/>
  <c r="QA5" i="40"/>
  <c r="PZ5" i="40"/>
  <c r="PY5" i="40"/>
  <c r="PX5" i="40"/>
  <c r="PW5" i="40"/>
  <c r="PV5" i="40"/>
  <c r="PU5" i="40"/>
  <c r="PT5" i="40"/>
  <c r="PS5" i="40"/>
  <c r="PR5" i="40"/>
  <c r="PQ5" i="40"/>
  <c r="PP5" i="40"/>
  <c r="PO5" i="40"/>
  <c r="PN5" i="40"/>
  <c r="PM5" i="40"/>
  <c r="PL5" i="40"/>
  <c r="PK5" i="40"/>
  <c r="PJ5" i="40"/>
  <c r="PI5" i="40"/>
  <c r="PH5" i="40"/>
  <c r="PG5" i="40"/>
  <c r="PF5" i="40"/>
  <c r="PE5" i="40"/>
  <c r="PD5" i="40"/>
  <c r="PC5" i="40"/>
  <c r="PB5" i="40"/>
  <c r="PA5" i="40"/>
  <c r="OZ5" i="40"/>
  <c r="OY5" i="40"/>
  <c r="OX5" i="40"/>
  <c r="OW5" i="40"/>
  <c r="SR4" i="40"/>
  <c r="SQ4" i="40"/>
  <c r="SP4" i="40"/>
  <c r="SO4" i="40"/>
  <c r="SN4" i="40"/>
  <c r="SM4" i="40"/>
  <c r="SL4" i="40"/>
  <c r="SK4" i="40"/>
  <c r="SJ4" i="40"/>
  <c r="SI4" i="40"/>
  <c r="SH4" i="40"/>
  <c r="SG4" i="40"/>
  <c r="SF4" i="40"/>
  <c r="SE4" i="40"/>
  <c r="SD4" i="40"/>
  <c r="SC4" i="40"/>
  <c r="SB4" i="40"/>
  <c r="SA4" i="40"/>
  <c r="RZ4" i="40"/>
  <c r="RY4" i="40"/>
  <c r="RX4" i="40"/>
  <c r="RW4" i="40"/>
  <c r="RV4" i="40"/>
  <c r="RU4" i="40"/>
  <c r="RT4" i="40"/>
  <c r="RS4" i="40"/>
  <c r="RR4" i="40"/>
  <c r="RQ4" i="40"/>
  <c r="RP4" i="40"/>
  <c r="RO4" i="40"/>
  <c r="RN4" i="40"/>
  <c r="RM4" i="40"/>
  <c r="RL4" i="40"/>
  <c r="RK4" i="40"/>
  <c r="RJ4" i="40"/>
  <c r="RI4" i="40"/>
  <c r="RH4" i="40"/>
  <c r="RG4" i="40"/>
  <c r="RF4" i="40"/>
  <c r="RE4" i="40"/>
  <c r="RD4" i="40"/>
  <c r="RC4" i="40"/>
  <c r="RB4" i="40"/>
  <c r="RA4" i="40"/>
  <c r="QZ4" i="40"/>
  <c r="QY4" i="40"/>
  <c r="QX4" i="40"/>
  <c r="QW4" i="40"/>
  <c r="QV4" i="40"/>
  <c r="QU4" i="40"/>
  <c r="QT4" i="40"/>
  <c r="QS4" i="40"/>
  <c r="QR4" i="40"/>
  <c r="QQ4" i="40"/>
  <c r="QP4" i="40"/>
  <c r="QO4" i="40"/>
  <c r="QN4" i="40"/>
  <c r="QM4" i="40"/>
  <c r="QL4" i="40"/>
  <c r="QK4" i="40"/>
  <c r="QJ4" i="40"/>
  <c r="QI4" i="40"/>
  <c r="QH4" i="40"/>
  <c r="QG4" i="40"/>
  <c r="QF4" i="40"/>
  <c r="QE4" i="40"/>
  <c r="QD4" i="40"/>
  <c r="QC4" i="40"/>
  <c r="QB4" i="40"/>
  <c r="QA4" i="40"/>
  <c r="PZ4" i="40"/>
  <c r="PY4" i="40"/>
  <c r="PX4" i="40"/>
  <c r="PW4" i="40"/>
  <c r="PV4" i="40"/>
  <c r="PU4" i="40"/>
  <c r="PT4" i="40"/>
  <c r="PS4" i="40"/>
  <c r="PR4" i="40"/>
  <c r="PQ4" i="40"/>
  <c r="PP4" i="40"/>
  <c r="PO4" i="40"/>
  <c r="PN4" i="40"/>
  <c r="PM4" i="40"/>
  <c r="PL4" i="40"/>
  <c r="PK4" i="40"/>
  <c r="PJ4" i="40"/>
  <c r="PI4" i="40"/>
  <c r="PH4" i="40"/>
  <c r="PG4" i="40"/>
  <c r="PF4" i="40"/>
  <c r="PE4" i="40"/>
  <c r="PD4" i="40"/>
  <c r="PC4" i="40"/>
  <c r="PB4" i="40"/>
  <c r="PA4" i="40"/>
  <c r="OZ4" i="40"/>
  <c r="OY4" i="40"/>
  <c r="OX4" i="40"/>
  <c r="OW4" i="40"/>
  <c r="SR3" i="40"/>
  <c r="SQ3" i="40"/>
  <c r="SP3" i="40"/>
  <c r="SO3" i="40"/>
  <c r="SN3" i="40"/>
  <c r="SM3" i="40"/>
  <c r="SL3" i="40"/>
  <c r="SK3" i="40"/>
  <c r="SJ3" i="40"/>
  <c r="SI3" i="40"/>
  <c r="SH3" i="40"/>
  <c r="SG3" i="40"/>
  <c r="SF3" i="40"/>
  <c r="SE3" i="40"/>
  <c r="SD3" i="40"/>
  <c r="SC3" i="40"/>
  <c r="SB3" i="40"/>
  <c r="SA3" i="40"/>
  <c r="RZ3" i="40"/>
  <c r="RY3" i="40"/>
  <c r="RX3" i="40"/>
  <c r="RW3" i="40"/>
  <c r="RV3" i="40"/>
  <c r="RU3" i="40"/>
  <c r="RT3" i="40"/>
  <c r="RS3" i="40"/>
  <c r="RR3" i="40"/>
  <c r="RQ3" i="40"/>
  <c r="RP3" i="40"/>
  <c r="RO3" i="40"/>
  <c r="RN3" i="40"/>
  <c r="RM3" i="40"/>
  <c r="RL3" i="40"/>
  <c r="RK3" i="40"/>
  <c r="RJ3" i="40"/>
  <c r="RI3" i="40"/>
  <c r="RH3" i="40"/>
  <c r="RG3" i="40"/>
  <c r="RF3" i="40"/>
  <c r="RE3" i="40"/>
  <c r="RD3" i="40"/>
  <c r="RC3" i="40"/>
  <c r="RB3" i="40"/>
  <c r="RA3" i="40"/>
  <c r="QZ3" i="40"/>
  <c r="QY3" i="40"/>
  <c r="QX3" i="40"/>
  <c r="QW3" i="40"/>
  <c r="QV3" i="40"/>
  <c r="QU3" i="40"/>
  <c r="QT3" i="40"/>
  <c r="QS3" i="40"/>
  <c r="QR3" i="40"/>
  <c r="QQ3" i="40"/>
  <c r="QP3" i="40"/>
  <c r="QO3" i="40"/>
  <c r="QN3" i="40"/>
  <c r="QM3" i="40"/>
  <c r="QL3" i="40"/>
  <c r="QK3" i="40"/>
  <c r="QJ3" i="40"/>
  <c r="QI3" i="40"/>
  <c r="QH3" i="40"/>
  <c r="QG3" i="40"/>
  <c r="QF3" i="40"/>
  <c r="QE3" i="40"/>
  <c r="QD3" i="40"/>
  <c r="QC3" i="40"/>
  <c r="QB3" i="40"/>
  <c r="QA3" i="40"/>
  <c r="PZ3" i="40"/>
  <c r="PY3" i="40"/>
  <c r="PX3" i="40"/>
  <c r="PW3" i="40"/>
  <c r="PV3" i="40"/>
  <c r="PU3" i="40"/>
  <c r="PT3" i="40"/>
  <c r="PS3" i="40"/>
  <c r="PR3" i="40"/>
  <c r="PQ3" i="40"/>
  <c r="PP3" i="40"/>
  <c r="PO3" i="40"/>
  <c r="PN3" i="40"/>
  <c r="PM3" i="40"/>
  <c r="PL3" i="40"/>
  <c r="PK3" i="40"/>
  <c r="PJ3" i="40"/>
  <c r="PI3" i="40"/>
  <c r="PH3" i="40"/>
  <c r="PG3" i="40"/>
  <c r="PF3" i="40"/>
  <c r="PE3" i="40"/>
  <c r="PD3" i="40"/>
  <c r="PC3" i="40"/>
  <c r="PB3" i="40"/>
  <c r="PA3" i="40"/>
  <c r="OZ3" i="40"/>
  <c r="OY3" i="40"/>
  <c r="OX3" i="40"/>
  <c r="OW3" i="40"/>
  <c r="OV44" i="40"/>
  <c r="OU44" i="40"/>
  <c r="OT44" i="40"/>
  <c r="OS44" i="40"/>
  <c r="OR44" i="40"/>
  <c r="OQ44" i="40"/>
  <c r="OP44" i="40"/>
  <c r="OO44" i="40"/>
  <c r="ON44" i="40"/>
  <c r="OM44" i="40"/>
  <c r="OL44" i="40"/>
  <c r="OK44" i="40"/>
  <c r="OJ44" i="40"/>
  <c r="OI44" i="40"/>
  <c r="OH44" i="40"/>
  <c r="OG44" i="40"/>
  <c r="OF44" i="40"/>
  <c r="OE44" i="40"/>
  <c r="OD44" i="40"/>
  <c r="OC44" i="40"/>
  <c r="OB44" i="40"/>
  <c r="OA44" i="40"/>
  <c r="NZ44" i="40"/>
  <c r="NY44" i="40"/>
  <c r="NX44" i="40"/>
  <c r="NW44" i="40"/>
  <c r="NV44" i="40"/>
  <c r="NU44" i="40"/>
  <c r="NT44" i="40"/>
  <c r="NS44" i="40"/>
  <c r="NR44" i="40"/>
  <c r="NQ44" i="40"/>
  <c r="NP44" i="40"/>
  <c r="NO44" i="40"/>
  <c r="NN44" i="40"/>
  <c r="NM44" i="40"/>
  <c r="NL44" i="40"/>
  <c r="NK44" i="40"/>
  <c r="NJ44" i="40"/>
  <c r="NI44" i="40"/>
  <c r="NH44" i="40"/>
  <c r="NG44" i="40"/>
  <c r="NF44" i="40"/>
  <c r="NE44" i="40"/>
  <c r="ND44" i="40"/>
  <c r="NC44" i="40"/>
  <c r="NB44" i="40"/>
  <c r="NA44" i="40"/>
  <c r="MZ44" i="40"/>
  <c r="MY44" i="40"/>
  <c r="MX44" i="40"/>
  <c r="MW44" i="40"/>
  <c r="MV44" i="40"/>
  <c r="MU44" i="40"/>
  <c r="MT44" i="40"/>
  <c r="MS44" i="40"/>
  <c r="MR44" i="40"/>
  <c r="MQ44" i="40"/>
  <c r="MP44" i="40"/>
  <c r="MO44" i="40"/>
  <c r="MN44" i="40"/>
  <c r="MM44" i="40"/>
  <c r="ML44" i="40"/>
  <c r="MK44" i="40"/>
  <c r="MJ44" i="40"/>
  <c r="MI44" i="40"/>
  <c r="MH44" i="40"/>
  <c r="MG44" i="40"/>
  <c r="MF44" i="40"/>
  <c r="ME44" i="40"/>
  <c r="MD44" i="40"/>
  <c r="MC44" i="40"/>
  <c r="MB44" i="40"/>
  <c r="MA44" i="40"/>
  <c r="LZ44" i="40"/>
  <c r="LY44" i="40"/>
  <c r="LX44" i="40"/>
  <c r="LW44" i="40"/>
  <c r="LV44" i="40"/>
  <c r="LU44" i="40"/>
  <c r="LT44" i="40"/>
  <c r="LS44" i="40"/>
  <c r="LR44" i="40"/>
  <c r="LQ44" i="40"/>
  <c r="LP44" i="40"/>
  <c r="LO44" i="40"/>
  <c r="LN44" i="40"/>
  <c r="LM44" i="40"/>
  <c r="LL44" i="40"/>
  <c r="LK44" i="40"/>
  <c r="LJ44" i="40"/>
  <c r="LI44" i="40"/>
  <c r="LH44" i="40"/>
  <c r="LG44" i="40"/>
  <c r="LF44" i="40"/>
  <c r="LE44" i="40"/>
  <c r="LD44" i="40"/>
  <c r="LC44" i="40"/>
  <c r="LB44" i="40"/>
  <c r="LA44" i="40"/>
  <c r="OV43" i="40"/>
  <c r="OU43" i="40"/>
  <c r="OT43" i="40"/>
  <c r="OS43" i="40"/>
  <c r="OR43" i="40"/>
  <c r="OQ43" i="40"/>
  <c r="OP43" i="40"/>
  <c r="OO43" i="40"/>
  <c r="ON43" i="40"/>
  <c r="OM43" i="40"/>
  <c r="OL43" i="40"/>
  <c r="OK43" i="40"/>
  <c r="OJ43" i="40"/>
  <c r="OI43" i="40"/>
  <c r="OH43" i="40"/>
  <c r="OG43" i="40"/>
  <c r="OF43" i="40"/>
  <c r="OE43" i="40"/>
  <c r="OD43" i="40"/>
  <c r="OC43" i="40"/>
  <c r="OB43" i="40"/>
  <c r="OA43" i="40"/>
  <c r="NZ43" i="40"/>
  <c r="NY43" i="40"/>
  <c r="NX43" i="40"/>
  <c r="NW43" i="40"/>
  <c r="NV43" i="40"/>
  <c r="NU43" i="40"/>
  <c r="NT43" i="40"/>
  <c r="NS43" i="40"/>
  <c r="NR43" i="40"/>
  <c r="NQ43" i="40"/>
  <c r="NP43" i="40"/>
  <c r="NO43" i="40"/>
  <c r="NN43" i="40"/>
  <c r="NM43" i="40"/>
  <c r="NL43" i="40"/>
  <c r="NK43" i="40"/>
  <c r="NJ43" i="40"/>
  <c r="NI43" i="40"/>
  <c r="NH43" i="40"/>
  <c r="NG43" i="40"/>
  <c r="NF43" i="40"/>
  <c r="NE43" i="40"/>
  <c r="ND43" i="40"/>
  <c r="NC43" i="40"/>
  <c r="NB43" i="40"/>
  <c r="NA43" i="40"/>
  <c r="MZ43" i="40"/>
  <c r="MY43" i="40"/>
  <c r="MX43" i="40"/>
  <c r="MW43" i="40"/>
  <c r="MV43" i="40"/>
  <c r="MU43" i="40"/>
  <c r="MT43" i="40"/>
  <c r="MS43" i="40"/>
  <c r="MR43" i="40"/>
  <c r="MQ43" i="40"/>
  <c r="MP43" i="40"/>
  <c r="MO43" i="40"/>
  <c r="MN43" i="40"/>
  <c r="MM43" i="40"/>
  <c r="ML43" i="40"/>
  <c r="MK43" i="40"/>
  <c r="MJ43" i="40"/>
  <c r="MI43" i="40"/>
  <c r="MH43" i="40"/>
  <c r="MG43" i="40"/>
  <c r="MF43" i="40"/>
  <c r="ME43" i="40"/>
  <c r="MD43" i="40"/>
  <c r="MC43" i="40"/>
  <c r="MB43" i="40"/>
  <c r="MA43" i="40"/>
  <c r="LZ43" i="40"/>
  <c r="LY43" i="40"/>
  <c r="LX43" i="40"/>
  <c r="LW43" i="40"/>
  <c r="LV43" i="40"/>
  <c r="LU43" i="40"/>
  <c r="LT43" i="40"/>
  <c r="LS43" i="40"/>
  <c r="LR43" i="40"/>
  <c r="LQ43" i="40"/>
  <c r="LP43" i="40"/>
  <c r="LO43" i="40"/>
  <c r="LN43" i="40"/>
  <c r="LM43" i="40"/>
  <c r="LL43" i="40"/>
  <c r="LK43" i="40"/>
  <c r="LJ43" i="40"/>
  <c r="LI43" i="40"/>
  <c r="LH43" i="40"/>
  <c r="LG43" i="40"/>
  <c r="LF43" i="40"/>
  <c r="LE43" i="40"/>
  <c r="LD43" i="40"/>
  <c r="LC43" i="40"/>
  <c r="LB43" i="40"/>
  <c r="LA43" i="40"/>
  <c r="OV42" i="40"/>
  <c r="OU42" i="40"/>
  <c r="OT42" i="40"/>
  <c r="OS42" i="40"/>
  <c r="OR42" i="40"/>
  <c r="OQ42" i="40"/>
  <c r="OP42" i="40"/>
  <c r="OO42" i="40"/>
  <c r="ON42" i="40"/>
  <c r="OM42" i="40"/>
  <c r="OL42" i="40"/>
  <c r="OK42" i="40"/>
  <c r="OJ42" i="40"/>
  <c r="OI42" i="40"/>
  <c r="OH42" i="40"/>
  <c r="OG42" i="40"/>
  <c r="OF42" i="40"/>
  <c r="OE42" i="40"/>
  <c r="OD42" i="40"/>
  <c r="OC42" i="40"/>
  <c r="OB42" i="40"/>
  <c r="OA42" i="40"/>
  <c r="NZ42" i="40"/>
  <c r="NY42" i="40"/>
  <c r="NX42" i="40"/>
  <c r="NW42" i="40"/>
  <c r="NV42" i="40"/>
  <c r="NU42" i="40"/>
  <c r="NT42" i="40"/>
  <c r="NS42" i="40"/>
  <c r="NR42" i="40"/>
  <c r="NQ42" i="40"/>
  <c r="NP42" i="40"/>
  <c r="NO42" i="40"/>
  <c r="NN42" i="40"/>
  <c r="NM42" i="40"/>
  <c r="NL42" i="40"/>
  <c r="NK42" i="40"/>
  <c r="NJ42" i="40"/>
  <c r="NI42" i="40"/>
  <c r="NH42" i="40"/>
  <c r="NG42" i="40"/>
  <c r="NF42" i="40"/>
  <c r="NE42" i="40"/>
  <c r="ND42" i="40"/>
  <c r="NC42" i="40"/>
  <c r="NB42" i="40"/>
  <c r="NA42" i="40"/>
  <c r="MZ42" i="40"/>
  <c r="MY42" i="40"/>
  <c r="MX42" i="40"/>
  <c r="MW42" i="40"/>
  <c r="MV42" i="40"/>
  <c r="MU42" i="40"/>
  <c r="MT42" i="40"/>
  <c r="MS42" i="40"/>
  <c r="MR42" i="40"/>
  <c r="MQ42" i="40"/>
  <c r="MP42" i="40"/>
  <c r="MO42" i="40"/>
  <c r="MN42" i="40"/>
  <c r="MM42" i="40"/>
  <c r="ML42" i="40"/>
  <c r="MK42" i="40"/>
  <c r="MJ42" i="40"/>
  <c r="MI42" i="40"/>
  <c r="MH42" i="40"/>
  <c r="MG42" i="40"/>
  <c r="MF42" i="40"/>
  <c r="ME42" i="40"/>
  <c r="MD42" i="40"/>
  <c r="MC42" i="40"/>
  <c r="MB42" i="40"/>
  <c r="MA42" i="40"/>
  <c r="LZ42" i="40"/>
  <c r="LY42" i="40"/>
  <c r="LX42" i="40"/>
  <c r="LW42" i="40"/>
  <c r="LV42" i="40"/>
  <c r="LU42" i="40"/>
  <c r="LT42" i="40"/>
  <c r="LS42" i="40"/>
  <c r="LR42" i="40"/>
  <c r="LQ42" i="40"/>
  <c r="LP42" i="40"/>
  <c r="LO42" i="40"/>
  <c r="LN42" i="40"/>
  <c r="LM42" i="40"/>
  <c r="LL42" i="40"/>
  <c r="LK42" i="40"/>
  <c r="LJ42" i="40"/>
  <c r="LI42" i="40"/>
  <c r="LH42" i="40"/>
  <c r="LG42" i="40"/>
  <c r="LF42" i="40"/>
  <c r="LE42" i="40"/>
  <c r="LD42" i="40"/>
  <c r="LC42" i="40"/>
  <c r="LB42" i="40"/>
  <c r="LA42" i="40"/>
  <c r="OV41" i="40"/>
  <c r="OU41" i="40"/>
  <c r="OT41" i="40"/>
  <c r="OS41" i="40"/>
  <c r="OR41" i="40"/>
  <c r="OQ41" i="40"/>
  <c r="OP41" i="40"/>
  <c r="OO41" i="40"/>
  <c r="ON41" i="40"/>
  <c r="OM41" i="40"/>
  <c r="OL41" i="40"/>
  <c r="OK41" i="40"/>
  <c r="OJ41" i="40"/>
  <c r="OI41" i="40"/>
  <c r="OH41" i="40"/>
  <c r="OG41" i="40"/>
  <c r="OF41" i="40"/>
  <c r="OE41" i="40"/>
  <c r="OD41" i="40"/>
  <c r="OC41" i="40"/>
  <c r="OB41" i="40"/>
  <c r="OA41" i="40"/>
  <c r="NZ41" i="40"/>
  <c r="NY41" i="40"/>
  <c r="NX41" i="40"/>
  <c r="NW41" i="40"/>
  <c r="NV41" i="40"/>
  <c r="NU41" i="40"/>
  <c r="NT41" i="40"/>
  <c r="NS41" i="40"/>
  <c r="NR41" i="40"/>
  <c r="NQ41" i="40"/>
  <c r="NP41" i="40"/>
  <c r="NO41" i="40"/>
  <c r="NN41" i="40"/>
  <c r="NM41" i="40"/>
  <c r="NL41" i="40"/>
  <c r="NK41" i="40"/>
  <c r="NJ41" i="40"/>
  <c r="NI41" i="40"/>
  <c r="NH41" i="40"/>
  <c r="NG41" i="40"/>
  <c r="NF41" i="40"/>
  <c r="NE41" i="40"/>
  <c r="ND41" i="40"/>
  <c r="NC41" i="40"/>
  <c r="NB41" i="40"/>
  <c r="NA41" i="40"/>
  <c r="MZ41" i="40"/>
  <c r="MY41" i="40"/>
  <c r="MX41" i="40"/>
  <c r="MW41" i="40"/>
  <c r="MV41" i="40"/>
  <c r="MU41" i="40"/>
  <c r="MT41" i="40"/>
  <c r="MS41" i="40"/>
  <c r="MR41" i="40"/>
  <c r="MQ41" i="40"/>
  <c r="MP41" i="40"/>
  <c r="MO41" i="40"/>
  <c r="MN41" i="40"/>
  <c r="MM41" i="40"/>
  <c r="ML41" i="40"/>
  <c r="MK41" i="40"/>
  <c r="MJ41" i="40"/>
  <c r="MI41" i="40"/>
  <c r="MH41" i="40"/>
  <c r="MG41" i="40"/>
  <c r="MF41" i="40"/>
  <c r="ME41" i="40"/>
  <c r="MD41" i="40"/>
  <c r="MC41" i="40"/>
  <c r="MB41" i="40"/>
  <c r="MA41" i="40"/>
  <c r="LZ41" i="40"/>
  <c r="LY41" i="40"/>
  <c r="LX41" i="40"/>
  <c r="LW41" i="40"/>
  <c r="LV41" i="40"/>
  <c r="LU41" i="40"/>
  <c r="LT41" i="40"/>
  <c r="LS41" i="40"/>
  <c r="LR41" i="40"/>
  <c r="LQ41" i="40"/>
  <c r="LP41" i="40"/>
  <c r="LO41" i="40"/>
  <c r="LN41" i="40"/>
  <c r="LM41" i="40"/>
  <c r="LL41" i="40"/>
  <c r="LK41" i="40"/>
  <c r="LJ41" i="40"/>
  <c r="LI41" i="40"/>
  <c r="LH41" i="40"/>
  <c r="LG41" i="40"/>
  <c r="LF41" i="40"/>
  <c r="LE41" i="40"/>
  <c r="LD41" i="40"/>
  <c r="LC41" i="40"/>
  <c r="LB41" i="40"/>
  <c r="LA41" i="40"/>
  <c r="OV40" i="40"/>
  <c r="OU40" i="40"/>
  <c r="OT40" i="40"/>
  <c r="OS40" i="40"/>
  <c r="OR40" i="40"/>
  <c r="OQ40" i="40"/>
  <c r="OP40" i="40"/>
  <c r="OO40" i="40"/>
  <c r="ON40" i="40"/>
  <c r="OM40" i="40"/>
  <c r="OL40" i="40"/>
  <c r="OK40" i="40"/>
  <c r="OJ40" i="40"/>
  <c r="OI40" i="40"/>
  <c r="OH40" i="40"/>
  <c r="OG40" i="40"/>
  <c r="OF40" i="40"/>
  <c r="OE40" i="40"/>
  <c r="OD40" i="40"/>
  <c r="OC40" i="40"/>
  <c r="OB40" i="40"/>
  <c r="OA40" i="40"/>
  <c r="NZ40" i="40"/>
  <c r="NY40" i="40"/>
  <c r="NX40" i="40"/>
  <c r="NW40" i="40"/>
  <c r="NV40" i="40"/>
  <c r="NU40" i="40"/>
  <c r="NT40" i="40"/>
  <c r="NS40" i="40"/>
  <c r="NR40" i="40"/>
  <c r="NQ40" i="40"/>
  <c r="NP40" i="40"/>
  <c r="NO40" i="40"/>
  <c r="NN40" i="40"/>
  <c r="NM40" i="40"/>
  <c r="NL40" i="40"/>
  <c r="NK40" i="40"/>
  <c r="NJ40" i="40"/>
  <c r="NI40" i="40"/>
  <c r="NH40" i="40"/>
  <c r="NG40" i="40"/>
  <c r="NF40" i="40"/>
  <c r="NE40" i="40"/>
  <c r="ND40" i="40"/>
  <c r="NC40" i="40"/>
  <c r="NB40" i="40"/>
  <c r="NA40" i="40"/>
  <c r="MZ40" i="40"/>
  <c r="MY40" i="40"/>
  <c r="MX40" i="40"/>
  <c r="MW40" i="40"/>
  <c r="MV40" i="40"/>
  <c r="MU40" i="40"/>
  <c r="MT40" i="40"/>
  <c r="MS40" i="40"/>
  <c r="MR40" i="40"/>
  <c r="MQ40" i="40"/>
  <c r="MP40" i="40"/>
  <c r="MO40" i="40"/>
  <c r="MN40" i="40"/>
  <c r="MM40" i="40"/>
  <c r="ML40" i="40"/>
  <c r="MK40" i="40"/>
  <c r="MJ40" i="40"/>
  <c r="MI40" i="40"/>
  <c r="MH40" i="40"/>
  <c r="MG40" i="40"/>
  <c r="MF40" i="40"/>
  <c r="ME40" i="40"/>
  <c r="MD40" i="40"/>
  <c r="MC40" i="40"/>
  <c r="MB40" i="40"/>
  <c r="MA40" i="40"/>
  <c r="LZ40" i="40"/>
  <c r="LY40" i="40"/>
  <c r="LX40" i="40"/>
  <c r="LW40" i="40"/>
  <c r="LV40" i="40"/>
  <c r="LU40" i="40"/>
  <c r="LT40" i="40"/>
  <c r="LS40" i="40"/>
  <c r="LR40" i="40"/>
  <c r="LQ40" i="40"/>
  <c r="LP40" i="40"/>
  <c r="LO40" i="40"/>
  <c r="LN40" i="40"/>
  <c r="LM40" i="40"/>
  <c r="LL40" i="40"/>
  <c r="LK40" i="40"/>
  <c r="LJ40" i="40"/>
  <c r="LI40" i="40"/>
  <c r="LH40" i="40"/>
  <c r="LG40" i="40"/>
  <c r="LF40" i="40"/>
  <c r="LE40" i="40"/>
  <c r="LD40" i="40"/>
  <c r="LC40" i="40"/>
  <c r="LB40" i="40"/>
  <c r="LA40" i="40"/>
  <c r="OV39" i="40"/>
  <c r="OU39" i="40"/>
  <c r="OT39" i="40"/>
  <c r="OS39" i="40"/>
  <c r="OR39" i="40"/>
  <c r="OQ39" i="40"/>
  <c r="OP39" i="40"/>
  <c r="OO39" i="40"/>
  <c r="ON39" i="40"/>
  <c r="OM39" i="40"/>
  <c r="OL39" i="40"/>
  <c r="OK39" i="40"/>
  <c r="OJ39" i="40"/>
  <c r="OI39" i="40"/>
  <c r="OH39" i="40"/>
  <c r="OG39" i="40"/>
  <c r="OF39" i="40"/>
  <c r="OE39" i="40"/>
  <c r="OD39" i="40"/>
  <c r="OC39" i="40"/>
  <c r="OB39" i="40"/>
  <c r="OA39" i="40"/>
  <c r="NZ39" i="40"/>
  <c r="NY39" i="40"/>
  <c r="NX39" i="40"/>
  <c r="NW39" i="40"/>
  <c r="NV39" i="40"/>
  <c r="NU39" i="40"/>
  <c r="NT39" i="40"/>
  <c r="NS39" i="40"/>
  <c r="NR39" i="40"/>
  <c r="NQ39" i="40"/>
  <c r="NP39" i="40"/>
  <c r="NO39" i="40"/>
  <c r="NN39" i="40"/>
  <c r="NM39" i="40"/>
  <c r="NL39" i="40"/>
  <c r="NK39" i="40"/>
  <c r="NJ39" i="40"/>
  <c r="NI39" i="40"/>
  <c r="NH39" i="40"/>
  <c r="NG39" i="40"/>
  <c r="NF39" i="40"/>
  <c r="NE39" i="40"/>
  <c r="ND39" i="40"/>
  <c r="NC39" i="40"/>
  <c r="NB39" i="40"/>
  <c r="NA39" i="40"/>
  <c r="MZ39" i="40"/>
  <c r="MY39" i="40"/>
  <c r="MX39" i="40"/>
  <c r="MW39" i="40"/>
  <c r="MV39" i="40"/>
  <c r="MU39" i="40"/>
  <c r="MT39" i="40"/>
  <c r="MS39" i="40"/>
  <c r="MR39" i="40"/>
  <c r="MQ39" i="40"/>
  <c r="MP39" i="40"/>
  <c r="MO39" i="40"/>
  <c r="MN39" i="40"/>
  <c r="MM39" i="40"/>
  <c r="ML39" i="40"/>
  <c r="MK39" i="40"/>
  <c r="MJ39" i="40"/>
  <c r="MI39" i="40"/>
  <c r="MH39" i="40"/>
  <c r="MG39" i="40"/>
  <c r="MF39" i="40"/>
  <c r="ME39" i="40"/>
  <c r="MD39" i="40"/>
  <c r="MC39" i="40"/>
  <c r="MB39" i="40"/>
  <c r="MA39" i="40"/>
  <c r="LZ39" i="40"/>
  <c r="LY39" i="40"/>
  <c r="LX39" i="40"/>
  <c r="LW39" i="40"/>
  <c r="LV39" i="40"/>
  <c r="LU39" i="40"/>
  <c r="LT39" i="40"/>
  <c r="LS39" i="40"/>
  <c r="LR39" i="40"/>
  <c r="LQ39" i="40"/>
  <c r="LP39" i="40"/>
  <c r="LO39" i="40"/>
  <c r="LN39" i="40"/>
  <c r="LM39" i="40"/>
  <c r="LL39" i="40"/>
  <c r="LK39" i="40"/>
  <c r="LJ39" i="40"/>
  <c r="LI39" i="40"/>
  <c r="LH39" i="40"/>
  <c r="LG39" i="40"/>
  <c r="LF39" i="40"/>
  <c r="LE39" i="40"/>
  <c r="LD39" i="40"/>
  <c r="LC39" i="40"/>
  <c r="LB39" i="40"/>
  <c r="LA39" i="40"/>
  <c r="OV38" i="40"/>
  <c r="OU38" i="40"/>
  <c r="OT38" i="40"/>
  <c r="OS38" i="40"/>
  <c r="OR38" i="40"/>
  <c r="OQ38" i="40"/>
  <c r="OP38" i="40"/>
  <c r="OO38" i="40"/>
  <c r="ON38" i="40"/>
  <c r="OM38" i="40"/>
  <c r="OL38" i="40"/>
  <c r="OK38" i="40"/>
  <c r="OJ38" i="40"/>
  <c r="OI38" i="40"/>
  <c r="OH38" i="40"/>
  <c r="OG38" i="40"/>
  <c r="OF38" i="40"/>
  <c r="OE38" i="40"/>
  <c r="OD38" i="40"/>
  <c r="OC38" i="40"/>
  <c r="OB38" i="40"/>
  <c r="OA38" i="40"/>
  <c r="NZ38" i="40"/>
  <c r="NY38" i="40"/>
  <c r="NX38" i="40"/>
  <c r="NW38" i="40"/>
  <c r="NV38" i="40"/>
  <c r="NU38" i="40"/>
  <c r="NT38" i="40"/>
  <c r="NS38" i="40"/>
  <c r="NR38" i="40"/>
  <c r="NQ38" i="40"/>
  <c r="NP38" i="40"/>
  <c r="NO38" i="40"/>
  <c r="NN38" i="40"/>
  <c r="NM38" i="40"/>
  <c r="NL38" i="40"/>
  <c r="NK38" i="40"/>
  <c r="NJ38" i="40"/>
  <c r="NI38" i="40"/>
  <c r="NH38" i="40"/>
  <c r="NG38" i="40"/>
  <c r="NF38" i="40"/>
  <c r="NE38" i="40"/>
  <c r="ND38" i="40"/>
  <c r="NC38" i="40"/>
  <c r="NB38" i="40"/>
  <c r="NA38" i="40"/>
  <c r="MZ38" i="40"/>
  <c r="MY38" i="40"/>
  <c r="MX38" i="40"/>
  <c r="MW38" i="40"/>
  <c r="MV38" i="40"/>
  <c r="MU38" i="40"/>
  <c r="MT38" i="40"/>
  <c r="MS38" i="40"/>
  <c r="MR38" i="40"/>
  <c r="MQ38" i="40"/>
  <c r="MP38" i="40"/>
  <c r="MO38" i="40"/>
  <c r="MN38" i="40"/>
  <c r="MM38" i="40"/>
  <c r="ML38" i="40"/>
  <c r="MK38" i="40"/>
  <c r="MJ38" i="40"/>
  <c r="MI38" i="40"/>
  <c r="MH38" i="40"/>
  <c r="MG38" i="40"/>
  <c r="MF38" i="40"/>
  <c r="ME38" i="40"/>
  <c r="MD38" i="40"/>
  <c r="MC38" i="40"/>
  <c r="MB38" i="40"/>
  <c r="MA38" i="40"/>
  <c r="LZ38" i="40"/>
  <c r="LY38" i="40"/>
  <c r="LX38" i="40"/>
  <c r="LW38" i="40"/>
  <c r="LV38" i="40"/>
  <c r="LU38" i="40"/>
  <c r="LT38" i="40"/>
  <c r="LS38" i="40"/>
  <c r="LR38" i="40"/>
  <c r="LQ38" i="40"/>
  <c r="LP38" i="40"/>
  <c r="LO38" i="40"/>
  <c r="LN38" i="40"/>
  <c r="LM38" i="40"/>
  <c r="LL38" i="40"/>
  <c r="LK38" i="40"/>
  <c r="LJ38" i="40"/>
  <c r="LI38" i="40"/>
  <c r="LH38" i="40"/>
  <c r="LG38" i="40"/>
  <c r="LF38" i="40"/>
  <c r="LE38" i="40"/>
  <c r="LD38" i="40"/>
  <c r="LC38" i="40"/>
  <c r="LB38" i="40"/>
  <c r="LA38" i="40"/>
  <c r="OV37" i="40"/>
  <c r="OU37" i="40"/>
  <c r="OT37" i="40"/>
  <c r="OS37" i="40"/>
  <c r="OR37" i="40"/>
  <c r="OQ37" i="40"/>
  <c r="OP37" i="40"/>
  <c r="OO37" i="40"/>
  <c r="ON37" i="40"/>
  <c r="OM37" i="40"/>
  <c r="OL37" i="40"/>
  <c r="OK37" i="40"/>
  <c r="OJ37" i="40"/>
  <c r="OI37" i="40"/>
  <c r="OH37" i="40"/>
  <c r="OG37" i="40"/>
  <c r="OF37" i="40"/>
  <c r="OE37" i="40"/>
  <c r="OD37" i="40"/>
  <c r="OC37" i="40"/>
  <c r="OB37" i="40"/>
  <c r="OA37" i="40"/>
  <c r="NZ37" i="40"/>
  <c r="NY37" i="40"/>
  <c r="NX37" i="40"/>
  <c r="NW37" i="40"/>
  <c r="NV37" i="40"/>
  <c r="NU37" i="40"/>
  <c r="NT37" i="40"/>
  <c r="NS37" i="40"/>
  <c r="NR37" i="40"/>
  <c r="NQ37" i="40"/>
  <c r="NP37" i="40"/>
  <c r="NO37" i="40"/>
  <c r="NN37" i="40"/>
  <c r="NM37" i="40"/>
  <c r="NL37" i="40"/>
  <c r="NK37" i="40"/>
  <c r="NJ37" i="40"/>
  <c r="NI37" i="40"/>
  <c r="NH37" i="40"/>
  <c r="NG37" i="40"/>
  <c r="NF37" i="40"/>
  <c r="NE37" i="40"/>
  <c r="ND37" i="40"/>
  <c r="NC37" i="40"/>
  <c r="NB37" i="40"/>
  <c r="NA37" i="40"/>
  <c r="MZ37" i="40"/>
  <c r="MY37" i="40"/>
  <c r="MX37" i="40"/>
  <c r="MW37" i="40"/>
  <c r="MV37" i="40"/>
  <c r="MU37" i="40"/>
  <c r="MT37" i="40"/>
  <c r="MS37" i="40"/>
  <c r="MR37" i="40"/>
  <c r="MQ37" i="40"/>
  <c r="MP37" i="40"/>
  <c r="MO37" i="40"/>
  <c r="MN37" i="40"/>
  <c r="MM37" i="40"/>
  <c r="ML37" i="40"/>
  <c r="MK37" i="40"/>
  <c r="MJ37" i="40"/>
  <c r="MI37" i="40"/>
  <c r="MH37" i="40"/>
  <c r="MG37" i="40"/>
  <c r="MF37" i="40"/>
  <c r="ME37" i="40"/>
  <c r="MD37" i="40"/>
  <c r="MC37" i="40"/>
  <c r="MB37" i="40"/>
  <c r="MA37" i="40"/>
  <c r="LZ37" i="40"/>
  <c r="LY37" i="40"/>
  <c r="LX37" i="40"/>
  <c r="LW37" i="40"/>
  <c r="LV37" i="40"/>
  <c r="LU37" i="40"/>
  <c r="LT37" i="40"/>
  <c r="LS37" i="40"/>
  <c r="LR37" i="40"/>
  <c r="LQ37" i="40"/>
  <c r="LP37" i="40"/>
  <c r="LO37" i="40"/>
  <c r="LN37" i="40"/>
  <c r="LM37" i="40"/>
  <c r="LL37" i="40"/>
  <c r="LK37" i="40"/>
  <c r="LJ37" i="40"/>
  <c r="LI37" i="40"/>
  <c r="LH37" i="40"/>
  <c r="LG37" i="40"/>
  <c r="LF37" i="40"/>
  <c r="LE37" i="40"/>
  <c r="LD37" i="40"/>
  <c r="LC37" i="40"/>
  <c r="LB37" i="40"/>
  <c r="LA37" i="40"/>
  <c r="OV36" i="40"/>
  <c r="OU36" i="40"/>
  <c r="OT36" i="40"/>
  <c r="OS36" i="40"/>
  <c r="OR36" i="40"/>
  <c r="OQ36" i="40"/>
  <c r="OP36" i="40"/>
  <c r="OO36" i="40"/>
  <c r="ON36" i="40"/>
  <c r="OM36" i="40"/>
  <c r="OL36" i="40"/>
  <c r="OK36" i="40"/>
  <c r="OJ36" i="40"/>
  <c r="OI36" i="40"/>
  <c r="OH36" i="40"/>
  <c r="OG36" i="40"/>
  <c r="OF36" i="40"/>
  <c r="OE36" i="40"/>
  <c r="OD36" i="40"/>
  <c r="OC36" i="40"/>
  <c r="OB36" i="40"/>
  <c r="OA36" i="40"/>
  <c r="NZ36" i="40"/>
  <c r="NY36" i="40"/>
  <c r="NX36" i="40"/>
  <c r="NW36" i="40"/>
  <c r="NV36" i="40"/>
  <c r="NU36" i="40"/>
  <c r="NT36" i="40"/>
  <c r="NS36" i="40"/>
  <c r="NR36" i="40"/>
  <c r="NQ36" i="40"/>
  <c r="NP36" i="40"/>
  <c r="NO36" i="40"/>
  <c r="NN36" i="40"/>
  <c r="NM36" i="40"/>
  <c r="NL36" i="40"/>
  <c r="NK36" i="40"/>
  <c r="NJ36" i="40"/>
  <c r="NI36" i="40"/>
  <c r="NH36" i="40"/>
  <c r="NG36" i="40"/>
  <c r="NF36" i="40"/>
  <c r="NE36" i="40"/>
  <c r="ND36" i="40"/>
  <c r="NC36" i="40"/>
  <c r="NB36" i="40"/>
  <c r="NA36" i="40"/>
  <c r="MZ36" i="40"/>
  <c r="MY36" i="40"/>
  <c r="MX36" i="40"/>
  <c r="MW36" i="40"/>
  <c r="MV36" i="40"/>
  <c r="MU36" i="40"/>
  <c r="MT36" i="40"/>
  <c r="MS36" i="40"/>
  <c r="MR36" i="40"/>
  <c r="MQ36" i="40"/>
  <c r="MP36" i="40"/>
  <c r="MO36" i="40"/>
  <c r="MN36" i="40"/>
  <c r="MM36" i="40"/>
  <c r="ML36" i="40"/>
  <c r="MK36" i="40"/>
  <c r="MJ36" i="40"/>
  <c r="MI36" i="40"/>
  <c r="MH36" i="40"/>
  <c r="MG36" i="40"/>
  <c r="MF36" i="40"/>
  <c r="ME36" i="40"/>
  <c r="MD36" i="40"/>
  <c r="MC36" i="40"/>
  <c r="MB36" i="40"/>
  <c r="MA36" i="40"/>
  <c r="LZ36" i="40"/>
  <c r="LY36" i="40"/>
  <c r="LX36" i="40"/>
  <c r="LW36" i="40"/>
  <c r="LV36" i="40"/>
  <c r="LU36" i="40"/>
  <c r="LT36" i="40"/>
  <c r="LS36" i="40"/>
  <c r="LR36" i="40"/>
  <c r="LQ36" i="40"/>
  <c r="LP36" i="40"/>
  <c r="LO36" i="40"/>
  <c r="LN36" i="40"/>
  <c r="LM36" i="40"/>
  <c r="LL36" i="40"/>
  <c r="LK36" i="40"/>
  <c r="LJ36" i="40"/>
  <c r="LI36" i="40"/>
  <c r="LH36" i="40"/>
  <c r="LG36" i="40"/>
  <c r="LF36" i="40"/>
  <c r="LE36" i="40"/>
  <c r="LD36" i="40"/>
  <c r="LC36" i="40"/>
  <c r="LB36" i="40"/>
  <c r="LA36" i="40"/>
  <c r="OV35" i="40"/>
  <c r="OU35" i="40"/>
  <c r="OT35" i="40"/>
  <c r="OS35" i="40"/>
  <c r="OR35" i="40"/>
  <c r="OQ35" i="40"/>
  <c r="OP35" i="40"/>
  <c r="OO35" i="40"/>
  <c r="ON35" i="40"/>
  <c r="OM35" i="40"/>
  <c r="OL35" i="40"/>
  <c r="OK35" i="40"/>
  <c r="OJ35" i="40"/>
  <c r="OI35" i="40"/>
  <c r="OH35" i="40"/>
  <c r="OG35" i="40"/>
  <c r="OF35" i="40"/>
  <c r="OE35" i="40"/>
  <c r="OD35" i="40"/>
  <c r="OC35" i="40"/>
  <c r="OB35" i="40"/>
  <c r="OA35" i="40"/>
  <c r="NZ35" i="40"/>
  <c r="NY35" i="40"/>
  <c r="NX35" i="40"/>
  <c r="NW35" i="40"/>
  <c r="NV35" i="40"/>
  <c r="NU35" i="40"/>
  <c r="NT35" i="40"/>
  <c r="NS35" i="40"/>
  <c r="NR35" i="40"/>
  <c r="NQ35" i="40"/>
  <c r="NP35" i="40"/>
  <c r="NO35" i="40"/>
  <c r="NN35" i="40"/>
  <c r="NM35" i="40"/>
  <c r="NL35" i="40"/>
  <c r="NK35" i="40"/>
  <c r="NJ35" i="40"/>
  <c r="NI35" i="40"/>
  <c r="NH35" i="40"/>
  <c r="NG35" i="40"/>
  <c r="NF35" i="40"/>
  <c r="NE35" i="40"/>
  <c r="ND35" i="40"/>
  <c r="NC35" i="40"/>
  <c r="NB35" i="40"/>
  <c r="NA35" i="40"/>
  <c r="MZ35" i="40"/>
  <c r="MY35" i="40"/>
  <c r="MX35" i="40"/>
  <c r="MW35" i="40"/>
  <c r="MV35" i="40"/>
  <c r="MU35" i="40"/>
  <c r="MT35" i="40"/>
  <c r="MS35" i="40"/>
  <c r="MR35" i="40"/>
  <c r="MQ35" i="40"/>
  <c r="MP35" i="40"/>
  <c r="MO35" i="40"/>
  <c r="MN35" i="40"/>
  <c r="MM35" i="40"/>
  <c r="ML35" i="40"/>
  <c r="MK35" i="40"/>
  <c r="MJ35" i="40"/>
  <c r="MI35" i="40"/>
  <c r="MH35" i="40"/>
  <c r="MG35" i="40"/>
  <c r="MF35" i="40"/>
  <c r="ME35" i="40"/>
  <c r="MD35" i="40"/>
  <c r="MC35" i="40"/>
  <c r="MB35" i="40"/>
  <c r="MA35" i="40"/>
  <c r="LZ35" i="40"/>
  <c r="LY35" i="40"/>
  <c r="LX35" i="40"/>
  <c r="LW35" i="40"/>
  <c r="LV35" i="40"/>
  <c r="LU35" i="40"/>
  <c r="LT35" i="40"/>
  <c r="LS35" i="40"/>
  <c r="LR35" i="40"/>
  <c r="LQ35" i="40"/>
  <c r="LP35" i="40"/>
  <c r="LO35" i="40"/>
  <c r="LN35" i="40"/>
  <c r="LM35" i="40"/>
  <c r="LL35" i="40"/>
  <c r="LK35" i="40"/>
  <c r="LJ35" i="40"/>
  <c r="LI35" i="40"/>
  <c r="LH35" i="40"/>
  <c r="LG35" i="40"/>
  <c r="LF35" i="40"/>
  <c r="LE35" i="40"/>
  <c r="LD35" i="40"/>
  <c r="LC35" i="40"/>
  <c r="LB35" i="40"/>
  <c r="LA35" i="40"/>
  <c r="OV34" i="40"/>
  <c r="OU34" i="40"/>
  <c r="OT34" i="40"/>
  <c r="OS34" i="40"/>
  <c r="OR34" i="40"/>
  <c r="OQ34" i="40"/>
  <c r="OP34" i="40"/>
  <c r="OO34" i="40"/>
  <c r="ON34" i="40"/>
  <c r="OM34" i="40"/>
  <c r="OL34" i="40"/>
  <c r="OK34" i="40"/>
  <c r="OJ34" i="40"/>
  <c r="OI34" i="40"/>
  <c r="OH34" i="40"/>
  <c r="OG34" i="40"/>
  <c r="OF34" i="40"/>
  <c r="OE34" i="40"/>
  <c r="OD34" i="40"/>
  <c r="OC34" i="40"/>
  <c r="OB34" i="40"/>
  <c r="OA34" i="40"/>
  <c r="NZ34" i="40"/>
  <c r="NY34" i="40"/>
  <c r="NX34" i="40"/>
  <c r="NW34" i="40"/>
  <c r="NV34" i="40"/>
  <c r="NU34" i="40"/>
  <c r="NT34" i="40"/>
  <c r="NS34" i="40"/>
  <c r="NR34" i="40"/>
  <c r="NQ34" i="40"/>
  <c r="NP34" i="40"/>
  <c r="NO34" i="40"/>
  <c r="NN34" i="40"/>
  <c r="NM34" i="40"/>
  <c r="NL34" i="40"/>
  <c r="NK34" i="40"/>
  <c r="NJ34" i="40"/>
  <c r="NI34" i="40"/>
  <c r="NH34" i="40"/>
  <c r="NG34" i="40"/>
  <c r="NF34" i="40"/>
  <c r="NE34" i="40"/>
  <c r="ND34" i="40"/>
  <c r="NC34" i="40"/>
  <c r="NB34" i="40"/>
  <c r="NA34" i="40"/>
  <c r="MZ34" i="40"/>
  <c r="MY34" i="40"/>
  <c r="MX34" i="40"/>
  <c r="MW34" i="40"/>
  <c r="MV34" i="40"/>
  <c r="MU34" i="40"/>
  <c r="MT34" i="40"/>
  <c r="MS34" i="40"/>
  <c r="MR34" i="40"/>
  <c r="MQ34" i="40"/>
  <c r="MP34" i="40"/>
  <c r="MO34" i="40"/>
  <c r="MN34" i="40"/>
  <c r="MM34" i="40"/>
  <c r="ML34" i="40"/>
  <c r="MK34" i="40"/>
  <c r="MJ34" i="40"/>
  <c r="MI34" i="40"/>
  <c r="MH34" i="40"/>
  <c r="MG34" i="40"/>
  <c r="MF34" i="40"/>
  <c r="ME34" i="40"/>
  <c r="MD34" i="40"/>
  <c r="MC34" i="40"/>
  <c r="MB34" i="40"/>
  <c r="MA34" i="40"/>
  <c r="LZ34" i="40"/>
  <c r="LY34" i="40"/>
  <c r="LX34" i="40"/>
  <c r="LW34" i="40"/>
  <c r="LV34" i="40"/>
  <c r="LU34" i="40"/>
  <c r="LT34" i="40"/>
  <c r="LS34" i="40"/>
  <c r="LR34" i="40"/>
  <c r="LQ34" i="40"/>
  <c r="LP34" i="40"/>
  <c r="LO34" i="40"/>
  <c r="LN34" i="40"/>
  <c r="LM34" i="40"/>
  <c r="LL34" i="40"/>
  <c r="LK34" i="40"/>
  <c r="LJ34" i="40"/>
  <c r="LI34" i="40"/>
  <c r="LH34" i="40"/>
  <c r="LG34" i="40"/>
  <c r="LF34" i="40"/>
  <c r="LE34" i="40"/>
  <c r="LD34" i="40"/>
  <c r="LC34" i="40"/>
  <c r="LB34" i="40"/>
  <c r="LA34" i="40"/>
  <c r="OV33" i="40"/>
  <c r="OU33" i="40"/>
  <c r="OT33" i="40"/>
  <c r="OS33" i="40"/>
  <c r="OR33" i="40"/>
  <c r="OQ33" i="40"/>
  <c r="OP33" i="40"/>
  <c r="OO33" i="40"/>
  <c r="ON33" i="40"/>
  <c r="OM33" i="40"/>
  <c r="OL33" i="40"/>
  <c r="OK33" i="40"/>
  <c r="OJ33" i="40"/>
  <c r="OI33" i="40"/>
  <c r="OH33" i="40"/>
  <c r="OG33" i="40"/>
  <c r="OF33" i="40"/>
  <c r="OE33" i="40"/>
  <c r="OD33" i="40"/>
  <c r="OC33" i="40"/>
  <c r="OB33" i="40"/>
  <c r="OA33" i="40"/>
  <c r="NZ33" i="40"/>
  <c r="NY33" i="40"/>
  <c r="NX33" i="40"/>
  <c r="NW33" i="40"/>
  <c r="NV33" i="40"/>
  <c r="NU33" i="40"/>
  <c r="NT33" i="40"/>
  <c r="NS33" i="40"/>
  <c r="NR33" i="40"/>
  <c r="NQ33" i="40"/>
  <c r="NP33" i="40"/>
  <c r="NO33" i="40"/>
  <c r="NN33" i="40"/>
  <c r="NM33" i="40"/>
  <c r="NL33" i="40"/>
  <c r="NK33" i="40"/>
  <c r="NJ33" i="40"/>
  <c r="NI33" i="40"/>
  <c r="NH33" i="40"/>
  <c r="NG33" i="40"/>
  <c r="NF33" i="40"/>
  <c r="NE33" i="40"/>
  <c r="ND33" i="40"/>
  <c r="NC33" i="40"/>
  <c r="NB33" i="40"/>
  <c r="NA33" i="40"/>
  <c r="MZ33" i="40"/>
  <c r="MY33" i="40"/>
  <c r="MX33" i="40"/>
  <c r="MW33" i="40"/>
  <c r="MV33" i="40"/>
  <c r="MU33" i="40"/>
  <c r="MT33" i="40"/>
  <c r="MS33" i="40"/>
  <c r="MR33" i="40"/>
  <c r="MQ33" i="40"/>
  <c r="MP33" i="40"/>
  <c r="MO33" i="40"/>
  <c r="MN33" i="40"/>
  <c r="MM33" i="40"/>
  <c r="ML33" i="40"/>
  <c r="MK33" i="40"/>
  <c r="MJ33" i="40"/>
  <c r="MI33" i="40"/>
  <c r="MH33" i="40"/>
  <c r="MG33" i="40"/>
  <c r="MF33" i="40"/>
  <c r="ME33" i="40"/>
  <c r="MD33" i="40"/>
  <c r="MC33" i="40"/>
  <c r="MB33" i="40"/>
  <c r="MA33" i="40"/>
  <c r="LZ33" i="40"/>
  <c r="LY33" i="40"/>
  <c r="LX33" i="40"/>
  <c r="LW33" i="40"/>
  <c r="LV33" i="40"/>
  <c r="LU33" i="40"/>
  <c r="LT33" i="40"/>
  <c r="LS33" i="40"/>
  <c r="LR33" i="40"/>
  <c r="LQ33" i="40"/>
  <c r="LP33" i="40"/>
  <c r="LO33" i="40"/>
  <c r="LN33" i="40"/>
  <c r="LM33" i="40"/>
  <c r="LL33" i="40"/>
  <c r="LK33" i="40"/>
  <c r="LJ33" i="40"/>
  <c r="LI33" i="40"/>
  <c r="LH33" i="40"/>
  <c r="LG33" i="40"/>
  <c r="LF33" i="40"/>
  <c r="LE33" i="40"/>
  <c r="LD33" i="40"/>
  <c r="LC33" i="40"/>
  <c r="LB33" i="40"/>
  <c r="LA33" i="40"/>
  <c r="OV32" i="40"/>
  <c r="OU32" i="40"/>
  <c r="OT32" i="40"/>
  <c r="OS32" i="40"/>
  <c r="OR32" i="40"/>
  <c r="OQ32" i="40"/>
  <c r="OP32" i="40"/>
  <c r="OO32" i="40"/>
  <c r="ON32" i="40"/>
  <c r="OM32" i="40"/>
  <c r="OL32" i="40"/>
  <c r="OK32" i="40"/>
  <c r="OJ32" i="40"/>
  <c r="OI32" i="40"/>
  <c r="OH32" i="40"/>
  <c r="OG32" i="40"/>
  <c r="OF32" i="40"/>
  <c r="OE32" i="40"/>
  <c r="OD32" i="40"/>
  <c r="OC32" i="40"/>
  <c r="OB32" i="40"/>
  <c r="OA32" i="40"/>
  <c r="NZ32" i="40"/>
  <c r="NY32" i="40"/>
  <c r="NX32" i="40"/>
  <c r="NW32" i="40"/>
  <c r="NV32" i="40"/>
  <c r="NU32" i="40"/>
  <c r="NT32" i="40"/>
  <c r="NS32" i="40"/>
  <c r="NR32" i="40"/>
  <c r="NQ32" i="40"/>
  <c r="NP32" i="40"/>
  <c r="NO32" i="40"/>
  <c r="NN32" i="40"/>
  <c r="NM32" i="40"/>
  <c r="NL32" i="40"/>
  <c r="NK32" i="40"/>
  <c r="NJ32" i="40"/>
  <c r="NI32" i="40"/>
  <c r="NH32" i="40"/>
  <c r="NG32" i="40"/>
  <c r="NF32" i="40"/>
  <c r="NE32" i="40"/>
  <c r="ND32" i="40"/>
  <c r="NC32" i="40"/>
  <c r="NB32" i="40"/>
  <c r="NA32" i="40"/>
  <c r="MZ32" i="40"/>
  <c r="MY32" i="40"/>
  <c r="MX32" i="40"/>
  <c r="MW32" i="40"/>
  <c r="MV32" i="40"/>
  <c r="MU32" i="40"/>
  <c r="MT32" i="40"/>
  <c r="MS32" i="40"/>
  <c r="MR32" i="40"/>
  <c r="MQ32" i="40"/>
  <c r="MP32" i="40"/>
  <c r="MO32" i="40"/>
  <c r="MN32" i="40"/>
  <c r="MM32" i="40"/>
  <c r="ML32" i="40"/>
  <c r="MK32" i="40"/>
  <c r="MJ32" i="40"/>
  <c r="MI32" i="40"/>
  <c r="MH32" i="40"/>
  <c r="MG32" i="40"/>
  <c r="MF32" i="40"/>
  <c r="ME32" i="40"/>
  <c r="MD32" i="40"/>
  <c r="MC32" i="40"/>
  <c r="MB32" i="40"/>
  <c r="MA32" i="40"/>
  <c r="LZ32" i="40"/>
  <c r="LY32" i="40"/>
  <c r="LX32" i="40"/>
  <c r="LW32" i="40"/>
  <c r="LV32" i="40"/>
  <c r="LU32" i="40"/>
  <c r="LT32" i="40"/>
  <c r="LS32" i="40"/>
  <c r="LR32" i="40"/>
  <c r="LQ32" i="40"/>
  <c r="LP32" i="40"/>
  <c r="LO32" i="40"/>
  <c r="LN32" i="40"/>
  <c r="LM32" i="40"/>
  <c r="LL32" i="40"/>
  <c r="LK32" i="40"/>
  <c r="LJ32" i="40"/>
  <c r="LI32" i="40"/>
  <c r="LH32" i="40"/>
  <c r="LG32" i="40"/>
  <c r="LF32" i="40"/>
  <c r="LE32" i="40"/>
  <c r="LD32" i="40"/>
  <c r="LC32" i="40"/>
  <c r="LB32" i="40"/>
  <c r="LA32" i="40"/>
  <c r="OV31" i="40"/>
  <c r="OU31" i="40"/>
  <c r="OT31" i="40"/>
  <c r="OS31" i="40"/>
  <c r="OR31" i="40"/>
  <c r="OQ31" i="40"/>
  <c r="OP31" i="40"/>
  <c r="OO31" i="40"/>
  <c r="ON31" i="40"/>
  <c r="OM31" i="40"/>
  <c r="OL31" i="40"/>
  <c r="OK31" i="40"/>
  <c r="OJ31" i="40"/>
  <c r="OI31" i="40"/>
  <c r="OH31" i="40"/>
  <c r="OG31" i="40"/>
  <c r="OF31" i="40"/>
  <c r="OE31" i="40"/>
  <c r="OD31" i="40"/>
  <c r="OC31" i="40"/>
  <c r="OB31" i="40"/>
  <c r="OA31" i="40"/>
  <c r="NZ31" i="40"/>
  <c r="NY31" i="40"/>
  <c r="NX31" i="40"/>
  <c r="NW31" i="40"/>
  <c r="NV31" i="40"/>
  <c r="NU31" i="40"/>
  <c r="NT31" i="40"/>
  <c r="NS31" i="40"/>
  <c r="NR31" i="40"/>
  <c r="NQ31" i="40"/>
  <c r="NP31" i="40"/>
  <c r="NO31" i="40"/>
  <c r="NN31" i="40"/>
  <c r="NM31" i="40"/>
  <c r="NL31" i="40"/>
  <c r="NK31" i="40"/>
  <c r="NJ31" i="40"/>
  <c r="NI31" i="40"/>
  <c r="NH31" i="40"/>
  <c r="NG31" i="40"/>
  <c r="NF31" i="40"/>
  <c r="NE31" i="40"/>
  <c r="ND31" i="40"/>
  <c r="NC31" i="40"/>
  <c r="NB31" i="40"/>
  <c r="NA31" i="40"/>
  <c r="MZ31" i="40"/>
  <c r="MY31" i="40"/>
  <c r="MX31" i="40"/>
  <c r="MW31" i="40"/>
  <c r="MV31" i="40"/>
  <c r="MU31" i="40"/>
  <c r="MT31" i="40"/>
  <c r="MS31" i="40"/>
  <c r="MR31" i="40"/>
  <c r="MQ31" i="40"/>
  <c r="MP31" i="40"/>
  <c r="MO31" i="40"/>
  <c r="MN31" i="40"/>
  <c r="MM31" i="40"/>
  <c r="ML31" i="40"/>
  <c r="MK31" i="40"/>
  <c r="MJ31" i="40"/>
  <c r="MI31" i="40"/>
  <c r="MH31" i="40"/>
  <c r="MG31" i="40"/>
  <c r="MF31" i="40"/>
  <c r="ME31" i="40"/>
  <c r="MD31" i="40"/>
  <c r="MC31" i="40"/>
  <c r="MB31" i="40"/>
  <c r="MA31" i="40"/>
  <c r="LZ31" i="40"/>
  <c r="LY31" i="40"/>
  <c r="LX31" i="40"/>
  <c r="LW31" i="40"/>
  <c r="LV31" i="40"/>
  <c r="LU31" i="40"/>
  <c r="LT31" i="40"/>
  <c r="LS31" i="40"/>
  <c r="LR31" i="40"/>
  <c r="LQ31" i="40"/>
  <c r="LP31" i="40"/>
  <c r="LO31" i="40"/>
  <c r="LN31" i="40"/>
  <c r="LM31" i="40"/>
  <c r="LL31" i="40"/>
  <c r="LK31" i="40"/>
  <c r="LJ31" i="40"/>
  <c r="LI31" i="40"/>
  <c r="LH31" i="40"/>
  <c r="LG31" i="40"/>
  <c r="LF31" i="40"/>
  <c r="LE31" i="40"/>
  <c r="LD31" i="40"/>
  <c r="LC31" i="40"/>
  <c r="LB31" i="40"/>
  <c r="LA31" i="40"/>
  <c r="OV30" i="40"/>
  <c r="OU30" i="40"/>
  <c r="OT30" i="40"/>
  <c r="OS30" i="40"/>
  <c r="OR30" i="40"/>
  <c r="OQ30" i="40"/>
  <c r="OP30" i="40"/>
  <c r="OO30" i="40"/>
  <c r="ON30" i="40"/>
  <c r="OM30" i="40"/>
  <c r="OL30" i="40"/>
  <c r="OK30" i="40"/>
  <c r="OJ30" i="40"/>
  <c r="OI30" i="40"/>
  <c r="OH30" i="40"/>
  <c r="OG30" i="40"/>
  <c r="OF30" i="40"/>
  <c r="OE30" i="40"/>
  <c r="OD30" i="40"/>
  <c r="OC30" i="40"/>
  <c r="OB30" i="40"/>
  <c r="OA30" i="40"/>
  <c r="NZ30" i="40"/>
  <c r="NY30" i="40"/>
  <c r="NX30" i="40"/>
  <c r="NW30" i="40"/>
  <c r="NV30" i="40"/>
  <c r="NU30" i="40"/>
  <c r="NT30" i="40"/>
  <c r="NS30" i="40"/>
  <c r="NR30" i="40"/>
  <c r="NQ30" i="40"/>
  <c r="NP30" i="40"/>
  <c r="NO30" i="40"/>
  <c r="NN30" i="40"/>
  <c r="NM30" i="40"/>
  <c r="NL30" i="40"/>
  <c r="NK30" i="40"/>
  <c r="NJ30" i="40"/>
  <c r="NI30" i="40"/>
  <c r="NH30" i="40"/>
  <c r="NG30" i="40"/>
  <c r="NF30" i="40"/>
  <c r="NE30" i="40"/>
  <c r="ND30" i="40"/>
  <c r="NC30" i="40"/>
  <c r="NB30" i="40"/>
  <c r="NA30" i="40"/>
  <c r="MZ30" i="40"/>
  <c r="MY30" i="40"/>
  <c r="MX30" i="40"/>
  <c r="MW30" i="40"/>
  <c r="MV30" i="40"/>
  <c r="MU30" i="40"/>
  <c r="MT30" i="40"/>
  <c r="MS30" i="40"/>
  <c r="MR30" i="40"/>
  <c r="MQ30" i="40"/>
  <c r="MP30" i="40"/>
  <c r="MO30" i="40"/>
  <c r="MN30" i="40"/>
  <c r="MM30" i="40"/>
  <c r="ML30" i="40"/>
  <c r="MK30" i="40"/>
  <c r="MJ30" i="40"/>
  <c r="MI30" i="40"/>
  <c r="MH30" i="40"/>
  <c r="MG30" i="40"/>
  <c r="MF30" i="40"/>
  <c r="ME30" i="40"/>
  <c r="MD30" i="40"/>
  <c r="MC30" i="40"/>
  <c r="MB30" i="40"/>
  <c r="MA30" i="40"/>
  <c r="LZ30" i="40"/>
  <c r="LY30" i="40"/>
  <c r="LX30" i="40"/>
  <c r="LW30" i="40"/>
  <c r="LV30" i="40"/>
  <c r="LU30" i="40"/>
  <c r="LT30" i="40"/>
  <c r="LS30" i="40"/>
  <c r="LR30" i="40"/>
  <c r="LQ30" i="40"/>
  <c r="LP30" i="40"/>
  <c r="LO30" i="40"/>
  <c r="LN30" i="40"/>
  <c r="LM30" i="40"/>
  <c r="LL30" i="40"/>
  <c r="LK30" i="40"/>
  <c r="LJ30" i="40"/>
  <c r="LI30" i="40"/>
  <c r="LH30" i="40"/>
  <c r="LG30" i="40"/>
  <c r="LF30" i="40"/>
  <c r="LE30" i="40"/>
  <c r="LD30" i="40"/>
  <c r="LC30" i="40"/>
  <c r="LB30" i="40"/>
  <c r="LA30" i="40"/>
  <c r="OV29" i="40"/>
  <c r="OU29" i="40"/>
  <c r="OT29" i="40"/>
  <c r="OS29" i="40"/>
  <c r="OR29" i="40"/>
  <c r="OQ29" i="40"/>
  <c r="OP29" i="40"/>
  <c r="OO29" i="40"/>
  <c r="ON29" i="40"/>
  <c r="OM29" i="40"/>
  <c r="OL29" i="40"/>
  <c r="OK29" i="40"/>
  <c r="OJ29" i="40"/>
  <c r="OI29" i="40"/>
  <c r="OH29" i="40"/>
  <c r="OG29" i="40"/>
  <c r="OF29" i="40"/>
  <c r="OE29" i="40"/>
  <c r="OD29" i="40"/>
  <c r="OC29" i="40"/>
  <c r="OB29" i="40"/>
  <c r="OA29" i="40"/>
  <c r="NZ29" i="40"/>
  <c r="NY29" i="40"/>
  <c r="NX29" i="40"/>
  <c r="NW29" i="40"/>
  <c r="NV29" i="40"/>
  <c r="NU29" i="40"/>
  <c r="NT29" i="40"/>
  <c r="NS29" i="40"/>
  <c r="NR29" i="40"/>
  <c r="NQ29" i="40"/>
  <c r="NP29" i="40"/>
  <c r="NO29" i="40"/>
  <c r="NN29" i="40"/>
  <c r="NM29" i="40"/>
  <c r="NL29" i="40"/>
  <c r="NK29" i="40"/>
  <c r="NJ29" i="40"/>
  <c r="NI29" i="40"/>
  <c r="NH29" i="40"/>
  <c r="NG29" i="40"/>
  <c r="NF29" i="40"/>
  <c r="NE29" i="40"/>
  <c r="ND29" i="40"/>
  <c r="NC29" i="40"/>
  <c r="NB29" i="40"/>
  <c r="NA29" i="40"/>
  <c r="MZ29" i="40"/>
  <c r="MY29" i="40"/>
  <c r="MX29" i="40"/>
  <c r="MW29" i="40"/>
  <c r="MV29" i="40"/>
  <c r="MU29" i="40"/>
  <c r="MT29" i="40"/>
  <c r="MS29" i="40"/>
  <c r="MR29" i="40"/>
  <c r="MQ29" i="40"/>
  <c r="MP29" i="40"/>
  <c r="MO29" i="40"/>
  <c r="MN29" i="40"/>
  <c r="MM29" i="40"/>
  <c r="ML29" i="40"/>
  <c r="MK29" i="40"/>
  <c r="MJ29" i="40"/>
  <c r="MI29" i="40"/>
  <c r="MH29" i="40"/>
  <c r="MG29" i="40"/>
  <c r="MF29" i="40"/>
  <c r="ME29" i="40"/>
  <c r="MD29" i="40"/>
  <c r="MC29" i="40"/>
  <c r="MB29" i="40"/>
  <c r="MA29" i="40"/>
  <c r="LZ29" i="40"/>
  <c r="LY29" i="40"/>
  <c r="LX29" i="40"/>
  <c r="LW29" i="40"/>
  <c r="LV29" i="40"/>
  <c r="LU29" i="40"/>
  <c r="LT29" i="40"/>
  <c r="LS29" i="40"/>
  <c r="LR29" i="40"/>
  <c r="LQ29" i="40"/>
  <c r="LP29" i="40"/>
  <c r="LO29" i="40"/>
  <c r="LN29" i="40"/>
  <c r="LM29" i="40"/>
  <c r="LL29" i="40"/>
  <c r="LK29" i="40"/>
  <c r="LJ29" i="40"/>
  <c r="LI29" i="40"/>
  <c r="LH29" i="40"/>
  <c r="LG29" i="40"/>
  <c r="LF29" i="40"/>
  <c r="LE29" i="40"/>
  <c r="LD29" i="40"/>
  <c r="LC29" i="40"/>
  <c r="LB29" i="40"/>
  <c r="LA29" i="40"/>
  <c r="OV28" i="40"/>
  <c r="OU28" i="40"/>
  <c r="OT28" i="40"/>
  <c r="OS28" i="40"/>
  <c r="OR28" i="40"/>
  <c r="OQ28" i="40"/>
  <c r="OP28" i="40"/>
  <c r="OO28" i="40"/>
  <c r="ON28" i="40"/>
  <c r="OM28" i="40"/>
  <c r="OL28" i="40"/>
  <c r="OK28" i="40"/>
  <c r="OJ28" i="40"/>
  <c r="OI28" i="40"/>
  <c r="OH28" i="40"/>
  <c r="OG28" i="40"/>
  <c r="OF28" i="40"/>
  <c r="OE28" i="40"/>
  <c r="OD28" i="40"/>
  <c r="OC28" i="40"/>
  <c r="OB28" i="40"/>
  <c r="OA28" i="40"/>
  <c r="NZ28" i="40"/>
  <c r="NY28" i="40"/>
  <c r="NX28" i="40"/>
  <c r="NW28" i="40"/>
  <c r="NV28" i="40"/>
  <c r="NU28" i="40"/>
  <c r="NT28" i="40"/>
  <c r="NS28" i="40"/>
  <c r="NR28" i="40"/>
  <c r="NQ28" i="40"/>
  <c r="NP28" i="40"/>
  <c r="NO28" i="40"/>
  <c r="NN28" i="40"/>
  <c r="NM28" i="40"/>
  <c r="NL28" i="40"/>
  <c r="NK28" i="40"/>
  <c r="NJ28" i="40"/>
  <c r="NI28" i="40"/>
  <c r="NH28" i="40"/>
  <c r="NG28" i="40"/>
  <c r="NF28" i="40"/>
  <c r="NE28" i="40"/>
  <c r="ND28" i="40"/>
  <c r="NC28" i="40"/>
  <c r="NB28" i="40"/>
  <c r="NA28" i="40"/>
  <c r="MZ28" i="40"/>
  <c r="MY28" i="40"/>
  <c r="MX28" i="40"/>
  <c r="MW28" i="40"/>
  <c r="MV28" i="40"/>
  <c r="MU28" i="40"/>
  <c r="MT28" i="40"/>
  <c r="MS28" i="40"/>
  <c r="MR28" i="40"/>
  <c r="MQ28" i="40"/>
  <c r="MP28" i="40"/>
  <c r="MO28" i="40"/>
  <c r="MN28" i="40"/>
  <c r="MM28" i="40"/>
  <c r="ML28" i="40"/>
  <c r="MK28" i="40"/>
  <c r="MJ28" i="40"/>
  <c r="MI28" i="40"/>
  <c r="MH28" i="40"/>
  <c r="MG28" i="40"/>
  <c r="MF28" i="40"/>
  <c r="ME28" i="40"/>
  <c r="MD28" i="40"/>
  <c r="MC28" i="40"/>
  <c r="MB28" i="40"/>
  <c r="MA28" i="40"/>
  <c r="LZ28" i="40"/>
  <c r="LY28" i="40"/>
  <c r="LX28" i="40"/>
  <c r="LW28" i="40"/>
  <c r="LV28" i="40"/>
  <c r="LU28" i="40"/>
  <c r="LT28" i="40"/>
  <c r="LS28" i="40"/>
  <c r="LR28" i="40"/>
  <c r="LQ28" i="40"/>
  <c r="LP28" i="40"/>
  <c r="LO28" i="40"/>
  <c r="LN28" i="40"/>
  <c r="LM28" i="40"/>
  <c r="LL28" i="40"/>
  <c r="LK28" i="40"/>
  <c r="LJ28" i="40"/>
  <c r="LI28" i="40"/>
  <c r="LH28" i="40"/>
  <c r="LG28" i="40"/>
  <c r="LF28" i="40"/>
  <c r="LE28" i="40"/>
  <c r="LD28" i="40"/>
  <c r="LC28" i="40"/>
  <c r="LB28" i="40"/>
  <c r="LA28" i="40"/>
  <c r="OV27" i="40"/>
  <c r="OU27" i="40"/>
  <c r="OT27" i="40"/>
  <c r="OS27" i="40"/>
  <c r="OR27" i="40"/>
  <c r="OQ27" i="40"/>
  <c r="OP27" i="40"/>
  <c r="OO27" i="40"/>
  <c r="ON27" i="40"/>
  <c r="OM27" i="40"/>
  <c r="OL27" i="40"/>
  <c r="OK27" i="40"/>
  <c r="OJ27" i="40"/>
  <c r="OI27" i="40"/>
  <c r="OH27" i="40"/>
  <c r="OG27" i="40"/>
  <c r="OF27" i="40"/>
  <c r="OE27" i="40"/>
  <c r="OD27" i="40"/>
  <c r="OC27" i="40"/>
  <c r="OB27" i="40"/>
  <c r="OA27" i="40"/>
  <c r="NZ27" i="40"/>
  <c r="NY27" i="40"/>
  <c r="NX27" i="40"/>
  <c r="NW27" i="40"/>
  <c r="NV27" i="40"/>
  <c r="NU27" i="40"/>
  <c r="NT27" i="40"/>
  <c r="NS27" i="40"/>
  <c r="NR27" i="40"/>
  <c r="NQ27" i="40"/>
  <c r="NP27" i="40"/>
  <c r="NO27" i="40"/>
  <c r="NN27" i="40"/>
  <c r="NM27" i="40"/>
  <c r="NL27" i="40"/>
  <c r="NK27" i="40"/>
  <c r="NJ27" i="40"/>
  <c r="NI27" i="40"/>
  <c r="NH27" i="40"/>
  <c r="NG27" i="40"/>
  <c r="NF27" i="40"/>
  <c r="NE27" i="40"/>
  <c r="ND27" i="40"/>
  <c r="NC27" i="40"/>
  <c r="NB27" i="40"/>
  <c r="NA27" i="40"/>
  <c r="MZ27" i="40"/>
  <c r="MY27" i="40"/>
  <c r="MX27" i="40"/>
  <c r="MW27" i="40"/>
  <c r="MV27" i="40"/>
  <c r="MU27" i="40"/>
  <c r="MT27" i="40"/>
  <c r="MS27" i="40"/>
  <c r="MR27" i="40"/>
  <c r="MQ27" i="40"/>
  <c r="MP27" i="40"/>
  <c r="MO27" i="40"/>
  <c r="MN27" i="40"/>
  <c r="MM27" i="40"/>
  <c r="ML27" i="40"/>
  <c r="MK27" i="40"/>
  <c r="MJ27" i="40"/>
  <c r="MI27" i="40"/>
  <c r="MH27" i="40"/>
  <c r="MG27" i="40"/>
  <c r="MF27" i="40"/>
  <c r="ME27" i="40"/>
  <c r="MD27" i="40"/>
  <c r="MC27" i="40"/>
  <c r="MB27" i="40"/>
  <c r="MA27" i="40"/>
  <c r="LZ27" i="40"/>
  <c r="LY27" i="40"/>
  <c r="LX27" i="40"/>
  <c r="LW27" i="40"/>
  <c r="LV27" i="40"/>
  <c r="LU27" i="40"/>
  <c r="LT27" i="40"/>
  <c r="LS27" i="40"/>
  <c r="LR27" i="40"/>
  <c r="LQ27" i="40"/>
  <c r="LP27" i="40"/>
  <c r="LO27" i="40"/>
  <c r="LN27" i="40"/>
  <c r="LM27" i="40"/>
  <c r="LL27" i="40"/>
  <c r="LK27" i="40"/>
  <c r="LJ27" i="40"/>
  <c r="LI27" i="40"/>
  <c r="LH27" i="40"/>
  <c r="LG27" i="40"/>
  <c r="LF27" i="40"/>
  <c r="LE27" i="40"/>
  <c r="LD27" i="40"/>
  <c r="LC27" i="40"/>
  <c r="LB27" i="40"/>
  <c r="LA27" i="40"/>
  <c r="OV26" i="40"/>
  <c r="OU26" i="40"/>
  <c r="OT26" i="40"/>
  <c r="OS26" i="40"/>
  <c r="OR26" i="40"/>
  <c r="OQ26" i="40"/>
  <c r="OP26" i="40"/>
  <c r="OO26" i="40"/>
  <c r="ON26" i="40"/>
  <c r="OM26" i="40"/>
  <c r="OL26" i="40"/>
  <c r="OK26" i="40"/>
  <c r="OJ26" i="40"/>
  <c r="OI26" i="40"/>
  <c r="OH26" i="40"/>
  <c r="OG26" i="40"/>
  <c r="OF26" i="40"/>
  <c r="OE26" i="40"/>
  <c r="OD26" i="40"/>
  <c r="OC26" i="40"/>
  <c r="OB26" i="40"/>
  <c r="OA26" i="40"/>
  <c r="NZ26" i="40"/>
  <c r="NY26" i="40"/>
  <c r="NX26" i="40"/>
  <c r="NW26" i="40"/>
  <c r="NV26" i="40"/>
  <c r="NU26" i="40"/>
  <c r="NT26" i="40"/>
  <c r="NS26" i="40"/>
  <c r="NR26" i="40"/>
  <c r="NQ26" i="40"/>
  <c r="NP26" i="40"/>
  <c r="NO26" i="40"/>
  <c r="NN26" i="40"/>
  <c r="NM26" i="40"/>
  <c r="NL26" i="40"/>
  <c r="NK26" i="40"/>
  <c r="NJ26" i="40"/>
  <c r="NI26" i="40"/>
  <c r="NH26" i="40"/>
  <c r="NG26" i="40"/>
  <c r="NF26" i="40"/>
  <c r="NE26" i="40"/>
  <c r="ND26" i="40"/>
  <c r="NC26" i="40"/>
  <c r="NB26" i="40"/>
  <c r="NA26" i="40"/>
  <c r="MZ26" i="40"/>
  <c r="MY26" i="40"/>
  <c r="MX26" i="40"/>
  <c r="MW26" i="40"/>
  <c r="MV26" i="40"/>
  <c r="MU26" i="40"/>
  <c r="MT26" i="40"/>
  <c r="MS26" i="40"/>
  <c r="MR26" i="40"/>
  <c r="MQ26" i="40"/>
  <c r="MP26" i="40"/>
  <c r="MO26" i="40"/>
  <c r="MN26" i="40"/>
  <c r="MM26" i="40"/>
  <c r="ML26" i="40"/>
  <c r="MK26" i="40"/>
  <c r="MJ26" i="40"/>
  <c r="MI26" i="40"/>
  <c r="MH26" i="40"/>
  <c r="MG26" i="40"/>
  <c r="MF26" i="40"/>
  <c r="ME26" i="40"/>
  <c r="MD26" i="40"/>
  <c r="MC26" i="40"/>
  <c r="MB26" i="40"/>
  <c r="MA26" i="40"/>
  <c r="LZ26" i="40"/>
  <c r="LY26" i="40"/>
  <c r="LX26" i="40"/>
  <c r="LW26" i="40"/>
  <c r="LV26" i="40"/>
  <c r="LU26" i="40"/>
  <c r="LT26" i="40"/>
  <c r="LS26" i="40"/>
  <c r="LR26" i="40"/>
  <c r="LQ26" i="40"/>
  <c r="LP26" i="40"/>
  <c r="LO26" i="40"/>
  <c r="LN26" i="40"/>
  <c r="LM26" i="40"/>
  <c r="LL26" i="40"/>
  <c r="LK26" i="40"/>
  <c r="LJ26" i="40"/>
  <c r="LI26" i="40"/>
  <c r="LH26" i="40"/>
  <c r="LG26" i="40"/>
  <c r="LF26" i="40"/>
  <c r="LE26" i="40"/>
  <c r="LD26" i="40"/>
  <c r="LC26" i="40"/>
  <c r="LB26" i="40"/>
  <c r="LA26" i="40"/>
  <c r="OV25" i="40"/>
  <c r="OU25" i="40"/>
  <c r="OT25" i="40"/>
  <c r="OS25" i="40"/>
  <c r="OR25" i="40"/>
  <c r="OQ25" i="40"/>
  <c r="OP25" i="40"/>
  <c r="OO25" i="40"/>
  <c r="ON25" i="40"/>
  <c r="OM25" i="40"/>
  <c r="OL25" i="40"/>
  <c r="OK25" i="40"/>
  <c r="OJ25" i="40"/>
  <c r="OI25" i="40"/>
  <c r="OH25" i="40"/>
  <c r="OG25" i="40"/>
  <c r="OF25" i="40"/>
  <c r="OE25" i="40"/>
  <c r="OD25" i="40"/>
  <c r="OC25" i="40"/>
  <c r="OB25" i="40"/>
  <c r="OA25" i="40"/>
  <c r="NZ25" i="40"/>
  <c r="NY25" i="40"/>
  <c r="NX25" i="40"/>
  <c r="NW25" i="40"/>
  <c r="NV25" i="40"/>
  <c r="NU25" i="40"/>
  <c r="NT25" i="40"/>
  <c r="NS25" i="40"/>
  <c r="NR25" i="40"/>
  <c r="NQ25" i="40"/>
  <c r="NP25" i="40"/>
  <c r="NO25" i="40"/>
  <c r="NN25" i="40"/>
  <c r="NM25" i="40"/>
  <c r="NL25" i="40"/>
  <c r="NK25" i="40"/>
  <c r="NJ25" i="40"/>
  <c r="NI25" i="40"/>
  <c r="NH25" i="40"/>
  <c r="NG25" i="40"/>
  <c r="NF25" i="40"/>
  <c r="NE25" i="40"/>
  <c r="ND25" i="40"/>
  <c r="NC25" i="40"/>
  <c r="NB25" i="40"/>
  <c r="NA25" i="40"/>
  <c r="MZ25" i="40"/>
  <c r="MY25" i="40"/>
  <c r="MX25" i="40"/>
  <c r="MW25" i="40"/>
  <c r="MV25" i="40"/>
  <c r="MU25" i="40"/>
  <c r="MT25" i="40"/>
  <c r="MS25" i="40"/>
  <c r="MR25" i="40"/>
  <c r="MQ25" i="40"/>
  <c r="MP25" i="40"/>
  <c r="MO25" i="40"/>
  <c r="MN25" i="40"/>
  <c r="MM25" i="40"/>
  <c r="ML25" i="40"/>
  <c r="MK25" i="40"/>
  <c r="MJ25" i="40"/>
  <c r="MI25" i="40"/>
  <c r="MH25" i="40"/>
  <c r="MG25" i="40"/>
  <c r="MF25" i="40"/>
  <c r="ME25" i="40"/>
  <c r="MD25" i="40"/>
  <c r="MC25" i="40"/>
  <c r="MB25" i="40"/>
  <c r="MA25" i="40"/>
  <c r="LZ25" i="40"/>
  <c r="LY25" i="40"/>
  <c r="LX25" i="40"/>
  <c r="LW25" i="40"/>
  <c r="LV25" i="40"/>
  <c r="LU25" i="40"/>
  <c r="LT25" i="40"/>
  <c r="LS25" i="40"/>
  <c r="LR25" i="40"/>
  <c r="LQ25" i="40"/>
  <c r="LP25" i="40"/>
  <c r="LO25" i="40"/>
  <c r="LN25" i="40"/>
  <c r="LM25" i="40"/>
  <c r="LL25" i="40"/>
  <c r="LK25" i="40"/>
  <c r="LJ25" i="40"/>
  <c r="LI25" i="40"/>
  <c r="LH25" i="40"/>
  <c r="LG25" i="40"/>
  <c r="LF25" i="40"/>
  <c r="LE25" i="40"/>
  <c r="LD25" i="40"/>
  <c r="LC25" i="40"/>
  <c r="LB25" i="40"/>
  <c r="LA25" i="40"/>
  <c r="OV24" i="40"/>
  <c r="OU24" i="40"/>
  <c r="OT24" i="40"/>
  <c r="OS24" i="40"/>
  <c r="OR24" i="40"/>
  <c r="OQ24" i="40"/>
  <c r="OP24" i="40"/>
  <c r="OO24" i="40"/>
  <c r="ON24" i="40"/>
  <c r="OM24" i="40"/>
  <c r="OL24" i="40"/>
  <c r="OK24" i="40"/>
  <c r="OJ24" i="40"/>
  <c r="OI24" i="40"/>
  <c r="OH24" i="40"/>
  <c r="OG24" i="40"/>
  <c r="OF24" i="40"/>
  <c r="OE24" i="40"/>
  <c r="OD24" i="40"/>
  <c r="OC24" i="40"/>
  <c r="OB24" i="40"/>
  <c r="OA24" i="40"/>
  <c r="NZ24" i="40"/>
  <c r="NY24" i="40"/>
  <c r="NX24" i="40"/>
  <c r="NW24" i="40"/>
  <c r="NV24" i="40"/>
  <c r="NU24" i="40"/>
  <c r="NT24" i="40"/>
  <c r="NS24" i="40"/>
  <c r="NR24" i="40"/>
  <c r="NQ24" i="40"/>
  <c r="NP24" i="40"/>
  <c r="NO24" i="40"/>
  <c r="NN24" i="40"/>
  <c r="NM24" i="40"/>
  <c r="NL24" i="40"/>
  <c r="NK24" i="40"/>
  <c r="NJ24" i="40"/>
  <c r="NI24" i="40"/>
  <c r="NH24" i="40"/>
  <c r="NG24" i="40"/>
  <c r="NF24" i="40"/>
  <c r="NE24" i="40"/>
  <c r="ND24" i="40"/>
  <c r="NC24" i="40"/>
  <c r="NB24" i="40"/>
  <c r="NA24" i="40"/>
  <c r="MZ24" i="40"/>
  <c r="MY24" i="40"/>
  <c r="MX24" i="40"/>
  <c r="MW24" i="40"/>
  <c r="MV24" i="40"/>
  <c r="MU24" i="40"/>
  <c r="MT24" i="40"/>
  <c r="MS24" i="40"/>
  <c r="MR24" i="40"/>
  <c r="MQ24" i="40"/>
  <c r="MP24" i="40"/>
  <c r="MO24" i="40"/>
  <c r="MN24" i="40"/>
  <c r="MM24" i="40"/>
  <c r="ML24" i="40"/>
  <c r="MK24" i="40"/>
  <c r="MJ24" i="40"/>
  <c r="MI24" i="40"/>
  <c r="MH24" i="40"/>
  <c r="MG24" i="40"/>
  <c r="MF24" i="40"/>
  <c r="ME24" i="40"/>
  <c r="MD24" i="40"/>
  <c r="MC24" i="40"/>
  <c r="MB24" i="40"/>
  <c r="MA24" i="40"/>
  <c r="LZ24" i="40"/>
  <c r="LY24" i="40"/>
  <c r="LX24" i="40"/>
  <c r="LW24" i="40"/>
  <c r="LV24" i="40"/>
  <c r="LU24" i="40"/>
  <c r="LT24" i="40"/>
  <c r="LS24" i="40"/>
  <c r="LR24" i="40"/>
  <c r="LQ24" i="40"/>
  <c r="LP24" i="40"/>
  <c r="LO24" i="40"/>
  <c r="LN24" i="40"/>
  <c r="LM24" i="40"/>
  <c r="LL24" i="40"/>
  <c r="LK24" i="40"/>
  <c r="LJ24" i="40"/>
  <c r="LI24" i="40"/>
  <c r="LH24" i="40"/>
  <c r="LG24" i="40"/>
  <c r="LF24" i="40"/>
  <c r="LE24" i="40"/>
  <c r="LD24" i="40"/>
  <c r="LC24" i="40"/>
  <c r="LB24" i="40"/>
  <c r="LA24" i="40"/>
  <c r="OV23" i="40"/>
  <c r="OU23" i="40"/>
  <c r="OT23" i="40"/>
  <c r="OS23" i="40"/>
  <c r="OR23" i="40"/>
  <c r="OQ23" i="40"/>
  <c r="OP23" i="40"/>
  <c r="OO23" i="40"/>
  <c r="ON23" i="40"/>
  <c r="OM23" i="40"/>
  <c r="OL23" i="40"/>
  <c r="OK23" i="40"/>
  <c r="OJ23" i="40"/>
  <c r="OI23" i="40"/>
  <c r="OH23" i="40"/>
  <c r="OG23" i="40"/>
  <c r="OF23" i="40"/>
  <c r="OE23" i="40"/>
  <c r="OD23" i="40"/>
  <c r="OC23" i="40"/>
  <c r="OB23" i="40"/>
  <c r="OA23" i="40"/>
  <c r="NZ23" i="40"/>
  <c r="NY23" i="40"/>
  <c r="NX23" i="40"/>
  <c r="NW23" i="40"/>
  <c r="NV23" i="40"/>
  <c r="NU23" i="40"/>
  <c r="NT23" i="40"/>
  <c r="NS23" i="40"/>
  <c r="NR23" i="40"/>
  <c r="NQ23" i="40"/>
  <c r="NP23" i="40"/>
  <c r="NO23" i="40"/>
  <c r="NN23" i="40"/>
  <c r="NM23" i="40"/>
  <c r="NL23" i="40"/>
  <c r="NK23" i="40"/>
  <c r="NJ23" i="40"/>
  <c r="NI23" i="40"/>
  <c r="NH23" i="40"/>
  <c r="NG23" i="40"/>
  <c r="NF23" i="40"/>
  <c r="NE23" i="40"/>
  <c r="ND23" i="40"/>
  <c r="NC23" i="40"/>
  <c r="NB23" i="40"/>
  <c r="NA23" i="40"/>
  <c r="MZ23" i="40"/>
  <c r="MY23" i="40"/>
  <c r="MX23" i="40"/>
  <c r="MW23" i="40"/>
  <c r="MV23" i="40"/>
  <c r="MU23" i="40"/>
  <c r="MT23" i="40"/>
  <c r="MS23" i="40"/>
  <c r="MR23" i="40"/>
  <c r="MQ23" i="40"/>
  <c r="MP23" i="40"/>
  <c r="MO23" i="40"/>
  <c r="MN23" i="40"/>
  <c r="MM23" i="40"/>
  <c r="ML23" i="40"/>
  <c r="MK23" i="40"/>
  <c r="MJ23" i="40"/>
  <c r="MI23" i="40"/>
  <c r="MH23" i="40"/>
  <c r="MG23" i="40"/>
  <c r="MF23" i="40"/>
  <c r="ME23" i="40"/>
  <c r="MD23" i="40"/>
  <c r="MC23" i="40"/>
  <c r="MB23" i="40"/>
  <c r="MA23" i="40"/>
  <c r="LZ23" i="40"/>
  <c r="LY23" i="40"/>
  <c r="LX23" i="40"/>
  <c r="LW23" i="40"/>
  <c r="LV23" i="40"/>
  <c r="LU23" i="40"/>
  <c r="LT23" i="40"/>
  <c r="LS23" i="40"/>
  <c r="LR23" i="40"/>
  <c r="LQ23" i="40"/>
  <c r="LP23" i="40"/>
  <c r="LO23" i="40"/>
  <c r="LN23" i="40"/>
  <c r="LM23" i="40"/>
  <c r="LL23" i="40"/>
  <c r="LK23" i="40"/>
  <c r="LJ23" i="40"/>
  <c r="LI23" i="40"/>
  <c r="LH23" i="40"/>
  <c r="LG23" i="40"/>
  <c r="LF23" i="40"/>
  <c r="LE23" i="40"/>
  <c r="LD23" i="40"/>
  <c r="LC23" i="40"/>
  <c r="LB23" i="40"/>
  <c r="LA23" i="40"/>
  <c r="OV22" i="40"/>
  <c r="OU22" i="40"/>
  <c r="OT22" i="40"/>
  <c r="OS22" i="40"/>
  <c r="OR22" i="40"/>
  <c r="OQ22" i="40"/>
  <c r="OP22" i="40"/>
  <c r="OO22" i="40"/>
  <c r="ON22" i="40"/>
  <c r="OM22" i="40"/>
  <c r="OL22" i="40"/>
  <c r="OK22" i="40"/>
  <c r="OJ22" i="40"/>
  <c r="OI22" i="40"/>
  <c r="OH22" i="40"/>
  <c r="OG22" i="40"/>
  <c r="OF22" i="40"/>
  <c r="OE22" i="40"/>
  <c r="OD22" i="40"/>
  <c r="OC22" i="40"/>
  <c r="OB22" i="40"/>
  <c r="OA22" i="40"/>
  <c r="NZ22" i="40"/>
  <c r="NY22" i="40"/>
  <c r="NX22" i="40"/>
  <c r="NW22" i="40"/>
  <c r="NV22" i="40"/>
  <c r="NU22" i="40"/>
  <c r="NT22" i="40"/>
  <c r="NS22" i="40"/>
  <c r="NR22" i="40"/>
  <c r="NQ22" i="40"/>
  <c r="NP22" i="40"/>
  <c r="NO22" i="40"/>
  <c r="NN22" i="40"/>
  <c r="NM22" i="40"/>
  <c r="NL22" i="40"/>
  <c r="NK22" i="40"/>
  <c r="NJ22" i="40"/>
  <c r="NI22" i="40"/>
  <c r="NH22" i="40"/>
  <c r="NG22" i="40"/>
  <c r="NF22" i="40"/>
  <c r="NE22" i="40"/>
  <c r="ND22" i="40"/>
  <c r="NC22" i="40"/>
  <c r="NB22" i="40"/>
  <c r="NA22" i="40"/>
  <c r="MZ22" i="40"/>
  <c r="MY22" i="40"/>
  <c r="MX22" i="40"/>
  <c r="MW22" i="40"/>
  <c r="MV22" i="40"/>
  <c r="MU22" i="40"/>
  <c r="MT22" i="40"/>
  <c r="MS22" i="40"/>
  <c r="MR22" i="40"/>
  <c r="MQ22" i="40"/>
  <c r="MP22" i="40"/>
  <c r="MO22" i="40"/>
  <c r="MN22" i="40"/>
  <c r="MM22" i="40"/>
  <c r="ML22" i="40"/>
  <c r="MK22" i="40"/>
  <c r="MJ22" i="40"/>
  <c r="MI22" i="40"/>
  <c r="MH22" i="40"/>
  <c r="MG22" i="40"/>
  <c r="MF22" i="40"/>
  <c r="ME22" i="40"/>
  <c r="MD22" i="40"/>
  <c r="MC22" i="40"/>
  <c r="MB22" i="40"/>
  <c r="MA22" i="40"/>
  <c r="LZ22" i="40"/>
  <c r="LY22" i="40"/>
  <c r="LX22" i="40"/>
  <c r="LW22" i="40"/>
  <c r="LV22" i="40"/>
  <c r="LU22" i="40"/>
  <c r="LT22" i="40"/>
  <c r="LS22" i="40"/>
  <c r="LR22" i="40"/>
  <c r="LQ22" i="40"/>
  <c r="LP22" i="40"/>
  <c r="LO22" i="40"/>
  <c r="LN22" i="40"/>
  <c r="LM22" i="40"/>
  <c r="LL22" i="40"/>
  <c r="LK22" i="40"/>
  <c r="LJ22" i="40"/>
  <c r="LI22" i="40"/>
  <c r="LH22" i="40"/>
  <c r="LG22" i="40"/>
  <c r="LF22" i="40"/>
  <c r="LE22" i="40"/>
  <c r="LD22" i="40"/>
  <c r="LC22" i="40"/>
  <c r="LB22" i="40"/>
  <c r="LA22" i="40"/>
  <c r="OV21" i="40"/>
  <c r="OU21" i="40"/>
  <c r="OT21" i="40"/>
  <c r="OS21" i="40"/>
  <c r="OR21" i="40"/>
  <c r="OQ21" i="40"/>
  <c r="OP21" i="40"/>
  <c r="OO21" i="40"/>
  <c r="ON21" i="40"/>
  <c r="OM21" i="40"/>
  <c r="OL21" i="40"/>
  <c r="OK21" i="40"/>
  <c r="OJ21" i="40"/>
  <c r="OI21" i="40"/>
  <c r="OH21" i="40"/>
  <c r="OG21" i="40"/>
  <c r="OF21" i="40"/>
  <c r="OE21" i="40"/>
  <c r="OD21" i="40"/>
  <c r="OC21" i="40"/>
  <c r="OB21" i="40"/>
  <c r="OA21" i="40"/>
  <c r="NZ21" i="40"/>
  <c r="NY21" i="40"/>
  <c r="NX21" i="40"/>
  <c r="NW21" i="40"/>
  <c r="NV21" i="40"/>
  <c r="NU21" i="40"/>
  <c r="NT21" i="40"/>
  <c r="NS21" i="40"/>
  <c r="NR21" i="40"/>
  <c r="NQ21" i="40"/>
  <c r="NP21" i="40"/>
  <c r="NO21" i="40"/>
  <c r="NN21" i="40"/>
  <c r="NM21" i="40"/>
  <c r="NL21" i="40"/>
  <c r="NK21" i="40"/>
  <c r="NJ21" i="40"/>
  <c r="NI21" i="40"/>
  <c r="NH21" i="40"/>
  <c r="NG21" i="40"/>
  <c r="NF21" i="40"/>
  <c r="NE21" i="40"/>
  <c r="ND21" i="40"/>
  <c r="NC21" i="40"/>
  <c r="NB21" i="40"/>
  <c r="NA21" i="40"/>
  <c r="MZ21" i="40"/>
  <c r="MY21" i="40"/>
  <c r="MX21" i="40"/>
  <c r="MW21" i="40"/>
  <c r="MV21" i="40"/>
  <c r="MU21" i="40"/>
  <c r="MT21" i="40"/>
  <c r="MS21" i="40"/>
  <c r="MR21" i="40"/>
  <c r="MQ21" i="40"/>
  <c r="MP21" i="40"/>
  <c r="MO21" i="40"/>
  <c r="MN21" i="40"/>
  <c r="MM21" i="40"/>
  <c r="ML21" i="40"/>
  <c r="MK21" i="40"/>
  <c r="MJ21" i="40"/>
  <c r="MI21" i="40"/>
  <c r="MH21" i="40"/>
  <c r="MG21" i="40"/>
  <c r="MF21" i="40"/>
  <c r="ME21" i="40"/>
  <c r="MD21" i="40"/>
  <c r="MC21" i="40"/>
  <c r="MB21" i="40"/>
  <c r="MA21" i="40"/>
  <c r="LZ21" i="40"/>
  <c r="LY21" i="40"/>
  <c r="LX21" i="40"/>
  <c r="LW21" i="40"/>
  <c r="LV21" i="40"/>
  <c r="LU21" i="40"/>
  <c r="LT21" i="40"/>
  <c r="LS21" i="40"/>
  <c r="LR21" i="40"/>
  <c r="LQ21" i="40"/>
  <c r="LP21" i="40"/>
  <c r="LO21" i="40"/>
  <c r="LN21" i="40"/>
  <c r="LM21" i="40"/>
  <c r="LL21" i="40"/>
  <c r="LK21" i="40"/>
  <c r="LJ21" i="40"/>
  <c r="LI21" i="40"/>
  <c r="LH21" i="40"/>
  <c r="LG21" i="40"/>
  <c r="LF21" i="40"/>
  <c r="LE21" i="40"/>
  <c r="LD21" i="40"/>
  <c r="LC21" i="40"/>
  <c r="LB21" i="40"/>
  <c r="LA21" i="40"/>
  <c r="OV20" i="40"/>
  <c r="OU20" i="40"/>
  <c r="OT20" i="40"/>
  <c r="OS20" i="40"/>
  <c r="OR20" i="40"/>
  <c r="OQ20" i="40"/>
  <c r="OP20" i="40"/>
  <c r="OO20" i="40"/>
  <c r="ON20" i="40"/>
  <c r="OM20" i="40"/>
  <c r="OL20" i="40"/>
  <c r="OK20" i="40"/>
  <c r="OJ20" i="40"/>
  <c r="OI20" i="40"/>
  <c r="OH20" i="40"/>
  <c r="OG20" i="40"/>
  <c r="OF20" i="40"/>
  <c r="OE20" i="40"/>
  <c r="OD20" i="40"/>
  <c r="OC20" i="40"/>
  <c r="OB20" i="40"/>
  <c r="OA20" i="40"/>
  <c r="NZ20" i="40"/>
  <c r="NY20" i="40"/>
  <c r="NX20" i="40"/>
  <c r="NW20" i="40"/>
  <c r="NV20" i="40"/>
  <c r="NU20" i="40"/>
  <c r="NT20" i="40"/>
  <c r="NS20" i="40"/>
  <c r="NR20" i="40"/>
  <c r="NQ20" i="40"/>
  <c r="NP20" i="40"/>
  <c r="NO20" i="40"/>
  <c r="NN20" i="40"/>
  <c r="NM20" i="40"/>
  <c r="NL20" i="40"/>
  <c r="NK20" i="40"/>
  <c r="NJ20" i="40"/>
  <c r="NI20" i="40"/>
  <c r="NH20" i="40"/>
  <c r="NG20" i="40"/>
  <c r="NF20" i="40"/>
  <c r="NE20" i="40"/>
  <c r="ND20" i="40"/>
  <c r="NC20" i="40"/>
  <c r="NB20" i="40"/>
  <c r="NA20" i="40"/>
  <c r="MZ20" i="40"/>
  <c r="MY20" i="40"/>
  <c r="MX20" i="40"/>
  <c r="MW20" i="40"/>
  <c r="MV20" i="40"/>
  <c r="MU20" i="40"/>
  <c r="MT20" i="40"/>
  <c r="MS20" i="40"/>
  <c r="MR20" i="40"/>
  <c r="MQ20" i="40"/>
  <c r="MP20" i="40"/>
  <c r="MO20" i="40"/>
  <c r="MN20" i="40"/>
  <c r="MM20" i="40"/>
  <c r="ML20" i="40"/>
  <c r="MK20" i="40"/>
  <c r="MJ20" i="40"/>
  <c r="MI20" i="40"/>
  <c r="MH20" i="40"/>
  <c r="MG20" i="40"/>
  <c r="MF20" i="40"/>
  <c r="ME20" i="40"/>
  <c r="MD20" i="40"/>
  <c r="MC20" i="40"/>
  <c r="MB20" i="40"/>
  <c r="MA20" i="40"/>
  <c r="LZ20" i="40"/>
  <c r="LY20" i="40"/>
  <c r="LX20" i="40"/>
  <c r="LW20" i="40"/>
  <c r="LV20" i="40"/>
  <c r="LU20" i="40"/>
  <c r="LT20" i="40"/>
  <c r="LS20" i="40"/>
  <c r="LR20" i="40"/>
  <c r="LQ20" i="40"/>
  <c r="LP20" i="40"/>
  <c r="LO20" i="40"/>
  <c r="LN20" i="40"/>
  <c r="LM20" i="40"/>
  <c r="LL20" i="40"/>
  <c r="LK20" i="40"/>
  <c r="LJ20" i="40"/>
  <c r="LI20" i="40"/>
  <c r="LH20" i="40"/>
  <c r="LG20" i="40"/>
  <c r="LF20" i="40"/>
  <c r="LE20" i="40"/>
  <c r="LD20" i="40"/>
  <c r="LC20" i="40"/>
  <c r="LB20" i="40"/>
  <c r="LA20" i="40"/>
  <c r="OV19" i="40"/>
  <c r="OU19" i="40"/>
  <c r="OT19" i="40"/>
  <c r="OS19" i="40"/>
  <c r="OR19" i="40"/>
  <c r="OQ19" i="40"/>
  <c r="OP19" i="40"/>
  <c r="OO19" i="40"/>
  <c r="ON19" i="40"/>
  <c r="OM19" i="40"/>
  <c r="OL19" i="40"/>
  <c r="OK19" i="40"/>
  <c r="OJ19" i="40"/>
  <c r="OI19" i="40"/>
  <c r="OH19" i="40"/>
  <c r="OG19" i="40"/>
  <c r="OF19" i="40"/>
  <c r="OE19" i="40"/>
  <c r="OD19" i="40"/>
  <c r="OC19" i="40"/>
  <c r="OB19" i="40"/>
  <c r="OA19" i="40"/>
  <c r="NZ19" i="40"/>
  <c r="NY19" i="40"/>
  <c r="NX19" i="40"/>
  <c r="NW19" i="40"/>
  <c r="NV19" i="40"/>
  <c r="NU19" i="40"/>
  <c r="NT19" i="40"/>
  <c r="NS19" i="40"/>
  <c r="NR19" i="40"/>
  <c r="NQ19" i="40"/>
  <c r="NP19" i="40"/>
  <c r="NO19" i="40"/>
  <c r="NN19" i="40"/>
  <c r="NM19" i="40"/>
  <c r="NL19" i="40"/>
  <c r="NK19" i="40"/>
  <c r="NJ19" i="40"/>
  <c r="NI19" i="40"/>
  <c r="NH19" i="40"/>
  <c r="NG19" i="40"/>
  <c r="NF19" i="40"/>
  <c r="NE19" i="40"/>
  <c r="ND19" i="40"/>
  <c r="NC19" i="40"/>
  <c r="NB19" i="40"/>
  <c r="NA19" i="40"/>
  <c r="MZ19" i="40"/>
  <c r="MY19" i="40"/>
  <c r="MX19" i="40"/>
  <c r="MW19" i="40"/>
  <c r="MV19" i="40"/>
  <c r="MU19" i="40"/>
  <c r="MT19" i="40"/>
  <c r="MS19" i="40"/>
  <c r="MR19" i="40"/>
  <c r="MQ19" i="40"/>
  <c r="MP19" i="40"/>
  <c r="MO19" i="40"/>
  <c r="MN19" i="40"/>
  <c r="MM19" i="40"/>
  <c r="ML19" i="40"/>
  <c r="MK19" i="40"/>
  <c r="MJ19" i="40"/>
  <c r="MI19" i="40"/>
  <c r="MH19" i="40"/>
  <c r="MG19" i="40"/>
  <c r="MF19" i="40"/>
  <c r="ME19" i="40"/>
  <c r="MD19" i="40"/>
  <c r="MC19" i="40"/>
  <c r="MB19" i="40"/>
  <c r="MA19" i="40"/>
  <c r="LZ19" i="40"/>
  <c r="LY19" i="40"/>
  <c r="LX19" i="40"/>
  <c r="LW19" i="40"/>
  <c r="LV19" i="40"/>
  <c r="LU19" i="40"/>
  <c r="LT19" i="40"/>
  <c r="LS19" i="40"/>
  <c r="LR19" i="40"/>
  <c r="LQ19" i="40"/>
  <c r="LP19" i="40"/>
  <c r="LO19" i="40"/>
  <c r="LN19" i="40"/>
  <c r="LM19" i="40"/>
  <c r="LL19" i="40"/>
  <c r="LK19" i="40"/>
  <c r="LJ19" i="40"/>
  <c r="LI19" i="40"/>
  <c r="LH19" i="40"/>
  <c r="LG19" i="40"/>
  <c r="LF19" i="40"/>
  <c r="LE19" i="40"/>
  <c r="LD19" i="40"/>
  <c r="LC19" i="40"/>
  <c r="LB19" i="40"/>
  <c r="LA19" i="40"/>
  <c r="OV18" i="40"/>
  <c r="OU18" i="40"/>
  <c r="OT18" i="40"/>
  <c r="OS18" i="40"/>
  <c r="OR18" i="40"/>
  <c r="OQ18" i="40"/>
  <c r="OP18" i="40"/>
  <c r="OO18" i="40"/>
  <c r="ON18" i="40"/>
  <c r="OM18" i="40"/>
  <c r="OL18" i="40"/>
  <c r="OK18" i="40"/>
  <c r="OJ18" i="40"/>
  <c r="OI18" i="40"/>
  <c r="OH18" i="40"/>
  <c r="OG18" i="40"/>
  <c r="OF18" i="40"/>
  <c r="OE18" i="40"/>
  <c r="OD18" i="40"/>
  <c r="OC18" i="40"/>
  <c r="OB18" i="40"/>
  <c r="OA18" i="40"/>
  <c r="NZ18" i="40"/>
  <c r="NY18" i="40"/>
  <c r="NX18" i="40"/>
  <c r="NW18" i="40"/>
  <c r="NV18" i="40"/>
  <c r="NU18" i="40"/>
  <c r="NT18" i="40"/>
  <c r="NS18" i="40"/>
  <c r="NR18" i="40"/>
  <c r="NQ18" i="40"/>
  <c r="NP18" i="40"/>
  <c r="NO18" i="40"/>
  <c r="NN18" i="40"/>
  <c r="NM18" i="40"/>
  <c r="NL18" i="40"/>
  <c r="NK18" i="40"/>
  <c r="NJ18" i="40"/>
  <c r="NI18" i="40"/>
  <c r="NH18" i="40"/>
  <c r="NG18" i="40"/>
  <c r="NF18" i="40"/>
  <c r="NE18" i="40"/>
  <c r="ND18" i="40"/>
  <c r="NC18" i="40"/>
  <c r="NB18" i="40"/>
  <c r="NA18" i="40"/>
  <c r="MZ18" i="40"/>
  <c r="MY18" i="40"/>
  <c r="MX18" i="40"/>
  <c r="MW18" i="40"/>
  <c r="MV18" i="40"/>
  <c r="MU18" i="40"/>
  <c r="MT18" i="40"/>
  <c r="MS18" i="40"/>
  <c r="MR18" i="40"/>
  <c r="MQ18" i="40"/>
  <c r="MP18" i="40"/>
  <c r="MO18" i="40"/>
  <c r="MN18" i="40"/>
  <c r="MM18" i="40"/>
  <c r="ML18" i="40"/>
  <c r="MK18" i="40"/>
  <c r="MJ18" i="40"/>
  <c r="MI18" i="40"/>
  <c r="MH18" i="40"/>
  <c r="MG18" i="40"/>
  <c r="MF18" i="40"/>
  <c r="ME18" i="40"/>
  <c r="MD18" i="40"/>
  <c r="MC18" i="40"/>
  <c r="MB18" i="40"/>
  <c r="MA18" i="40"/>
  <c r="LZ18" i="40"/>
  <c r="LY18" i="40"/>
  <c r="LX18" i="40"/>
  <c r="LW18" i="40"/>
  <c r="LV18" i="40"/>
  <c r="LU18" i="40"/>
  <c r="LT18" i="40"/>
  <c r="LS18" i="40"/>
  <c r="LR18" i="40"/>
  <c r="LQ18" i="40"/>
  <c r="LP18" i="40"/>
  <c r="LO18" i="40"/>
  <c r="LN18" i="40"/>
  <c r="LM18" i="40"/>
  <c r="LL18" i="40"/>
  <c r="LK18" i="40"/>
  <c r="LJ18" i="40"/>
  <c r="LI18" i="40"/>
  <c r="LH18" i="40"/>
  <c r="LG18" i="40"/>
  <c r="LF18" i="40"/>
  <c r="LE18" i="40"/>
  <c r="LD18" i="40"/>
  <c r="LC18" i="40"/>
  <c r="LB18" i="40"/>
  <c r="LA18" i="40"/>
  <c r="OV17" i="40"/>
  <c r="OU17" i="40"/>
  <c r="OT17" i="40"/>
  <c r="OS17" i="40"/>
  <c r="OR17" i="40"/>
  <c r="OQ17" i="40"/>
  <c r="OP17" i="40"/>
  <c r="OO17" i="40"/>
  <c r="ON17" i="40"/>
  <c r="OM17" i="40"/>
  <c r="OL17" i="40"/>
  <c r="OK17" i="40"/>
  <c r="OJ17" i="40"/>
  <c r="OI17" i="40"/>
  <c r="OH17" i="40"/>
  <c r="OG17" i="40"/>
  <c r="OF17" i="40"/>
  <c r="OE17" i="40"/>
  <c r="OD17" i="40"/>
  <c r="OC17" i="40"/>
  <c r="OB17" i="40"/>
  <c r="OA17" i="40"/>
  <c r="NZ17" i="40"/>
  <c r="NY17" i="40"/>
  <c r="NX17" i="40"/>
  <c r="NW17" i="40"/>
  <c r="NV17" i="40"/>
  <c r="NU17" i="40"/>
  <c r="NT17" i="40"/>
  <c r="NS17" i="40"/>
  <c r="NR17" i="40"/>
  <c r="NQ17" i="40"/>
  <c r="NP17" i="40"/>
  <c r="NO17" i="40"/>
  <c r="NN17" i="40"/>
  <c r="NM17" i="40"/>
  <c r="NL17" i="40"/>
  <c r="NK17" i="40"/>
  <c r="NJ17" i="40"/>
  <c r="NI17" i="40"/>
  <c r="NH17" i="40"/>
  <c r="NG17" i="40"/>
  <c r="NF17" i="40"/>
  <c r="NE17" i="40"/>
  <c r="ND17" i="40"/>
  <c r="NC17" i="40"/>
  <c r="NB17" i="40"/>
  <c r="NA17" i="40"/>
  <c r="MZ17" i="40"/>
  <c r="MY17" i="40"/>
  <c r="MX17" i="40"/>
  <c r="MW17" i="40"/>
  <c r="MV17" i="40"/>
  <c r="MU17" i="40"/>
  <c r="MT17" i="40"/>
  <c r="MS17" i="40"/>
  <c r="MR17" i="40"/>
  <c r="MQ17" i="40"/>
  <c r="MP17" i="40"/>
  <c r="MO17" i="40"/>
  <c r="MN17" i="40"/>
  <c r="MM17" i="40"/>
  <c r="ML17" i="40"/>
  <c r="MK17" i="40"/>
  <c r="MJ17" i="40"/>
  <c r="MI17" i="40"/>
  <c r="MH17" i="40"/>
  <c r="MG17" i="40"/>
  <c r="MF17" i="40"/>
  <c r="ME17" i="40"/>
  <c r="MD17" i="40"/>
  <c r="MC17" i="40"/>
  <c r="MB17" i="40"/>
  <c r="MA17" i="40"/>
  <c r="LZ17" i="40"/>
  <c r="LY17" i="40"/>
  <c r="LX17" i="40"/>
  <c r="LW17" i="40"/>
  <c r="LV17" i="40"/>
  <c r="LU17" i="40"/>
  <c r="LT17" i="40"/>
  <c r="LS17" i="40"/>
  <c r="LR17" i="40"/>
  <c r="LQ17" i="40"/>
  <c r="LP17" i="40"/>
  <c r="LO17" i="40"/>
  <c r="LN17" i="40"/>
  <c r="LM17" i="40"/>
  <c r="LL17" i="40"/>
  <c r="LK17" i="40"/>
  <c r="LJ17" i="40"/>
  <c r="LI17" i="40"/>
  <c r="LH17" i="40"/>
  <c r="LG17" i="40"/>
  <c r="LF17" i="40"/>
  <c r="LE17" i="40"/>
  <c r="LD17" i="40"/>
  <c r="LC17" i="40"/>
  <c r="LB17" i="40"/>
  <c r="LA17" i="40"/>
  <c r="OV16" i="40"/>
  <c r="OU16" i="40"/>
  <c r="OT16" i="40"/>
  <c r="OS16" i="40"/>
  <c r="OR16" i="40"/>
  <c r="OQ16" i="40"/>
  <c r="OP16" i="40"/>
  <c r="OO16" i="40"/>
  <c r="ON16" i="40"/>
  <c r="OM16" i="40"/>
  <c r="OL16" i="40"/>
  <c r="OK16" i="40"/>
  <c r="OJ16" i="40"/>
  <c r="OI16" i="40"/>
  <c r="OH16" i="40"/>
  <c r="OG16" i="40"/>
  <c r="OF16" i="40"/>
  <c r="OE16" i="40"/>
  <c r="OD16" i="40"/>
  <c r="OC16" i="40"/>
  <c r="OB16" i="40"/>
  <c r="OA16" i="40"/>
  <c r="NZ16" i="40"/>
  <c r="NY16" i="40"/>
  <c r="NX16" i="40"/>
  <c r="NW16" i="40"/>
  <c r="NV16" i="40"/>
  <c r="NU16" i="40"/>
  <c r="NT16" i="40"/>
  <c r="NS16" i="40"/>
  <c r="NR16" i="40"/>
  <c r="NQ16" i="40"/>
  <c r="NP16" i="40"/>
  <c r="NO16" i="40"/>
  <c r="NN16" i="40"/>
  <c r="NM16" i="40"/>
  <c r="NL16" i="40"/>
  <c r="NK16" i="40"/>
  <c r="NJ16" i="40"/>
  <c r="NI16" i="40"/>
  <c r="NH16" i="40"/>
  <c r="NG16" i="40"/>
  <c r="NF16" i="40"/>
  <c r="NE16" i="40"/>
  <c r="ND16" i="40"/>
  <c r="NC16" i="40"/>
  <c r="NB16" i="40"/>
  <c r="NA16" i="40"/>
  <c r="MZ16" i="40"/>
  <c r="MY16" i="40"/>
  <c r="MX16" i="40"/>
  <c r="MW16" i="40"/>
  <c r="MV16" i="40"/>
  <c r="MU16" i="40"/>
  <c r="MT16" i="40"/>
  <c r="MS16" i="40"/>
  <c r="MR16" i="40"/>
  <c r="MQ16" i="40"/>
  <c r="MP16" i="40"/>
  <c r="MO16" i="40"/>
  <c r="MN16" i="40"/>
  <c r="MM16" i="40"/>
  <c r="ML16" i="40"/>
  <c r="MK16" i="40"/>
  <c r="MJ16" i="40"/>
  <c r="MI16" i="40"/>
  <c r="MH16" i="40"/>
  <c r="MG16" i="40"/>
  <c r="MF16" i="40"/>
  <c r="ME16" i="40"/>
  <c r="MD16" i="40"/>
  <c r="MC16" i="40"/>
  <c r="MB16" i="40"/>
  <c r="MA16" i="40"/>
  <c r="LZ16" i="40"/>
  <c r="LY16" i="40"/>
  <c r="LX16" i="40"/>
  <c r="LW16" i="40"/>
  <c r="LV16" i="40"/>
  <c r="LU16" i="40"/>
  <c r="LT16" i="40"/>
  <c r="LS16" i="40"/>
  <c r="LR16" i="40"/>
  <c r="LQ16" i="40"/>
  <c r="LP16" i="40"/>
  <c r="LO16" i="40"/>
  <c r="LN16" i="40"/>
  <c r="LM16" i="40"/>
  <c r="LL16" i="40"/>
  <c r="LK16" i="40"/>
  <c r="LJ16" i="40"/>
  <c r="LI16" i="40"/>
  <c r="LH16" i="40"/>
  <c r="LG16" i="40"/>
  <c r="LF16" i="40"/>
  <c r="LE16" i="40"/>
  <c r="LD16" i="40"/>
  <c r="LC16" i="40"/>
  <c r="LB16" i="40"/>
  <c r="LA16" i="40"/>
  <c r="OV15" i="40"/>
  <c r="OU15" i="40"/>
  <c r="OT15" i="40"/>
  <c r="OS15" i="40"/>
  <c r="OR15" i="40"/>
  <c r="OQ15" i="40"/>
  <c r="OP15" i="40"/>
  <c r="OO15" i="40"/>
  <c r="ON15" i="40"/>
  <c r="OM15" i="40"/>
  <c r="OL15" i="40"/>
  <c r="OK15" i="40"/>
  <c r="OJ15" i="40"/>
  <c r="OI15" i="40"/>
  <c r="OH15" i="40"/>
  <c r="OG15" i="40"/>
  <c r="OF15" i="40"/>
  <c r="OE15" i="40"/>
  <c r="OD15" i="40"/>
  <c r="OC15" i="40"/>
  <c r="OB15" i="40"/>
  <c r="OA15" i="40"/>
  <c r="NZ15" i="40"/>
  <c r="NY15" i="40"/>
  <c r="NX15" i="40"/>
  <c r="NW15" i="40"/>
  <c r="NV15" i="40"/>
  <c r="NU15" i="40"/>
  <c r="NT15" i="40"/>
  <c r="NS15" i="40"/>
  <c r="NR15" i="40"/>
  <c r="NQ15" i="40"/>
  <c r="NP15" i="40"/>
  <c r="NO15" i="40"/>
  <c r="NN15" i="40"/>
  <c r="NM15" i="40"/>
  <c r="NL15" i="40"/>
  <c r="NK15" i="40"/>
  <c r="NJ15" i="40"/>
  <c r="NI15" i="40"/>
  <c r="NH15" i="40"/>
  <c r="NG15" i="40"/>
  <c r="NF15" i="40"/>
  <c r="NE15" i="40"/>
  <c r="ND15" i="40"/>
  <c r="NC15" i="40"/>
  <c r="NB15" i="40"/>
  <c r="NA15" i="40"/>
  <c r="MZ15" i="40"/>
  <c r="MY15" i="40"/>
  <c r="MX15" i="40"/>
  <c r="MW15" i="40"/>
  <c r="MV15" i="40"/>
  <c r="MU15" i="40"/>
  <c r="MT15" i="40"/>
  <c r="MS15" i="40"/>
  <c r="MR15" i="40"/>
  <c r="MQ15" i="40"/>
  <c r="MP15" i="40"/>
  <c r="MO15" i="40"/>
  <c r="MN15" i="40"/>
  <c r="MM15" i="40"/>
  <c r="ML15" i="40"/>
  <c r="MK15" i="40"/>
  <c r="MJ15" i="40"/>
  <c r="MI15" i="40"/>
  <c r="MH15" i="40"/>
  <c r="MG15" i="40"/>
  <c r="MF15" i="40"/>
  <c r="ME15" i="40"/>
  <c r="MD15" i="40"/>
  <c r="MC15" i="40"/>
  <c r="MB15" i="40"/>
  <c r="MA15" i="40"/>
  <c r="LZ15" i="40"/>
  <c r="LY15" i="40"/>
  <c r="LX15" i="40"/>
  <c r="LW15" i="40"/>
  <c r="LV15" i="40"/>
  <c r="LU15" i="40"/>
  <c r="LT15" i="40"/>
  <c r="LS15" i="40"/>
  <c r="LR15" i="40"/>
  <c r="LQ15" i="40"/>
  <c r="LP15" i="40"/>
  <c r="LO15" i="40"/>
  <c r="LN15" i="40"/>
  <c r="LM15" i="40"/>
  <c r="LL15" i="40"/>
  <c r="LK15" i="40"/>
  <c r="LJ15" i="40"/>
  <c r="LI15" i="40"/>
  <c r="LH15" i="40"/>
  <c r="LG15" i="40"/>
  <c r="LF15" i="40"/>
  <c r="LE15" i="40"/>
  <c r="LD15" i="40"/>
  <c r="LC15" i="40"/>
  <c r="LB15" i="40"/>
  <c r="LA15" i="40"/>
  <c r="OV14" i="40"/>
  <c r="OU14" i="40"/>
  <c r="OT14" i="40"/>
  <c r="OS14" i="40"/>
  <c r="OR14" i="40"/>
  <c r="OQ14" i="40"/>
  <c r="OP14" i="40"/>
  <c r="OO14" i="40"/>
  <c r="ON14" i="40"/>
  <c r="OM14" i="40"/>
  <c r="OL14" i="40"/>
  <c r="OK14" i="40"/>
  <c r="OJ14" i="40"/>
  <c r="OI14" i="40"/>
  <c r="OH14" i="40"/>
  <c r="OG14" i="40"/>
  <c r="OF14" i="40"/>
  <c r="OE14" i="40"/>
  <c r="OD14" i="40"/>
  <c r="OC14" i="40"/>
  <c r="OB14" i="40"/>
  <c r="OA14" i="40"/>
  <c r="NZ14" i="40"/>
  <c r="NY14" i="40"/>
  <c r="NX14" i="40"/>
  <c r="NW14" i="40"/>
  <c r="NV14" i="40"/>
  <c r="NU14" i="40"/>
  <c r="NT14" i="40"/>
  <c r="NS14" i="40"/>
  <c r="NR14" i="40"/>
  <c r="NQ14" i="40"/>
  <c r="NP14" i="40"/>
  <c r="NO14" i="40"/>
  <c r="NN14" i="40"/>
  <c r="NM14" i="40"/>
  <c r="NL14" i="40"/>
  <c r="NK14" i="40"/>
  <c r="NJ14" i="40"/>
  <c r="NI14" i="40"/>
  <c r="NH14" i="40"/>
  <c r="NG14" i="40"/>
  <c r="NF14" i="40"/>
  <c r="NE14" i="40"/>
  <c r="ND14" i="40"/>
  <c r="NC14" i="40"/>
  <c r="NB14" i="40"/>
  <c r="NA14" i="40"/>
  <c r="MZ14" i="40"/>
  <c r="MY14" i="40"/>
  <c r="MX14" i="40"/>
  <c r="MW14" i="40"/>
  <c r="MV14" i="40"/>
  <c r="MU14" i="40"/>
  <c r="MT14" i="40"/>
  <c r="MS14" i="40"/>
  <c r="MR14" i="40"/>
  <c r="MQ14" i="40"/>
  <c r="MP14" i="40"/>
  <c r="MO14" i="40"/>
  <c r="MN14" i="40"/>
  <c r="MM14" i="40"/>
  <c r="ML14" i="40"/>
  <c r="MK14" i="40"/>
  <c r="MJ14" i="40"/>
  <c r="MI14" i="40"/>
  <c r="MH14" i="40"/>
  <c r="MG14" i="40"/>
  <c r="MF14" i="40"/>
  <c r="ME14" i="40"/>
  <c r="MD14" i="40"/>
  <c r="MC14" i="40"/>
  <c r="MB14" i="40"/>
  <c r="MA14" i="40"/>
  <c r="LZ14" i="40"/>
  <c r="LY14" i="40"/>
  <c r="LX14" i="40"/>
  <c r="LW14" i="40"/>
  <c r="LV14" i="40"/>
  <c r="LU14" i="40"/>
  <c r="LT14" i="40"/>
  <c r="LS14" i="40"/>
  <c r="LR14" i="40"/>
  <c r="LQ14" i="40"/>
  <c r="LP14" i="40"/>
  <c r="LO14" i="40"/>
  <c r="LN14" i="40"/>
  <c r="LM14" i="40"/>
  <c r="LL14" i="40"/>
  <c r="LK14" i="40"/>
  <c r="LJ14" i="40"/>
  <c r="LI14" i="40"/>
  <c r="LH14" i="40"/>
  <c r="LG14" i="40"/>
  <c r="LF14" i="40"/>
  <c r="LE14" i="40"/>
  <c r="LD14" i="40"/>
  <c r="LC14" i="40"/>
  <c r="LB14" i="40"/>
  <c r="LA14" i="40"/>
  <c r="OV13" i="40"/>
  <c r="OU13" i="40"/>
  <c r="OT13" i="40"/>
  <c r="OS13" i="40"/>
  <c r="OR13" i="40"/>
  <c r="OQ13" i="40"/>
  <c r="OP13" i="40"/>
  <c r="OO13" i="40"/>
  <c r="ON13" i="40"/>
  <c r="OM13" i="40"/>
  <c r="OL13" i="40"/>
  <c r="OK13" i="40"/>
  <c r="OJ13" i="40"/>
  <c r="OI13" i="40"/>
  <c r="OH13" i="40"/>
  <c r="OG13" i="40"/>
  <c r="OF13" i="40"/>
  <c r="OE13" i="40"/>
  <c r="OD13" i="40"/>
  <c r="OC13" i="40"/>
  <c r="OB13" i="40"/>
  <c r="OA13" i="40"/>
  <c r="NZ13" i="40"/>
  <c r="NY13" i="40"/>
  <c r="NX13" i="40"/>
  <c r="NW13" i="40"/>
  <c r="NV13" i="40"/>
  <c r="NU13" i="40"/>
  <c r="NT13" i="40"/>
  <c r="NS13" i="40"/>
  <c r="NR13" i="40"/>
  <c r="NQ13" i="40"/>
  <c r="NP13" i="40"/>
  <c r="NO13" i="40"/>
  <c r="NN13" i="40"/>
  <c r="NM13" i="40"/>
  <c r="NL13" i="40"/>
  <c r="NK13" i="40"/>
  <c r="NJ13" i="40"/>
  <c r="NI13" i="40"/>
  <c r="NH13" i="40"/>
  <c r="NG13" i="40"/>
  <c r="NF13" i="40"/>
  <c r="NE13" i="40"/>
  <c r="ND13" i="40"/>
  <c r="NC13" i="40"/>
  <c r="NB13" i="40"/>
  <c r="NA13" i="40"/>
  <c r="MZ13" i="40"/>
  <c r="MY13" i="40"/>
  <c r="MX13" i="40"/>
  <c r="MW13" i="40"/>
  <c r="MV13" i="40"/>
  <c r="MU13" i="40"/>
  <c r="MT13" i="40"/>
  <c r="MS13" i="40"/>
  <c r="MR13" i="40"/>
  <c r="MQ13" i="40"/>
  <c r="MP13" i="40"/>
  <c r="MO13" i="40"/>
  <c r="MN13" i="40"/>
  <c r="MM13" i="40"/>
  <c r="ML13" i="40"/>
  <c r="MK13" i="40"/>
  <c r="MJ13" i="40"/>
  <c r="MI13" i="40"/>
  <c r="MH13" i="40"/>
  <c r="MG13" i="40"/>
  <c r="MF13" i="40"/>
  <c r="ME13" i="40"/>
  <c r="MD13" i="40"/>
  <c r="MC13" i="40"/>
  <c r="MB13" i="40"/>
  <c r="MA13" i="40"/>
  <c r="LZ13" i="40"/>
  <c r="LY13" i="40"/>
  <c r="LX13" i="40"/>
  <c r="LW13" i="40"/>
  <c r="LV13" i="40"/>
  <c r="LU13" i="40"/>
  <c r="LT13" i="40"/>
  <c r="LS13" i="40"/>
  <c r="LR13" i="40"/>
  <c r="LQ13" i="40"/>
  <c r="LP13" i="40"/>
  <c r="LO13" i="40"/>
  <c r="LN13" i="40"/>
  <c r="LM13" i="40"/>
  <c r="LL13" i="40"/>
  <c r="LK13" i="40"/>
  <c r="LJ13" i="40"/>
  <c r="LI13" i="40"/>
  <c r="LH13" i="40"/>
  <c r="LG13" i="40"/>
  <c r="LF13" i="40"/>
  <c r="LE13" i="40"/>
  <c r="LD13" i="40"/>
  <c r="LC13" i="40"/>
  <c r="LB13" i="40"/>
  <c r="LA13" i="40"/>
  <c r="OV12" i="40"/>
  <c r="OU12" i="40"/>
  <c r="OT12" i="40"/>
  <c r="OS12" i="40"/>
  <c r="OR12" i="40"/>
  <c r="OQ12" i="40"/>
  <c r="OP12" i="40"/>
  <c r="OO12" i="40"/>
  <c r="ON12" i="40"/>
  <c r="OM12" i="40"/>
  <c r="OL12" i="40"/>
  <c r="OK12" i="40"/>
  <c r="OJ12" i="40"/>
  <c r="OI12" i="40"/>
  <c r="OH12" i="40"/>
  <c r="OG12" i="40"/>
  <c r="OF12" i="40"/>
  <c r="OE12" i="40"/>
  <c r="OD12" i="40"/>
  <c r="OC12" i="40"/>
  <c r="OB12" i="40"/>
  <c r="OA12" i="40"/>
  <c r="NZ12" i="40"/>
  <c r="NY12" i="40"/>
  <c r="NX12" i="40"/>
  <c r="NW12" i="40"/>
  <c r="NV12" i="40"/>
  <c r="NU12" i="40"/>
  <c r="NT12" i="40"/>
  <c r="NS12" i="40"/>
  <c r="NR12" i="40"/>
  <c r="NQ12" i="40"/>
  <c r="NP12" i="40"/>
  <c r="NO12" i="40"/>
  <c r="NN12" i="40"/>
  <c r="NM12" i="40"/>
  <c r="NL12" i="40"/>
  <c r="NK12" i="40"/>
  <c r="NJ12" i="40"/>
  <c r="NI12" i="40"/>
  <c r="NH12" i="40"/>
  <c r="NG12" i="40"/>
  <c r="NF12" i="40"/>
  <c r="NE12" i="40"/>
  <c r="ND12" i="40"/>
  <c r="NC12" i="40"/>
  <c r="NB12" i="40"/>
  <c r="NA12" i="40"/>
  <c r="MZ12" i="40"/>
  <c r="MY12" i="40"/>
  <c r="MX12" i="40"/>
  <c r="MW12" i="40"/>
  <c r="MV12" i="40"/>
  <c r="MU12" i="40"/>
  <c r="MT12" i="40"/>
  <c r="MS12" i="40"/>
  <c r="MR12" i="40"/>
  <c r="MQ12" i="40"/>
  <c r="MP12" i="40"/>
  <c r="MO12" i="40"/>
  <c r="MN12" i="40"/>
  <c r="MM12" i="40"/>
  <c r="ML12" i="40"/>
  <c r="MK12" i="40"/>
  <c r="MJ12" i="40"/>
  <c r="MI12" i="40"/>
  <c r="MH12" i="40"/>
  <c r="MG12" i="40"/>
  <c r="MF12" i="40"/>
  <c r="ME12" i="40"/>
  <c r="MD12" i="40"/>
  <c r="MC12" i="40"/>
  <c r="MB12" i="40"/>
  <c r="MA12" i="40"/>
  <c r="LZ12" i="40"/>
  <c r="LY12" i="40"/>
  <c r="LX12" i="40"/>
  <c r="LW12" i="40"/>
  <c r="LV12" i="40"/>
  <c r="LU12" i="40"/>
  <c r="LT12" i="40"/>
  <c r="LS12" i="40"/>
  <c r="LR12" i="40"/>
  <c r="LQ12" i="40"/>
  <c r="LP12" i="40"/>
  <c r="LO12" i="40"/>
  <c r="LN12" i="40"/>
  <c r="LM12" i="40"/>
  <c r="LL12" i="40"/>
  <c r="LK12" i="40"/>
  <c r="LJ12" i="40"/>
  <c r="LI12" i="40"/>
  <c r="LH12" i="40"/>
  <c r="LG12" i="40"/>
  <c r="LF12" i="40"/>
  <c r="LE12" i="40"/>
  <c r="LD12" i="40"/>
  <c r="LC12" i="40"/>
  <c r="LB12" i="40"/>
  <c r="LA12" i="40"/>
  <c r="OV11" i="40"/>
  <c r="OU11" i="40"/>
  <c r="OT11" i="40"/>
  <c r="OS11" i="40"/>
  <c r="OR11" i="40"/>
  <c r="OQ11" i="40"/>
  <c r="OP11" i="40"/>
  <c r="OO11" i="40"/>
  <c r="ON11" i="40"/>
  <c r="OM11" i="40"/>
  <c r="OL11" i="40"/>
  <c r="OK11" i="40"/>
  <c r="OJ11" i="40"/>
  <c r="OI11" i="40"/>
  <c r="OH11" i="40"/>
  <c r="OG11" i="40"/>
  <c r="OF11" i="40"/>
  <c r="OE11" i="40"/>
  <c r="OD11" i="40"/>
  <c r="OC11" i="40"/>
  <c r="OB11" i="40"/>
  <c r="OA11" i="40"/>
  <c r="NZ11" i="40"/>
  <c r="NY11" i="40"/>
  <c r="NX11" i="40"/>
  <c r="NW11" i="40"/>
  <c r="NV11" i="40"/>
  <c r="NU11" i="40"/>
  <c r="NT11" i="40"/>
  <c r="NS11" i="40"/>
  <c r="NR11" i="40"/>
  <c r="NQ11" i="40"/>
  <c r="NP11" i="40"/>
  <c r="NO11" i="40"/>
  <c r="NN11" i="40"/>
  <c r="NM11" i="40"/>
  <c r="NL11" i="40"/>
  <c r="NK11" i="40"/>
  <c r="NJ11" i="40"/>
  <c r="NI11" i="40"/>
  <c r="NH11" i="40"/>
  <c r="NG11" i="40"/>
  <c r="NF11" i="40"/>
  <c r="NE11" i="40"/>
  <c r="ND11" i="40"/>
  <c r="NC11" i="40"/>
  <c r="NB11" i="40"/>
  <c r="NA11" i="40"/>
  <c r="MZ11" i="40"/>
  <c r="MY11" i="40"/>
  <c r="MX11" i="40"/>
  <c r="MW11" i="40"/>
  <c r="MV11" i="40"/>
  <c r="MU11" i="40"/>
  <c r="MT11" i="40"/>
  <c r="MS11" i="40"/>
  <c r="MR11" i="40"/>
  <c r="MQ11" i="40"/>
  <c r="MP11" i="40"/>
  <c r="MO11" i="40"/>
  <c r="MN11" i="40"/>
  <c r="MM11" i="40"/>
  <c r="ML11" i="40"/>
  <c r="MK11" i="40"/>
  <c r="MJ11" i="40"/>
  <c r="MI11" i="40"/>
  <c r="MH11" i="40"/>
  <c r="MG11" i="40"/>
  <c r="MF11" i="40"/>
  <c r="ME11" i="40"/>
  <c r="MD11" i="40"/>
  <c r="MC11" i="40"/>
  <c r="MB11" i="40"/>
  <c r="MA11" i="40"/>
  <c r="LZ11" i="40"/>
  <c r="LY11" i="40"/>
  <c r="LX11" i="40"/>
  <c r="LW11" i="40"/>
  <c r="LV11" i="40"/>
  <c r="LU11" i="40"/>
  <c r="LT11" i="40"/>
  <c r="LS11" i="40"/>
  <c r="LR11" i="40"/>
  <c r="LQ11" i="40"/>
  <c r="LP11" i="40"/>
  <c r="LO11" i="40"/>
  <c r="LN11" i="40"/>
  <c r="LM11" i="40"/>
  <c r="LL11" i="40"/>
  <c r="LK11" i="40"/>
  <c r="LJ11" i="40"/>
  <c r="LI11" i="40"/>
  <c r="LH11" i="40"/>
  <c r="LG11" i="40"/>
  <c r="LF11" i="40"/>
  <c r="LE11" i="40"/>
  <c r="LD11" i="40"/>
  <c r="LC11" i="40"/>
  <c r="LB11" i="40"/>
  <c r="LA11" i="40"/>
  <c r="OV10" i="40"/>
  <c r="OU10" i="40"/>
  <c r="OT10" i="40"/>
  <c r="OS10" i="40"/>
  <c r="OR10" i="40"/>
  <c r="OQ10" i="40"/>
  <c r="OP10" i="40"/>
  <c r="OO10" i="40"/>
  <c r="ON10" i="40"/>
  <c r="OM10" i="40"/>
  <c r="OL10" i="40"/>
  <c r="OK10" i="40"/>
  <c r="OJ10" i="40"/>
  <c r="OI10" i="40"/>
  <c r="OH10" i="40"/>
  <c r="OG10" i="40"/>
  <c r="OF10" i="40"/>
  <c r="OE10" i="40"/>
  <c r="OD10" i="40"/>
  <c r="OC10" i="40"/>
  <c r="OB10" i="40"/>
  <c r="OA10" i="40"/>
  <c r="NZ10" i="40"/>
  <c r="NY10" i="40"/>
  <c r="NX10" i="40"/>
  <c r="NW10" i="40"/>
  <c r="NV10" i="40"/>
  <c r="NU10" i="40"/>
  <c r="NT10" i="40"/>
  <c r="NS10" i="40"/>
  <c r="NR10" i="40"/>
  <c r="NQ10" i="40"/>
  <c r="NP10" i="40"/>
  <c r="NO10" i="40"/>
  <c r="NN10" i="40"/>
  <c r="NM10" i="40"/>
  <c r="NL10" i="40"/>
  <c r="NK10" i="40"/>
  <c r="NJ10" i="40"/>
  <c r="NI10" i="40"/>
  <c r="NH10" i="40"/>
  <c r="NG10" i="40"/>
  <c r="NF10" i="40"/>
  <c r="NE10" i="40"/>
  <c r="ND10" i="40"/>
  <c r="NC10" i="40"/>
  <c r="NB10" i="40"/>
  <c r="NA10" i="40"/>
  <c r="MZ10" i="40"/>
  <c r="MY10" i="40"/>
  <c r="MX10" i="40"/>
  <c r="MW10" i="40"/>
  <c r="MV10" i="40"/>
  <c r="MU10" i="40"/>
  <c r="MT10" i="40"/>
  <c r="MS10" i="40"/>
  <c r="MR10" i="40"/>
  <c r="MQ10" i="40"/>
  <c r="MP10" i="40"/>
  <c r="MO10" i="40"/>
  <c r="MN10" i="40"/>
  <c r="MM10" i="40"/>
  <c r="ML10" i="40"/>
  <c r="MK10" i="40"/>
  <c r="MJ10" i="40"/>
  <c r="MI10" i="40"/>
  <c r="MH10" i="40"/>
  <c r="MG10" i="40"/>
  <c r="MF10" i="40"/>
  <c r="ME10" i="40"/>
  <c r="MD10" i="40"/>
  <c r="MC10" i="40"/>
  <c r="MB10" i="40"/>
  <c r="MA10" i="40"/>
  <c r="LZ10" i="40"/>
  <c r="LY10" i="40"/>
  <c r="LX10" i="40"/>
  <c r="LW10" i="40"/>
  <c r="LV10" i="40"/>
  <c r="LU10" i="40"/>
  <c r="LT10" i="40"/>
  <c r="LS10" i="40"/>
  <c r="LR10" i="40"/>
  <c r="LQ10" i="40"/>
  <c r="LP10" i="40"/>
  <c r="LO10" i="40"/>
  <c r="LN10" i="40"/>
  <c r="LM10" i="40"/>
  <c r="LL10" i="40"/>
  <c r="LK10" i="40"/>
  <c r="LJ10" i="40"/>
  <c r="LI10" i="40"/>
  <c r="LH10" i="40"/>
  <c r="LG10" i="40"/>
  <c r="LF10" i="40"/>
  <c r="LE10" i="40"/>
  <c r="LD10" i="40"/>
  <c r="LC10" i="40"/>
  <c r="LB10" i="40"/>
  <c r="LA10" i="40"/>
  <c r="OV9" i="40"/>
  <c r="OU9" i="40"/>
  <c r="OT9" i="40"/>
  <c r="OS9" i="40"/>
  <c r="OR9" i="40"/>
  <c r="OQ9" i="40"/>
  <c r="OP9" i="40"/>
  <c r="OO9" i="40"/>
  <c r="ON9" i="40"/>
  <c r="OM9" i="40"/>
  <c r="OL9" i="40"/>
  <c r="OK9" i="40"/>
  <c r="OJ9" i="40"/>
  <c r="OI9" i="40"/>
  <c r="OH9" i="40"/>
  <c r="OG9" i="40"/>
  <c r="OF9" i="40"/>
  <c r="OE9" i="40"/>
  <c r="OD9" i="40"/>
  <c r="OC9" i="40"/>
  <c r="OB9" i="40"/>
  <c r="OA9" i="40"/>
  <c r="NZ9" i="40"/>
  <c r="NY9" i="40"/>
  <c r="NX9" i="40"/>
  <c r="NW9" i="40"/>
  <c r="NV9" i="40"/>
  <c r="NU9" i="40"/>
  <c r="NT9" i="40"/>
  <c r="NS9" i="40"/>
  <c r="NR9" i="40"/>
  <c r="NQ9" i="40"/>
  <c r="NP9" i="40"/>
  <c r="NO9" i="40"/>
  <c r="NN9" i="40"/>
  <c r="NM9" i="40"/>
  <c r="NL9" i="40"/>
  <c r="NK9" i="40"/>
  <c r="NJ9" i="40"/>
  <c r="NI9" i="40"/>
  <c r="NH9" i="40"/>
  <c r="NG9" i="40"/>
  <c r="NF9" i="40"/>
  <c r="NE9" i="40"/>
  <c r="ND9" i="40"/>
  <c r="NC9" i="40"/>
  <c r="NB9" i="40"/>
  <c r="NA9" i="40"/>
  <c r="MZ9" i="40"/>
  <c r="MY9" i="40"/>
  <c r="MX9" i="40"/>
  <c r="MW9" i="40"/>
  <c r="MV9" i="40"/>
  <c r="MU9" i="40"/>
  <c r="MT9" i="40"/>
  <c r="MS9" i="40"/>
  <c r="MR9" i="40"/>
  <c r="MQ9" i="40"/>
  <c r="MP9" i="40"/>
  <c r="MO9" i="40"/>
  <c r="MN9" i="40"/>
  <c r="MM9" i="40"/>
  <c r="ML9" i="40"/>
  <c r="MK9" i="40"/>
  <c r="MJ9" i="40"/>
  <c r="MI9" i="40"/>
  <c r="MH9" i="40"/>
  <c r="MG9" i="40"/>
  <c r="MF9" i="40"/>
  <c r="ME9" i="40"/>
  <c r="MD9" i="40"/>
  <c r="MC9" i="40"/>
  <c r="MB9" i="40"/>
  <c r="MA9" i="40"/>
  <c r="LZ9" i="40"/>
  <c r="LY9" i="40"/>
  <c r="LX9" i="40"/>
  <c r="LW9" i="40"/>
  <c r="LV9" i="40"/>
  <c r="LU9" i="40"/>
  <c r="LT9" i="40"/>
  <c r="LS9" i="40"/>
  <c r="LR9" i="40"/>
  <c r="LQ9" i="40"/>
  <c r="LP9" i="40"/>
  <c r="LO9" i="40"/>
  <c r="LN9" i="40"/>
  <c r="LM9" i="40"/>
  <c r="LL9" i="40"/>
  <c r="LK9" i="40"/>
  <c r="LJ9" i="40"/>
  <c r="LI9" i="40"/>
  <c r="LH9" i="40"/>
  <c r="LG9" i="40"/>
  <c r="LF9" i="40"/>
  <c r="LE9" i="40"/>
  <c r="LD9" i="40"/>
  <c r="LC9" i="40"/>
  <c r="LB9" i="40"/>
  <c r="LA9" i="40"/>
  <c r="OV8" i="40"/>
  <c r="OU8" i="40"/>
  <c r="OT8" i="40"/>
  <c r="OS8" i="40"/>
  <c r="OR8" i="40"/>
  <c r="OQ8" i="40"/>
  <c r="OP8" i="40"/>
  <c r="OO8" i="40"/>
  <c r="ON8" i="40"/>
  <c r="OM8" i="40"/>
  <c r="OL8" i="40"/>
  <c r="OK8" i="40"/>
  <c r="OJ8" i="40"/>
  <c r="OI8" i="40"/>
  <c r="OH8" i="40"/>
  <c r="OG8" i="40"/>
  <c r="OF8" i="40"/>
  <c r="OE8" i="40"/>
  <c r="OD8" i="40"/>
  <c r="OC8" i="40"/>
  <c r="OB8" i="40"/>
  <c r="OA8" i="40"/>
  <c r="NZ8" i="40"/>
  <c r="NY8" i="40"/>
  <c r="NX8" i="40"/>
  <c r="NW8" i="40"/>
  <c r="NV8" i="40"/>
  <c r="NU8" i="40"/>
  <c r="NT8" i="40"/>
  <c r="NS8" i="40"/>
  <c r="NR8" i="40"/>
  <c r="NQ8" i="40"/>
  <c r="NP8" i="40"/>
  <c r="NO8" i="40"/>
  <c r="NN8" i="40"/>
  <c r="NM8" i="40"/>
  <c r="NL8" i="40"/>
  <c r="NK8" i="40"/>
  <c r="NJ8" i="40"/>
  <c r="NI8" i="40"/>
  <c r="NH8" i="40"/>
  <c r="NG8" i="40"/>
  <c r="NF8" i="40"/>
  <c r="NE8" i="40"/>
  <c r="ND8" i="40"/>
  <c r="NC8" i="40"/>
  <c r="NB8" i="40"/>
  <c r="NA8" i="40"/>
  <c r="MZ8" i="40"/>
  <c r="MY8" i="40"/>
  <c r="MX8" i="40"/>
  <c r="MW8" i="40"/>
  <c r="MV8" i="40"/>
  <c r="MU8" i="40"/>
  <c r="MT8" i="40"/>
  <c r="MS8" i="40"/>
  <c r="MR8" i="40"/>
  <c r="MQ8" i="40"/>
  <c r="MP8" i="40"/>
  <c r="MO8" i="40"/>
  <c r="MN8" i="40"/>
  <c r="MM8" i="40"/>
  <c r="ML8" i="40"/>
  <c r="MK8" i="40"/>
  <c r="MJ8" i="40"/>
  <c r="MI8" i="40"/>
  <c r="MH8" i="40"/>
  <c r="MG8" i="40"/>
  <c r="MF8" i="40"/>
  <c r="ME8" i="40"/>
  <c r="MD8" i="40"/>
  <c r="MC8" i="40"/>
  <c r="MB8" i="40"/>
  <c r="MA8" i="40"/>
  <c r="LZ8" i="40"/>
  <c r="LY8" i="40"/>
  <c r="LX8" i="40"/>
  <c r="LW8" i="40"/>
  <c r="LV8" i="40"/>
  <c r="LU8" i="40"/>
  <c r="LT8" i="40"/>
  <c r="LS8" i="40"/>
  <c r="LR8" i="40"/>
  <c r="LQ8" i="40"/>
  <c r="LP8" i="40"/>
  <c r="LO8" i="40"/>
  <c r="LN8" i="40"/>
  <c r="LM8" i="40"/>
  <c r="LL8" i="40"/>
  <c r="LK8" i="40"/>
  <c r="LJ8" i="40"/>
  <c r="LI8" i="40"/>
  <c r="LH8" i="40"/>
  <c r="LG8" i="40"/>
  <c r="LF8" i="40"/>
  <c r="LE8" i="40"/>
  <c r="LD8" i="40"/>
  <c r="LC8" i="40"/>
  <c r="LB8" i="40"/>
  <c r="LA8" i="40"/>
  <c r="OV7" i="40"/>
  <c r="OU7" i="40"/>
  <c r="OT7" i="40"/>
  <c r="OS7" i="40"/>
  <c r="OR7" i="40"/>
  <c r="OQ7" i="40"/>
  <c r="OP7" i="40"/>
  <c r="OO7" i="40"/>
  <c r="ON7" i="40"/>
  <c r="OM7" i="40"/>
  <c r="OL7" i="40"/>
  <c r="OK7" i="40"/>
  <c r="OJ7" i="40"/>
  <c r="OI7" i="40"/>
  <c r="OH7" i="40"/>
  <c r="OG7" i="40"/>
  <c r="OF7" i="40"/>
  <c r="OE7" i="40"/>
  <c r="OD7" i="40"/>
  <c r="OC7" i="40"/>
  <c r="OB7" i="40"/>
  <c r="OA7" i="40"/>
  <c r="NZ7" i="40"/>
  <c r="NY7" i="40"/>
  <c r="NX7" i="40"/>
  <c r="NW7" i="40"/>
  <c r="NV7" i="40"/>
  <c r="NU7" i="40"/>
  <c r="NT7" i="40"/>
  <c r="NS7" i="40"/>
  <c r="NR7" i="40"/>
  <c r="NQ7" i="40"/>
  <c r="NP7" i="40"/>
  <c r="NO7" i="40"/>
  <c r="NN7" i="40"/>
  <c r="NM7" i="40"/>
  <c r="NL7" i="40"/>
  <c r="NK7" i="40"/>
  <c r="NJ7" i="40"/>
  <c r="NI7" i="40"/>
  <c r="NH7" i="40"/>
  <c r="NG7" i="40"/>
  <c r="NF7" i="40"/>
  <c r="NE7" i="40"/>
  <c r="ND7" i="40"/>
  <c r="NC7" i="40"/>
  <c r="NB7" i="40"/>
  <c r="NA7" i="40"/>
  <c r="MZ7" i="40"/>
  <c r="MY7" i="40"/>
  <c r="MX7" i="40"/>
  <c r="MW7" i="40"/>
  <c r="MV7" i="40"/>
  <c r="MU7" i="40"/>
  <c r="MT7" i="40"/>
  <c r="MS7" i="40"/>
  <c r="MR7" i="40"/>
  <c r="MQ7" i="40"/>
  <c r="MP7" i="40"/>
  <c r="MO7" i="40"/>
  <c r="MN7" i="40"/>
  <c r="MM7" i="40"/>
  <c r="ML7" i="40"/>
  <c r="MK7" i="40"/>
  <c r="MJ7" i="40"/>
  <c r="MI7" i="40"/>
  <c r="MH7" i="40"/>
  <c r="MG7" i="40"/>
  <c r="MF7" i="40"/>
  <c r="ME7" i="40"/>
  <c r="MD7" i="40"/>
  <c r="MC7" i="40"/>
  <c r="MB7" i="40"/>
  <c r="MA7" i="40"/>
  <c r="LZ7" i="40"/>
  <c r="LY7" i="40"/>
  <c r="LX7" i="40"/>
  <c r="LW7" i="40"/>
  <c r="LV7" i="40"/>
  <c r="LU7" i="40"/>
  <c r="LT7" i="40"/>
  <c r="LS7" i="40"/>
  <c r="LR7" i="40"/>
  <c r="LQ7" i="40"/>
  <c r="LP7" i="40"/>
  <c r="LO7" i="40"/>
  <c r="LN7" i="40"/>
  <c r="LM7" i="40"/>
  <c r="LL7" i="40"/>
  <c r="LK7" i="40"/>
  <c r="LJ7" i="40"/>
  <c r="LI7" i="40"/>
  <c r="LH7" i="40"/>
  <c r="LG7" i="40"/>
  <c r="LF7" i="40"/>
  <c r="LE7" i="40"/>
  <c r="LD7" i="40"/>
  <c r="LC7" i="40"/>
  <c r="LB7" i="40"/>
  <c r="LA7" i="40"/>
  <c r="OV6" i="40"/>
  <c r="OU6" i="40"/>
  <c r="OT6" i="40"/>
  <c r="OS6" i="40"/>
  <c r="OR6" i="40"/>
  <c r="OQ6" i="40"/>
  <c r="OP6" i="40"/>
  <c r="OO6" i="40"/>
  <c r="ON6" i="40"/>
  <c r="OM6" i="40"/>
  <c r="OL6" i="40"/>
  <c r="OK6" i="40"/>
  <c r="OJ6" i="40"/>
  <c r="OI6" i="40"/>
  <c r="OH6" i="40"/>
  <c r="OG6" i="40"/>
  <c r="OF6" i="40"/>
  <c r="OE6" i="40"/>
  <c r="OD6" i="40"/>
  <c r="OC6" i="40"/>
  <c r="OB6" i="40"/>
  <c r="OA6" i="40"/>
  <c r="NZ6" i="40"/>
  <c r="NY6" i="40"/>
  <c r="NX6" i="40"/>
  <c r="NW6" i="40"/>
  <c r="NV6" i="40"/>
  <c r="NU6" i="40"/>
  <c r="NT6" i="40"/>
  <c r="NS6" i="40"/>
  <c r="NR6" i="40"/>
  <c r="NQ6" i="40"/>
  <c r="NP6" i="40"/>
  <c r="NO6" i="40"/>
  <c r="NN6" i="40"/>
  <c r="NM6" i="40"/>
  <c r="NL6" i="40"/>
  <c r="NK6" i="40"/>
  <c r="NJ6" i="40"/>
  <c r="NI6" i="40"/>
  <c r="NH6" i="40"/>
  <c r="NG6" i="40"/>
  <c r="NF6" i="40"/>
  <c r="NE6" i="40"/>
  <c r="ND6" i="40"/>
  <c r="NC6" i="40"/>
  <c r="NB6" i="40"/>
  <c r="NA6" i="40"/>
  <c r="MZ6" i="40"/>
  <c r="MY6" i="40"/>
  <c r="MX6" i="40"/>
  <c r="MW6" i="40"/>
  <c r="MV6" i="40"/>
  <c r="MU6" i="40"/>
  <c r="MT6" i="40"/>
  <c r="MS6" i="40"/>
  <c r="MR6" i="40"/>
  <c r="MQ6" i="40"/>
  <c r="MP6" i="40"/>
  <c r="MO6" i="40"/>
  <c r="MN6" i="40"/>
  <c r="MM6" i="40"/>
  <c r="ML6" i="40"/>
  <c r="MK6" i="40"/>
  <c r="MJ6" i="40"/>
  <c r="MI6" i="40"/>
  <c r="MH6" i="40"/>
  <c r="MG6" i="40"/>
  <c r="MF6" i="40"/>
  <c r="ME6" i="40"/>
  <c r="MD6" i="40"/>
  <c r="MC6" i="40"/>
  <c r="MB6" i="40"/>
  <c r="MA6" i="40"/>
  <c r="LZ6" i="40"/>
  <c r="LY6" i="40"/>
  <c r="LX6" i="40"/>
  <c r="LW6" i="40"/>
  <c r="LV6" i="40"/>
  <c r="LU6" i="40"/>
  <c r="LT6" i="40"/>
  <c r="LS6" i="40"/>
  <c r="LR6" i="40"/>
  <c r="LQ6" i="40"/>
  <c r="LP6" i="40"/>
  <c r="LO6" i="40"/>
  <c r="LN6" i="40"/>
  <c r="LM6" i="40"/>
  <c r="LL6" i="40"/>
  <c r="LK6" i="40"/>
  <c r="LJ6" i="40"/>
  <c r="LI6" i="40"/>
  <c r="LH6" i="40"/>
  <c r="LG6" i="40"/>
  <c r="LF6" i="40"/>
  <c r="LE6" i="40"/>
  <c r="LD6" i="40"/>
  <c r="LC6" i="40"/>
  <c r="LB6" i="40"/>
  <c r="LA6" i="40"/>
  <c r="OV5" i="40"/>
  <c r="OU5" i="40"/>
  <c r="OT5" i="40"/>
  <c r="OS5" i="40"/>
  <c r="OR5" i="40"/>
  <c r="OQ5" i="40"/>
  <c r="OP5" i="40"/>
  <c r="OO5" i="40"/>
  <c r="ON5" i="40"/>
  <c r="OM5" i="40"/>
  <c r="OL5" i="40"/>
  <c r="OK5" i="40"/>
  <c r="OJ5" i="40"/>
  <c r="OI5" i="40"/>
  <c r="OH5" i="40"/>
  <c r="OG5" i="40"/>
  <c r="OF5" i="40"/>
  <c r="OE5" i="40"/>
  <c r="OD5" i="40"/>
  <c r="OC5" i="40"/>
  <c r="OB5" i="40"/>
  <c r="OA5" i="40"/>
  <c r="NZ5" i="40"/>
  <c r="NY5" i="40"/>
  <c r="NX5" i="40"/>
  <c r="NW5" i="40"/>
  <c r="NV5" i="40"/>
  <c r="NU5" i="40"/>
  <c r="NT5" i="40"/>
  <c r="NS5" i="40"/>
  <c r="NR5" i="40"/>
  <c r="NQ5" i="40"/>
  <c r="NP5" i="40"/>
  <c r="NO5" i="40"/>
  <c r="NN5" i="40"/>
  <c r="NM5" i="40"/>
  <c r="NL5" i="40"/>
  <c r="NK5" i="40"/>
  <c r="NJ5" i="40"/>
  <c r="NI5" i="40"/>
  <c r="NH5" i="40"/>
  <c r="NG5" i="40"/>
  <c r="NF5" i="40"/>
  <c r="NE5" i="40"/>
  <c r="ND5" i="40"/>
  <c r="NC5" i="40"/>
  <c r="NB5" i="40"/>
  <c r="NA5" i="40"/>
  <c r="MZ5" i="40"/>
  <c r="MY5" i="40"/>
  <c r="MX5" i="40"/>
  <c r="MW5" i="40"/>
  <c r="MV5" i="40"/>
  <c r="MU5" i="40"/>
  <c r="MT5" i="40"/>
  <c r="MS5" i="40"/>
  <c r="MR5" i="40"/>
  <c r="MQ5" i="40"/>
  <c r="MP5" i="40"/>
  <c r="MO5" i="40"/>
  <c r="MN5" i="40"/>
  <c r="MM5" i="40"/>
  <c r="ML5" i="40"/>
  <c r="MK5" i="40"/>
  <c r="MJ5" i="40"/>
  <c r="MI5" i="40"/>
  <c r="MH5" i="40"/>
  <c r="MG5" i="40"/>
  <c r="MF5" i="40"/>
  <c r="ME5" i="40"/>
  <c r="MD5" i="40"/>
  <c r="MC5" i="40"/>
  <c r="MB5" i="40"/>
  <c r="MA5" i="40"/>
  <c r="LZ5" i="40"/>
  <c r="LY5" i="40"/>
  <c r="LX5" i="40"/>
  <c r="LW5" i="40"/>
  <c r="LV5" i="40"/>
  <c r="LU5" i="40"/>
  <c r="LT5" i="40"/>
  <c r="LS5" i="40"/>
  <c r="LR5" i="40"/>
  <c r="LQ5" i="40"/>
  <c r="LP5" i="40"/>
  <c r="LO5" i="40"/>
  <c r="LN5" i="40"/>
  <c r="LM5" i="40"/>
  <c r="LL5" i="40"/>
  <c r="LK5" i="40"/>
  <c r="LJ5" i="40"/>
  <c r="LI5" i="40"/>
  <c r="LH5" i="40"/>
  <c r="LG5" i="40"/>
  <c r="LF5" i="40"/>
  <c r="LE5" i="40"/>
  <c r="LD5" i="40"/>
  <c r="LC5" i="40"/>
  <c r="LB5" i="40"/>
  <c r="LA5" i="40"/>
  <c r="OV4" i="40"/>
  <c r="OU4" i="40"/>
  <c r="OT4" i="40"/>
  <c r="OS4" i="40"/>
  <c r="OR4" i="40"/>
  <c r="OQ4" i="40"/>
  <c r="OP4" i="40"/>
  <c r="OO4" i="40"/>
  <c r="ON4" i="40"/>
  <c r="OM4" i="40"/>
  <c r="OL4" i="40"/>
  <c r="OK4" i="40"/>
  <c r="OJ4" i="40"/>
  <c r="OI4" i="40"/>
  <c r="OH4" i="40"/>
  <c r="OG4" i="40"/>
  <c r="OF4" i="40"/>
  <c r="OE4" i="40"/>
  <c r="OD4" i="40"/>
  <c r="OC4" i="40"/>
  <c r="OB4" i="40"/>
  <c r="OA4" i="40"/>
  <c r="NZ4" i="40"/>
  <c r="NY4" i="40"/>
  <c r="NX4" i="40"/>
  <c r="NW4" i="40"/>
  <c r="NV4" i="40"/>
  <c r="NU4" i="40"/>
  <c r="NT4" i="40"/>
  <c r="NS4" i="40"/>
  <c r="NR4" i="40"/>
  <c r="NQ4" i="40"/>
  <c r="NP4" i="40"/>
  <c r="NO4" i="40"/>
  <c r="NN4" i="40"/>
  <c r="NM4" i="40"/>
  <c r="NL4" i="40"/>
  <c r="NK4" i="40"/>
  <c r="NJ4" i="40"/>
  <c r="NI4" i="40"/>
  <c r="NH4" i="40"/>
  <c r="NG4" i="40"/>
  <c r="NF4" i="40"/>
  <c r="NE4" i="40"/>
  <c r="ND4" i="40"/>
  <c r="NC4" i="40"/>
  <c r="NB4" i="40"/>
  <c r="NA4" i="40"/>
  <c r="MZ4" i="40"/>
  <c r="MY4" i="40"/>
  <c r="MX4" i="40"/>
  <c r="MW4" i="40"/>
  <c r="MV4" i="40"/>
  <c r="MU4" i="40"/>
  <c r="MT4" i="40"/>
  <c r="MS4" i="40"/>
  <c r="MR4" i="40"/>
  <c r="MQ4" i="40"/>
  <c r="MP4" i="40"/>
  <c r="MO4" i="40"/>
  <c r="MN4" i="40"/>
  <c r="MM4" i="40"/>
  <c r="ML4" i="40"/>
  <c r="MK4" i="40"/>
  <c r="MJ4" i="40"/>
  <c r="MI4" i="40"/>
  <c r="MH4" i="40"/>
  <c r="MG4" i="40"/>
  <c r="MF4" i="40"/>
  <c r="ME4" i="40"/>
  <c r="MD4" i="40"/>
  <c r="MC4" i="40"/>
  <c r="MB4" i="40"/>
  <c r="MA4" i="40"/>
  <c r="LZ4" i="40"/>
  <c r="LY4" i="40"/>
  <c r="LX4" i="40"/>
  <c r="LW4" i="40"/>
  <c r="LV4" i="40"/>
  <c r="LU4" i="40"/>
  <c r="LT4" i="40"/>
  <c r="LS4" i="40"/>
  <c r="LR4" i="40"/>
  <c r="LQ4" i="40"/>
  <c r="LP4" i="40"/>
  <c r="LO4" i="40"/>
  <c r="LN4" i="40"/>
  <c r="LM4" i="40"/>
  <c r="LL4" i="40"/>
  <c r="LK4" i="40"/>
  <c r="LJ4" i="40"/>
  <c r="LI4" i="40"/>
  <c r="LH4" i="40"/>
  <c r="LG4" i="40"/>
  <c r="LF4" i="40"/>
  <c r="LE4" i="40"/>
  <c r="LD4" i="40"/>
  <c r="LC4" i="40"/>
  <c r="LB4" i="40"/>
  <c r="LA4" i="40"/>
  <c r="OV3" i="40"/>
  <c r="OU3" i="40"/>
  <c r="OT3" i="40"/>
  <c r="OS3" i="40"/>
  <c r="OR3" i="40"/>
  <c r="OQ3" i="40"/>
  <c r="OP3" i="40"/>
  <c r="OO3" i="40"/>
  <c r="ON3" i="40"/>
  <c r="OM3" i="40"/>
  <c r="OL3" i="40"/>
  <c r="OK3" i="40"/>
  <c r="OJ3" i="40"/>
  <c r="OI3" i="40"/>
  <c r="OH3" i="40"/>
  <c r="OG3" i="40"/>
  <c r="OF3" i="40"/>
  <c r="OE3" i="40"/>
  <c r="OD3" i="40"/>
  <c r="OC3" i="40"/>
  <c r="OB3" i="40"/>
  <c r="OA3" i="40"/>
  <c r="NZ3" i="40"/>
  <c r="NY3" i="40"/>
  <c r="NX3" i="40"/>
  <c r="NW3" i="40"/>
  <c r="NV3" i="40"/>
  <c r="NU3" i="40"/>
  <c r="NT3" i="40"/>
  <c r="NS3" i="40"/>
  <c r="NR3" i="40"/>
  <c r="NQ3" i="40"/>
  <c r="NP3" i="40"/>
  <c r="NO3" i="40"/>
  <c r="NN3" i="40"/>
  <c r="NM3" i="40"/>
  <c r="NL3" i="40"/>
  <c r="NK3" i="40"/>
  <c r="NJ3" i="40"/>
  <c r="NI3" i="40"/>
  <c r="NH3" i="40"/>
  <c r="NG3" i="40"/>
  <c r="NF3" i="40"/>
  <c r="NE3" i="40"/>
  <c r="ND3" i="40"/>
  <c r="NC3" i="40"/>
  <c r="NB3" i="40"/>
  <c r="NA3" i="40"/>
  <c r="MZ3" i="40"/>
  <c r="MY3" i="40"/>
  <c r="MX3" i="40"/>
  <c r="MW3" i="40"/>
  <c r="MV3" i="40"/>
  <c r="MU3" i="40"/>
  <c r="MT3" i="40"/>
  <c r="MS3" i="40"/>
  <c r="MR3" i="40"/>
  <c r="MQ3" i="40"/>
  <c r="MP3" i="40"/>
  <c r="MO3" i="40"/>
  <c r="MN3" i="40"/>
  <c r="MM3" i="40"/>
  <c r="ML3" i="40"/>
  <c r="MK3" i="40"/>
  <c r="MJ3" i="40"/>
  <c r="MI3" i="40"/>
  <c r="MH3" i="40"/>
  <c r="MG3" i="40"/>
  <c r="MF3" i="40"/>
  <c r="ME3" i="40"/>
  <c r="MD3" i="40"/>
  <c r="MC3" i="40"/>
  <c r="MB3" i="40"/>
  <c r="MA3" i="40"/>
  <c r="LZ3" i="40"/>
  <c r="LY3" i="40"/>
  <c r="LX3" i="40"/>
  <c r="LW3" i="40"/>
  <c r="LV3" i="40"/>
  <c r="LU3" i="40"/>
  <c r="LT3" i="40"/>
  <c r="LS3" i="40"/>
  <c r="LR3" i="40"/>
  <c r="LQ3" i="40"/>
  <c r="LP3" i="40"/>
  <c r="LO3" i="40"/>
  <c r="LN3" i="40"/>
  <c r="LM3" i="40"/>
  <c r="LL3" i="40"/>
  <c r="LK3" i="40"/>
  <c r="LJ3" i="40"/>
  <c r="LI3" i="40"/>
  <c r="LH3" i="40"/>
  <c r="LG3" i="40"/>
  <c r="LF3" i="40"/>
  <c r="LE3" i="40"/>
  <c r="LD3" i="40"/>
  <c r="LC3" i="40"/>
  <c r="LB3" i="40"/>
  <c r="LA3" i="40"/>
  <c r="KZ44" i="40"/>
  <c r="KY44" i="40"/>
  <c r="KX44" i="40"/>
  <c r="KW44" i="40"/>
  <c r="KV44" i="40"/>
  <c r="KU44" i="40"/>
  <c r="KT44" i="40"/>
  <c r="KS44" i="40"/>
  <c r="KR44" i="40"/>
  <c r="KQ44" i="40"/>
  <c r="KP44" i="40"/>
  <c r="KO44" i="40"/>
  <c r="KN44" i="40"/>
  <c r="KM44" i="40"/>
  <c r="KL44" i="40"/>
  <c r="KK44" i="40"/>
  <c r="KJ44" i="40"/>
  <c r="KI44" i="40"/>
  <c r="KH44" i="40"/>
  <c r="KG44" i="40"/>
  <c r="KF44" i="40"/>
  <c r="KE44" i="40"/>
  <c r="KD44" i="40"/>
  <c r="KC44" i="40"/>
  <c r="KB44" i="40"/>
  <c r="KA44" i="40"/>
  <c r="JZ44" i="40"/>
  <c r="JY44" i="40"/>
  <c r="JX44" i="40"/>
  <c r="JW44" i="40"/>
  <c r="JV44" i="40"/>
  <c r="JU44" i="40"/>
  <c r="JT44" i="40"/>
  <c r="JS44" i="40"/>
  <c r="JR44" i="40"/>
  <c r="JQ44" i="40"/>
  <c r="JP44" i="40"/>
  <c r="JO44" i="40"/>
  <c r="JN44" i="40"/>
  <c r="JM44" i="40"/>
  <c r="JL44" i="40"/>
  <c r="JK44" i="40"/>
  <c r="JJ44" i="40"/>
  <c r="JI44" i="40"/>
  <c r="JH44" i="40"/>
  <c r="JG44" i="40"/>
  <c r="JF44" i="40"/>
  <c r="JE44" i="40"/>
  <c r="JD44" i="40"/>
  <c r="JC44" i="40"/>
  <c r="JB44" i="40"/>
  <c r="JA44" i="40"/>
  <c r="IZ44" i="40"/>
  <c r="IY44" i="40"/>
  <c r="IX44" i="40"/>
  <c r="IW44" i="40"/>
  <c r="IV44" i="40"/>
  <c r="IU44" i="40"/>
  <c r="IT44" i="40"/>
  <c r="IS44" i="40"/>
  <c r="IR44" i="40"/>
  <c r="IQ44" i="40"/>
  <c r="IP44" i="40"/>
  <c r="IO44" i="40"/>
  <c r="IN44" i="40"/>
  <c r="IM44" i="40"/>
  <c r="IL44" i="40"/>
  <c r="IK44" i="40"/>
  <c r="IJ44" i="40"/>
  <c r="II44" i="40"/>
  <c r="IH44" i="40"/>
  <c r="IG44" i="40"/>
  <c r="IF44" i="40"/>
  <c r="IE44" i="40"/>
  <c r="ID44" i="40"/>
  <c r="IC44" i="40"/>
  <c r="IB44" i="40"/>
  <c r="IA44" i="40"/>
  <c r="HZ44" i="40"/>
  <c r="HY44" i="40"/>
  <c r="HX44" i="40"/>
  <c r="HW44" i="40"/>
  <c r="HV44" i="40"/>
  <c r="HU44" i="40"/>
  <c r="HT44" i="40"/>
  <c r="HS44" i="40"/>
  <c r="HR44" i="40"/>
  <c r="HQ44" i="40"/>
  <c r="HP44" i="40"/>
  <c r="HO44" i="40"/>
  <c r="HN44" i="40"/>
  <c r="HM44" i="40"/>
  <c r="HL44" i="40"/>
  <c r="HK44" i="40"/>
  <c r="HJ44" i="40"/>
  <c r="HI44" i="40"/>
  <c r="HH44" i="40"/>
  <c r="HG44" i="40"/>
  <c r="HF44" i="40"/>
  <c r="HE44" i="40"/>
  <c r="KZ43" i="40"/>
  <c r="KY43" i="40"/>
  <c r="KX43" i="40"/>
  <c r="KW43" i="40"/>
  <c r="KV43" i="40"/>
  <c r="KU43" i="40"/>
  <c r="KT43" i="40"/>
  <c r="KS43" i="40"/>
  <c r="KR43" i="40"/>
  <c r="KQ43" i="40"/>
  <c r="KP43" i="40"/>
  <c r="KO43" i="40"/>
  <c r="KN43" i="40"/>
  <c r="KM43" i="40"/>
  <c r="KL43" i="40"/>
  <c r="KK43" i="40"/>
  <c r="KJ43" i="40"/>
  <c r="KI43" i="40"/>
  <c r="KH43" i="40"/>
  <c r="KG43" i="40"/>
  <c r="KF43" i="40"/>
  <c r="KE43" i="40"/>
  <c r="KD43" i="40"/>
  <c r="KC43" i="40"/>
  <c r="KB43" i="40"/>
  <c r="KA43" i="40"/>
  <c r="JZ43" i="40"/>
  <c r="JY43" i="40"/>
  <c r="JX43" i="40"/>
  <c r="JW43" i="40"/>
  <c r="JV43" i="40"/>
  <c r="JU43" i="40"/>
  <c r="JT43" i="40"/>
  <c r="JS43" i="40"/>
  <c r="JR43" i="40"/>
  <c r="JQ43" i="40"/>
  <c r="JP43" i="40"/>
  <c r="JO43" i="40"/>
  <c r="JN43" i="40"/>
  <c r="JM43" i="40"/>
  <c r="JL43" i="40"/>
  <c r="JK43" i="40"/>
  <c r="JJ43" i="40"/>
  <c r="JI43" i="40"/>
  <c r="JH43" i="40"/>
  <c r="JG43" i="40"/>
  <c r="JF43" i="40"/>
  <c r="JE43" i="40"/>
  <c r="JD43" i="40"/>
  <c r="JC43" i="40"/>
  <c r="JB43" i="40"/>
  <c r="JA43" i="40"/>
  <c r="IZ43" i="40"/>
  <c r="IY43" i="40"/>
  <c r="IX43" i="40"/>
  <c r="IW43" i="40"/>
  <c r="IV43" i="40"/>
  <c r="IU43" i="40"/>
  <c r="IT43" i="40"/>
  <c r="IS43" i="40"/>
  <c r="IR43" i="40"/>
  <c r="IQ43" i="40"/>
  <c r="IP43" i="40"/>
  <c r="IO43" i="40"/>
  <c r="IN43" i="40"/>
  <c r="IM43" i="40"/>
  <c r="IL43" i="40"/>
  <c r="IK43" i="40"/>
  <c r="IJ43" i="40"/>
  <c r="II43" i="40"/>
  <c r="IH43" i="40"/>
  <c r="IG43" i="40"/>
  <c r="IF43" i="40"/>
  <c r="IE43" i="40"/>
  <c r="ID43" i="40"/>
  <c r="IC43" i="40"/>
  <c r="IB43" i="40"/>
  <c r="IA43" i="40"/>
  <c r="HZ43" i="40"/>
  <c r="HY43" i="40"/>
  <c r="HX43" i="40"/>
  <c r="HW43" i="40"/>
  <c r="HV43" i="40"/>
  <c r="HU43" i="40"/>
  <c r="HT43" i="40"/>
  <c r="HS43" i="40"/>
  <c r="HR43" i="40"/>
  <c r="HQ43" i="40"/>
  <c r="HP43" i="40"/>
  <c r="HO43" i="40"/>
  <c r="HN43" i="40"/>
  <c r="HM43" i="40"/>
  <c r="HL43" i="40"/>
  <c r="HK43" i="40"/>
  <c r="HJ43" i="40"/>
  <c r="HI43" i="40"/>
  <c r="HH43" i="40"/>
  <c r="HG43" i="40"/>
  <c r="HF43" i="40"/>
  <c r="HE43" i="40"/>
  <c r="KZ42" i="40"/>
  <c r="KY42" i="40"/>
  <c r="KX42" i="40"/>
  <c r="KW42" i="40"/>
  <c r="KV42" i="40"/>
  <c r="KU42" i="40"/>
  <c r="KT42" i="40"/>
  <c r="KS42" i="40"/>
  <c r="KR42" i="40"/>
  <c r="KQ42" i="40"/>
  <c r="KP42" i="40"/>
  <c r="KO42" i="40"/>
  <c r="KN42" i="40"/>
  <c r="KM42" i="40"/>
  <c r="KL42" i="40"/>
  <c r="KK42" i="40"/>
  <c r="KJ42" i="40"/>
  <c r="KI42" i="40"/>
  <c r="KH42" i="40"/>
  <c r="KG42" i="40"/>
  <c r="KF42" i="40"/>
  <c r="KE42" i="40"/>
  <c r="KD42" i="40"/>
  <c r="KC42" i="40"/>
  <c r="KB42" i="40"/>
  <c r="KA42" i="40"/>
  <c r="JZ42" i="40"/>
  <c r="JY42" i="40"/>
  <c r="JX42" i="40"/>
  <c r="JW42" i="40"/>
  <c r="JV42" i="40"/>
  <c r="JU42" i="40"/>
  <c r="JT42" i="40"/>
  <c r="JS42" i="40"/>
  <c r="JR42" i="40"/>
  <c r="JQ42" i="40"/>
  <c r="JP42" i="40"/>
  <c r="JO42" i="40"/>
  <c r="JN42" i="40"/>
  <c r="JM42" i="40"/>
  <c r="JL42" i="40"/>
  <c r="JK42" i="40"/>
  <c r="JJ42" i="40"/>
  <c r="JI42" i="40"/>
  <c r="JH42" i="40"/>
  <c r="JG42" i="40"/>
  <c r="JF42" i="40"/>
  <c r="JE42" i="40"/>
  <c r="JD42" i="40"/>
  <c r="JC42" i="40"/>
  <c r="JB42" i="40"/>
  <c r="JA42" i="40"/>
  <c r="IZ42" i="40"/>
  <c r="IY42" i="40"/>
  <c r="IX42" i="40"/>
  <c r="IW42" i="40"/>
  <c r="IV42" i="40"/>
  <c r="IU42" i="40"/>
  <c r="IT42" i="40"/>
  <c r="IS42" i="40"/>
  <c r="IR42" i="40"/>
  <c r="IQ42" i="40"/>
  <c r="IP42" i="40"/>
  <c r="IO42" i="40"/>
  <c r="IN42" i="40"/>
  <c r="IM42" i="40"/>
  <c r="IL42" i="40"/>
  <c r="IK42" i="40"/>
  <c r="IJ42" i="40"/>
  <c r="II42" i="40"/>
  <c r="IH42" i="40"/>
  <c r="IG42" i="40"/>
  <c r="IF42" i="40"/>
  <c r="IE42" i="40"/>
  <c r="ID42" i="40"/>
  <c r="IC42" i="40"/>
  <c r="IB42" i="40"/>
  <c r="IA42" i="40"/>
  <c r="HZ42" i="40"/>
  <c r="HY42" i="40"/>
  <c r="HX42" i="40"/>
  <c r="HW42" i="40"/>
  <c r="HV42" i="40"/>
  <c r="HU42" i="40"/>
  <c r="HT42" i="40"/>
  <c r="HS42" i="40"/>
  <c r="HR42" i="40"/>
  <c r="HQ42" i="40"/>
  <c r="HP42" i="40"/>
  <c r="HO42" i="40"/>
  <c r="HN42" i="40"/>
  <c r="HM42" i="40"/>
  <c r="HL42" i="40"/>
  <c r="HK42" i="40"/>
  <c r="HJ42" i="40"/>
  <c r="HI42" i="40"/>
  <c r="HH42" i="40"/>
  <c r="HG42" i="40"/>
  <c r="HF42" i="40"/>
  <c r="HE42" i="40"/>
  <c r="KZ41" i="40"/>
  <c r="KY41" i="40"/>
  <c r="KX41" i="40"/>
  <c r="KW41" i="40"/>
  <c r="KV41" i="40"/>
  <c r="KU41" i="40"/>
  <c r="KT41" i="40"/>
  <c r="KS41" i="40"/>
  <c r="KR41" i="40"/>
  <c r="KQ41" i="40"/>
  <c r="KP41" i="40"/>
  <c r="KO41" i="40"/>
  <c r="KN41" i="40"/>
  <c r="KM41" i="40"/>
  <c r="KL41" i="40"/>
  <c r="KK41" i="40"/>
  <c r="KJ41" i="40"/>
  <c r="KI41" i="40"/>
  <c r="KH41" i="40"/>
  <c r="KG41" i="40"/>
  <c r="KF41" i="40"/>
  <c r="KE41" i="40"/>
  <c r="KD41" i="40"/>
  <c r="KC41" i="40"/>
  <c r="KB41" i="40"/>
  <c r="KA41" i="40"/>
  <c r="JZ41" i="40"/>
  <c r="JY41" i="40"/>
  <c r="JX41" i="40"/>
  <c r="JW41" i="40"/>
  <c r="JV41" i="40"/>
  <c r="JU41" i="40"/>
  <c r="JT41" i="40"/>
  <c r="JS41" i="40"/>
  <c r="JR41" i="40"/>
  <c r="JQ41" i="40"/>
  <c r="JP41" i="40"/>
  <c r="JO41" i="40"/>
  <c r="JN41" i="40"/>
  <c r="JM41" i="40"/>
  <c r="JL41" i="40"/>
  <c r="JK41" i="40"/>
  <c r="JJ41" i="40"/>
  <c r="JI41" i="40"/>
  <c r="JH41" i="40"/>
  <c r="JG41" i="40"/>
  <c r="JF41" i="40"/>
  <c r="JE41" i="40"/>
  <c r="JD41" i="40"/>
  <c r="JC41" i="40"/>
  <c r="JB41" i="40"/>
  <c r="JA41" i="40"/>
  <c r="IZ41" i="40"/>
  <c r="IY41" i="40"/>
  <c r="IX41" i="40"/>
  <c r="IW41" i="40"/>
  <c r="IV41" i="40"/>
  <c r="IU41" i="40"/>
  <c r="IT41" i="40"/>
  <c r="IS41" i="40"/>
  <c r="IR41" i="40"/>
  <c r="IQ41" i="40"/>
  <c r="IP41" i="40"/>
  <c r="IO41" i="40"/>
  <c r="IN41" i="40"/>
  <c r="IM41" i="40"/>
  <c r="IL41" i="40"/>
  <c r="IK41" i="40"/>
  <c r="IJ41" i="40"/>
  <c r="II41" i="40"/>
  <c r="IH41" i="40"/>
  <c r="IG41" i="40"/>
  <c r="IF41" i="40"/>
  <c r="IE41" i="40"/>
  <c r="ID41" i="40"/>
  <c r="IC41" i="40"/>
  <c r="IB41" i="40"/>
  <c r="IA41" i="40"/>
  <c r="HZ41" i="40"/>
  <c r="HY41" i="40"/>
  <c r="HX41" i="40"/>
  <c r="HW41" i="40"/>
  <c r="HV41" i="40"/>
  <c r="HU41" i="40"/>
  <c r="HT41" i="40"/>
  <c r="HS41" i="40"/>
  <c r="HR41" i="40"/>
  <c r="HQ41" i="40"/>
  <c r="HP41" i="40"/>
  <c r="HO41" i="40"/>
  <c r="HN41" i="40"/>
  <c r="HM41" i="40"/>
  <c r="HL41" i="40"/>
  <c r="HK41" i="40"/>
  <c r="HJ41" i="40"/>
  <c r="HI41" i="40"/>
  <c r="HH41" i="40"/>
  <c r="HG41" i="40"/>
  <c r="HF41" i="40"/>
  <c r="HE41" i="40"/>
  <c r="KZ40" i="40"/>
  <c r="KY40" i="40"/>
  <c r="KX40" i="40"/>
  <c r="KW40" i="40"/>
  <c r="KV40" i="40"/>
  <c r="KU40" i="40"/>
  <c r="KT40" i="40"/>
  <c r="KS40" i="40"/>
  <c r="KR40" i="40"/>
  <c r="KQ40" i="40"/>
  <c r="KP40" i="40"/>
  <c r="KO40" i="40"/>
  <c r="KN40" i="40"/>
  <c r="KM40" i="40"/>
  <c r="KL40" i="40"/>
  <c r="KK40" i="40"/>
  <c r="KJ40" i="40"/>
  <c r="KI40" i="40"/>
  <c r="KH40" i="40"/>
  <c r="KG40" i="40"/>
  <c r="KF40" i="40"/>
  <c r="KE40" i="40"/>
  <c r="KD40" i="40"/>
  <c r="KC40" i="40"/>
  <c r="KB40" i="40"/>
  <c r="KA40" i="40"/>
  <c r="JZ40" i="40"/>
  <c r="JY40" i="40"/>
  <c r="JX40" i="40"/>
  <c r="JW40" i="40"/>
  <c r="JV40" i="40"/>
  <c r="JU40" i="40"/>
  <c r="JT40" i="40"/>
  <c r="JS40" i="40"/>
  <c r="JR40" i="40"/>
  <c r="JQ40" i="40"/>
  <c r="JP40" i="40"/>
  <c r="JO40" i="40"/>
  <c r="JN40" i="40"/>
  <c r="JM40" i="40"/>
  <c r="JL40" i="40"/>
  <c r="JK40" i="40"/>
  <c r="JJ40" i="40"/>
  <c r="JI40" i="40"/>
  <c r="JH40" i="40"/>
  <c r="JG40" i="40"/>
  <c r="JF40" i="40"/>
  <c r="JE40" i="40"/>
  <c r="JD40" i="40"/>
  <c r="JC40" i="40"/>
  <c r="JB40" i="40"/>
  <c r="JA40" i="40"/>
  <c r="IZ40" i="40"/>
  <c r="IY40" i="40"/>
  <c r="IX40" i="40"/>
  <c r="IW40" i="40"/>
  <c r="IV40" i="40"/>
  <c r="IU40" i="40"/>
  <c r="IT40" i="40"/>
  <c r="IS40" i="40"/>
  <c r="IR40" i="40"/>
  <c r="IQ40" i="40"/>
  <c r="IP40" i="40"/>
  <c r="IO40" i="40"/>
  <c r="IN40" i="40"/>
  <c r="IM40" i="40"/>
  <c r="IL40" i="40"/>
  <c r="IK40" i="40"/>
  <c r="IJ40" i="40"/>
  <c r="II40" i="40"/>
  <c r="IH40" i="40"/>
  <c r="IG40" i="40"/>
  <c r="IF40" i="40"/>
  <c r="IE40" i="40"/>
  <c r="ID40" i="40"/>
  <c r="IC40" i="40"/>
  <c r="IB40" i="40"/>
  <c r="IA40" i="40"/>
  <c r="HZ40" i="40"/>
  <c r="HY40" i="40"/>
  <c r="HX40" i="40"/>
  <c r="HW40" i="40"/>
  <c r="HV40" i="40"/>
  <c r="HU40" i="40"/>
  <c r="HT40" i="40"/>
  <c r="HS40" i="40"/>
  <c r="HR40" i="40"/>
  <c r="HQ40" i="40"/>
  <c r="HP40" i="40"/>
  <c r="HO40" i="40"/>
  <c r="HN40" i="40"/>
  <c r="HM40" i="40"/>
  <c r="HL40" i="40"/>
  <c r="HK40" i="40"/>
  <c r="HJ40" i="40"/>
  <c r="HI40" i="40"/>
  <c r="HH40" i="40"/>
  <c r="HG40" i="40"/>
  <c r="HF40" i="40"/>
  <c r="HE40" i="40"/>
  <c r="KZ39" i="40"/>
  <c r="KY39" i="40"/>
  <c r="KX39" i="40"/>
  <c r="KW39" i="40"/>
  <c r="KV39" i="40"/>
  <c r="KU39" i="40"/>
  <c r="KT39" i="40"/>
  <c r="KS39" i="40"/>
  <c r="KR39" i="40"/>
  <c r="KQ39" i="40"/>
  <c r="KP39" i="40"/>
  <c r="KO39" i="40"/>
  <c r="KN39" i="40"/>
  <c r="KM39" i="40"/>
  <c r="KL39" i="40"/>
  <c r="KK39" i="40"/>
  <c r="KJ39" i="40"/>
  <c r="KI39" i="40"/>
  <c r="KH39" i="40"/>
  <c r="KG39" i="40"/>
  <c r="KF39" i="40"/>
  <c r="KE39" i="40"/>
  <c r="KD39" i="40"/>
  <c r="KC39" i="40"/>
  <c r="KB39" i="40"/>
  <c r="KA39" i="40"/>
  <c r="JZ39" i="40"/>
  <c r="JY39" i="40"/>
  <c r="JX39" i="40"/>
  <c r="JW39" i="40"/>
  <c r="JV39" i="40"/>
  <c r="JU39" i="40"/>
  <c r="JT39" i="40"/>
  <c r="JS39" i="40"/>
  <c r="JR39" i="40"/>
  <c r="JQ39" i="40"/>
  <c r="JP39" i="40"/>
  <c r="JO39" i="40"/>
  <c r="JN39" i="40"/>
  <c r="JM39" i="40"/>
  <c r="JL39" i="40"/>
  <c r="JK39" i="40"/>
  <c r="JJ39" i="40"/>
  <c r="JI39" i="40"/>
  <c r="JH39" i="40"/>
  <c r="JG39" i="40"/>
  <c r="JF39" i="40"/>
  <c r="JE39" i="40"/>
  <c r="JD39" i="40"/>
  <c r="JC39" i="40"/>
  <c r="JB39" i="40"/>
  <c r="JA39" i="40"/>
  <c r="IZ39" i="40"/>
  <c r="IY39" i="40"/>
  <c r="IX39" i="40"/>
  <c r="IW39" i="40"/>
  <c r="IV39" i="40"/>
  <c r="IU39" i="40"/>
  <c r="IT39" i="40"/>
  <c r="IS39" i="40"/>
  <c r="IR39" i="40"/>
  <c r="IQ39" i="40"/>
  <c r="IP39" i="40"/>
  <c r="IO39" i="40"/>
  <c r="IN39" i="40"/>
  <c r="IM39" i="40"/>
  <c r="IL39" i="40"/>
  <c r="IK39" i="40"/>
  <c r="IJ39" i="40"/>
  <c r="II39" i="40"/>
  <c r="IH39" i="40"/>
  <c r="IG39" i="40"/>
  <c r="IF39" i="40"/>
  <c r="IE39" i="40"/>
  <c r="ID39" i="40"/>
  <c r="IC39" i="40"/>
  <c r="IB39" i="40"/>
  <c r="IA39" i="40"/>
  <c r="HZ39" i="40"/>
  <c r="HY39" i="40"/>
  <c r="HX39" i="40"/>
  <c r="HW39" i="40"/>
  <c r="HV39" i="40"/>
  <c r="HU39" i="40"/>
  <c r="HT39" i="40"/>
  <c r="HS39" i="40"/>
  <c r="HR39" i="40"/>
  <c r="HQ39" i="40"/>
  <c r="HP39" i="40"/>
  <c r="HO39" i="40"/>
  <c r="HN39" i="40"/>
  <c r="HM39" i="40"/>
  <c r="HL39" i="40"/>
  <c r="HK39" i="40"/>
  <c r="HJ39" i="40"/>
  <c r="HI39" i="40"/>
  <c r="HH39" i="40"/>
  <c r="HG39" i="40"/>
  <c r="HF39" i="40"/>
  <c r="HE39" i="40"/>
  <c r="KZ38" i="40"/>
  <c r="KY38" i="40"/>
  <c r="KX38" i="40"/>
  <c r="KW38" i="40"/>
  <c r="KV38" i="40"/>
  <c r="KU38" i="40"/>
  <c r="KT38" i="40"/>
  <c r="KS38" i="40"/>
  <c r="KR38" i="40"/>
  <c r="KQ38" i="40"/>
  <c r="KP38" i="40"/>
  <c r="KO38" i="40"/>
  <c r="KN38" i="40"/>
  <c r="KM38" i="40"/>
  <c r="KL38" i="40"/>
  <c r="KK38" i="40"/>
  <c r="KJ38" i="40"/>
  <c r="KI38" i="40"/>
  <c r="KH38" i="40"/>
  <c r="KG38" i="40"/>
  <c r="KF38" i="40"/>
  <c r="KE38" i="40"/>
  <c r="KD38" i="40"/>
  <c r="KC38" i="40"/>
  <c r="KB38" i="40"/>
  <c r="KA38" i="40"/>
  <c r="JZ38" i="40"/>
  <c r="JY38" i="40"/>
  <c r="JX38" i="40"/>
  <c r="JW38" i="40"/>
  <c r="JV38" i="40"/>
  <c r="JU38" i="40"/>
  <c r="JT38" i="40"/>
  <c r="JS38" i="40"/>
  <c r="JR38" i="40"/>
  <c r="JQ38" i="40"/>
  <c r="JP38" i="40"/>
  <c r="JO38" i="40"/>
  <c r="JN38" i="40"/>
  <c r="JM38" i="40"/>
  <c r="JL38" i="40"/>
  <c r="JK38" i="40"/>
  <c r="JJ38" i="40"/>
  <c r="JI38" i="40"/>
  <c r="JH38" i="40"/>
  <c r="JG38" i="40"/>
  <c r="JF38" i="40"/>
  <c r="JE38" i="40"/>
  <c r="JD38" i="40"/>
  <c r="JC38" i="40"/>
  <c r="JB38" i="40"/>
  <c r="JA38" i="40"/>
  <c r="IZ38" i="40"/>
  <c r="IY38" i="40"/>
  <c r="IX38" i="40"/>
  <c r="IW38" i="40"/>
  <c r="IV38" i="40"/>
  <c r="IU38" i="40"/>
  <c r="IT38" i="40"/>
  <c r="IS38" i="40"/>
  <c r="IR38" i="40"/>
  <c r="IQ38" i="40"/>
  <c r="IP38" i="40"/>
  <c r="IO38" i="40"/>
  <c r="IN38" i="40"/>
  <c r="IM38" i="40"/>
  <c r="IL38" i="40"/>
  <c r="IK38" i="40"/>
  <c r="IJ38" i="40"/>
  <c r="II38" i="40"/>
  <c r="IH38" i="40"/>
  <c r="IG38" i="40"/>
  <c r="IF38" i="40"/>
  <c r="IE38" i="40"/>
  <c r="ID38" i="40"/>
  <c r="IC38" i="40"/>
  <c r="IB38" i="40"/>
  <c r="IA38" i="40"/>
  <c r="HZ38" i="40"/>
  <c r="HY38" i="40"/>
  <c r="HX38" i="40"/>
  <c r="HW38" i="40"/>
  <c r="HV38" i="40"/>
  <c r="HU38" i="40"/>
  <c r="HT38" i="40"/>
  <c r="HS38" i="40"/>
  <c r="HR38" i="40"/>
  <c r="HQ38" i="40"/>
  <c r="HP38" i="40"/>
  <c r="HO38" i="40"/>
  <c r="HN38" i="40"/>
  <c r="HM38" i="40"/>
  <c r="HL38" i="40"/>
  <c r="HK38" i="40"/>
  <c r="HJ38" i="40"/>
  <c r="HI38" i="40"/>
  <c r="HH38" i="40"/>
  <c r="HG38" i="40"/>
  <c r="HF38" i="40"/>
  <c r="HE38" i="40"/>
  <c r="KZ37" i="40"/>
  <c r="KY37" i="40"/>
  <c r="KX37" i="40"/>
  <c r="KW37" i="40"/>
  <c r="KV37" i="40"/>
  <c r="KU37" i="40"/>
  <c r="KT37" i="40"/>
  <c r="KS37" i="40"/>
  <c r="KR37" i="40"/>
  <c r="KQ37" i="40"/>
  <c r="KP37" i="40"/>
  <c r="KO37" i="40"/>
  <c r="KN37" i="40"/>
  <c r="KM37" i="40"/>
  <c r="KL37" i="40"/>
  <c r="KK37" i="40"/>
  <c r="KJ37" i="40"/>
  <c r="KI37" i="40"/>
  <c r="KH37" i="40"/>
  <c r="KG37" i="40"/>
  <c r="KF37" i="40"/>
  <c r="KE37" i="40"/>
  <c r="KD37" i="40"/>
  <c r="KC37" i="40"/>
  <c r="KB37" i="40"/>
  <c r="KA37" i="40"/>
  <c r="JZ37" i="40"/>
  <c r="JY37" i="40"/>
  <c r="JX37" i="40"/>
  <c r="JW37" i="40"/>
  <c r="JV37" i="40"/>
  <c r="JU37" i="40"/>
  <c r="JT37" i="40"/>
  <c r="JS37" i="40"/>
  <c r="JR37" i="40"/>
  <c r="JQ37" i="40"/>
  <c r="JP37" i="40"/>
  <c r="JO37" i="40"/>
  <c r="JN37" i="40"/>
  <c r="JM37" i="40"/>
  <c r="JL37" i="40"/>
  <c r="JK37" i="40"/>
  <c r="JJ37" i="40"/>
  <c r="JI37" i="40"/>
  <c r="JH37" i="40"/>
  <c r="JG37" i="40"/>
  <c r="JF37" i="40"/>
  <c r="JE37" i="40"/>
  <c r="JD37" i="40"/>
  <c r="JC37" i="40"/>
  <c r="JB37" i="40"/>
  <c r="JA37" i="40"/>
  <c r="IZ37" i="40"/>
  <c r="IY37" i="40"/>
  <c r="IX37" i="40"/>
  <c r="IW37" i="40"/>
  <c r="IV37" i="40"/>
  <c r="IU37" i="40"/>
  <c r="IT37" i="40"/>
  <c r="IS37" i="40"/>
  <c r="IR37" i="40"/>
  <c r="IQ37" i="40"/>
  <c r="IP37" i="40"/>
  <c r="IO37" i="40"/>
  <c r="IN37" i="40"/>
  <c r="IM37" i="40"/>
  <c r="IL37" i="40"/>
  <c r="IK37" i="40"/>
  <c r="IJ37" i="40"/>
  <c r="II37" i="40"/>
  <c r="IH37" i="40"/>
  <c r="IG37" i="40"/>
  <c r="IF37" i="40"/>
  <c r="IE37" i="40"/>
  <c r="ID37" i="40"/>
  <c r="IC37" i="40"/>
  <c r="IB37" i="40"/>
  <c r="IA37" i="40"/>
  <c r="HZ37" i="40"/>
  <c r="HY37" i="40"/>
  <c r="HX37" i="40"/>
  <c r="HW37" i="40"/>
  <c r="HV37" i="40"/>
  <c r="HU37" i="40"/>
  <c r="HT37" i="40"/>
  <c r="HS37" i="40"/>
  <c r="HR37" i="40"/>
  <c r="HQ37" i="40"/>
  <c r="HP37" i="40"/>
  <c r="HO37" i="40"/>
  <c r="HN37" i="40"/>
  <c r="HM37" i="40"/>
  <c r="HL37" i="40"/>
  <c r="HK37" i="40"/>
  <c r="HJ37" i="40"/>
  <c r="HI37" i="40"/>
  <c r="HH37" i="40"/>
  <c r="HG37" i="40"/>
  <c r="HF37" i="40"/>
  <c r="HE37" i="40"/>
  <c r="KZ36" i="40"/>
  <c r="KY36" i="40"/>
  <c r="KX36" i="40"/>
  <c r="KW36" i="40"/>
  <c r="KV36" i="40"/>
  <c r="KU36" i="40"/>
  <c r="KT36" i="40"/>
  <c r="KS36" i="40"/>
  <c r="KR36" i="40"/>
  <c r="KQ36" i="40"/>
  <c r="KP36" i="40"/>
  <c r="KO36" i="40"/>
  <c r="KN36" i="40"/>
  <c r="KM36" i="40"/>
  <c r="KL36" i="40"/>
  <c r="KK36" i="40"/>
  <c r="KJ36" i="40"/>
  <c r="KI36" i="40"/>
  <c r="KH36" i="40"/>
  <c r="KG36" i="40"/>
  <c r="KF36" i="40"/>
  <c r="KE36" i="40"/>
  <c r="KD36" i="40"/>
  <c r="KC36" i="40"/>
  <c r="KB36" i="40"/>
  <c r="KA36" i="40"/>
  <c r="JZ36" i="40"/>
  <c r="JY36" i="40"/>
  <c r="JX36" i="40"/>
  <c r="JW36" i="40"/>
  <c r="JV36" i="40"/>
  <c r="JU36" i="40"/>
  <c r="JT36" i="40"/>
  <c r="JS36" i="40"/>
  <c r="JR36" i="40"/>
  <c r="JQ36" i="40"/>
  <c r="JP36" i="40"/>
  <c r="JO36" i="40"/>
  <c r="JN36" i="40"/>
  <c r="JM36" i="40"/>
  <c r="JL36" i="40"/>
  <c r="JK36" i="40"/>
  <c r="JJ36" i="40"/>
  <c r="JI36" i="40"/>
  <c r="JH36" i="40"/>
  <c r="JG36" i="40"/>
  <c r="JF36" i="40"/>
  <c r="JE36" i="40"/>
  <c r="JD36" i="40"/>
  <c r="JC36" i="40"/>
  <c r="JB36" i="40"/>
  <c r="JA36" i="40"/>
  <c r="IZ36" i="40"/>
  <c r="IY36" i="40"/>
  <c r="IX36" i="40"/>
  <c r="IW36" i="40"/>
  <c r="IV36" i="40"/>
  <c r="IU36" i="40"/>
  <c r="IT36" i="40"/>
  <c r="IS36" i="40"/>
  <c r="IR36" i="40"/>
  <c r="IQ36" i="40"/>
  <c r="IP36" i="40"/>
  <c r="IO36" i="40"/>
  <c r="IN36" i="40"/>
  <c r="IM36" i="40"/>
  <c r="IL36" i="40"/>
  <c r="IK36" i="40"/>
  <c r="IJ36" i="40"/>
  <c r="II36" i="40"/>
  <c r="IH36" i="40"/>
  <c r="IG36" i="40"/>
  <c r="IF36" i="40"/>
  <c r="IE36" i="40"/>
  <c r="ID36" i="40"/>
  <c r="IC36" i="40"/>
  <c r="IB36" i="40"/>
  <c r="IA36" i="40"/>
  <c r="HZ36" i="40"/>
  <c r="HY36" i="40"/>
  <c r="HX36" i="40"/>
  <c r="HW36" i="40"/>
  <c r="HV36" i="40"/>
  <c r="HU36" i="40"/>
  <c r="HT36" i="40"/>
  <c r="HS36" i="40"/>
  <c r="HR36" i="40"/>
  <c r="HQ36" i="40"/>
  <c r="HP36" i="40"/>
  <c r="HO36" i="40"/>
  <c r="HN36" i="40"/>
  <c r="HM36" i="40"/>
  <c r="HL36" i="40"/>
  <c r="HK36" i="40"/>
  <c r="HJ36" i="40"/>
  <c r="HI36" i="40"/>
  <c r="HH36" i="40"/>
  <c r="HG36" i="40"/>
  <c r="HF36" i="40"/>
  <c r="HE36" i="40"/>
  <c r="KZ35" i="40"/>
  <c r="KY35" i="40"/>
  <c r="KX35" i="40"/>
  <c r="KW35" i="40"/>
  <c r="KV35" i="40"/>
  <c r="KU35" i="40"/>
  <c r="KT35" i="40"/>
  <c r="KS35" i="40"/>
  <c r="KR35" i="40"/>
  <c r="KQ35" i="40"/>
  <c r="KP35" i="40"/>
  <c r="KO35" i="40"/>
  <c r="KN35" i="40"/>
  <c r="KM35" i="40"/>
  <c r="KL35" i="40"/>
  <c r="KK35" i="40"/>
  <c r="KJ35" i="40"/>
  <c r="KI35" i="40"/>
  <c r="KH35" i="40"/>
  <c r="KG35" i="40"/>
  <c r="KF35" i="40"/>
  <c r="KE35" i="40"/>
  <c r="KD35" i="40"/>
  <c r="KC35" i="40"/>
  <c r="KB35" i="40"/>
  <c r="KA35" i="40"/>
  <c r="JZ35" i="40"/>
  <c r="JY35" i="40"/>
  <c r="JX35" i="40"/>
  <c r="JW35" i="40"/>
  <c r="JV35" i="40"/>
  <c r="JU35" i="40"/>
  <c r="JT35" i="40"/>
  <c r="JS35" i="40"/>
  <c r="JR35" i="40"/>
  <c r="JQ35" i="40"/>
  <c r="JP35" i="40"/>
  <c r="JO35" i="40"/>
  <c r="JN35" i="40"/>
  <c r="JM35" i="40"/>
  <c r="JL35" i="40"/>
  <c r="JK35" i="40"/>
  <c r="JJ35" i="40"/>
  <c r="JI35" i="40"/>
  <c r="JH35" i="40"/>
  <c r="JG35" i="40"/>
  <c r="JF35" i="40"/>
  <c r="JE35" i="40"/>
  <c r="JD35" i="40"/>
  <c r="JC35" i="40"/>
  <c r="JB35" i="40"/>
  <c r="JA35" i="40"/>
  <c r="IZ35" i="40"/>
  <c r="IY35" i="40"/>
  <c r="IX35" i="40"/>
  <c r="IW35" i="40"/>
  <c r="IV35" i="40"/>
  <c r="IU35" i="40"/>
  <c r="IT35" i="40"/>
  <c r="IS35" i="40"/>
  <c r="IR35" i="40"/>
  <c r="IQ35" i="40"/>
  <c r="IP35" i="40"/>
  <c r="IO35" i="40"/>
  <c r="IN35" i="40"/>
  <c r="IM35" i="40"/>
  <c r="IL35" i="40"/>
  <c r="IK35" i="40"/>
  <c r="IJ35" i="40"/>
  <c r="II35" i="40"/>
  <c r="IH35" i="40"/>
  <c r="IG35" i="40"/>
  <c r="IF35" i="40"/>
  <c r="IE35" i="40"/>
  <c r="ID35" i="40"/>
  <c r="IC35" i="40"/>
  <c r="IB35" i="40"/>
  <c r="IA35" i="40"/>
  <c r="HZ35" i="40"/>
  <c r="HY35" i="40"/>
  <c r="HX35" i="40"/>
  <c r="HW35" i="40"/>
  <c r="HV35" i="40"/>
  <c r="HU35" i="40"/>
  <c r="HT35" i="40"/>
  <c r="HS35" i="40"/>
  <c r="HR35" i="40"/>
  <c r="HQ35" i="40"/>
  <c r="HP35" i="40"/>
  <c r="HO35" i="40"/>
  <c r="HN35" i="40"/>
  <c r="HM35" i="40"/>
  <c r="HL35" i="40"/>
  <c r="HK35" i="40"/>
  <c r="HJ35" i="40"/>
  <c r="HI35" i="40"/>
  <c r="HH35" i="40"/>
  <c r="HG35" i="40"/>
  <c r="HF35" i="40"/>
  <c r="HE35" i="40"/>
  <c r="KZ34" i="40"/>
  <c r="KY34" i="40"/>
  <c r="KX34" i="40"/>
  <c r="KW34" i="40"/>
  <c r="KV34" i="40"/>
  <c r="KU34" i="40"/>
  <c r="KT34" i="40"/>
  <c r="KS34" i="40"/>
  <c r="KR34" i="40"/>
  <c r="KQ34" i="40"/>
  <c r="KP34" i="40"/>
  <c r="KO34" i="40"/>
  <c r="KN34" i="40"/>
  <c r="KM34" i="40"/>
  <c r="KL34" i="40"/>
  <c r="KK34" i="40"/>
  <c r="KJ34" i="40"/>
  <c r="KI34" i="40"/>
  <c r="KH34" i="40"/>
  <c r="KG34" i="40"/>
  <c r="KF34" i="40"/>
  <c r="KE34" i="40"/>
  <c r="KD34" i="40"/>
  <c r="KC34" i="40"/>
  <c r="KB34" i="40"/>
  <c r="KA34" i="40"/>
  <c r="JZ34" i="40"/>
  <c r="JY34" i="40"/>
  <c r="JX34" i="40"/>
  <c r="JW34" i="40"/>
  <c r="JV34" i="40"/>
  <c r="JU34" i="40"/>
  <c r="JT34" i="40"/>
  <c r="JS34" i="40"/>
  <c r="JR34" i="40"/>
  <c r="JQ34" i="40"/>
  <c r="JP34" i="40"/>
  <c r="JO34" i="40"/>
  <c r="JN34" i="40"/>
  <c r="JM34" i="40"/>
  <c r="JL34" i="40"/>
  <c r="JK34" i="40"/>
  <c r="JJ34" i="40"/>
  <c r="JI34" i="40"/>
  <c r="JH34" i="40"/>
  <c r="JG34" i="40"/>
  <c r="JF34" i="40"/>
  <c r="JE34" i="40"/>
  <c r="JD34" i="40"/>
  <c r="JC34" i="40"/>
  <c r="JB34" i="40"/>
  <c r="JA34" i="40"/>
  <c r="IZ34" i="40"/>
  <c r="IY34" i="40"/>
  <c r="IX34" i="40"/>
  <c r="IW34" i="40"/>
  <c r="IV34" i="40"/>
  <c r="IU34" i="40"/>
  <c r="IT34" i="40"/>
  <c r="IS34" i="40"/>
  <c r="IR34" i="40"/>
  <c r="IQ34" i="40"/>
  <c r="IP34" i="40"/>
  <c r="IO34" i="40"/>
  <c r="IN34" i="40"/>
  <c r="IM34" i="40"/>
  <c r="IL34" i="40"/>
  <c r="IK34" i="40"/>
  <c r="IJ34" i="40"/>
  <c r="II34" i="40"/>
  <c r="IH34" i="40"/>
  <c r="IG34" i="40"/>
  <c r="IF34" i="40"/>
  <c r="IE34" i="40"/>
  <c r="ID34" i="40"/>
  <c r="IC34" i="40"/>
  <c r="IB34" i="40"/>
  <c r="IA34" i="40"/>
  <c r="HZ34" i="40"/>
  <c r="HY34" i="40"/>
  <c r="HX34" i="40"/>
  <c r="HW34" i="40"/>
  <c r="HV34" i="40"/>
  <c r="HU34" i="40"/>
  <c r="HT34" i="40"/>
  <c r="HS34" i="40"/>
  <c r="HR34" i="40"/>
  <c r="HQ34" i="40"/>
  <c r="HP34" i="40"/>
  <c r="HO34" i="40"/>
  <c r="HN34" i="40"/>
  <c r="HM34" i="40"/>
  <c r="HL34" i="40"/>
  <c r="HK34" i="40"/>
  <c r="HJ34" i="40"/>
  <c r="HI34" i="40"/>
  <c r="HH34" i="40"/>
  <c r="HG34" i="40"/>
  <c r="HF34" i="40"/>
  <c r="HE34" i="40"/>
  <c r="KZ33" i="40"/>
  <c r="KY33" i="40"/>
  <c r="KX33" i="40"/>
  <c r="KW33" i="40"/>
  <c r="KV33" i="40"/>
  <c r="KU33" i="40"/>
  <c r="KT33" i="40"/>
  <c r="KS33" i="40"/>
  <c r="KR33" i="40"/>
  <c r="KQ33" i="40"/>
  <c r="KP33" i="40"/>
  <c r="KO33" i="40"/>
  <c r="KN33" i="40"/>
  <c r="KM33" i="40"/>
  <c r="KL33" i="40"/>
  <c r="KK33" i="40"/>
  <c r="KJ33" i="40"/>
  <c r="KI33" i="40"/>
  <c r="KH33" i="40"/>
  <c r="KG33" i="40"/>
  <c r="KF33" i="40"/>
  <c r="KE33" i="40"/>
  <c r="KD33" i="40"/>
  <c r="KC33" i="40"/>
  <c r="KB33" i="40"/>
  <c r="KA33" i="40"/>
  <c r="JZ33" i="40"/>
  <c r="JY33" i="40"/>
  <c r="JX33" i="40"/>
  <c r="JW33" i="40"/>
  <c r="JV33" i="40"/>
  <c r="JU33" i="40"/>
  <c r="JT33" i="40"/>
  <c r="JS33" i="40"/>
  <c r="JR33" i="40"/>
  <c r="JQ33" i="40"/>
  <c r="JP33" i="40"/>
  <c r="JO33" i="40"/>
  <c r="JN33" i="40"/>
  <c r="JM33" i="40"/>
  <c r="JL33" i="40"/>
  <c r="JK33" i="40"/>
  <c r="JJ33" i="40"/>
  <c r="JI33" i="40"/>
  <c r="JH33" i="40"/>
  <c r="JG33" i="40"/>
  <c r="JF33" i="40"/>
  <c r="JE33" i="40"/>
  <c r="JD33" i="40"/>
  <c r="JC33" i="40"/>
  <c r="JB33" i="40"/>
  <c r="JA33" i="40"/>
  <c r="IZ33" i="40"/>
  <c r="IY33" i="40"/>
  <c r="IX33" i="40"/>
  <c r="IW33" i="40"/>
  <c r="IV33" i="40"/>
  <c r="IU33" i="40"/>
  <c r="IT33" i="40"/>
  <c r="IS33" i="40"/>
  <c r="IR33" i="40"/>
  <c r="IQ33" i="40"/>
  <c r="IP33" i="40"/>
  <c r="IO33" i="40"/>
  <c r="IN33" i="40"/>
  <c r="IM33" i="40"/>
  <c r="IL33" i="40"/>
  <c r="IK33" i="40"/>
  <c r="IJ33" i="40"/>
  <c r="II33" i="40"/>
  <c r="IH33" i="40"/>
  <c r="IG33" i="40"/>
  <c r="IF33" i="40"/>
  <c r="IE33" i="40"/>
  <c r="ID33" i="40"/>
  <c r="IC33" i="40"/>
  <c r="IB33" i="40"/>
  <c r="IA33" i="40"/>
  <c r="HZ33" i="40"/>
  <c r="HY33" i="40"/>
  <c r="HX33" i="40"/>
  <c r="HW33" i="40"/>
  <c r="HV33" i="40"/>
  <c r="HU33" i="40"/>
  <c r="HT33" i="40"/>
  <c r="HS33" i="40"/>
  <c r="HR33" i="40"/>
  <c r="HQ33" i="40"/>
  <c r="HP33" i="40"/>
  <c r="HO33" i="40"/>
  <c r="HN33" i="40"/>
  <c r="HM33" i="40"/>
  <c r="HL33" i="40"/>
  <c r="HK33" i="40"/>
  <c r="HJ33" i="40"/>
  <c r="HI33" i="40"/>
  <c r="HH33" i="40"/>
  <c r="HG33" i="40"/>
  <c r="HF33" i="40"/>
  <c r="HE33" i="40"/>
  <c r="KZ32" i="40"/>
  <c r="KY32" i="40"/>
  <c r="KX32" i="40"/>
  <c r="KW32" i="40"/>
  <c r="KV32" i="40"/>
  <c r="KU32" i="40"/>
  <c r="KT32" i="40"/>
  <c r="KS32" i="40"/>
  <c r="KR32" i="40"/>
  <c r="KQ32" i="40"/>
  <c r="KP32" i="40"/>
  <c r="KO32" i="40"/>
  <c r="KN32" i="40"/>
  <c r="KM32" i="40"/>
  <c r="KL32" i="40"/>
  <c r="KK32" i="40"/>
  <c r="KJ32" i="40"/>
  <c r="KI32" i="40"/>
  <c r="KH32" i="40"/>
  <c r="KG32" i="40"/>
  <c r="KF32" i="40"/>
  <c r="KE32" i="40"/>
  <c r="KD32" i="40"/>
  <c r="KC32" i="40"/>
  <c r="KB32" i="40"/>
  <c r="KA32" i="40"/>
  <c r="JZ32" i="40"/>
  <c r="JY32" i="40"/>
  <c r="JX32" i="40"/>
  <c r="JW32" i="40"/>
  <c r="JV32" i="40"/>
  <c r="JU32" i="40"/>
  <c r="JT32" i="40"/>
  <c r="JS32" i="40"/>
  <c r="JR32" i="40"/>
  <c r="JQ32" i="40"/>
  <c r="JP32" i="40"/>
  <c r="JO32" i="40"/>
  <c r="JN32" i="40"/>
  <c r="JM32" i="40"/>
  <c r="JL32" i="40"/>
  <c r="JK32" i="40"/>
  <c r="JJ32" i="40"/>
  <c r="JI32" i="40"/>
  <c r="JH32" i="40"/>
  <c r="JG32" i="40"/>
  <c r="JF32" i="40"/>
  <c r="JE32" i="40"/>
  <c r="JD32" i="40"/>
  <c r="JC32" i="40"/>
  <c r="JB32" i="40"/>
  <c r="JA32" i="40"/>
  <c r="IZ32" i="40"/>
  <c r="IY32" i="40"/>
  <c r="IX32" i="40"/>
  <c r="IW32" i="40"/>
  <c r="IV32" i="40"/>
  <c r="IU32" i="40"/>
  <c r="IT32" i="40"/>
  <c r="IS32" i="40"/>
  <c r="IR32" i="40"/>
  <c r="IQ32" i="40"/>
  <c r="IP32" i="40"/>
  <c r="IO32" i="40"/>
  <c r="IN32" i="40"/>
  <c r="IM32" i="40"/>
  <c r="IL32" i="40"/>
  <c r="IK32" i="40"/>
  <c r="IJ32" i="40"/>
  <c r="II32" i="40"/>
  <c r="IH32" i="40"/>
  <c r="IG32" i="40"/>
  <c r="IF32" i="40"/>
  <c r="IE32" i="40"/>
  <c r="ID32" i="40"/>
  <c r="IC32" i="40"/>
  <c r="IB32" i="40"/>
  <c r="IA32" i="40"/>
  <c r="HZ32" i="40"/>
  <c r="HY32" i="40"/>
  <c r="HX32" i="40"/>
  <c r="HW32" i="40"/>
  <c r="HV32" i="40"/>
  <c r="HU32" i="40"/>
  <c r="HT32" i="40"/>
  <c r="HS32" i="40"/>
  <c r="HR32" i="40"/>
  <c r="HQ32" i="40"/>
  <c r="HP32" i="40"/>
  <c r="HO32" i="40"/>
  <c r="HN32" i="40"/>
  <c r="HM32" i="40"/>
  <c r="HL32" i="40"/>
  <c r="HK32" i="40"/>
  <c r="HJ32" i="40"/>
  <c r="HI32" i="40"/>
  <c r="HH32" i="40"/>
  <c r="HG32" i="40"/>
  <c r="HF32" i="40"/>
  <c r="HE32" i="40"/>
  <c r="KZ31" i="40"/>
  <c r="KY31" i="40"/>
  <c r="KX31" i="40"/>
  <c r="KW31" i="40"/>
  <c r="KV31" i="40"/>
  <c r="KU31" i="40"/>
  <c r="KT31" i="40"/>
  <c r="KS31" i="40"/>
  <c r="KR31" i="40"/>
  <c r="KQ31" i="40"/>
  <c r="KP31" i="40"/>
  <c r="KO31" i="40"/>
  <c r="KN31" i="40"/>
  <c r="KM31" i="40"/>
  <c r="KL31" i="40"/>
  <c r="KK31" i="40"/>
  <c r="KJ31" i="40"/>
  <c r="KI31" i="40"/>
  <c r="KH31" i="40"/>
  <c r="KG31" i="40"/>
  <c r="KF31" i="40"/>
  <c r="KE31" i="40"/>
  <c r="KD31" i="40"/>
  <c r="KC31" i="40"/>
  <c r="KB31" i="40"/>
  <c r="KA31" i="40"/>
  <c r="JZ31" i="40"/>
  <c r="JY31" i="40"/>
  <c r="JX31" i="40"/>
  <c r="JW31" i="40"/>
  <c r="JV31" i="40"/>
  <c r="JU31" i="40"/>
  <c r="JT31" i="40"/>
  <c r="JS31" i="40"/>
  <c r="JR31" i="40"/>
  <c r="JQ31" i="40"/>
  <c r="JP31" i="40"/>
  <c r="JO31" i="40"/>
  <c r="JN31" i="40"/>
  <c r="JM31" i="40"/>
  <c r="JL31" i="40"/>
  <c r="JK31" i="40"/>
  <c r="JJ31" i="40"/>
  <c r="JI31" i="40"/>
  <c r="JH31" i="40"/>
  <c r="JG31" i="40"/>
  <c r="JF31" i="40"/>
  <c r="JE31" i="40"/>
  <c r="JD31" i="40"/>
  <c r="JC31" i="40"/>
  <c r="JB31" i="40"/>
  <c r="JA31" i="40"/>
  <c r="IZ31" i="40"/>
  <c r="IY31" i="40"/>
  <c r="IX31" i="40"/>
  <c r="IW31" i="40"/>
  <c r="IV31" i="40"/>
  <c r="IU31" i="40"/>
  <c r="IT31" i="40"/>
  <c r="IS31" i="40"/>
  <c r="IR31" i="40"/>
  <c r="IQ31" i="40"/>
  <c r="IP31" i="40"/>
  <c r="IO31" i="40"/>
  <c r="IN31" i="40"/>
  <c r="IM31" i="40"/>
  <c r="IL31" i="40"/>
  <c r="IK31" i="40"/>
  <c r="IJ31" i="40"/>
  <c r="II31" i="40"/>
  <c r="IH31" i="40"/>
  <c r="IG31" i="40"/>
  <c r="IF31" i="40"/>
  <c r="IE31" i="40"/>
  <c r="ID31" i="40"/>
  <c r="IC31" i="40"/>
  <c r="IB31" i="40"/>
  <c r="IA31" i="40"/>
  <c r="HZ31" i="40"/>
  <c r="HY31" i="40"/>
  <c r="HX31" i="40"/>
  <c r="HW31" i="40"/>
  <c r="HV31" i="40"/>
  <c r="HU31" i="40"/>
  <c r="HT31" i="40"/>
  <c r="HS31" i="40"/>
  <c r="HR31" i="40"/>
  <c r="HQ31" i="40"/>
  <c r="HP31" i="40"/>
  <c r="HO31" i="40"/>
  <c r="HN31" i="40"/>
  <c r="HM31" i="40"/>
  <c r="HL31" i="40"/>
  <c r="HK31" i="40"/>
  <c r="HJ31" i="40"/>
  <c r="HI31" i="40"/>
  <c r="HH31" i="40"/>
  <c r="HG31" i="40"/>
  <c r="HF31" i="40"/>
  <c r="HE31" i="40"/>
  <c r="KZ30" i="40"/>
  <c r="KY30" i="40"/>
  <c r="KX30" i="40"/>
  <c r="KW30" i="40"/>
  <c r="KV30" i="40"/>
  <c r="KU30" i="40"/>
  <c r="KT30" i="40"/>
  <c r="KS30" i="40"/>
  <c r="KR30" i="40"/>
  <c r="KQ30" i="40"/>
  <c r="KP30" i="40"/>
  <c r="KO30" i="40"/>
  <c r="KN30" i="40"/>
  <c r="KM30" i="40"/>
  <c r="KL30" i="40"/>
  <c r="KK30" i="40"/>
  <c r="KJ30" i="40"/>
  <c r="KI30" i="40"/>
  <c r="KH30" i="40"/>
  <c r="KG30" i="40"/>
  <c r="KF30" i="40"/>
  <c r="KE30" i="40"/>
  <c r="KD30" i="40"/>
  <c r="KC30" i="40"/>
  <c r="KB30" i="40"/>
  <c r="KA30" i="40"/>
  <c r="JZ30" i="40"/>
  <c r="JY30" i="40"/>
  <c r="JX30" i="40"/>
  <c r="JW30" i="40"/>
  <c r="JV30" i="40"/>
  <c r="JU30" i="40"/>
  <c r="JT30" i="40"/>
  <c r="JS30" i="40"/>
  <c r="JR30" i="40"/>
  <c r="JQ30" i="40"/>
  <c r="JP30" i="40"/>
  <c r="JO30" i="40"/>
  <c r="JN30" i="40"/>
  <c r="JM30" i="40"/>
  <c r="JL30" i="40"/>
  <c r="JK30" i="40"/>
  <c r="JJ30" i="40"/>
  <c r="JI30" i="40"/>
  <c r="JH30" i="40"/>
  <c r="JG30" i="40"/>
  <c r="JF30" i="40"/>
  <c r="JE30" i="40"/>
  <c r="JD30" i="40"/>
  <c r="JC30" i="40"/>
  <c r="JB30" i="40"/>
  <c r="JA30" i="40"/>
  <c r="IZ30" i="40"/>
  <c r="IY30" i="40"/>
  <c r="IX30" i="40"/>
  <c r="IW30" i="40"/>
  <c r="IV30" i="40"/>
  <c r="IU30" i="40"/>
  <c r="IT30" i="40"/>
  <c r="IS30" i="40"/>
  <c r="IR30" i="40"/>
  <c r="IQ30" i="40"/>
  <c r="IP30" i="40"/>
  <c r="IO30" i="40"/>
  <c r="IN30" i="40"/>
  <c r="IM30" i="40"/>
  <c r="IL30" i="40"/>
  <c r="IK30" i="40"/>
  <c r="IJ30" i="40"/>
  <c r="II30" i="40"/>
  <c r="IH30" i="40"/>
  <c r="IG30" i="40"/>
  <c r="IF30" i="40"/>
  <c r="IE30" i="40"/>
  <c r="ID30" i="40"/>
  <c r="IC30" i="40"/>
  <c r="IB30" i="40"/>
  <c r="IA30" i="40"/>
  <c r="HZ30" i="40"/>
  <c r="HY30" i="40"/>
  <c r="HX30" i="40"/>
  <c r="HW30" i="40"/>
  <c r="HV30" i="40"/>
  <c r="HU30" i="40"/>
  <c r="HT30" i="40"/>
  <c r="HS30" i="40"/>
  <c r="HR30" i="40"/>
  <c r="HQ30" i="40"/>
  <c r="HP30" i="40"/>
  <c r="HO30" i="40"/>
  <c r="HN30" i="40"/>
  <c r="HM30" i="40"/>
  <c r="HL30" i="40"/>
  <c r="HK30" i="40"/>
  <c r="HJ30" i="40"/>
  <c r="HI30" i="40"/>
  <c r="HH30" i="40"/>
  <c r="HG30" i="40"/>
  <c r="HF30" i="40"/>
  <c r="HE30" i="40"/>
  <c r="KZ29" i="40"/>
  <c r="KY29" i="40"/>
  <c r="KX29" i="40"/>
  <c r="KW29" i="40"/>
  <c r="KV29" i="40"/>
  <c r="KU29" i="40"/>
  <c r="KT29" i="40"/>
  <c r="KS29" i="40"/>
  <c r="KR29" i="40"/>
  <c r="KQ29" i="40"/>
  <c r="KP29" i="40"/>
  <c r="KO29" i="40"/>
  <c r="KN29" i="40"/>
  <c r="KM29" i="40"/>
  <c r="KL29" i="40"/>
  <c r="KK29" i="40"/>
  <c r="KJ29" i="40"/>
  <c r="KI29" i="40"/>
  <c r="KH29" i="40"/>
  <c r="KG29" i="40"/>
  <c r="KF29" i="40"/>
  <c r="KE29" i="40"/>
  <c r="KD29" i="40"/>
  <c r="KC29" i="40"/>
  <c r="KB29" i="40"/>
  <c r="KA29" i="40"/>
  <c r="JZ29" i="40"/>
  <c r="JY29" i="40"/>
  <c r="JX29" i="40"/>
  <c r="JW29" i="40"/>
  <c r="JV29" i="40"/>
  <c r="JU29" i="40"/>
  <c r="JT29" i="40"/>
  <c r="JS29" i="40"/>
  <c r="JR29" i="40"/>
  <c r="JQ29" i="40"/>
  <c r="JP29" i="40"/>
  <c r="JO29" i="40"/>
  <c r="JN29" i="40"/>
  <c r="JM29" i="40"/>
  <c r="JL29" i="40"/>
  <c r="JK29" i="40"/>
  <c r="JJ29" i="40"/>
  <c r="JI29" i="40"/>
  <c r="JH29" i="40"/>
  <c r="JG29" i="40"/>
  <c r="JF29" i="40"/>
  <c r="JE29" i="40"/>
  <c r="JD29" i="40"/>
  <c r="JC29" i="40"/>
  <c r="JB29" i="40"/>
  <c r="JA29" i="40"/>
  <c r="IZ29" i="40"/>
  <c r="IY29" i="40"/>
  <c r="IX29" i="40"/>
  <c r="IW29" i="40"/>
  <c r="IV29" i="40"/>
  <c r="IU29" i="40"/>
  <c r="IT29" i="40"/>
  <c r="IS29" i="40"/>
  <c r="IR29" i="40"/>
  <c r="IQ29" i="40"/>
  <c r="IP29" i="40"/>
  <c r="IO29" i="40"/>
  <c r="IN29" i="40"/>
  <c r="IM29" i="40"/>
  <c r="IL29" i="40"/>
  <c r="IK29" i="40"/>
  <c r="IJ29" i="40"/>
  <c r="II29" i="40"/>
  <c r="IH29" i="40"/>
  <c r="IG29" i="40"/>
  <c r="IF29" i="40"/>
  <c r="IE29" i="40"/>
  <c r="ID29" i="40"/>
  <c r="IC29" i="40"/>
  <c r="IB29" i="40"/>
  <c r="IA29" i="40"/>
  <c r="HZ29" i="40"/>
  <c r="HY29" i="40"/>
  <c r="HX29" i="40"/>
  <c r="HW29" i="40"/>
  <c r="HV29" i="40"/>
  <c r="HU29" i="40"/>
  <c r="HT29" i="40"/>
  <c r="HS29" i="40"/>
  <c r="HR29" i="40"/>
  <c r="HQ29" i="40"/>
  <c r="HP29" i="40"/>
  <c r="HO29" i="40"/>
  <c r="HN29" i="40"/>
  <c r="HM29" i="40"/>
  <c r="HL29" i="40"/>
  <c r="HK29" i="40"/>
  <c r="HJ29" i="40"/>
  <c r="HI29" i="40"/>
  <c r="HH29" i="40"/>
  <c r="HG29" i="40"/>
  <c r="HF29" i="40"/>
  <c r="HE29" i="40"/>
  <c r="KZ28" i="40"/>
  <c r="KY28" i="40"/>
  <c r="KX28" i="40"/>
  <c r="KW28" i="40"/>
  <c r="KV28" i="40"/>
  <c r="KU28" i="40"/>
  <c r="KT28" i="40"/>
  <c r="KS28" i="40"/>
  <c r="KR28" i="40"/>
  <c r="KQ28" i="40"/>
  <c r="KP28" i="40"/>
  <c r="KO28" i="40"/>
  <c r="KN28" i="40"/>
  <c r="KM28" i="40"/>
  <c r="KL28" i="40"/>
  <c r="KK28" i="40"/>
  <c r="KJ28" i="40"/>
  <c r="KI28" i="40"/>
  <c r="KH28" i="40"/>
  <c r="KG28" i="40"/>
  <c r="KF28" i="40"/>
  <c r="KE28" i="40"/>
  <c r="KD28" i="40"/>
  <c r="KC28" i="40"/>
  <c r="KB28" i="40"/>
  <c r="KA28" i="40"/>
  <c r="JZ28" i="40"/>
  <c r="JY28" i="40"/>
  <c r="JX28" i="40"/>
  <c r="JW28" i="40"/>
  <c r="JV28" i="40"/>
  <c r="JU28" i="40"/>
  <c r="JT28" i="40"/>
  <c r="JS28" i="40"/>
  <c r="JR28" i="40"/>
  <c r="JQ28" i="40"/>
  <c r="JP28" i="40"/>
  <c r="JO28" i="40"/>
  <c r="JN28" i="40"/>
  <c r="JM28" i="40"/>
  <c r="JL28" i="40"/>
  <c r="JK28" i="40"/>
  <c r="JJ28" i="40"/>
  <c r="JI28" i="40"/>
  <c r="JH28" i="40"/>
  <c r="JG28" i="40"/>
  <c r="JF28" i="40"/>
  <c r="JE28" i="40"/>
  <c r="JD28" i="40"/>
  <c r="JC28" i="40"/>
  <c r="JB28" i="40"/>
  <c r="JA28" i="40"/>
  <c r="IZ28" i="40"/>
  <c r="IY28" i="40"/>
  <c r="IX28" i="40"/>
  <c r="IW28" i="40"/>
  <c r="IV28" i="40"/>
  <c r="IU28" i="40"/>
  <c r="IT28" i="40"/>
  <c r="IS28" i="40"/>
  <c r="IR28" i="40"/>
  <c r="IQ28" i="40"/>
  <c r="IP28" i="40"/>
  <c r="IO28" i="40"/>
  <c r="IN28" i="40"/>
  <c r="IM28" i="40"/>
  <c r="IL28" i="40"/>
  <c r="IK28" i="40"/>
  <c r="IJ28" i="40"/>
  <c r="II28" i="40"/>
  <c r="IH28" i="40"/>
  <c r="IG28" i="40"/>
  <c r="IF28" i="40"/>
  <c r="IE28" i="40"/>
  <c r="ID28" i="40"/>
  <c r="IC28" i="40"/>
  <c r="IB28" i="40"/>
  <c r="IA28" i="40"/>
  <c r="HZ28" i="40"/>
  <c r="HY28" i="40"/>
  <c r="HX28" i="40"/>
  <c r="HW28" i="40"/>
  <c r="HV28" i="40"/>
  <c r="HU28" i="40"/>
  <c r="HT28" i="40"/>
  <c r="HS28" i="40"/>
  <c r="HR28" i="40"/>
  <c r="HQ28" i="40"/>
  <c r="HP28" i="40"/>
  <c r="HO28" i="40"/>
  <c r="HN28" i="40"/>
  <c r="HM28" i="40"/>
  <c r="HL28" i="40"/>
  <c r="HK28" i="40"/>
  <c r="HJ28" i="40"/>
  <c r="HI28" i="40"/>
  <c r="HH28" i="40"/>
  <c r="HG28" i="40"/>
  <c r="HF28" i="40"/>
  <c r="HE28" i="40"/>
  <c r="KZ27" i="40"/>
  <c r="KY27" i="40"/>
  <c r="KX27" i="40"/>
  <c r="KW27" i="40"/>
  <c r="KV27" i="40"/>
  <c r="KU27" i="40"/>
  <c r="KT27" i="40"/>
  <c r="KS27" i="40"/>
  <c r="KR27" i="40"/>
  <c r="KQ27" i="40"/>
  <c r="KP27" i="40"/>
  <c r="KO27" i="40"/>
  <c r="KN27" i="40"/>
  <c r="KM27" i="40"/>
  <c r="KL27" i="40"/>
  <c r="KK27" i="40"/>
  <c r="KJ27" i="40"/>
  <c r="KI27" i="40"/>
  <c r="KH27" i="40"/>
  <c r="KG27" i="40"/>
  <c r="KF27" i="40"/>
  <c r="KE27" i="40"/>
  <c r="KD27" i="40"/>
  <c r="KC27" i="40"/>
  <c r="KB27" i="40"/>
  <c r="KA27" i="40"/>
  <c r="JZ27" i="40"/>
  <c r="JY27" i="40"/>
  <c r="JX27" i="40"/>
  <c r="JW27" i="40"/>
  <c r="JV27" i="40"/>
  <c r="JU27" i="40"/>
  <c r="JT27" i="40"/>
  <c r="JS27" i="40"/>
  <c r="JR27" i="40"/>
  <c r="JQ27" i="40"/>
  <c r="JP27" i="40"/>
  <c r="JO27" i="40"/>
  <c r="JN27" i="40"/>
  <c r="JM27" i="40"/>
  <c r="JL27" i="40"/>
  <c r="JK27" i="40"/>
  <c r="JJ27" i="40"/>
  <c r="JI27" i="40"/>
  <c r="JH27" i="40"/>
  <c r="JG27" i="40"/>
  <c r="JF27" i="40"/>
  <c r="JE27" i="40"/>
  <c r="JD27" i="40"/>
  <c r="JC27" i="40"/>
  <c r="JB27" i="40"/>
  <c r="JA27" i="40"/>
  <c r="IZ27" i="40"/>
  <c r="IY27" i="40"/>
  <c r="IX27" i="40"/>
  <c r="IW27" i="40"/>
  <c r="IV27" i="40"/>
  <c r="IU27" i="40"/>
  <c r="IT27" i="40"/>
  <c r="IS27" i="40"/>
  <c r="IR27" i="40"/>
  <c r="IQ27" i="40"/>
  <c r="IP27" i="40"/>
  <c r="IO27" i="40"/>
  <c r="IN27" i="40"/>
  <c r="IM27" i="40"/>
  <c r="IL27" i="40"/>
  <c r="IK27" i="40"/>
  <c r="IJ27" i="40"/>
  <c r="II27" i="40"/>
  <c r="IH27" i="40"/>
  <c r="IG27" i="40"/>
  <c r="IF27" i="40"/>
  <c r="IE27" i="40"/>
  <c r="ID27" i="40"/>
  <c r="IC27" i="40"/>
  <c r="IB27" i="40"/>
  <c r="IA27" i="40"/>
  <c r="HZ27" i="40"/>
  <c r="HY27" i="40"/>
  <c r="HX27" i="40"/>
  <c r="HW27" i="40"/>
  <c r="HV27" i="40"/>
  <c r="HU27" i="40"/>
  <c r="HT27" i="40"/>
  <c r="HS27" i="40"/>
  <c r="HR27" i="40"/>
  <c r="HQ27" i="40"/>
  <c r="HP27" i="40"/>
  <c r="HO27" i="40"/>
  <c r="HN27" i="40"/>
  <c r="HM27" i="40"/>
  <c r="HL27" i="40"/>
  <c r="HK27" i="40"/>
  <c r="HJ27" i="40"/>
  <c r="HI27" i="40"/>
  <c r="HH27" i="40"/>
  <c r="HG27" i="40"/>
  <c r="HF27" i="40"/>
  <c r="HE27" i="40"/>
  <c r="KZ26" i="40"/>
  <c r="KY26" i="40"/>
  <c r="KX26" i="40"/>
  <c r="KW26" i="40"/>
  <c r="KV26" i="40"/>
  <c r="KU26" i="40"/>
  <c r="KT26" i="40"/>
  <c r="KS26" i="40"/>
  <c r="KR26" i="40"/>
  <c r="KQ26" i="40"/>
  <c r="KP26" i="40"/>
  <c r="KO26" i="40"/>
  <c r="KN26" i="40"/>
  <c r="KM26" i="40"/>
  <c r="KL26" i="40"/>
  <c r="KK26" i="40"/>
  <c r="KJ26" i="40"/>
  <c r="KI26" i="40"/>
  <c r="KH26" i="40"/>
  <c r="KG26" i="40"/>
  <c r="KF26" i="40"/>
  <c r="KE26" i="40"/>
  <c r="KD26" i="40"/>
  <c r="KC26" i="40"/>
  <c r="KB26" i="40"/>
  <c r="KA26" i="40"/>
  <c r="JZ26" i="40"/>
  <c r="JY26" i="40"/>
  <c r="JX26" i="40"/>
  <c r="JW26" i="40"/>
  <c r="JV26" i="40"/>
  <c r="JU26" i="40"/>
  <c r="JT26" i="40"/>
  <c r="JS26" i="40"/>
  <c r="JR26" i="40"/>
  <c r="JQ26" i="40"/>
  <c r="JP26" i="40"/>
  <c r="JO26" i="40"/>
  <c r="JN26" i="40"/>
  <c r="JM26" i="40"/>
  <c r="JL26" i="40"/>
  <c r="JK26" i="40"/>
  <c r="JJ26" i="40"/>
  <c r="JI26" i="40"/>
  <c r="JH26" i="40"/>
  <c r="JG26" i="40"/>
  <c r="JF26" i="40"/>
  <c r="JE26" i="40"/>
  <c r="JD26" i="40"/>
  <c r="JC26" i="40"/>
  <c r="JB26" i="40"/>
  <c r="JA26" i="40"/>
  <c r="IZ26" i="40"/>
  <c r="IY26" i="40"/>
  <c r="IX26" i="40"/>
  <c r="IW26" i="40"/>
  <c r="IV26" i="40"/>
  <c r="IU26" i="40"/>
  <c r="IT26" i="40"/>
  <c r="IS26" i="40"/>
  <c r="IR26" i="40"/>
  <c r="IQ26" i="40"/>
  <c r="IP26" i="40"/>
  <c r="IO26" i="40"/>
  <c r="IN26" i="40"/>
  <c r="IM26" i="40"/>
  <c r="IL26" i="40"/>
  <c r="IK26" i="40"/>
  <c r="IJ26" i="40"/>
  <c r="II26" i="40"/>
  <c r="IH26" i="40"/>
  <c r="IG26" i="40"/>
  <c r="IF26" i="40"/>
  <c r="IE26" i="40"/>
  <c r="ID26" i="40"/>
  <c r="IC26" i="40"/>
  <c r="IB26" i="40"/>
  <c r="IA26" i="40"/>
  <c r="HZ26" i="40"/>
  <c r="HY26" i="40"/>
  <c r="HX26" i="40"/>
  <c r="HW26" i="40"/>
  <c r="HV26" i="40"/>
  <c r="HU26" i="40"/>
  <c r="HT26" i="40"/>
  <c r="HS26" i="40"/>
  <c r="HR26" i="40"/>
  <c r="HQ26" i="40"/>
  <c r="HP26" i="40"/>
  <c r="HO26" i="40"/>
  <c r="HN26" i="40"/>
  <c r="HM26" i="40"/>
  <c r="HL26" i="40"/>
  <c r="HK26" i="40"/>
  <c r="HJ26" i="40"/>
  <c r="HI26" i="40"/>
  <c r="HH26" i="40"/>
  <c r="HG26" i="40"/>
  <c r="HF26" i="40"/>
  <c r="HE26" i="40"/>
  <c r="KZ25" i="40"/>
  <c r="KY25" i="40"/>
  <c r="KX25" i="40"/>
  <c r="KW25" i="40"/>
  <c r="KV25" i="40"/>
  <c r="KU25" i="40"/>
  <c r="KT25" i="40"/>
  <c r="KS25" i="40"/>
  <c r="KR25" i="40"/>
  <c r="KQ25" i="40"/>
  <c r="KP25" i="40"/>
  <c r="KO25" i="40"/>
  <c r="KN25" i="40"/>
  <c r="KM25" i="40"/>
  <c r="KL25" i="40"/>
  <c r="KK25" i="40"/>
  <c r="KJ25" i="40"/>
  <c r="KI25" i="40"/>
  <c r="KH25" i="40"/>
  <c r="KG25" i="40"/>
  <c r="KF25" i="40"/>
  <c r="KE25" i="40"/>
  <c r="KD25" i="40"/>
  <c r="KC25" i="40"/>
  <c r="KB25" i="40"/>
  <c r="KA25" i="40"/>
  <c r="JZ25" i="40"/>
  <c r="JY25" i="40"/>
  <c r="JX25" i="40"/>
  <c r="JW25" i="40"/>
  <c r="JV25" i="40"/>
  <c r="JU25" i="40"/>
  <c r="JT25" i="40"/>
  <c r="JS25" i="40"/>
  <c r="JR25" i="40"/>
  <c r="JQ25" i="40"/>
  <c r="JP25" i="40"/>
  <c r="JO25" i="40"/>
  <c r="JN25" i="40"/>
  <c r="JM25" i="40"/>
  <c r="JL25" i="40"/>
  <c r="JK25" i="40"/>
  <c r="JJ25" i="40"/>
  <c r="JI25" i="40"/>
  <c r="JH25" i="40"/>
  <c r="JG25" i="40"/>
  <c r="JF25" i="40"/>
  <c r="JE25" i="40"/>
  <c r="JD25" i="40"/>
  <c r="JC25" i="40"/>
  <c r="JB25" i="40"/>
  <c r="JA25" i="40"/>
  <c r="IZ25" i="40"/>
  <c r="IY25" i="40"/>
  <c r="IX25" i="40"/>
  <c r="IW25" i="40"/>
  <c r="IV25" i="40"/>
  <c r="IU25" i="40"/>
  <c r="IT25" i="40"/>
  <c r="IS25" i="40"/>
  <c r="IR25" i="40"/>
  <c r="IQ25" i="40"/>
  <c r="IP25" i="40"/>
  <c r="IO25" i="40"/>
  <c r="IN25" i="40"/>
  <c r="IM25" i="40"/>
  <c r="IL25" i="40"/>
  <c r="IK25" i="40"/>
  <c r="IJ25" i="40"/>
  <c r="II25" i="40"/>
  <c r="IH25" i="40"/>
  <c r="IG25" i="40"/>
  <c r="IF25" i="40"/>
  <c r="IE25" i="40"/>
  <c r="ID25" i="40"/>
  <c r="IC25" i="40"/>
  <c r="IB25" i="40"/>
  <c r="IA25" i="40"/>
  <c r="HZ25" i="40"/>
  <c r="HY25" i="40"/>
  <c r="HX25" i="40"/>
  <c r="HW25" i="40"/>
  <c r="HV25" i="40"/>
  <c r="HU25" i="40"/>
  <c r="HT25" i="40"/>
  <c r="HS25" i="40"/>
  <c r="HR25" i="40"/>
  <c r="HQ25" i="40"/>
  <c r="HP25" i="40"/>
  <c r="HO25" i="40"/>
  <c r="HN25" i="40"/>
  <c r="HM25" i="40"/>
  <c r="HL25" i="40"/>
  <c r="HK25" i="40"/>
  <c r="HJ25" i="40"/>
  <c r="HI25" i="40"/>
  <c r="HH25" i="40"/>
  <c r="HG25" i="40"/>
  <c r="HF25" i="40"/>
  <c r="HE25" i="40"/>
  <c r="KZ24" i="40"/>
  <c r="KY24" i="40"/>
  <c r="KX24" i="40"/>
  <c r="KW24" i="40"/>
  <c r="KV24" i="40"/>
  <c r="KU24" i="40"/>
  <c r="KT24" i="40"/>
  <c r="KS24" i="40"/>
  <c r="KR24" i="40"/>
  <c r="KQ24" i="40"/>
  <c r="KP24" i="40"/>
  <c r="KO24" i="40"/>
  <c r="KN24" i="40"/>
  <c r="KM24" i="40"/>
  <c r="KL24" i="40"/>
  <c r="KK24" i="40"/>
  <c r="KJ24" i="40"/>
  <c r="KI24" i="40"/>
  <c r="KH24" i="40"/>
  <c r="KG24" i="40"/>
  <c r="KF24" i="40"/>
  <c r="KE24" i="40"/>
  <c r="KD24" i="40"/>
  <c r="KC24" i="40"/>
  <c r="KB24" i="40"/>
  <c r="KA24" i="40"/>
  <c r="JZ24" i="40"/>
  <c r="JY24" i="40"/>
  <c r="JX24" i="40"/>
  <c r="JW24" i="40"/>
  <c r="JV24" i="40"/>
  <c r="JU24" i="40"/>
  <c r="JT24" i="40"/>
  <c r="JS24" i="40"/>
  <c r="JR24" i="40"/>
  <c r="JQ24" i="40"/>
  <c r="JP24" i="40"/>
  <c r="JO24" i="40"/>
  <c r="JN24" i="40"/>
  <c r="JM24" i="40"/>
  <c r="JL24" i="40"/>
  <c r="JK24" i="40"/>
  <c r="JJ24" i="40"/>
  <c r="JI24" i="40"/>
  <c r="JH24" i="40"/>
  <c r="JG24" i="40"/>
  <c r="JF24" i="40"/>
  <c r="JE24" i="40"/>
  <c r="JD24" i="40"/>
  <c r="JC24" i="40"/>
  <c r="JB24" i="40"/>
  <c r="JA24" i="40"/>
  <c r="IZ24" i="40"/>
  <c r="IY24" i="40"/>
  <c r="IX24" i="40"/>
  <c r="IW24" i="40"/>
  <c r="IV24" i="40"/>
  <c r="IU24" i="40"/>
  <c r="IT24" i="40"/>
  <c r="IS24" i="40"/>
  <c r="IR24" i="40"/>
  <c r="IQ24" i="40"/>
  <c r="IP24" i="40"/>
  <c r="IO24" i="40"/>
  <c r="IN24" i="40"/>
  <c r="IM24" i="40"/>
  <c r="IL24" i="40"/>
  <c r="IK24" i="40"/>
  <c r="IJ24" i="40"/>
  <c r="II24" i="40"/>
  <c r="IH24" i="40"/>
  <c r="IG24" i="40"/>
  <c r="IF24" i="40"/>
  <c r="IE24" i="40"/>
  <c r="ID24" i="40"/>
  <c r="IC24" i="40"/>
  <c r="IB24" i="40"/>
  <c r="IA24" i="40"/>
  <c r="HZ24" i="40"/>
  <c r="HY24" i="40"/>
  <c r="HX24" i="40"/>
  <c r="HW24" i="40"/>
  <c r="HV24" i="40"/>
  <c r="HU24" i="40"/>
  <c r="HT24" i="40"/>
  <c r="HS24" i="40"/>
  <c r="HR24" i="40"/>
  <c r="HQ24" i="40"/>
  <c r="HP24" i="40"/>
  <c r="HO24" i="40"/>
  <c r="HN24" i="40"/>
  <c r="HM24" i="40"/>
  <c r="HL24" i="40"/>
  <c r="HK24" i="40"/>
  <c r="HJ24" i="40"/>
  <c r="HI24" i="40"/>
  <c r="HH24" i="40"/>
  <c r="HG24" i="40"/>
  <c r="HF24" i="40"/>
  <c r="HE24" i="40"/>
  <c r="KZ23" i="40"/>
  <c r="KY23" i="40"/>
  <c r="KX23" i="40"/>
  <c r="KW23" i="40"/>
  <c r="KV23" i="40"/>
  <c r="KU23" i="40"/>
  <c r="KT23" i="40"/>
  <c r="KS23" i="40"/>
  <c r="KR23" i="40"/>
  <c r="KQ23" i="40"/>
  <c r="KP23" i="40"/>
  <c r="KO23" i="40"/>
  <c r="KN23" i="40"/>
  <c r="KM23" i="40"/>
  <c r="KL23" i="40"/>
  <c r="KK23" i="40"/>
  <c r="KJ23" i="40"/>
  <c r="KI23" i="40"/>
  <c r="KH23" i="40"/>
  <c r="KG23" i="40"/>
  <c r="KF23" i="40"/>
  <c r="KE23" i="40"/>
  <c r="KD23" i="40"/>
  <c r="KC23" i="40"/>
  <c r="KB23" i="40"/>
  <c r="KA23" i="40"/>
  <c r="JZ23" i="40"/>
  <c r="JY23" i="40"/>
  <c r="JX23" i="40"/>
  <c r="JW23" i="40"/>
  <c r="JV23" i="40"/>
  <c r="JU23" i="40"/>
  <c r="JT23" i="40"/>
  <c r="JS23" i="40"/>
  <c r="JR23" i="40"/>
  <c r="JQ23" i="40"/>
  <c r="JP23" i="40"/>
  <c r="JO23" i="40"/>
  <c r="JN23" i="40"/>
  <c r="JM23" i="40"/>
  <c r="JL23" i="40"/>
  <c r="JK23" i="40"/>
  <c r="JJ23" i="40"/>
  <c r="JI23" i="40"/>
  <c r="JH23" i="40"/>
  <c r="JG23" i="40"/>
  <c r="JF23" i="40"/>
  <c r="JE23" i="40"/>
  <c r="JD23" i="40"/>
  <c r="JC23" i="40"/>
  <c r="JB23" i="40"/>
  <c r="JA23" i="40"/>
  <c r="IZ23" i="40"/>
  <c r="IY23" i="40"/>
  <c r="IX23" i="40"/>
  <c r="IW23" i="40"/>
  <c r="IV23" i="40"/>
  <c r="IU23" i="40"/>
  <c r="IT23" i="40"/>
  <c r="IS23" i="40"/>
  <c r="IR23" i="40"/>
  <c r="IQ23" i="40"/>
  <c r="IP23" i="40"/>
  <c r="IO23" i="40"/>
  <c r="IN23" i="40"/>
  <c r="IM23" i="40"/>
  <c r="IL23" i="40"/>
  <c r="IK23" i="40"/>
  <c r="IJ23" i="40"/>
  <c r="II23" i="40"/>
  <c r="IH23" i="40"/>
  <c r="IG23" i="40"/>
  <c r="IF23" i="40"/>
  <c r="IE23" i="40"/>
  <c r="ID23" i="40"/>
  <c r="IC23" i="40"/>
  <c r="IB23" i="40"/>
  <c r="IA23" i="40"/>
  <c r="HZ23" i="40"/>
  <c r="HY23" i="40"/>
  <c r="HX23" i="40"/>
  <c r="HW23" i="40"/>
  <c r="HV23" i="40"/>
  <c r="HU23" i="40"/>
  <c r="HT23" i="40"/>
  <c r="HS23" i="40"/>
  <c r="HR23" i="40"/>
  <c r="HQ23" i="40"/>
  <c r="HP23" i="40"/>
  <c r="HO23" i="40"/>
  <c r="HN23" i="40"/>
  <c r="HM23" i="40"/>
  <c r="HL23" i="40"/>
  <c r="HK23" i="40"/>
  <c r="HJ23" i="40"/>
  <c r="HI23" i="40"/>
  <c r="HH23" i="40"/>
  <c r="HG23" i="40"/>
  <c r="HF23" i="40"/>
  <c r="HE23" i="40"/>
  <c r="KZ22" i="40"/>
  <c r="KY22" i="40"/>
  <c r="KX22" i="40"/>
  <c r="KW22" i="40"/>
  <c r="KV22" i="40"/>
  <c r="KU22" i="40"/>
  <c r="KT22" i="40"/>
  <c r="KS22" i="40"/>
  <c r="KR22" i="40"/>
  <c r="KQ22" i="40"/>
  <c r="KP22" i="40"/>
  <c r="KO22" i="40"/>
  <c r="KN22" i="40"/>
  <c r="KM22" i="40"/>
  <c r="KL22" i="40"/>
  <c r="KK22" i="40"/>
  <c r="KJ22" i="40"/>
  <c r="KI22" i="40"/>
  <c r="KH22" i="40"/>
  <c r="KG22" i="40"/>
  <c r="KF22" i="40"/>
  <c r="KE22" i="40"/>
  <c r="KD22" i="40"/>
  <c r="KC22" i="40"/>
  <c r="KB22" i="40"/>
  <c r="KA22" i="40"/>
  <c r="JZ22" i="40"/>
  <c r="JY22" i="40"/>
  <c r="JX22" i="40"/>
  <c r="JW22" i="40"/>
  <c r="JV22" i="40"/>
  <c r="JU22" i="40"/>
  <c r="JT22" i="40"/>
  <c r="JS22" i="40"/>
  <c r="JR22" i="40"/>
  <c r="JQ22" i="40"/>
  <c r="JP22" i="40"/>
  <c r="JO22" i="40"/>
  <c r="JN22" i="40"/>
  <c r="JM22" i="40"/>
  <c r="JL22" i="40"/>
  <c r="JK22" i="40"/>
  <c r="JJ22" i="40"/>
  <c r="JI22" i="40"/>
  <c r="JH22" i="40"/>
  <c r="JG22" i="40"/>
  <c r="JF22" i="40"/>
  <c r="JE22" i="40"/>
  <c r="JD22" i="40"/>
  <c r="JC22" i="40"/>
  <c r="JB22" i="40"/>
  <c r="JA22" i="40"/>
  <c r="IZ22" i="40"/>
  <c r="IY22" i="40"/>
  <c r="IX22" i="40"/>
  <c r="IW22" i="40"/>
  <c r="IV22" i="40"/>
  <c r="IU22" i="40"/>
  <c r="IT22" i="40"/>
  <c r="IS22" i="40"/>
  <c r="IR22" i="40"/>
  <c r="IQ22" i="40"/>
  <c r="IP22" i="40"/>
  <c r="IO22" i="40"/>
  <c r="IN22" i="40"/>
  <c r="IM22" i="40"/>
  <c r="IL22" i="40"/>
  <c r="IK22" i="40"/>
  <c r="IJ22" i="40"/>
  <c r="II22" i="40"/>
  <c r="IH22" i="40"/>
  <c r="IG22" i="40"/>
  <c r="IF22" i="40"/>
  <c r="IE22" i="40"/>
  <c r="ID22" i="40"/>
  <c r="IC22" i="40"/>
  <c r="IB22" i="40"/>
  <c r="IA22" i="40"/>
  <c r="HZ22" i="40"/>
  <c r="HY22" i="40"/>
  <c r="HX22" i="40"/>
  <c r="HW22" i="40"/>
  <c r="HV22" i="40"/>
  <c r="HU22" i="40"/>
  <c r="HT22" i="40"/>
  <c r="HS22" i="40"/>
  <c r="HR22" i="40"/>
  <c r="HQ22" i="40"/>
  <c r="HP22" i="40"/>
  <c r="HO22" i="40"/>
  <c r="HN22" i="40"/>
  <c r="HM22" i="40"/>
  <c r="HL22" i="40"/>
  <c r="HK22" i="40"/>
  <c r="HJ22" i="40"/>
  <c r="HI22" i="40"/>
  <c r="HH22" i="40"/>
  <c r="HG22" i="40"/>
  <c r="HF22" i="40"/>
  <c r="HE22" i="40"/>
  <c r="KZ21" i="40"/>
  <c r="KY21" i="40"/>
  <c r="KX21" i="40"/>
  <c r="KW21" i="40"/>
  <c r="KV21" i="40"/>
  <c r="KU21" i="40"/>
  <c r="KT21" i="40"/>
  <c r="KS21" i="40"/>
  <c r="KR21" i="40"/>
  <c r="KQ21" i="40"/>
  <c r="KP21" i="40"/>
  <c r="KO21" i="40"/>
  <c r="KN21" i="40"/>
  <c r="KM21" i="40"/>
  <c r="KL21" i="40"/>
  <c r="KK21" i="40"/>
  <c r="KJ21" i="40"/>
  <c r="KI21" i="40"/>
  <c r="KH21" i="40"/>
  <c r="KG21" i="40"/>
  <c r="KF21" i="40"/>
  <c r="KE21" i="40"/>
  <c r="KD21" i="40"/>
  <c r="KC21" i="40"/>
  <c r="KB21" i="40"/>
  <c r="KA21" i="40"/>
  <c r="JZ21" i="40"/>
  <c r="JY21" i="40"/>
  <c r="JX21" i="40"/>
  <c r="JW21" i="40"/>
  <c r="JV21" i="40"/>
  <c r="JU21" i="40"/>
  <c r="JT21" i="40"/>
  <c r="JS21" i="40"/>
  <c r="JR21" i="40"/>
  <c r="JQ21" i="40"/>
  <c r="JP21" i="40"/>
  <c r="JO21" i="40"/>
  <c r="JN21" i="40"/>
  <c r="JM21" i="40"/>
  <c r="JL21" i="40"/>
  <c r="JK21" i="40"/>
  <c r="JJ21" i="40"/>
  <c r="JI21" i="40"/>
  <c r="JH21" i="40"/>
  <c r="JG21" i="40"/>
  <c r="JF21" i="40"/>
  <c r="JE21" i="40"/>
  <c r="JD21" i="40"/>
  <c r="JC21" i="40"/>
  <c r="JB21" i="40"/>
  <c r="JA21" i="40"/>
  <c r="IZ21" i="40"/>
  <c r="IY21" i="40"/>
  <c r="IX21" i="40"/>
  <c r="IW21" i="40"/>
  <c r="IV21" i="40"/>
  <c r="IU21" i="40"/>
  <c r="IT21" i="40"/>
  <c r="IS21" i="40"/>
  <c r="IR21" i="40"/>
  <c r="IQ21" i="40"/>
  <c r="IP21" i="40"/>
  <c r="IO21" i="40"/>
  <c r="IN21" i="40"/>
  <c r="IM21" i="40"/>
  <c r="IL21" i="40"/>
  <c r="IK21" i="40"/>
  <c r="IJ21" i="40"/>
  <c r="II21" i="40"/>
  <c r="IH21" i="40"/>
  <c r="IG21" i="40"/>
  <c r="IF21" i="40"/>
  <c r="IE21" i="40"/>
  <c r="ID21" i="40"/>
  <c r="IC21" i="40"/>
  <c r="IB21" i="40"/>
  <c r="IA21" i="40"/>
  <c r="HZ21" i="40"/>
  <c r="HY21" i="40"/>
  <c r="HX21" i="40"/>
  <c r="HW21" i="40"/>
  <c r="HV21" i="40"/>
  <c r="HU21" i="40"/>
  <c r="HT21" i="40"/>
  <c r="HS21" i="40"/>
  <c r="HR21" i="40"/>
  <c r="HQ21" i="40"/>
  <c r="HP21" i="40"/>
  <c r="HO21" i="40"/>
  <c r="HN21" i="40"/>
  <c r="HM21" i="40"/>
  <c r="HL21" i="40"/>
  <c r="HK21" i="40"/>
  <c r="HJ21" i="40"/>
  <c r="HI21" i="40"/>
  <c r="HH21" i="40"/>
  <c r="HG21" i="40"/>
  <c r="HF21" i="40"/>
  <c r="HE21" i="40"/>
  <c r="KZ20" i="40"/>
  <c r="KY20" i="40"/>
  <c r="KX20" i="40"/>
  <c r="KW20" i="40"/>
  <c r="KV20" i="40"/>
  <c r="KU20" i="40"/>
  <c r="KT20" i="40"/>
  <c r="KS20" i="40"/>
  <c r="KR20" i="40"/>
  <c r="KQ20" i="40"/>
  <c r="KP20" i="40"/>
  <c r="KO20" i="40"/>
  <c r="KN20" i="40"/>
  <c r="KM20" i="40"/>
  <c r="KL20" i="40"/>
  <c r="KK20" i="40"/>
  <c r="KJ20" i="40"/>
  <c r="KI20" i="40"/>
  <c r="KH20" i="40"/>
  <c r="KG20" i="40"/>
  <c r="KF20" i="40"/>
  <c r="KE20" i="40"/>
  <c r="KD20" i="40"/>
  <c r="KC20" i="40"/>
  <c r="KB20" i="40"/>
  <c r="KA20" i="40"/>
  <c r="JZ20" i="40"/>
  <c r="JY20" i="40"/>
  <c r="JX20" i="40"/>
  <c r="JW20" i="40"/>
  <c r="JV20" i="40"/>
  <c r="JU20" i="40"/>
  <c r="JT20" i="40"/>
  <c r="JS20" i="40"/>
  <c r="JR20" i="40"/>
  <c r="JQ20" i="40"/>
  <c r="JP20" i="40"/>
  <c r="JO20" i="40"/>
  <c r="JN20" i="40"/>
  <c r="JM20" i="40"/>
  <c r="JL20" i="40"/>
  <c r="JK20" i="40"/>
  <c r="JJ20" i="40"/>
  <c r="JI20" i="40"/>
  <c r="JH20" i="40"/>
  <c r="JG20" i="40"/>
  <c r="JF20" i="40"/>
  <c r="JE20" i="40"/>
  <c r="JD20" i="40"/>
  <c r="JC20" i="40"/>
  <c r="JB20" i="40"/>
  <c r="JA20" i="40"/>
  <c r="IZ20" i="40"/>
  <c r="IY20" i="40"/>
  <c r="IX20" i="40"/>
  <c r="IW20" i="40"/>
  <c r="IV20" i="40"/>
  <c r="IU20" i="40"/>
  <c r="IT20" i="40"/>
  <c r="IS20" i="40"/>
  <c r="IR20" i="40"/>
  <c r="IQ20" i="40"/>
  <c r="IP20" i="40"/>
  <c r="IO20" i="40"/>
  <c r="IN20" i="40"/>
  <c r="IM20" i="40"/>
  <c r="IL20" i="40"/>
  <c r="IK20" i="40"/>
  <c r="IJ20" i="40"/>
  <c r="II20" i="40"/>
  <c r="IH20" i="40"/>
  <c r="IG20" i="40"/>
  <c r="IF20" i="40"/>
  <c r="IE20" i="40"/>
  <c r="ID20" i="40"/>
  <c r="IC20" i="40"/>
  <c r="IB20" i="40"/>
  <c r="IA20" i="40"/>
  <c r="HZ20" i="40"/>
  <c r="HY20" i="40"/>
  <c r="HX20" i="40"/>
  <c r="HW20" i="40"/>
  <c r="HV20" i="40"/>
  <c r="HU20" i="40"/>
  <c r="HT20" i="40"/>
  <c r="HS20" i="40"/>
  <c r="HR20" i="40"/>
  <c r="HQ20" i="40"/>
  <c r="HP20" i="40"/>
  <c r="HO20" i="40"/>
  <c r="HN20" i="40"/>
  <c r="HM20" i="40"/>
  <c r="HL20" i="40"/>
  <c r="HK20" i="40"/>
  <c r="HJ20" i="40"/>
  <c r="HI20" i="40"/>
  <c r="HH20" i="40"/>
  <c r="HG20" i="40"/>
  <c r="HF20" i="40"/>
  <c r="HE20" i="40"/>
  <c r="KZ19" i="40"/>
  <c r="KY19" i="40"/>
  <c r="KX19" i="40"/>
  <c r="KW19" i="40"/>
  <c r="KV19" i="40"/>
  <c r="KU19" i="40"/>
  <c r="KT19" i="40"/>
  <c r="KS19" i="40"/>
  <c r="KR19" i="40"/>
  <c r="KQ19" i="40"/>
  <c r="KP19" i="40"/>
  <c r="KO19" i="40"/>
  <c r="KN19" i="40"/>
  <c r="KM19" i="40"/>
  <c r="KL19" i="40"/>
  <c r="KK19" i="40"/>
  <c r="KJ19" i="40"/>
  <c r="KI19" i="40"/>
  <c r="KH19" i="40"/>
  <c r="KG19" i="40"/>
  <c r="KF19" i="40"/>
  <c r="KE19" i="40"/>
  <c r="KD19" i="40"/>
  <c r="KC19" i="40"/>
  <c r="KB19" i="40"/>
  <c r="KA19" i="40"/>
  <c r="JZ19" i="40"/>
  <c r="JY19" i="40"/>
  <c r="JX19" i="40"/>
  <c r="JW19" i="40"/>
  <c r="JV19" i="40"/>
  <c r="JU19" i="40"/>
  <c r="JT19" i="40"/>
  <c r="JS19" i="40"/>
  <c r="JR19" i="40"/>
  <c r="JQ19" i="40"/>
  <c r="JP19" i="40"/>
  <c r="JO19" i="40"/>
  <c r="JN19" i="40"/>
  <c r="JM19" i="40"/>
  <c r="JL19" i="40"/>
  <c r="JK19" i="40"/>
  <c r="JJ19" i="40"/>
  <c r="JI19" i="40"/>
  <c r="JH19" i="40"/>
  <c r="JG19" i="40"/>
  <c r="JF19" i="40"/>
  <c r="JE19" i="40"/>
  <c r="JD19" i="40"/>
  <c r="JC19" i="40"/>
  <c r="JB19" i="40"/>
  <c r="JA19" i="40"/>
  <c r="IZ19" i="40"/>
  <c r="IY19" i="40"/>
  <c r="IX19" i="40"/>
  <c r="IW19" i="40"/>
  <c r="IV19" i="40"/>
  <c r="IU19" i="40"/>
  <c r="IT19" i="40"/>
  <c r="IS19" i="40"/>
  <c r="IR19" i="40"/>
  <c r="IQ19" i="40"/>
  <c r="IP19" i="40"/>
  <c r="IO19" i="40"/>
  <c r="IN19" i="40"/>
  <c r="IM19" i="40"/>
  <c r="IL19" i="40"/>
  <c r="IK19" i="40"/>
  <c r="IJ19" i="40"/>
  <c r="II19" i="40"/>
  <c r="IH19" i="40"/>
  <c r="IG19" i="40"/>
  <c r="IF19" i="40"/>
  <c r="IE19" i="40"/>
  <c r="ID19" i="40"/>
  <c r="IC19" i="40"/>
  <c r="IB19" i="40"/>
  <c r="IA19" i="40"/>
  <c r="HZ19" i="40"/>
  <c r="HY19" i="40"/>
  <c r="HX19" i="40"/>
  <c r="HW19" i="40"/>
  <c r="HV19" i="40"/>
  <c r="HU19" i="40"/>
  <c r="HT19" i="40"/>
  <c r="HS19" i="40"/>
  <c r="HR19" i="40"/>
  <c r="HQ19" i="40"/>
  <c r="HP19" i="40"/>
  <c r="HO19" i="40"/>
  <c r="HN19" i="40"/>
  <c r="HM19" i="40"/>
  <c r="HL19" i="40"/>
  <c r="HK19" i="40"/>
  <c r="HJ19" i="40"/>
  <c r="HI19" i="40"/>
  <c r="HH19" i="40"/>
  <c r="HG19" i="40"/>
  <c r="HF19" i="40"/>
  <c r="HE19" i="40"/>
  <c r="KZ18" i="40"/>
  <c r="KY18" i="40"/>
  <c r="KX18" i="40"/>
  <c r="KW18" i="40"/>
  <c r="KV18" i="40"/>
  <c r="KU18" i="40"/>
  <c r="KT18" i="40"/>
  <c r="KS18" i="40"/>
  <c r="KR18" i="40"/>
  <c r="KQ18" i="40"/>
  <c r="KP18" i="40"/>
  <c r="KO18" i="40"/>
  <c r="KN18" i="40"/>
  <c r="KM18" i="40"/>
  <c r="KL18" i="40"/>
  <c r="KK18" i="40"/>
  <c r="KJ18" i="40"/>
  <c r="KI18" i="40"/>
  <c r="KH18" i="40"/>
  <c r="KG18" i="40"/>
  <c r="KF18" i="40"/>
  <c r="KE18" i="40"/>
  <c r="KD18" i="40"/>
  <c r="KC18" i="40"/>
  <c r="KB18" i="40"/>
  <c r="KA18" i="40"/>
  <c r="JZ18" i="40"/>
  <c r="JY18" i="40"/>
  <c r="JX18" i="40"/>
  <c r="JW18" i="40"/>
  <c r="JV18" i="40"/>
  <c r="JU18" i="40"/>
  <c r="JT18" i="40"/>
  <c r="JS18" i="40"/>
  <c r="JR18" i="40"/>
  <c r="JQ18" i="40"/>
  <c r="JP18" i="40"/>
  <c r="JO18" i="40"/>
  <c r="JN18" i="40"/>
  <c r="JM18" i="40"/>
  <c r="JL18" i="40"/>
  <c r="JK18" i="40"/>
  <c r="JJ18" i="40"/>
  <c r="JI18" i="40"/>
  <c r="JH18" i="40"/>
  <c r="JG18" i="40"/>
  <c r="JF18" i="40"/>
  <c r="JE18" i="40"/>
  <c r="JD18" i="40"/>
  <c r="JC18" i="40"/>
  <c r="JB18" i="40"/>
  <c r="JA18" i="40"/>
  <c r="IZ18" i="40"/>
  <c r="IY18" i="40"/>
  <c r="IX18" i="40"/>
  <c r="IW18" i="40"/>
  <c r="IV18" i="40"/>
  <c r="IU18" i="40"/>
  <c r="IT18" i="40"/>
  <c r="IS18" i="40"/>
  <c r="IR18" i="40"/>
  <c r="IQ18" i="40"/>
  <c r="IP18" i="40"/>
  <c r="IO18" i="40"/>
  <c r="IN18" i="40"/>
  <c r="IM18" i="40"/>
  <c r="IL18" i="40"/>
  <c r="IK18" i="40"/>
  <c r="IJ18" i="40"/>
  <c r="II18" i="40"/>
  <c r="IH18" i="40"/>
  <c r="IG18" i="40"/>
  <c r="IF18" i="40"/>
  <c r="IE18" i="40"/>
  <c r="ID18" i="40"/>
  <c r="IC18" i="40"/>
  <c r="IB18" i="40"/>
  <c r="IA18" i="40"/>
  <c r="HZ18" i="40"/>
  <c r="HY18" i="40"/>
  <c r="HX18" i="40"/>
  <c r="HW18" i="40"/>
  <c r="HV18" i="40"/>
  <c r="HU18" i="40"/>
  <c r="HT18" i="40"/>
  <c r="HS18" i="40"/>
  <c r="HR18" i="40"/>
  <c r="HQ18" i="40"/>
  <c r="HP18" i="40"/>
  <c r="HO18" i="40"/>
  <c r="HN18" i="40"/>
  <c r="HM18" i="40"/>
  <c r="HL18" i="40"/>
  <c r="HK18" i="40"/>
  <c r="HJ18" i="40"/>
  <c r="HI18" i="40"/>
  <c r="HH18" i="40"/>
  <c r="HG18" i="40"/>
  <c r="HF18" i="40"/>
  <c r="HE18" i="40"/>
  <c r="KZ17" i="40"/>
  <c r="KY17" i="40"/>
  <c r="KX17" i="40"/>
  <c r="KW17" i="40"/>
  <c r="KV17" i="40"/>
  <c r="KU17" i="40"/>
  <c r="KT17" i="40"/>
  <c r="KS17" i="40"/>
  <c r="KR17" i="40"/>
  <c r="KQ17" i="40"/>
  <c r="KP17" i="40"/>
  <c r="KO17" i="40"/>
  <c r="KN17" i="40"/>
  <c r="KM17" i="40"/>
  <c r="KL17" i="40"/>
  <c r="KK17" i="40"/>
  <c r="KJ17" i="40"/>
  <c r="KI17" i="40"/>
  <c r="KH17" i="40"/>
  <c r="KG17" i="40"/>
  <c r="KF17" i="40"/>
  <c r="KE17" i="40"/>
  <c r="KD17" i="40"/>
  <c r="KC17" i="40"/>
  <c r="KB17" i="40"/>
  <c r="KA17" i="40"/>
  <c r="JZ17" i="40"/>
  <c r="JY17" i="40"/>
  <c r="JX17" i="40"/>
  <c r="JW17" i="40"/>
  <c r="JV17" i="40"/>
  <c r="JU17" i="40"/>
  <c r="JT17" i="40"/>
  <c r="JS17" i="40"/>
  <c r="JR17" i="40"/>
  <c r="JQ17" i="40"/>
  <c r="JP17" i="40"/>
  <c r="JO17" i="40"/>
  <c r="JN17" i="40"/>
  <c r="JM17" i="40"/>
  <c r="JL17" i="40"/>
  <c r="JK17" i="40"/>
  <c r="JJ17" i="40"/>
  <c r="JI17" i="40"/>
  <c r="JH17" i="40"/>
  <c r="JG17" i="40"/>
  <c r="JF17" i="40"/>
  <c r="JE17" i="40"/>
  <c r="JD17" i="40"/>
  <c r="JC17" i="40"/>
  <c r="JB17" i="40"/>
  <c r="JA17" i="40"/>
  <c r="IZ17" i="40"/>
  <c r="IY17" i="40"/>
  <c r="IX17" i="40"/>
  <c r="IW17" i="40"/>
  <c r="IV17" i="40"/>
  <c r="IU17" i="40"/>
  <c r="IT17" i="40"/>
  <c r="IS17" i="40"/>
  <c r="IR17" i="40"/>
  <c r="IQ17" i="40"/>
  <c r="IP17" i="40"/>
  <c r="IO17" i="40"/>
  <c r="IN17" i="40"/>
  <c r="IM17" i="40"/>
  <c r="IL17" i="40"/>
  <c r="IK17" i="40"/>
  <c r="IJ17" i="40"/>
  <c r="II17" i="40"/>
  <c r="IH17" i="40"/>
  <c r="IG17" i="40"/>
  <c r="IF17" i="40"/>
  <c r="IE17" i="40"/>
  <c r="ID17" i="40"/>
  <c r="IC17" i="40"/>
  <c r="IB17" i="40"/>
  <c r="IA17" i="40"/>
  <c r="HZ17" i="40"/>
  <c r="HY17" i="40"/>
  <c r="HX17" i="40"/>
  <c r="HW17" i="40"/>
  <c r="HV17" i="40"/>
  <c r="HU17" i="40"/>
  <c r="HT17" i="40"/>
  <c r="HS17" i="40"/>
  <c r="HR17" i="40"/>
  <c r="HQ17" i="40"/>
  <c r="HP17" i="40"/>
  <c r="HO17" i="40"/>
  <c r="HN17" i="40"/>
  <c r="HM17" i="40"/>
  <c r="HL17" i="40"/>
  <c r="HK17" i="40"/>
  <c r="HJ17" i="40"/>
  <c r="HI17" i="40"/>
  <c r="HH17" i="40"/>
  <c r="HG17" i="40"/>
  <c r="HF17" i="40"/>
  <c r="HE17" i="40"/>
  <c r="KZ16" i="40"/>
  <c r="KY16" i="40"/>
  <c r="KX16" i="40"/>
  <c r="KW16" i="40"/>
  <c r="KV16" i="40"/>
  <c r="KU16" i="40"/>
  <c r="KT16" i="40"/>
  <c r="KS16" i="40"/>
  <c r="KR16" i="40"/>
  <c r="KQ16" i="40"/>
  <c r="KP16" i="40"/>
  <c r="KO16" i="40"/>
  <c r="KN16" i="40"/>
  <c r="KM16" i="40"/>
  <c r="KL16" i="40"/>
  <c r="KK16" i="40"/>
  <c r="KJ16" i="40"/>
  <c r="KI16" i="40"/>
  <c r="KH16" i="40"/>
  <c r="KG16" i="40"/>
  <c r="KF16" i="40"/>
  <c r="KE16" i="40"/>
  <c r="KD16" i="40"/>
  <c r="KC16" i="40"/>
  <c r="KB16" i="40"/>
  <c r="KA16" i="40"/>
  <c r="JZ16" i="40"/>
  <c r="JY16" i="40"/>
  <c r="JX16" i="40"/>
  <c r="JW16" i="40"/>
  <c r="JV16" i="40"/>
  <c r="JU16" i="40"/>
  <c r="JT16" i="40"/>
  <c r="JS16" i="40"/>
  <c r="JR16" i="40"/>
  <c r="JQ16" i="40"/>
  <c r="JP16" i="40"/>
  <c r="JO16" i="40"/>
  <c r="JN16" i="40"/>
  <c r="JM16" i="40"/>
  <c r="JL16" i="40"/>
  <c r="JK16" i="40"/>
  <c r="JJ16" i="40"/>
  <c r="JI16" i="40"/>
  <c r="JH16" i="40"/>
  <c r="JG16" i="40"/>
  <c r="JF16" i="40"/>
  <c r="JE16" i="40"/>
  <c r="JD16" i="40"/>
  <c r="JC16" i="40"/>
  <c r="JB16" i="40"/>
  <c r="JA16" i="40"/>
  <c r="IZ16" i="40"/>
  <c r="IY16" i="40"/>
  <c r="IX16" i="40"/>
  <c r="IW16" i="40"/>
  <c r="IV16" i="40"/>
  <c r="IU16" i="40"/>
  <c r="IT16" i="40"/>
  <c r="IS16" i="40"/>
  <c r="IR16" i="40"/>
  <c r="IQ16" i="40"/>
  <c r="IP16" i="40"/>
  <c r="IO16" i="40"/>
  <c r="IN16" i="40"/>
  <c r="IM16" i="40"/>
  <c r="IL16" i="40"/>
  <c r="IK16" i="40"/>
  <c r="IJ16" i="40"/>
  <c r="II16" i="40"/>
  <c r="IH16" i="40"/>
  <c r="IG16" i="40"/>
  <c r="IF16" i="40"/>
  <c r="IE16" i="40"/>
  <c r="ID16" i="40"/>
  <c r="IC16" i="40"/>
  <c r="IB16" i="40"/>
  <c r="IA16" i="40"/>
  <c r="HZ16" i="40"/>
  <c r="HY16" i="40"/>
  <c r="HX16" i="40"/>
  <c r="HW16" i="40"/>
  <c r="HV16" i="40"/>
  <c r="HU16" i="40"/>
  <c r="HT16" i="40"/>
  <c r="HS16" i="40"/>
  <c r="HR16" i="40"/>
  <c r="HQ16" i="40"/>
  <c r="HP16" i="40"/>
  <c r="HO16" i="40"/>
  <c r="HN16" i="40"/>
  <c r="HM16" i="40"/>
  <c r="HL16" i="40"/>
  <c r="HK16" i="40"/>
  <c r="HJ16" i="40"/>
  <c r="HI16" i="40"/>
  <c r="HH16" i="40"/>
  <c r="HG16" i="40"/>
  <c r="HF16" i="40"/>
  <c r="HE16" i="40"/>
  <c r="KZ15" i="40"/>
  <c r="KY15" i="40"/>
  <c r="KX15" i="40"/>
  <c r="KW15" i="40"/>
  <c r="KV15" i="40"/>
  <c r="KU15" i="40"/>
  <c r="KT15" i="40"/>
  <c r="KS15" i="40"/>
  <c r="KR15" i="40"/>
  <c r="KQ15" i="40"/>
  <c r="KP15" i="40"/>
  <c r="KO15" i="40"/>
  <c r="KN15" i="40"/>
  <c r="KM15" i="40"/>
  <c r="KL15" i="40"/>
  <c r="KK15" i="40"/>
  <c r="KJ15" i="40"/>
  <c r="KI15" i="40"/>
  <c r="KH15" i="40"/>
  <c r="KG15" i="40"/>
  <c r="KF15" i="40"/>
  <c r="KE15" i="40"/>
  <c r="KD15" i="40"/>
  <c r="KC15" i="40"/>
  <c r="KB15" i="40"/>
  <c r="KA15" i="40"/>
  <c r="JZ15" i="40"/>
  <c r="JY15" i="40"/>
  <c r="JX15" i="40"/>
  <c r="JW15" i="40"/>
  <c r="JV15" i="40"/>
  <c r="JU15" i="40"/>
  <c r="JT15" i="40"/>
  <c r="JS15" i="40"/>
  <c r="JR15" i="40"/>
  <c r="JQ15" i="40"/>
  <c r="JP15" i="40"/>
  <c r="JO15" i="40"/>
  <c r="JN15" i="40"/>
  <c r="JM15" i="40"/>
  <c r="JL15" i="40"/>
  <c r="JK15" i="40"/>
  <c r="JJ15" i="40"/>
  <c r="JI15" i="40"/>
  <c r="JH15" i="40"/>
  <c r="JG15" i="40"/>
  <c r="JF15" i="40"/>
  <c r="JE15" i="40"/>
  <c r="JD15" i="40"/>
  <c r="JC15" i="40"/>
  <c r="JB15" i="40"/>
  <c r="JA15" i="40"/>
  <c r="IZ15" i="40"/>
  <c r="IY15" i="40"/>
  <c r="IX15" i="40"/>
  <c r="IW15" i="40"/>
  <c r="IV15" i="40"/>
  <c r="IU15" i="40"/>
  <c r="IT15" i="40"/>
  <c r="IS15" i="40"/>
  <c r="IR15" i="40"/>
  <c r="IQ15" i="40"/>
  <c r="IP15" i="40"/>
  <c r="IO15" i="40"/>
  <c r="IN15" i="40"/>
  <c r="IM15" i="40"/>
  <c r="IL15" i="40"/>
  <c r="IK15" i="40"/>
  <c r="IJ15" i="40"/>
  <c r="II15" i="40"/>
  <c r="IH15" i="40"/>
  <c r="IG15" i="40"/>
  <c r="IF15" i="40"/>
  <c r="IE15" i="40"/>
  <c r="ID15" i="40"/>
  <c r="IC15" i="40"/>
  <c r="IB15" i="40"/>
  <c r="IA15" i="40"/>
  <c r="HZ15" i="40"/>
  <c r="HY15" i="40"/>
  <c r="HX15" i="40"/>
  <c r="HW15" i="40"/>
  <c r="HV15" i="40"/>
  <c r="HU15" i="40"/>
  <c r="HT15" i="40"/>
  <c r="HS15" i="40"/>
  <c r="HR15" i="40"/>
  <c r="HQ15" i="40"/>
  <c r="HP15" i="40"/>
  <c r="HO15" i="40"/>
  <c r="HN15" i="40"/>
  <c r="HM15" i="40"/>
  <c r="HL15" i="40"/>
  <c r="HK15" i="40"/>
  <c r="HJ15" i="40"/>
  <c r="HI15" i="40"/>
  <c r="HH15" i="40"/>
  <c r="HG15" i="40"/>
  <c r="HF15" i="40"/>
  <c r="HE15" i="40"/>
  <c r="KZ14" i="40"/>
  <c r="KY14" i="40"/>
  <c r="KX14" i="40"/>
  <c r="KW14" i="40"/>
  <c r="KV14" i="40"/>
  <c r="KU14" i="40"/>
  <c r="KT14" i="40"/>
  <c r="KS14" i="40"/>
  <c r="KR14" i="40"/>
  <c r="KQ14" i="40"/>
  <c r="KP14" i="40"/>
  <c r="KO14" i="40"/>
  <c r="KN14" i="40"/>
  <c r="KM14" i="40"/>
  <c r="KL14" i="40"/>
  <c r="KK14" i="40"/>
  <c r="KJ14" i="40"/>
  <c r="KI14" i="40"/>
  <c r="KH14" i="40"/>
  <c r="KG14" i="40"/>
  <c r="KF14" i="40"/>
  <c r="KE14" i="40"/>
  <c r="KD14" i="40"/>
  <c r="KC14" i="40"/>
  <c r="KB14" i="40"/>
  <c r="KA14" i="40"/>
  <c r="JZ14" i="40"/>
  <c r="JY14" i="40"/>
  <c r="JX14" i="40"/>
  <c r="JW14" i="40"/>
  <c r="JV14" i="40"/>
  <c r="JU14" i="40"/>
  <c r="JT14" i="40"/>
  <c r="JS14" i="40"/>
  <c r="JR14" i="40"/>
  <c r="JQ14" i="40"/>
  <c r="JP14" i="40"/>
  <c r="JO14" i="40"/>
  <c r="JN14" i="40"/>
  <c r="JM14" i="40"/>
  <c r="JL14" i="40"/>
  <c r="JK14" i="40"/>
  <c r="JJ14" i="40"/>
  <c r="JI14" i="40"/>
  <c r="JH14" i="40"/>
  <c r="JG14" i="40"/>
  <c r="JF14" i="40"/>
  <c r="JE14" i="40"/>
  <c r="JD14" i="40"/>
  <c r="JC14" i="40"/>
  <c r="JB14" i="40"/>
  <c r="JA14" i="40"/>
  <c r="IZ14" i="40"/>
  <c r="IY14" i="40"/>
  <c r="IX14" i="40"/>
  <c r="IW14" i="40"/>
  <c r="IV14" i="40"/>
  <c r="IU14" i="40"/>
  <c r="IT14" i="40"/>
  <c r="IS14" i="40"/>
  <c r="IR14" i="40"/>
  <c r="IQ14" i="40"/>
  <c r="IP14" i="40"/>
  <c r="IO14" i="40"/>
  <c r="IN14" i="40"/>
  <c r="IM14" i="40"/>
  <c r="IL14" i="40"/>
  <c r="IK14" i="40"/>
  <c r="IJ14" i="40"/>
  <c r="II14" i="40"/>
  <c r="IH14" i="40"/>
  <c r="IG14" i="40"/>
  <c r="IF14" i="40"/>
  <c r="IE14" i="40"/>
  <c r="ID14" i="40"/>
  <c r="IC14" i="40"/>
  <c r="IB14" i="40"/>
  <c r="IA14" i="40"/>
  <c r="HZ14" i="40"/>
  <c r="HY14" i="40"/>
  <c r="HX14" i="40"/>
  <c r="HW14" i="40"/>
  <c r="HV14" i="40"/>
  <c r="HU14" i="40"/>
  <c r="HT14" i="40"/>
  <c r="HS14" i="40"/>
  <c r="HR14" i="40"/>
  <c r="HQ14" i="40"/>
  <c r="HP14" i="40"/>
  <c r="HO14" i="40"/>
  <c r="HN14" i="40"/>
  <c r="HM14" i="40"/>
  <c r="HL14" i="40"/>
  <c r="HK14" i="40"/>
  <c r="HJ14" i="40"/>
  <c r="HI14" i="40"/>
  <c r="HH14" i="40"/>
  <c r="HG14" i="40"/>
  <c r="HF14" i="40"/>
  <c r="HE14" i="40"/>
  <c r="KZ13" i="40"/>
  <c r="KY13" i="40"/>
  <c r="KX13" i="40"/>
  <c r="KW13" i="40"/>
  <c r="KV13" i="40"/>
  <c r="KU13" i="40"/>
  <c r="KT13" i="40"/>
  <c r="KS13" i="40"/>
  <c r="KR13" i="40"/>
  <c r="KQ13" i="40"/>
  <c r="KP13" i="40"/>
  <c r="KO13" i="40"/>
  <c r="KN13" i="40"/>
  <c r="KM13" i="40"/>
  <c r="KL13" i="40"/>
  <c r="KK13" i="40"/>
  <c r="KJ13" i="40"/>
  <c r="KI13" i="40"/>
  <c r="KH13" i="40"/>
  <c r="KG13" i="40"/>
  <c r="KF13" i="40"/>
  <c r="KE13" i="40"/>
  <c r="KD13" i="40"/>
  <c r="KC13" i="40"/>
  <c r="KB13" i="40"/>
  <c r="KA13" i="40"/>
  <c r="JZ13" i="40"/>
  <c r="JY13" i="40"/>
  <c r="JX13" i="40"/>
  <c r="JW13" i="40"/>
  <c r="JV13" i="40"/>
  <c r="JU13" i="40"/>
  <c r="JT13" i="40"/>
  <c r="JS13" i="40"/>
  <c r="JR13" i="40"/>
  <c r="JQ13" i="40"/>
  <c r="JP13" i="40"/>
  <c r="JO13" i="40"/>
  <c r="JN13" i="40"/>
  <c r="JM13" i="40"/>
  <c r="JL13" i="40"/>
  <c r="JK13" i="40"/>
  <c r="JJ13" i="40"/>
  <c r="JI13" i="40"/>
  <c r="JH13" i="40"/>
  <c r="JG13" i="40"/>
  <c r="JF13" i="40"/>
  <c r="JE13" i="40"/>
  <c r="JD13" i="40"/>
  <c r="JC13" i="40"/>
  <c r="JB13" i="40"/>
  <c r="JA13" i="40"/>
  <c r="IZ13" i="40"/>
  <c r="IY13" i="40"/>
  <c r="IX13" i="40"/>
  <c r="IW13" i="40"/>
  <c r="IV13" i="40"/>
  <c r="IU13" i="40"/>
  <c r="IT13" i="40"/>
  <c r="IS13" i="40"/>
  <c r="IR13" i="40"/>
  <c r="IQ13" i="40"/>
  <c r="IP13" i="40"/>
  <c r="IO13" i="40"/>
  <c r="IN13" i="40"/>
  <c r="IM13" i="40"/>
  <c r="IL13" i="40"/>
  <c r="IK13" i="40"/>
  <c r="IJ13" i="40"/>
  <c r="II13" i="40"/>
  <c r="IH13" i="40"/>
  <c r="IG13" i="40"/>
  <c r="IF13" i="40"/>
  <c r="IE13" i="40"/>
  <c r="ID13" i="40"/>
  <c r="IC13" i="40"/>
  <c r="IB13" i="40"/>
  <c r="IA13" i="40"/>
  <c r="HZ13" i="40"/>
  <c r="HY13" i="40"/>
  <c r="HX13" i="40"/>
  <c r="HW13" i="40"/>
  <c r="HV13" i="40"/>
  <c r="HU13" i="40"/>
  <c r="HT13" i="40"/>
  <c r="HS13" i="40"/>
  <c r="HR13" i="40"/>
  <c r="HQ13" i="40"/>
  <c r="HP13" i="40"/>
  <c r="HO13" i="40"/>
  <c r="HN13" i="40"/>
  <c r="HM13" i="40"/>
  <c r="HL13" i="40"/>
  <c r="HK13" i="40"/>
  <c r="HJ13" i="40"/>
  <c r="HI13" i="40"/>
  <c r="HH13" i="40"/>
  <c r="HG13" i="40"/>
  <c r="HF13" i="40"/>
  <c r="HE13" i="40"/>
  <c r="KZ12" i="40"/>
  <c r="KY12" i="40"/>
  <c r="KX12" i="40"/>
  <c r="KW12" i="40"/>
  <c r="KV12" i="40"/>
  <c r="KU12" i="40"/>
  <c r="KT12" i="40"/>
  <c r="KS12" i="40"/>
  <c r="KR12" i="40"/>
  <c r="KQ12" i="40"/>
  <c r="KP12" i="40"/>
  <c r="KO12" i="40"/>
  <c r="KN12" i="40"/>
  <c r="KM12" i="40"/>
  <c r="KL12" i="40"/>
  <c r="KK12" i="40"/>
  <c r="KJ12" i="40"/>
  <c r="KI12" i="40"/>
  <c r="KH12" i="40"/>
  <c r="KG12" i="40"/>
  <c r="KF12" i="40"/>
  <c r="KE12" i="40"/>
  <c r="KD12" i="40"/>
  <c r="KC12" i="40"/>
  <c r="KB12" i="40"/>
  <c r="KA12" i="40"/>
  <c r="JZ12" i="40"/>
  <c r="JY12" i="40"/>
  <c r="JX12" i="40"/>
  <c r="JW12" i="40"/>
  <c r="JV12" i="40"/>
  <c r="JU12" i="40"/>
  <c r="JT12" i="40"/>
  <c r="JS12" i="40"/>
  <c r="JR12" i="40"/>
  <c r="JQ12" i="40"/>
  <c r="JP12" i="40"/>
  <c r="JO12" i="40"/>
  <c r="JN12" i="40"/>
  <c r="JM12" i="40"/>
  <c r="JL12" i="40"/>
  <c r="JK12" i="40"/>
  <c r="JJ12" i="40"/>
  <c r="JI12" i="40"/>
  <c r="JH12" i="40"/>
  <c r="JG12" i="40"/>
  <c r="JF12" i="40"/>
  <c r="JE12" i="40"/>
  <c r="JD12" i="40"/>
  <c r="JC12" i="40"/>
  <c r="JB12" i="40"/>
  <c r="JA12" i="40"/>
  <c r="IZ12" i="40"/>
  <c r="IY12" i="40"/>
  <c r="IX12" i="40"/>
  <c r="IW12" i="40"/>
  <c r="IV12" i="40"/>
  <c r="IU12" i="40"/>
  <c r="IT12" i="40"/>
  <c r="IS12" i="40"/>
  <c r="IR12" i="40"/>
  <c r="IQ12" i="40"/>
  <c r="IP12" i="40"/>
  <c r="IO12" i="40"/>
  <c r="IN12" i="40"/>
  <c r="IM12" i="40"/>
  <c r="IL12" i="40"/>
  <c r="IK12" i="40"/>
  <c r="IJ12" i="40"/>
  <c r="II12" i="40"/>
  <c r="IH12" i="40"/>
  <c r="IG12" i="40"/>
  <c r="IF12" i="40"/>
  <c r="IE12" i="40"/>
  <c r="ID12" i="40"/>
  <c r="IC12" i="40"/>
  <c r="IB12" i="40"/>
  <c r="IA12" i="40"/>
  <c r="HZ12" i="40"/>
  <c r="HY12" i="40"/>
  <c r="HX12" i="40"/>
  <c r="HW12" i="40"/>
  <c r="HV12" i="40"/>
  <c r="HU12" i="40"/>
  <c r="HT12" i="40"/>
  <c r="HS12" i="40"/>
  <c r="HR12" i="40"/>
  <c r="HQ12" i="40"/>
  <c r="HP12" i="40"/>
  <c r="HO12" i="40"/>
  <c r="HN12" i="40"/>
  <c r="HM12" i="40"/>
  <c r="HL12" i="40"/>
  <c r="HK12" i="40"/>
  <c r="HJ12" i="40"/>
  <c r="HI12" i="40"/>
  <c r="HH12" i="40"/>
  <c r="HG12" i="40"/>
  <c r="HF12" i="40"/>
  <c r="HE12" i="40"/>
  <c r="KZ11" i="40"/>
  <c r="KY11" i="40"/>
  <c r="KX11" i="40"/>
  <c r="KW11" i="40"/>
  <c r="KV11" i="40"/>
  <c r="KU11" i="40"/>
  <c r="KT11" i="40"/>
  <c r="KS11" i="40"/>
  <c r="KR11" i="40"/>
  <c r="KQ11" i="40"/>
  <c r="KP11" i="40"/>
  <c r="KO11" i="40"/>
  <c r="KN11" i="40"/>
  <c r="KM11" i="40"/>
  <c r="KL11" i="40"/>
  <c r="KK11" i="40"/>
  <c r="KJ11" i="40"/>
  <c r="KI11" i="40"/>
  <c r="KH11" i="40"/>
  <c r="KG11" i="40"/>
  <c r="KF11" i="40"/>
  <c r="KE11" i="40"/>
  <c r="KD11" i="40"/>
  <c r="KC11" i="40"/>
  <c r="KB11" i="40"/>
  <c r="KA11" i="40"/>
  <c r="JZ11" i="40"/>
  <c r="JY11" i="40"/>
  <c r="JX11" i="40"/>
  <c r="JW11" i="40"/>
  <c r="JV11" i="40"/>
  <c r="JU11" i="40"/>
  <c r="JT11" i="40"/>
  <c r="JS11" i="40"/>
  <c r="JR11" i="40"/>
  <c r="JQ11" i="40"/>
  <c r="JP11" i="40"/>
  <c r="JO11" i="40"/>
  <c r="JN11" i="40"/>
  <c r="JM11" i="40"/>
  <c r="JL11" i="40"/>
  <c r="JK11" i="40"/>
  <c r="JJ11" i="40"/>
  <c r="JI11" i="40"/>
  <c r="JH11" i="40"/>
  <c r="JG11" i="40"/>
  <c r="JF11" i="40"/>
  <c r="JE11" i="40"/>
  <c r="JD11" i="40"/>
  <c r="JC11" i="40"/>
  <c r="JB11" i="40"/>
  <c r="JA11" i="40"/>
  <c r="IZ11" i="40"/>
  <c r="IY11" i="40"/>
  <c r="IX11" i="40"/>
  <c r="IW11" i="40"/>
  <c r="IV11" i="40"/>
  <c r="IU11" i="40"/>
  <c r="IT11" i="40"/>
  <c r="IS11" i="40"/>
  <c r="IR11" i="40"/>
  <c r="IQ11" i="40"/>
  <c r="IP11" i="40"/>
  <c r="IO11" i="40"/>
  <c r="IN11" i="40"/>
  <c r="IM11" i="40"/>
  <c r="IL11" i="40"/>
  <c r="IK11" i="40"/>
  <c r="IJ11" i="40"/>
  <c r="II11" i="40"/>
  <c r="IH11" i="40"/>
  <c r="IG11" i="40"/>
  <c r="IF11" i="40"/>
  <c r="IE11" i="40"/>
  <c r="ID11" i="40"/>
  <c r="IC11" i="40"/>
  <c r="IB11" i="40"/>
  <c r="IA11" i="40"/>
  <c r="HZ11" i="40"/>
  <c r="HY11" i="40"/>
  <c r="HX11" i="40"/>
  <c r="HW11" i="40"/>
  <c r="HV11" i="40"/>
  <c r="HU11" i="40"/>
  <c r="HT11" i="40"/>
  <c r="HS11" i="40"/>
  <c r="HR11" i="40"/>
  <c r="HQ11" i="40"/>
  <c r="HP11" i="40"/>
  <c r="HO11" i="40"/>
  <c r="HN11" i="40"/>
  <c r="HM11" i="40"/>
  <c r="HL11" i="40"/>
  <c r="HK11" i="40"/>
  <c r="HJ11" i="40"/>
  <c r="HI11" i="40"/>
  <c r="HH11" i="40"/>
  <c r="HG11" i="40"/>
  <c r="HF11" i="40"/>
  <c r="HE11" i="40"/>
  <c r="KZ10" i="40"/>
  <c r="KY10" i="40"/>
  <c r="KX10" i="40"/>
  <c r="KW10" i="40"/>
  <c r="KV10" i="40"/>
  <c r="KU10" i="40"/>
  <c r="KT10" i="40"/>
  <c r="KS10" i="40"/>
  <c r="KR10" i="40"/>
  <c r="KQ10" i="40"/>
  <c r="KP10" i="40"/>
  <c r="KO10" i="40"/>
  <c r="KN10" i="40"/>
  <c r="KM10" i="40"/>
  <c r="KL10" i="40"/>
  <c r="KK10" i="40"/>
  <c r="KJ10" i="40"/>
  <c r="KI10" i="40"/>
  <c r="KH10" i="40"/>
  <c r="KG10" i="40"/>
  <c r="KF10" i="40"/>
  <c r="KE10" i="40"/>
  <c r="KD10" i="40"/>
  <c r="KC10" i="40"/>
  <c r="KB10" i="40"/>
  <c r="KA10" i="40"/>
  <c r="JZ10" i="40"/>
  <c r="JY10" i="40"/>
  <c r="JX10" i="40"/>
  <c r="JW10" i="40"/>
  <c r="JV10" i="40"/>
  <c r="JU10" i="40"/>
  <c r="JT10" i="40"/>
  <c r="JS10" i="40"/>
  <c r="JR10" i="40"/>
  <c r="JQ10" i="40"/>
  <c r="JP10" i="40"/>
  <c r="JO10" i="40"/>
  <c r="JN10" i="40"/>
  <c r="JM10" i="40"/>
  <c r="JL10" i="40"/>
  <c r="JK10" i="40"/>
  <c r="JJ10" i="40"/>
  <c r="JI10" i="40"/>
  <c r="JH10" i="40"/>
  <c r="JG10" i="40"/>
  <c r="JF10" i="40"/>
  <c r="JE10" i="40"/>
  <c r="JD10" i="40"/>
  <c r="JC10" i="40"/>
  <c r="JB10" i="40"/>
  <c r="JA10" i="40"/>
  <c r="IZ10" i="40"/>
  <c r="IY10" i="40"/>
  <c r="IX10" i="40"/>
  <c r="IW10" i="40"/>
  <c r="IV10" i="40"/>
  <c r="IU10" i="40"/>
  <c r="IT10" i="40"/>
  <c r="IS10" i="40"/>
  <c r="IR10" i="40"/>
  <c r="IQ10" i="40"/>
  <c r="IP10" i="40"/>
  <c r="IO10" i="40"/>
  <c r="IN10" i="40"/>
  <c r="IM10" i="40"/>
  <c r="IL10" i="40"/>
  <c r="IK10" i="40"/>
  <c r="IJ10" i="40"/>
  <c r="II10" i="40"/>
  <c r="IH10" i="40"/>
  <c r="IG10" i="40"/>
  <c r="IF10" i="40"/>
  <c r="IE10" i="40"/>
  <c r="ID10" i="40"/>
  <c r="IC10" i="40"/>
  <c r="IB10" i="40"/>
  <c r="IA10" i="40"/>
  <c r="HZ10" i="40"/>
  <c r="HY10" i="40"/>
  <c r="HX10" i="40"/>
  <c r="HW10" i="40"/>
  <c r="HV10" i="40"/>
  <c r="HU10" i="40"/>
  <c r="HT10" i="40"/>
  <c r="HS10" i="40"/>
  <c r="HR10" i="40"/>
  <c r="HQ10" i="40"/>
  <c r="HP10" i="40"/>
  <c r="HO10" i="40"/>
  <c r="HN10" i="40"/>
  <c r="HM10" i="40"/>
  <c r="HL10" i="40"/>
  <c r="HK10" i="40"/>
  <c r="HJ10" i="40"/>
  <c r="HI10" i="40"/>
  <c r="HH10" i="40"/>
  <c r="HG10" i="40"/>
  <c r="HF10" i="40"/>
  <c r="HE10" i="40"/>
  <c r="KZ9" i="40"/>
  <c r="KY9" i="40"/>
  <c r="KX9" i="40"/>
  <c r="KW9" i="40"/>
  <c r="KV9" i="40"/>
  <c r="KU9" i="40"/>
  <c r="KT9" i="40"/>
  <c r="KS9" i="40"/>
  <c r="KR9" i="40"/>
  <c r="KQ9" i="40"/>
  <c r="KP9" i="40"/>
  <c r="KO9" i="40"/>
  <c r="KN9" i="40"/>
  <c r="KM9" i="40"/>
  <c r="KL9" i="40"/>
  <c r="KK9" i="40"/>
  <c r="KJ9" i="40"/>
  <c r="KI9" i="40"/>
  <c r="KH9" i="40"/>
  <c r="KG9" i="40"/>
  <c r="KF9" i="40"/>
  <c r="KE9" i="40"/>
  <c r="KD9" i="40"/>
  <c r="KC9" i="40"/>
  <c r="KB9" i="40"/>
  <c r="KA9" i="40"/>
  <c r="JZ9" i="40"/>
  <c r="JY9" i="40"/>
  <c r="JX9" i="40"/>
  <c r="JW9" i="40"/>
  <c r="JV9" i="40"/>
  <c r="JU9" i="40"/>
  <c r="JT9" i="40"/>
  <c r="JS9" i="40"/>
  <c r="JR9" i="40"/>
  <c r="JQ9" i="40"/>
  <c r="JP9" i="40"/>
  <c r="JO9" i="40"/>
  <c r="JN9" i="40"/>
  <c r="JM9" i="40"/>
  <c r="JL9" i="40"/>
  <c r="JK9" i="40"/>
  <c r="JJ9" i="40"/>
  <c r="JI9" i="40"/>
  <c r="JH9" i="40"/>
  <c r="JG9" i="40"/>
  <c r="JF9" i="40"/>
  <c r="JE9" i="40"/>
  <c r="JD9" i="40"/>
  <c r="JC9" i="40"/>
  <c r="JB9" i="40"/>
  <c r="JA9" i="40"/>
  <c r="IZ9" i="40"/>
  <c r="IY9" i="40"/>
  <c r="IX9" i="40"/>
  <c r="IW9" i="40"/>
  <c r="IV9" i="40"/>
  <c r="IU9" i="40"/>
  <c r="IT9" i="40"/>
  <c r="IS9" i="40"/>
  <c r="IR9" i="40"/>
  <c r="IQ9" i="40"/>
  <c r="IP9" i="40"/>
  <c r="IO9" i="40"/>
  <c r="IN9" i="40"/>
  <c r="IM9" i="40"/>
  <c r="IL9" i="40"/>
  <c r="IK9" i="40"/>
  <c r="IJ9" i="40"/>
  <c r="II9" i="40"/>
  <c r="IH9" i="40"/>
  <c r="IG9" i="40"/>
  <c r="IF9" i="40"/>
  <c r="IE9" i="40"/>
  <c r="ID9" i="40"/>
  <c r="IC9" i="40"/>
  <c r="IB9" i="40"/>
  <c r="IA9" i="40"/>
  <c r="HZ9" i="40"/>
  <c r="HY9" i="40"/>
  <c r="HX9" i="40"/>
  <c r="HW9" i="40"/>
  <c r="HV9" i="40"/>
  <c r="HU9" i="40"/>
  <c r="HT9" i="40"/>
  <c r="HS9" i="40"/>
  <c r="HR9" i="40"/>
  <c r="HQ9" i="40"/>
  <c r="HP9" i="40"/>
  <c r="HO9" i="40"/>
  <c r="HN9" i="40"/>
  <c r="HM9" i="40"/>
  <c r="HL9" i="40"/>
  <c r="HK9" i="40"/>
  <c r="HJ9" i="40"/>
  <c r="HI9" i="40"/>
  <c r="HH9" i="40"/>
  <c r="HG9" i="40"/>
  <c r="HF9" i="40"/>
  <c r="HE9" i="40"/>
  <c r="KZ8" i="40"/>
  <c r="KY8" i="40"/>
  <c r="KX8" i="40"/>
  <c r="KW8" i="40"/>
  <c r="KV8" i="40"/>
  <c r="KU8" i="40"/>
  <c r="KT8" i="40"/>
  <c r="KS8" i="40"/>
  <c r="KR8" i="40"/>
  <c r="KQ8" i="40"/>
  <c r="KP8" i="40"/>
  <c r="KO8" i="40"/>
  <c r="KN8" i="40"/>
  <c r="KM8" i="40"/>
  <c r="KL8" i="40"/>
  <c r="KK8" i="40"/>
  <c r="KJ8" i="40"/>
  <c r="KI8" i="40"/>
  <c r="KH8" i="40"/>
  <c r="KG8" i="40"/>
  <c r="KF8" i="40"/>
  <c r="KE8" i="40"/>
  <c r="KD8" i="40"/>
  <c r="KC8" i="40"/>
  <c r="KB8" i="40"/>
  <c r="KA8" i="40"/>
  <c r="JZ8" i="40"/>
  <c r="JY8" i="40"/>
  <c r="JX8" i="40"/>
  <c r="JW8" i="40"/>
  <c r="JV8" i="40"/>
  <c r="JU8" i="40"/>
  <c r="JT8" i="40"/>
  <c r="JS8" i="40"/>
  <c r="JR8" i="40"/>
  <c r="JQ8" i="40"/>
  <c r="JP8" i="40"/>
  <c r="JO8" i="40"/>
  <c r="JN8" i="40"/>
  <c r="JM8" i="40"/>
  <c r="JL8" i="40"/>
  <c r="JK8" i="40"/>
  <c r="JJ8" i="40"/>
  <c r="JI8" i="40"/>
  <c r="JH8" i="40"/>
  <c r="JG8" i="40"/>
  <c r="JF8" i="40"/>
  <c r="JE8" i="40"/>
  <c r="JD8" i="40"/>
  <c r="JC8" i="40"/>
  <c r="JB8" i="40"/>
  <c r="JA8" i="40"/>
  <c r="IZ8" i="40"/>
  <c r="IY8" i="40"/>
  <c r="IX8" i="40"/>
  <c r="IW8" i="40"/>
  <c r="IV8" i="40"/>
  <c r="IU8" i="40"/>
  <c r="IT8" i="40"/>
  <c r="IS8" i="40"/>
  <c r="IR8" i="40"/>
  <c r="IQ8" i="40"/>
  <c r="IP8" i="40"/>
  <c r="IO8" i="40"/>
  <c r="IN8" i="40"/>
  <c r="IM8" i="40"/>
  <c r="IL8" i="40"/>
  <c r="IK8" i="40"/>
  <c r="IJ8" i="40"/>
  <c r="II8" i="40"/>
  <c r="IH8" i="40"/>
  <c r="IG8" i="40"/>
  <c r="IF8" i="40"/>
  <c r="IE8" i="40"/>
  <c r="ID8" i="40"/>
  <c r="IC8" i="40"/>
  <c r="IB8" i="40"/>
  <c r="IA8" i="40"/>
  <c r="HZ8" i="40"/>
  <c r="HY8" i="40"/>
  <c r="HX8" i="40"/>
  <c r="HW8" i="40"/>
  <c r="HV8" i="40"/>
  <c r="HU8" i="40"/>
  <c r="HT8" i="40"/>
  <c r="HS8" i="40"/>
  <c r="HR8" i="40"/>
  <c r="HQ8" i="40"/>
  <c r="HP8" i="40"/>
  <c r="HO8" i="40"/>
  <c r="HN8" i="40"/>
  <c r="HM8" i="40"/>
  <c r="HL8" i="40"/>
  <c r="HK8" i="40"/>
  <c r="HJ8" i="40"/>
  <c r="HI8" i="40"/>
  <c r="HH8" i="40"/>
  <c r="HG8" i="40"/>
  <c r="HF8" i="40"/>
  <c r="HE8" i="40"/>
  <c r="KZ7" i="40"/>
  <c r="KY7" i="40"/>
  <c r="KX7" i="40"/>
  <c r="KW7" i="40"/>
  <c r="KV7" i="40"/>
  <c r="KU7" i="40"/>
  <c r="KT7" i="40"/>
  <c r="KS7" i="40"/>
  <c r="KR7" i="40"/>
  <c r="KQ7" i="40"/>
  <c r="KP7" i="40"/>
  <c r="KO7" i="40"/>
  <c r="KN7" i="40"/>
  <c r="KM7" i="40"/>
  <c r="KL7" i="40"/>
  <c r="KK7" i="40"/>
  <c r="KJ7" i="40"/>
  <c r="KI7" i="40"/>
  <c r="KH7" i="40"/>
  <c r="KG7" i="40"/>
  <c r="KF7" i="40"/>
  <c r="KE7" i="40"/>
  <c r="KD7" i="40"/>
  <c r="KC7" i="40"/>
  <c r="KB7" i="40"/>
  <c r="KA7" i="40"/>
  <c r="JZ7" i="40"/>
  <c r="JY7" i="40"/>
  <c r="JX7" i="40"/>
  <c r="JW7" i="40"/>
  <c r="JV7" i="40"/>
  <c r="JU7" i="40"/>
  <c r="JT7" i="40"/>
  <c r="JS7" i="40"/>
  <c r="JR7" i="40"/>
  <c r="JQ7" i="40"/>
  <c r="JP7" i="40"/>
  <c r="JO7" i="40"/>
  <c r="JN7" i="40"/>
  <c r="JM7" i="40"/>
  <c r="JL7" i="40"/>
  <c r="JK7" i="40"/>
  <c r="JJ7" i="40"/>
  <c r="JI7" i="40"/>
  <c r="JH7" i="40"/>
  <c r="JG7" i="40"/>
  <c r="JF7" i="40"/>
  <c r="JE7" i="40"/>
  <c r="JD7" i="40"/>
  <c r="JC7" i="40"/>
  <c r="JB7" i="40"/>
  <c r="JA7" i="40"/>
  <c r="IZ7" i="40"/>
  <c r="IY7" i="40"/>
  <c r="IX7" i="40"/>
  <c r="IW7" i="40"/>
  <c r="IV7" i="40"/>
  <c r="IU7" i="40"/>
  <c r="IT7" i="40"/>
  <c r="IS7" i="40"/>
  <c r="IR7" i="40"/>
  <c r="IQ7" i="40"/>
  <c r="IP7" i="40"/>
  <c r="IO7" i="40"/>
  <c r="IN7" i="40"/>
  <c r="IM7" i="40"/>
  <c r="IL7" i="40"/>
  <c r="IK7" i="40"/>
  <c r="IJ7" i="40"/>
  <c r="II7" i="40"/>
  <c r="IH7" i="40"/>
  <c r="IG7" i="40"/>
  <c r="IF7" i="40"/>
  <c r="IE7" i="40"/>
  <c r="ID7" i="40"/>
  <c r="IC7" i="40"/>
  <c r="IB7" i="40"/>
  <c r="IA7" i="40"/>
  <c r="HZ7" i="40"/>
  <c r="HY7" i="40"/>
  <c r="HX7" i="40"/>
  <c r="HW7" i="40"/>
  <c r="HV7" i="40"/>
  <c r="HU7" i="40"/>
  <c r="HT7" i="40"/>
  <c r="HS7" i="40"/>
  <c r="HR7" i="40"/>
  <c r="HQ7" i="40"/>
  <c r="HP7" i="40"/>
  <c r="HO7" i="40"/>
  <c r="HN7" i="40"/>
  <c r="HM7" i="40"/>
  <c r="HL7" i="40"/>
  <c r="HK7" i="40"/>
  <c r="HJ7" i="40"/>
  <c r="HI7" i="40"/>
  <c r="HH7" i="40"/>
  <c r="HG7" i="40"/>
  <c r="HF7" i="40"/>
  <c r="HE7" i="40"/>
  <c r="KZ6" i="40"/>
  <c r="KY6" i="40"/>
  <c r="KX6" i="40"/>
  <c r="KW6" i="40"/>
  <c r="KV6" i="40"/>
  <c r="KU6" i="40"/>
  <c r="KT6" i="40"/>
  <c r="KS6" i="40"/>
  <c r="KR6" i="40"/>
  <c r="KQ6" i="40"/>
  <c r="KP6" i="40"/>
  <c r="KO6" i="40"/>
  <c r="KN6" i="40"/>
  <c r="KM6" i="40"/>
  <c r="KL6" i="40"/>
  <c r="KK6" i="40"/>
  <c r="KJ6" i="40"/>
  <c r="KI6" i="40"/>
  <c r="KH6" i="40"/>
  <c r="KG6" i="40"/>
  <c r="KF6" i="40"/>
  <c r="KE6" i="40"/>
  <c r="KD6" i="40"/>
  <c r="KC6" i="40"/>
  <c r="KB6" i="40"/>
  <c r="KA6" i="40"/>
  <c r="JZ6" i="40"/>
  <c r="JY6" i="40"/>
  <c r="JX6" i="40"/>
  <c r="JW6" i="40"/>
  <c r="JV6" i="40"/>
  <c r="JU6" i="40"/>
  <c r="JT6" i="40"/>
  <c r="JS6" i="40"/>
  <c r="JR6" i="40"/>
  <c r="JQ6" i="40"/>
  <c r="JP6" i="40"/>
  <c r="JO6" i="40"/>
  <c r="JN6" i="40"/>
  <c r="JM6" i="40"/>
  <c r="JL6" i="40"/>
  <c r="JK6" i="40"/>
  <c r="JJ6" i="40"/>
  <c r="JI6" i="40"/>
  <c r="JH6" i="40"/>
  <c r="JG6" i="40"/>
  <c r="JF6" i="40"/>
  <c r="JE6" i="40"/>
  <c r="JD6" i="40"/>
  <c r="JC6" i="40"/>
  <c r="JB6" i="40"/>
  <c r="JA6" i="40"/>
  <c r="IZ6" i="40"/>
  <c r="IY6" i="40"/>
  <c r="IX6" i="40"/>
  <c r="IW6" i="40"/>
  <c r="IV6" i="40"/>
  <c r="IU6" i="40"/>
  <c r="IT6" i="40"/>
  <c r="IS6" i="40"/>
  <c r="IR6" i="40"/>
  <c r="IQ6" i="40"/>
  <c r="IP6" i="40"/>
  <c r="IO6" i="40"/>
  <c r="IN6" i="40"/>
  <c r="IM6" i="40"/>
  <c r="IL6" i="40"/>
  <c r="IK6" i="40"/>
  <c r="IJ6" i="40"/>
  <c r="II6" i="40"/>
  <c r="IH6" i="40"/>
  <c r="IG6" i="40"/>
  <c r="IF6" i="40"/>
  <c r="IE6" i="40"/>
  <c r="ID6" i="40"/>
  <c r="IC6" i="40"/>
  <c r="IB6" i="40"/>
  <c r="IA6" i="40"/>
  <c r="HZ6" i="40"/>
  <c r="HY6" i="40"/>
  <c r="HX6" i="40"/>
  <c r="HW6" i="40"/>
  <c r="HV6" i="40"/>
  <c r="HU6" i="40"/>
  <c r="HT6" i="40"/>
  <c r="HS6" i="40"/>
  <c r="HR6" i="40"/>
  <c r="HQ6" i="40"/>
  <c r="HP6" i="40"/>
  <c r="HO6" i="40"/>
  <c r="HN6" i="40"/>
  <c r="HM6" i="40"/>
  <c r="HL6" i="40"/>
  <c r="HK6" i="40"/>
  <c r="HJ6" i="40"/>
  <c r="HI6" i="40"/>
  <c r="HH6" i="40"/>
  <c r="HG6" i="40"/>
  <c r="HF6" i="40"/>
  <c r="HE6" i="40"/>
  <c r="KZ5" i="40"/>
  <c r="KY5" i="40"/>
  <c r="KX5" i="40"/>
  <c r="KW5" i="40"/>
  <c r="KV5" i="40"/>
  <c r="KU5" i="40"/>
  <c r="KT5" i="40"/>
  <c r="KS5" i="40"/>
  <c r="KR5" i="40"/>
  <c r="KQ5" i="40"/>
  <c r="KP5" i="40"/>
  <c r="KO5" i="40"/>
  <c r="KN5" i="40"/>
  <c r="KM5" i="40"/>
  <c r="KL5" i="40"/>
  <c r="KK5" i="40"/>
  <c r="KJ5" i="40"/>
  <c r="KI5" i="40"/>
  <c r="KH5" i="40"/>
  <c r="KG5" i="40"/>
  <c r="KF5" i="40"/>
  <c r="KE5" i="40"/>
  <c r="KD5" i="40"/>
  <c r="KC5" i="40"/>
  <c r="KB5" i="40"/>
  <c r="KA5" i="40"/>
  <c r="JZ5" i="40"/>
  <c r="JY5" i="40"/>
  <c r="JX5" i="40"/>
  <c r="JW5" i="40"/>
  <c r="JV5" i="40"/>
  <c r="JU5" i="40"/>
  <c r="JT5" i="40"/>
  <c r="JS5" i="40"/>
  <c r="JR5" i="40"/>
  <c r="JQ5" i="40"/>
  <c r="JP5" i="40"/>
  <c r="JO5" i="40"/>
  <c r="JN5" i="40"/>
  <c r="JM5" i="40"/>
  <c r="JL5" i="40"/>
  <c r="JK5" i="40"/>
  <c r="JJ5" i="40"/>
  <c r="JI5" i="40"/>
  <c r="JH5" i="40"/>
  <c r="JG5" i="40"/>
  <c r="JF5" i="40"/>
  <c r="JE5" i="40"/>
  <c r="JD5" i="40"/>
  <c r="JC5" i="40"/>
  <c r="JB5" i="40"/>
  <c r="JA5" i="40"/>
  <c r="IZ5" i="40"/>
  <c r="IY5" i="40"/>
  <c r="IX5" i="40"/>
  <c r="IW5" i="40"/>
  <c r="IV5" i="40"/>
  <c r="IU5" i="40"/>
  <c r="IT5" i="40"/>
  <c r="IS5" i="40"/>
  <c r="IR5" i="40"/>
  <c r="IQ5" i="40"/>
  <c r="IP5" i="40"/>
  <c r="IO5" i="40"/>
  <c r="IN5" i="40"/>
  <c r="IM5" i="40"/>
  <c r="IL5" i="40"/>
  <c r="IK5" i="40"/>
  <c r="IJ5" i="40"/>
  <c r="II5" i="40"/>
  <c r="IH5" i="40"/>
  <c r="IG5" i="40"/>
  <c r="IF5" i="40"/>
  <c r="IE5" i="40"/>
  <c r="ID5" i="40"/>
  <c r="IC5" i="40"/>
  <c r="IB5" i="40"/>
  <c r="IA5" i="40"/>
  <c r="HZ5" i="40"/>
  <c r="HY5" i="40"/>
  <c r="HX5" i="40"/>
  <c r="HW5" i="40"/>
  <c r="HV5" i="40"/>
  <c r="HU5" i="40"/>
  <c r="HT5" i="40"/>
  <c r="HS5" i="40"/>
  <c r="HR5" i="40"/>
  <c r="HQ5" i="40"/>
  <c r="HP5" i="40"/>
  <c r="HO5" i="40"/>
  <c r="HN5" i="40"/>
  <c r="HM5" i="40"/>
  <c r="HL5" i="40"/>
  <c r="HK5" i="40"/>
  <c r="HJ5" i="40"/>
  <c r="HI5" i="40"/>
  <c r="HH5" i="40"/>
  <c r="HG5" i="40"/>
  <c r="HF5" i="40"/>
  <c r="HE5" i="40"/>
  <c r="KZ4" i="40"/>
  <c r="KY4" i="40"/>
  <c r="KX4" i="40"/>
  <c r="KW4" i="40"/>
  <c r="KV4" i="40"/>
  <c r="KU4" i="40"/>
  <c r="KT4" i="40"/>
  <c r="KS4" i="40"/>
  <c r="KR4" i="40"/>
  <c r="KQ4" i="40"/>
  <c r="KP4" i="40"/>
  <c r="KO4" i="40"/>
  <c r="KN4" i="40"/>
  <c r="KM4" i="40"/>
  <c r="KL4" i="40"/>
  <c r="KK4" i="40"/>
  <c r="KJ4" i="40"/>
  <c r="KI4" i="40"/>
  <c r="KH4" i="40"/>
  <c r="KG4" i="40"/>
  <c r="KF4" i="40"/>
  <c r="KE4" i="40"/>
  <c r="KD4" i="40"/>
  <c r="KC4" i="40"/>
  <c r="KB4" i="40"/>
  <c r="KA4" i="40"/>
  <c r="JZ4" i="40"/>
  <c r="JY4" i="40"/>
  <c r="JX4" i="40"/>
  <c r="JW4" i="40"/>
  <c r="JV4" i="40"/>
  <c r="JU4" i="40"/>
  <c r="JT4" i="40"/>
  <c r="JS4" i="40"/>
  <c r="JR4" i="40"/>
  <c r="JQ4" i="40"/>
  <c r="JP4" i="40"/>
  <c r="JO4" i="40"/>
  <c r="JN4" i="40"/>
  <c r="JM4" i="40"/>
  <c r="JL4" i="40"/>
  <c r="JK4" i="40"/>
  <c r="JJ4" i="40"/>
  <c r="JI4" i="40"/>
  <c r="JH4" i="40"/>
  <c r="JG4" i="40"/>
  <c r="JF4" i="40"/>
  <c r="JE4" i="40"/>
  <c r="JD4" i="40"/>
  <c r="JC4" i="40"/>
  <c r="JB4" i="40"/>
  <c r="JA4" i="40"/>
  <c r="IZ4" i="40"/>
  <c r="IY4" i="40"/>
  <c r="IX4" i="40"/>
  <c r="IW4" i="40"/>
  <c r="IV4" i="40"/>
  <c r="IU4" i="40"/>
  <c r="IT4" i="40"/>
  <c r="IS4" i="40"/>
  <c r="IR4" i="40"/>
  <c r="IQ4" i="40"/>
  <c r="IP4" i="40"/>
  <c r="IO4" i="40"/>
  <c r="IN4" i="40"/>
  <c r="IM4" i="40"/>
  <c r="IL4" i="40"/>
  <c r="IK4" i="40"/>
  <c r="IJ4" i="40"/>
  <c r="II4" i="40"/>
  <c r="IH4" i="40"/>
  <c r="IG4" i="40"/>
  <c r="IF4" i="40"/>
  <c r="IE4" i="40"/>
  <c r="ID4" i="40"/>
  <c r="IC4" i="40"/>
  <c r="IB4" i="40"/>
  <c r="IA4" i="40"/>
  <c r="HZ4" i="40"/>
  <c r="HY4" i="40"/>
  <c r="HX4" i="40"/>
  <c r="HW4" i="40"/>
  <c r="HV4" i="40"/>
  <c r="HU4" i="40"/>
  <c r="HT4" i="40"/>
  <c r="HS4" i="40"/>
  <c r="HR4" i="40"/>
  <c r="HQ4" i="40"/>
  <c r="HP4" i="40"/>
  <c r="HO4" i="40"/>
  <c r="HN4" i="40"/>
  <c r="HM4" i="40"/>
  <c r="HL4" i="40"/>
  <c r="HK4" i="40"/>
  <c r="HJ4" i="40"/>
  <c r="HI4" i="40"/>
  <c r="HH4" i="40"/>
  <c r="HG4" i="40"/>
  <c r="HF4" i="40"/>
  <c r="HE4" i="40"/>
  <c r="KZ3" i="40"/>
  <c r="KY3" i="40"/>
  <c r="KX3" i="40"/>
  <c r="KW3" i="40"/>
  <c r="KV3" i="40"/>
  <c r="KU3" i="40"/>
  <c r="KT3" i="40"/>
  <c r="KS3" i="40"/>
  <c r="KR3" i="40"/>
  <c r="KQ3" i="40"/>
  <c r="KP3" i="40"/>
  <c r="KO3" i="40"/>
  <c r="KN3" i="40"/>
  <c r="KM3" i="40"/>
  <c r="KL3" i="40"/>
  <c r="KK3" i="40"/>
  <c r="KJ3" i="40"/>
  <c r="KI3" i="40"/>
  <c r="KH3" i="40"/>
  <c r="KG3" i="40"/>
  <c r="KF3" i="40"/>
  <c r="KE3" i="40"/>
  <c r="KD3" i="40"/>
  <c r="KC3" i="40"/>
  <c r="KB3" i="40"/>
  <c r="KA3" i="40"/>
  <c r="JZ3" i="40"/>
  <c r="JY3" i="40"/>
  <c r="JX3" i="40"/>
  <c r="JW3" i="40"/>
  <c r="JV3" i="40"/>
  <c r="JU3" i="40"/>
  <c r="JT3" i="40"/>
  <c r="JS3" i="40"/>
  <c r="JR3" i="40"/>
  <c r="JQ3" i="40"/>
  <c r="JP3" i="40"/>
  <c r="JO3" i="40"/>
  <c r="JN3" i="40"/>
  <c r="JM3" i="40"/>
  <c r="JL3" i="40"/>
  <c r="JK3" i="40"/>
  <c r="JJ3" i="40"/>
  <c r="JI3" i="40"/>
  <c r="JH3" i="40"/>
  <c r="JG3" i="40"/>
  <c r="JF3" i="40"/>
  <c r="JE3" i="40"/>
  <c r="JD3" i="40"/>
  <c r="JC3" i="40"/>
  <c r="JB3" i="40"/>
  <c r="JA3" i="40"/>
  <c r="IZ3" i="40"/>
  <c r="IY3" i="40"/>
  <c r="IX3" i="40"/>
  <c r="IW3" i="40"/>
  <c r="IV3" i="40"/>
  <c r="IU3" i="40"/>
  <c r="IT3" i="40"/>
  <c r="IS3" i="40"/>
  <c r="IR3" i="40"/>
  <c r="IQ3" i="40"/>
  <c r="IP3" i="40"/>
  <c r="IO3" i="40"/>
  <c r="IN3" i="40"/>
  <c r="IM3" i="40"/>
  <c r="IL3" i="40"/>
  <c r="IK3" i="40"/>
  <c r="IJ3" i="40"/>
  <c r="II3" i="40"/>
  <c r="IH3" i="40"/>
  <c r="IG3" i="40"/>
  <c r="IF3" i="40"/>
  <c r="IE3" i="40"/>
  <c r="ID3" i="40"/>
  <c r="IC3" i="40"/>
  <c r="IB3" i="40"/>
  <c r="IA3" i="40"/>
  <c r="HZ3" i="40"/>
  <c r="HY3" i="40"/>
  <c r="HX3" i="40"/>
  <c r="HW3" i="40"/>
  <c r="HV3" i="40"/>
  <c r="HU3" i="40"/>
  <c r="HT3" i="40"/>
  <c r="HS3" i="40"/>
  <c r="HR3" i="40"/>
  <c r="HQ3" i="40"/>
  <c r="HP3" i="40"/>
  <c r="HO3" i="40"/>
  <c r="HN3" i="40"/>
  <c r="HM3" i="40"/>
  <c r="HL3" i="40"/>
  <c r="HK3" i="40"/>
  <c r="HJ3" i="40"/>
  <c r="HI3" i="40"/>
  <c r="HH3" i="40"/>
  <c r="HG3" i="40"/>
  <c r="HF3" i="40"/>
  <c r="HE3" i="40"/>
  <c r="HD44" i="40"/>
  <c r="HC44" i="40"/>
  <c r="HB44" i="40"/>
  <c r="HA44" i="40"/>
  <c r="GZ44" i="40"/>
  <c r="GY44" i="40"/>
  <c r="GX44" i="40"/>
  <c r="GW44" i="40"/>
  <c r="GV44" i="40"/>
  <c r="GU44" i="40"/>
  <c r="GT44" i="40"/>
  <c r="GS44" i="40"/>
  <c r="GR44" i="40"/>
  <c r="GQ44" i="40"/>
  <c r="GP44" i="40"/>
  <c r="GO44" i="40"/>
  <c r="GN44" i="40"/>
  <c r="GM44" i="40"/>
  <c r="GL44" i="40"/>
  <c r="GK44" i="40"/>
  <c r="GJ44" i="40"/>
  <c r="GI44" i="40"/>
  <c r="GH44" i="40"/>
  <c r="GG44" i="40"/>
  <c r="GF44" i="40"/>
  <c r="GE44" i="40"/>
  <c r="GD44" i="40"/>
  <c r="GC44" i="40"/>
  <c r="GB44" i="40"/>
  <c r="GA44" i="40"/>
  <c r="FZ44" i="40"/>
  <c r="FY44" i="40"/>
  <c r="FX44" i="40"/>
  <c r="FW44" i="40"/>
  <c r="FV44" i="40"/>
  <c r="FU44" i="40"/>
  <c r="FT44" i="40"/>
  <c r="FS44" i="40"/>
  <c r="FR44" i="40"/>
  <c r="FQ44" i="40"/>
  <c r="FP44" i="40"/>
  <c r="FO44" i="40"/>
  <c r="FN44" i="40"/>
  <c r="FM44" i="40"/>
  <c r="FL44" i="40"/>
  <c r="FK44" i="40"/>
  <c r="FJ44" i="40"/>
  <c r="FI44" i="40"/>
  <c r="FH44" i="40"/>
  <c r="FG44" i="40"/>
  <c r="FF44" i="40"/>
  <c r="FE44" i="40"/>
  <c r="FD44" i="40"/>
  <c r="FC44" i="40"/>
  <c r="FB44" i="40"/>
  <c r="FA44" i="40"/>
  <c r="EZ44" i="40"/>
  <c r="EY44" i="40"/>
  <c r="EX44" i="40"/>
  <c r="EW44" i="40"/>
  <c r="EV44" i="40"/>
  <c r="EU44" i="40"/>
  <c r="ET44" i="40"/>
  <c r="ES44" i="40"/>
  <c r="ER44" i="40"/>
  <c r="EQ44" i="40"/>
  <c r="EP44" i="40"/>
  <c r="EO44" i="40"/>
  <c r="EN44" i="40"/>
  <c r="EM44" i="40"/>
  <c r="EL44" i="40"/>
  <c r="EK44" i="40"/>
  <c r="EJ44" i="40"/>
  <c r="EI44" i="40"/>
  <c r="EH44" i="40"/>
  <c r="EG44" i="40"/>
  <c r="EF44" i="40"/>
  <c r="EE44" i="40"/>
  <c r="ED44" i="40"/>
  <c r="EC44" i="40"/>
  <c r="EB44" i="40"/>
  <c r="EA44" i="40"/>
  <c r="DZ44" i="40"/>
  <c r="DY44" i="40"/>
  <c r="DX44" i="40"/>
  <c r="DW44" i="40"/>
  <c r="DV44" i="40"/>
  <c r="DU44" i="40"/>
  <c r="DT44" i="40"/>
  <c r="DS44" i="40"/>
  <c r="DR44" i="40"/>
  <c r="DQ44" i="40"/>
  <c r="DP44" i="40"/>
  <c r="DO44" i="40"/>
  <c r="DN44" i="40"/>
  <c r="DM44" i="40"/>
  <c r="DL44" i="40"/>
  <c r="DK44" i="40"/>
  <c r="DJ44" i="40"/>
  <c r="DI44" i="40"/>
  <c r="HD43" i="40"/>
  <c r="HC43" i="40"/>
  <c r="HB43" i="40"/>
  <c r="HA43" i="40"/>
  <c r="GZ43" i="40"/>
  <c r="GY43" i="40"/>
  <c r="GX43" i="40"/>
  <c r="GW43" i="40"/>
  <c r="GV43" i="40"/>
  <c r="GU43" i="40"/>
  <c r="GT43" i="40"/>
  <c r="GS43" i="40"/>
  <c r="GR43" i="40"/>
  <c r="GQ43" i="40"/>
  <c r="GP43" i="40"/>
  <c r="GO43" i="40"/>
  <c r="GN43" i="40"/>
  <c r="GM43" i="40"/>
  <c r="GL43" i="40"/>
  <c r="GK43" i="40"/>
  <c r="GJ43" i="40"/>
  <c r="GI43" i="40"/>
  <c r="GH43" i="40"/>
  <c r="GG43" i="40"/>
  <c r="GF43" i="40"/>
  <c r="GE43" i="40"/>
  <c r="GD43" i="40"/>
  <c r="GC43" i="40"/>
  <c r="GB43" i="40"/>
  <c r="GA43" i="40"/>
  <c r="FZ43" i="40"/>
  <c r="FY43" i="40"/>
  <c r="FX43" i="40"/>
  <c r="FW43" i="40"/>
  <c r="FV43" i="40"/>
  <c r="FU43" i="40"/>
  <c r="FT43" i="40"/>
  <c r="FS43" i="40"/>
  <c r="FR43" i="40"/>
  <c r="FQ43" i="40"/>
  <c r="FP43" i="40"/>
  <c r="FO43" i="40"/>
  <c r="FN43" i="40"/>
  <c r="FM43" i="40"/>
  <c r="FL43" i="40"/>
  <c r="FK43" i="40"/>
  <c r="FJ43" i="40"/>
  <c r="FI43" i="40"/>
  <c r="FH43" i="40"/>
  <c r="FG43" i="40"/>
  <c r="FF43" i="40"/>
  <c r="FE43" i="40"/>
  <c r="FD43" i="40"/>
  <c r="FC43" i="40"/>
  <c r="FB43" i="40"/>
  <c r="FA43" i="40"/>
  <c r="EZ43" i="40"/>
  <c r="EY43" i="40"/>
  <c r="EX43" i="40"/>
  <c r="EW43" i="40"/>
  <c r="EV43" i="40"/>
  <c r="EU43" i="40"/>
  <c r="ET43" i="40"/>
  <c r="ES43" i="40"/>
  <c r="ER43" i="40"/>
  <c r="EQ43" i="40"/>
  <c r="EP43" i="40"/>
  <c r="EO43" i="40"/>
  <c r="EN43" i="40"/>
  <c r="EM43" i="40"/>
  <c r="EL43" i="40"/>
  <c r="EK43" i="40"/>
  <c r="EJ43" i="40"/>
  <c r="EI43" i="40"/>
  <c r="EH43" i="40"/>
  <c r="EG43" i="40"/>
  <c r="EF43" i="40"/>
  <c r="EE43" i="40"/>
  <c r="ED43" i="40"/>
  <c r="EC43" i="40"/>
  <c r="EB43" i="40"/>
  <c r="EA43" i="40"/>
  <c r="DZ43" i="40"/>
  <c r="DY43" i="40"/>
  <c r="DX43" i="40"/>
  <c r="DW43" i="40"/>
  <c r="DV43" i="40"/>
  <c r="DU43" i="40"/>
  <c r="DT43" i="40"/>
  <c r="DS43" i="40"/>
  <c r="DR43" i="40"/>
  <c r="DQ43" i="40"/>
  <c r="DP43" i="40"/>
  <c r="DO43" i="40"/>
  <c r="DN43" i="40"/>
  <c r="DM43" i="40"/>
  <c r="DL43" i="40"/>
  <c r="DK43" i="40"/>
  <c r="DJ43" i="40"/>
  <c r="DI43" i="40"/>
  <c r="HD42" i="40"/>
  <c r="HC42" i="40"/>
  <c r="HB42" i="40"/>
  <c r="HA42" i="40"/>
  <c r="GZ42" i="40"/>
  <c r="GY42" i="40"/>
  <c r="GX42" i="40"/>
  <c r="GW42" i="40"/>
  <c r="GV42" i="40"/>
  <c r="GU42" i="40"/>
  <c r="GT42" i="40"/>
  <c r="GS42" i="40"/>
  <c r="GR42" i="40"/>
  <c r="GQ42" i="40"/>
  <c r="GP42" i="40"/>
  <c r="GO42" i="40"/>
  <c r="GN42" i="40"/>
  <c r="GM42" i="40"/>
  <c r="GL42" i="40"/>
  <c r="GK42" i="40"/>
  <c r="GJ42" i="40"/>
  <c r="GI42" i="40"/>
  <c r="GH42" i="40"/>
  <c r="GG42" i="40"/>
  <c r="GF42" i="40"/>
  <c r="GE42" i="40"/>
  <c r="GD42" i="40"/>
  <c r="GC42" i="40"/>
  <c r="GB42" i="40"/>
  <c r="GA42" i="40"/>
  <c r="FZ42" i="40"/>
  <c r="FY42" i="40"/>
  <c r="FX42" i="40"/>
  <c r="FW42" i="40"/>
  <c r="FV42" i="40"/>
  <c r="FU42" i="40"/>
  <c r="FT42" i="40"/>
  <c r="FS42" i="40"/>
  <c r="FR42" i="40"/>
  <c r="FQ42" i="40"/>
  <c r="FP42" i="40"/>
  <c r="FO42" i="40"/>
  <c r="FN42" i="40"/>
  <c r="FM42" i="40"/>
  <c r="FL42" i="40"/>
  <c r="FK42" i="40"/>
  <c r="FJ42" i="40"/>
  <c r="FI42" i="40"/>
  <c r="FH42" i="40"/>
  <c r="FG42" i="40"/>
  <c r="FF42" i="40"/>
  <c r="FE42" i="40"/>
  <c r="FD42" i="40"/>
  <c r="FC42" i="40"/>
  <c r="FB42" i="40"/>
  <c r="FA42" i="40"/>
  <c r="EZ42" i="40"/>
  <c r="EY42" i="40"/>
  <c r="EX42" i="40"/>
  <c r="EW42" i="40"/>
  <c r="EV42" i="40"/>
  <c r="EU42" i="40"/>
  <c r="ET42" i="40"/>
  <c r="ES42" i="40"/>
  <c r="ER42" i="40"/>
  <c r="EQ42" i="40"/>
  <c r="EP42" i="40"/>
  <c r="EO42" i="40"/>
  <c r="EN42" i="40"/>
  <c r="EM42" i="40"/>
  <c r="EL42" i="40"/>
  <c r="EK42" i="40"/>
  <c r="EJ42" i="40"/>
  <c r="EI42" i="40"/>
  <c r="EH42" i="40"/>
  <c r="EG42" i="40"/>
  <c r="EF42" i="40"/>
  <c r="EE42" i="40"/>
  <c r="ED42" i="40"/>
  <c r="EC42" i="40"/>
  <c r="EB42" i="40"/>
  <c r="EA42" i="40"/>
  <c r="DZ42" i="40"/>
  <c r="DY42" i="40"/>
  <c r="DX42" i="40"/>
  <c r="DW42" i="40"/>
  <c r="DV42" i="40"/>
  <c r="DU42" i="40"/>
  <c r="DT42" i="40"/>
  <c r="DS42" i="40"/>
  <c r="DR42" i="40"/>
  <c r="DQ42" i="40"/>
  <c r="DP42" i="40"/>
  <c r="DO42" i="40"/>
  <c r="DN42" i="40"/>
  <c r="DM42" i="40"/>
  <c r="DL42" i="40"/>
  <c r="DK42" i="40"/>
  <c r="DJ42" i="40"/>
  <c r="DI42" i="40"/>
  <c r="HD41" i="40"/>
  <c r="HC41" i="40"/>
  <c r="HB41" i="40"/>
  <c r="HA41" i="40"/>
  <c r="GZ41" i="40"/>
  <c r="GY41" i="40"/>
  <c r="GX41" i="40"/>
  <c r="GW41" i="40"/>
  <c r="GV41" i="40"/>
  <c r="GU41" i="40"/>
  <c r="GT41" i="40"/>
  <c r="GS41" i="40"/>
  <c r="GR41" i="40"/>
  <c r="GQ41" i="40"/>
  <c r="GP41" i="40"/>
  <c r="GO41" i="40"/>
  <c r="GN41" i="40"/>
  <c r="GM41" i="40"/>
  <c r="GL41" i="40"/>
  <c r="GK41" i="40"/>
  <c r="GJ41" i="40"/>
  <c r="GI41" i="40"/>
  <c r="GH41" i="40"/>
  <c r="GG41" i="40"/>
  <c r="GF41" i="40"/>
  <c r="GE41" i="40"/>
  <c r="GD41" i="40"/>
  <c r="GC41" i="40"/>
  <c r="GB41" i="40"/>
  <c r="GA41" i="40"/>
  <c r="FZ41" i="40"/>
  <c r="FY41" i="40"/>
  <c r="FX41" i="40"/>
  <c r="FW41" i="40"/>
  <c r="FV41" i="40"/>
  <c r="FU41" i="40"/>
  <c r="FT41" i="40"/>
  <c r="FS41" i="40"/>
  <c r="FR41" i="40"/>
  <c r="FQ41" i="40"/>
  <c r="FP41" i="40"/>
  <c r="FO41" i="40"/>
  <c r="FN41" i="40"/>
  <c r="FM41" i="40"/>
  <c r="FL41" i="40"/>
  <c r="FK41" i="40"/>
  <c r="FJ41" i="40"/>
  <c r="FI41" i="40"/>
  <c r="FH41" i="40"/>
  <c r="FG41" i="40"/>
  <c r="FF41" i="40"/>
  <c r="FE41" i="40"/>
  <c r="FD41" i="40"/>
  <c r="FC41" i="40"/>
  <c r="FB41" i="40"/>
  <c r="FA41" i="40"/>
  <c r="EZ41" i="40"/>
  <c r="EY41" i="40"/>
  <c r="EX41" i="40"/>
  <c r="EW41" i="40"/>
  <c r="EV41" i="40"/>
  <c r="EU41" i="40"/>
  <c r="ET41" i="40"/>
  <c r="ES41" i="40"/>
  <c r="ER41" i="40"/>
  <c r="EQ41" i="40"/>
  <c r="EP41" i="40"/>
  <c r="EO41" i="40"/>
  <c r="EN41" i="40"/>
  <c r="EM41" i="40"/>
  <c r="EL41" i="40"/>
  <c r="EK41" i="40"/>
  <c r="EJ41" i="40"/>
  <c r="EI41" i="40"/>
  <c r="EH41" i="40"/>
  <c r="EG41" i="40"/>
  <c r="EF41" i="40"/>
  <c r="EE41" i="40"/>
  <c r="ED41" i="40"/>
  <c r="EC41" i="40"/>
  <c r="EB41" i="40"/>
  <c r="EA41" i="40"/>
  <c r="DZ41" i="40"/>
  <c r="DY41" i="40"/>
  <c r="DX41" i="40"/>
  <c r="DW41" i="40"/>
  <c r="DV41" i="40"/>
  <c r="DU41" i="40"/>
  <c r="DT41" i="40"/>
  <c r="DS41" i="40"/>
  <c r="DR41" i="40"/>
  <c r="DQ41" i="40"/>
  <c r="DP41" i="40"/>
  <c r="DO41" i="40"/>
  <c r="DN41" i="40"/>
  <c r="DM41" i="40"/>
  <c r="DL41" i="40"/>
  <c r="DK41" i="40"/>
  <c r="DJ41" i="40"/>
  <c r="DI41" i="40"/>
  <c r="HD40" i="40"/>
  <c r="HC40" i="40"/>
  <c r="HB40" i="40"/>
  <c r="HA40" i="40"/>
  <c r="GZ40" i="40"/>
  <c r="GY40" i="40"/>
  <c r="GX40" i="40"/>
  <c r="GW40" i="40"/>
  <c r="GV40" i="40"/>
  <c r="GU40" i="40"/>
  <c r="GT40" i="40"/>
  <c r="GS40" i="40"/>
  <c r="GR40" i="40"/>
  <c r="GQ40" i="40"/>
  <c r="GP40" i="40"/>
  <c r="GO40" i="40"/>
  <c r="GN40" i="40"/>
  <c r="GM40" i="40"/>
  <c r="GL40" i="40"/>
  <c r="GK40" i="40"/>
  <c r="GJ40" i="40"/>
  <c r="GI40" i="40"/>
  <c r="GH40" i="40"/>
  <c r="GG40" i="40"/>
  <c r="GF40" i="40"/>
  <c r="GE40" i="40"/>
  <c r="GD40" i="40"/>
  <c r="GC40" i="40"/>
  <c r="GB40" i="40"/>
  <c r="GA40" i="40"/>
  <c r="FZ40" i="40"/>
  <c r="FY40" i="40"/>
  <c r="FX40" i="40"/>
  <c r="FW40" i="40"/>
  <c r="FV40" i="40"/>
  <c r="FU40" i="40"/>
  <c r="FT40" i="40"/>
  <c r="FS40" i="40"/>
  <c r="FR40" i="40"/>
  <c r="FQ40" i="40"/>
  <c r="FP40" i="40"/>
  <c r="FO40" i="40"/>
  <c r="FN40" i="40"/>
  <c r="FM40" i="40"/>
  <c r="FL40" i="40"/>
  <c r="FK40" i="40"/>
  <c r="FJ40" i="40"/>
  <c r="FI40" i="40"/>
  <c r="FH40" i="40"/>
  <c r="FG40" i="40"/>
  <c r="FF40" i="40"/>
  <c r="FE40" i="40"/>
  <c r="FD40" i="40"/>
  <c r="FC40" i="40"/>
  <c r="FB40" i="40"/>
  <c r="FA40" i="40"/>
  <c r="EZ40" i="40"/>
  <c r="EY40" i="40"/>
  <c r="EX40" i="40"/>
  <c r="EW40" i="40"/>
  <c r="EV40" i="40"/>
  <c r="EU40" i="40"/>
  <c r="ET40" i="40"/>
  <c r="ES40" i="40"/>
  <c r="ER40" i="40"/>
  <c r="EQ40" i="40"/>
  <c r="EP40" i="40"/>
  <c r="EO40" i="40"/>
  <c r="EN40" i="40"/>
  <c r="EM40" i="40"/>
  <c r="EL40" i="40"/>
  <c r="EK40" i="40"/>
  <c r="EJ40" i="40"/>
  <c r="EI40" i="40"/>
  <c r="EH40" i="40"/>
  <c r="EG40" i="40"/>
  <c r="EF40" i="40"/>
  <c r="EE40" i="40"/>
  <c r="ED40" i="40"/>
  <c r="EC40" i="40"/>
  <c r="EB40" i="40"/>
  <c r="EA40" i="40"/>
  <c r="DZ40" i="40"/>
  <c r="DY40" i="40"/>
  <c r="DX40" i="40"/>
  <c r="DW40" i="40"/>
  <c r="DV40" i="40"/>
  <c r="DU40" i="40"/>
  <c r="DT40" i="40"/>
  <c r="DS40" i="40"/>
  <c r="DR40" i="40"/>
  <c r="DQ40" i="40"/>
  <c r="DP40" i="40"/>
  <c r="DO40" i="40"/>
  <c r="DN40" i="40"/>
  <c r="DM40" i="40"/>
  <c r="DL40" i="40"/>
  <c r="DK40" i="40"/>
  <c r="DJ40" i="40"/>
  <c r="DI40" i="40"/>
  <c r="HD39" i="40"/>
  <c r="HC39" i="40"/>
  <c r="HB39" i="40"/>
  <c r="HA39" i="40"/>
  <c r="GZ39" i="40"/>
  <c r="GY39" i="40"/>
  <c r="GX39" i="40"/>
  <c r="GW39" i="40"/>
  <c r="GV39" i="40"/>
  <c r="GU39" i="40"/>
  <c r="GT39" i="40"/>
  <c r="GS39" i="40"/>
  <c r="GR39" i="40"/>
  <c r="GQ39" i="40"/>
  <c r="GP39" i="40"/>
  <c r="GO39" i="40"/>
  <c r="GN39" i="40"/>
  <c r="GM39" i="40"/>
  <c r="GL39" i="40"/>
  <c r="GK39" i="40"/>
  <c r="GJ39" i="40"/>
  <c r="GI39" i="40"/>
  <c r="GH39" i="40"/>
  <c r="GG39" i="40"/>
  <c r="GF39" i="40"/>
  <c r="GE39" i="40"/>
  <c r="GD39" i="40"/>
  <c r="GC39" i="40"/>
  <c r="GB39" i="40"/>
  <c r="GA39" i="40"/>
  <c r="FZ39" i="40"/>
  <c r="FY39" i="40"/>
  <c r="FX39" i="40"/>
  <c r="FW39" i="40"/>
  <c r="FV39" i="40"/>
  <c r="FU39" i="40"/>
  <c r="FT39" i="40"/>
  <c r="FS39" i="40"/>
  <c r="FR39" i="40"/>
  <c r="FQ39" i="40"/>
  <c r="FP39" i="40"/>
  <c r="FO39" i="40"/>
  <c r="FN39" i="40"/>
  <c r="FM39" i="40"/>
  <c r="FL39" i="40"/>
  <c r="FK39" i="40"/>
  <c r="FJ39" i="40"/>
  <c r="FI39" i="40"/>
  <c r="FH39" i="40"/>
  <c r="FG39" i="40"/>
  <c r="FF39" i="40"/>
  <c r="FE39" i="40"/>
  <c r="FD39" i="40"/>
  <c r="FC39" i="40"/>
  <c r="FB39" i="40"/>
  <c r="FA39" i="40"/>
  <c r="EZ39" i="40"/>
  <c r="EY39" i="40"/>
  <c r="EX39" i="40"/>
  <c r="EW39" i="40"/>
  <c r="EV39" i="40"/>
  <c r="EU39" i="40"/>
  <c r="ET39" i="40"/>
  <c r="ES39" i="40"/>
  <c r="ER39" i="40"/>
  <c r="EQ39" i="40"/>
  <c r="EP39" i="40"/>
  <c r="EO39" i="40"/>
  <c r="EN39" i="40"/>
  <c r="EM39" i="40"/>
  <c r="EL39" i="40"/>
  <c r="EK39" i="40"/>
  <c r="EJ39" i="40"/>
  <c r="EI39" i="40"/>
  <c r="EH39" i="40"/>
  <c r="EG39" i="40"/>
  <c r="EF39" i="40"/>
  <c r="EE39" i="40"/>
  <c r="ED39" i="40"/>
  <c r="EC39" i="40"/>
  <c r="EB39" i="40"/>
  <c r="EA39" i="40"/>
  <c r="DZ39" i="40"/>
  <c r="DY39" i="40"/>
  <c r="DX39" i="40"/>
  <c r="DW39" i="40"/>
  <c r="DV39" i="40"/>
  <c r="DU39" i="40"/>
  <c r="DT39" i="40"/>
  <c r="DS39" i="40"/>
  <c r="DR39" i="40"/>
  <c r="DQ39" i="40"/>
  <c r="DP39" i="40"/>
  <c r="DO39" i="40"/>
  <c r="DN39" i="40"/>
  <c r="DM39" i="40"/>
  <c r="DL39" i="40"/>
  <c r="DK39" i="40"/>
  <c r="DJ39" i="40"/>
  <c r="DI39" i="40"/>
  <c r="HD38" i="40"/>
  <c r="HC38" i="40"/>
  <c r="HB38" i="40"/>
  <c r="HA38" i="40"/>
  <c r="GZ38" i="40"/>
  <c r="GY38" i="40"/>
  <c r="GX38" i="40"/>
  <c r="GW38" i="40"/>
  <c r="GV38" i="40"/>
  <c r="GU38" i="40"/>
  <c r="GT38" i="40"/>
  <c r="GS38" i="40"/>
  <c r="GR38" i="40"/>
  <c r="GQ38" i="40"/>
  <c r="GP38" i="40"/>
  <c r="GO38" i="40"/>
  <c r="GN38" i="40"/>
  <c r="GM38" i="40"/>
  <c r="GL38" i="40"/>
  <c r="GK38" i="40"/>
  <c r="GJ38" i="40"/>
  <c r="GI38" i="40"/>
  <c r="GH38" i="40"/>
  <c r="GG38" i="40"/>
  <c r="GF38" i="40"/>
  <c r="GE38" i="40"/>
  <c r="GD38" i="40"/>
  <c r="GC38" i="40"/>
  <c r="GB38" i="40"/>
  <c r="GA38" i="40"/>
  <c r="FZ38" i="40"/>
  <c r="FY38" i="40"/>
  <c r="FX38" i="40"/>
  <c r="FW38" i="40"/>
  <c r="FV38" i="40"/>
  <c r="FU38" i="40"/>
  <c r="FT38" i="40"/>
  <c r="FS38" i="40"/>
  <c r="FR38" i="40"/>
  <c r="FQ38" i="40"/>
  <c r="FP38" i="40"/>
  <c r="FO38" i="40"/>
  <c r="FN38" i="40"/>
  <c r="FM38" i="40"/>
  <c r="FL38" i="40"/>
  <c r="FK38" i="40"/>
  <c r="FJ38" i="40"/>
  <c r="FI38" i="40"/>
  <c r="FH38" i="40"/>
  <c r="FG38" i="40"/>
  <c r="FF38" i="40"/>
  <c r="FE38" i="40"/>
  <c r="FD38" i="40"/>
  <c r="FC38" i="40"/>
  <c r="FB38" i="40"/>
  <c r="FA38" i="40"/>
  <c r="EZ38" i="40"/>
  <c r="EY38" i="40"/>
  <c r="EX38" i="40"/>
  <c r="EW38" i="40"/>
  <c r="EV38" i="40"/>
  <c r="EU38" i="40"/>
  <c r="ET38" i="40"/>
  <c r="ES38" i="40"/>
  <c r="ER38" i="40"/>
  <c r="EQ38" i="40"/>
  <c r="EP38" i="40"/>
  <c r="EO38" i="40"/>
  <c r="EN38" i="40"/>
  <c r="EM38" i="40"/>
  <c r="EL38" i="40"/>
  <c r="EK38" i="40"/>
  <c r="EJ38" i="40"/>
  <c r="EI38" i="40"/>
  <c r="EH38" i="40"/>
  <c r="EG38" i="40"/>
  <c r="EF38" i="40"/>
  <c r="EE38" i="40"/>
  <c r="ED38" i="40"/>
  <c r="EC38" i="40"/>
  <c r="EB38" i="40"/>
  <c r="EA38" i="40"/>
  <c r="DZ38" i="40"/>
  <c r="DY38" i="40"/>
  <c r="DX38" i="40"/>
  <c r="DW38" i="40"/>
  <c r="DV38" i="40"/>
  <c r="DU38" i="40"/>
  <c r="DT38" i="40"/>
  <c r="DS38" i="40"/>
  <c r="DR38" i="40"/>
  <c r="DQ38" i="40"/>
  <c r="DP38" i="40"/>
  <c r="DO38" i="40"/>
  <c r="DN38" i="40"/>
  <c r="DM38" i="40"/>
  <c r="DL38" i="40"/>
  <c r="DK38" i="40"/>
  <c r="DJ38" i="40"/>
  <c r="DI38" i="40"/>
  <c r="HD37" i="40"/>
  <c r="HC37" i="40"/>
  <c r="HB37" i="40"/>
  <c r="HA37" i="40"/>
  <c r="GZ37" i="40"/>
  <c r="GY37" i="40"/>
  <c r="GX37" i="40"/>
  <c r="GW37" i="40"/>
  <c r="GV37" i="40"/>
  <c r="GU37" i="40"/>
  <c r="GT37" i="40"/>
  <c r="GS37" i="40"/>
  <c r="GR37" i="40"/>
  <c r="GQ37" i="40"/>
  <c r="GP37" i="40"/>
  <c r="GO37" i="40"/>
  <c r="GN37" i="40"/>
  <c r="GM37" i="40"/>
  <c r="GL37" i="40"/>
  <c r="GK37" i="40"/>
  <c r="GJ37" i="40"/>
  <c r="GI37" i="40"/>
  <c r="GH37" i="40"/>
  <c r="GG37" i="40"/>
  <c r="GF37" i="40"/>
  <c r="GE37" i="40"/>
  <c r="GD37" i="40"/>
  <c r="GC37" i="40"/>
  <c r="GB37" i="40"/>
  <c r="GA37" i="40"/>
  <c r="FZ37" i="40"/>
  <c r="FY37" i="40"/>
  <c r="FX37" i="40"/>
  <c r="FW37" i="40"/>
  <c r="FV37" i="40"/>
  <c r="FU37" i="40"/>
  <c r="FT37" i="40"/>
  <c r="FS37" i="40"/>
  <c r="FR37" i="40"/>
  <c r="FQ37" i="40"/>
  <c r="FP37" i="40"/>
  <c r="FO37" i="40"/>
  <c r="FN37" i="40"/>
  <c r="FM37" i="40"/>
  <c r="FL37" i="40"/>
  <c r="FK37" i="40"/>
  <c r="FJ37" i="40"/>
  <c r="FI37" i="40"/>
  <c r="FH37" i="40"/>
  <c r="FG37" i="40"/>
  <c r="FF37" i="40"/>
  <c r="FE37" i="40"/>
  <c r="FD37" i="40"/>
  <c r="FC37" i="40"/>
  <c r="FB37" i="40"/>
  <c r="FA37" i="40"/>
  <c r="EZ37" i="40"/>
  <c r="EY37" i="40"/>
  <c r="EX37" i="40"/>
  <c r="EW37" i="40"/>
  <c r="EV37" i="40"/>
  <c r="EU37" i="40"/>
  <c r="ET37" i="40"/>
  <c r="ES37" i="40"/>
  <c r="ER37" i="40"/>
  <c r="EQ37" i="40"/>
  <c r="EP37" i="40"/>
  <c r="EO37" i="40"/>
  <c r="EN37" i="40"/>
  <c r="EM37" i="40"/>
  <c r="EL37" i="40"/>
  <c r="EK37" i="40"/>
  <c r="EJ37" i="40"/>
  <c r="EI37" i="40"/>
  <c r="EH37" i="40"/>
  <c r="EG37" i="40"/>
  <c r="EF37" i="40"/>
  <c r="EE37" i="40"/>
  <c r="ED37" i="40"/>
  <c r="EC37" i="40"/>
  <c r="EB37" i="40"/>
  <c r="EA37" i="40"/>
  <c r="DZ37" i="40"/>
  <c r="DY37" i="40"/>
  <c r="DX37" i="40"/>
  <c r="DW37" i="40"/>
  <c r="DV37" i="40"/>
  <c r="DU37" i="40"/>
  <c r="DT37" i="40"/>
  <c r="DS37" i="40"/>
  <c r="DR37" i="40"/>
  <c r="DQ37" i="40"/>
  <c r="DP37" i="40"/>
  <c r="DO37" i="40"/>
  <c r="DN37" i="40"/>
  <c r="DM37" i="40"/>
  <c r="DL37" i="40"/>
  <c r="DK37" i="40"/>
  <c r="DJ37" i="40"/>
  <c r="DI37" i="40"/>
  <c r="HD36" i="40"/>
  <c r="HC36" i="40"/>
  <c r="HB36" i="40"/>
  <c r="HA36" i="40"/>
  <c r="GZ36" i="40"/>
  <c r="GY36" i="40"/>
  <c r="GX36" i="40"/>
  <c r="GW36" i="40"/>
  <c r="GV36" i="40"/>
  <c r="GU36" i="40"/>
  <c r="GT36" i="40"/>
  <c r="GS36" i="40"/>
  <c r="GR36" i="40"/>
  <c r="GQ36" i="40"/>
  <c r="GP36" i="40"/>
  <c r="GO36" i="40"/>
  <c r="GN36" i="40"/>
  <c r="GM36" i="40"/>
  <c r="GL36" i="40"/>
  <c r="GK36" i="40"/>
  <c r="GJ36" i="40"/>
  <c r="GI36" i="40"/>
  <c r="GH36" i="40"/>
  <c r="GG36" i="40"/>
  <c r="GF36" i="40"/>
  <c r="GE36" i="40"/>
  <c r="GD36" i="40"/>
  <c r="GC36" i="40"/>
  <c r="GB36" i="40"/>
  <c r="GA36" i="40"/>
  <c r="FZ36" i="40"/>
  <c r="FY36" i="40"/>
  <c r="FX36" i="40"/>
  <c r="FW36" i="40"/>
  <c r="FV36" i="40"/>
  <c r="FU36" i="40"/>
  <c r="FT36" i="40"/>
  <c r="FS36" i="40"/>
  <c r="FR36" i="40"/>
  <c r="FQ36" i="40"/>
  <c r="FP36" i="40"/>
  <c r="FO36" i="40"/>
  <c r="FN36" i="40"/>
  <c r="FM36" i="40"/>
  <c r="FL36" i="40"/>
  <c r="FK36" i="40"/>
  <c r="FJ36" i="40"/>
  <c r="FI36" i="40"/>
  <c r="FH36" i="40"/>
  <c r="FG36" i="40"/>
  <c r="FF36" i="40"/>
  <c r="FE36" i="40"/>
  <c r="FD36" i="40"/>
  <c r="FC36" i="40"/>
  <c r="FB36" i="40"/>
  <c r="FA36" i="40"/>
  <c r="EZ36" i="40"/>
  <c r="EY36" i="40"/>
  <c r="EX36" i="40"/>
  <c r="EW36" i="40"/>
  <c r="EV36" i="40"/>
  <c r="EU36" i="40"/>
  <c r="ET36" i="40"/>
  <c r="ES36" i="40"/>
  <c r="ER36" i="40"/>
  <c r="EQ36" i="40"/>
  <c r="EP36" i="40"/>
  <c r="EO36" i="40"/>
  <c r="EN36" i="40"/>
  <c r="EM36" i="40"/>
  <c r="EL36" i="40"/>
  <c r="EK36" i="40"/>
  <c r="EJ36" i="40"/>
  <c r="EI36" i="40"/>
  <c r="EH36" i="40"/>
  <c r="EG36" i="40"/>
  <c r="EF36" i="40"/>
  <c r="EE36" i="40"/>
  <c r="ED36" i="40"/>
  <c r="EC36" i="40"/>
  <c r="EB36" i="40"/>
  <c r="EA36" i="40"/>
  <c r="DZ36" i="40"/>
  <c r="DY36" i="40"/>
  <c r="DX36" i="40"/>
  <c r="DW36" i="40"/>
  <c r="DV36" i="40"/>
  <c r="DU36" i="40"/>
  <c r="DT36" i="40"/>
  <c r="DS36" i="40"/>
  <c r="DR36" i="40"/>
  <c r="DQ36" i="40"/>
  <c r="DP36" i="40"/>
  <c r="DO36" i="40"/>
  <c r="DN36" i="40"/>
  <c r="DM36" i="40"/>
  <c r="DL36" i="40"/>
  <c r="DK36" i="40"/>
  <c r="DJ36" i="40"/>
  <c r="DI36" i="40"/>
  <c r="HD35" i="40"/>
  <c r="HC35" i="40"/>
  <c r="HB35" i="40"/>
  <c r="HA35" i="40"/>
  <c r="GZ35" i="40"/>
  <c r="GY35" i="40"/>
  <c r="GX35" i="40"/>
  <c r="GW35" i="40"/>
  <c r="GV35" i="40"/>
  <c r="GU35" i="40"/>
  <c r="GT35" i="40"/>
  <c r="GS35" i="40"/>
  <c r="GR35" i="40"/>
  <c r="GQ35" i="40"/>
  <c r="GP35" i="40"/>
  <c r="GO35" i="40"/>
  <c r="GN35" i="40"/>
  <c r="GM35" i="40"/>
  <c r="GL35" i="40"/>
  <c r="GK35" i="40"/>
  <c r="GJ35" i="40"/>
  <c r="GI35" i="40"/>
  <c r="GH35" i="40"/>
  <c r="GG35" i="40"/>
  <c r="GF35" i="40"/>
  <c r="GE35" i="40"/>
  <c r="GD35" i="40"/>
  <c r="GC35" i="40"/>
  <c r="GB35" i="40"/>
  <c r="GA35" i="40"/>
  <c r="FZ35" i="40"/>
  <c r="FY35" i="40"/>
  <c r="FX35" i="40"/>
  <c r="FW35" i="40"/>
  <c r="FV35" i="40"/>
  <c r="FU35" i="40"/>
  <c r="FT35" i="40"/>
  <c r="FS35" i="40"/>
  <c r="FR35" i="40"/>
  <c r="FQ35" i="40"/>
  <c r="FP35" i="40"/>
  <c r="FO35" i="40"/>
  <c r="FN35" i="40"/>
  <c r="FM35" i="40"/>
  <c r="FL35" i="40"/>
  <c r="FK35" i="40"/>
  <c r="FJ35" i="40"/>
  <c r="FI35" i="40"/>
  <c r="FH35" i="40"/>
  <c r="FG35" i="40"/>
  <c r="FF35" i="40"/>
  <c r="FE35" i="40"/>
  <c r="FD35" i="40"/>
  <c r="FC35" i="40"/>
  <c r="FB35" i="40"/>
  <c r="FA35" i="40"/>
  <c r="EZ35" i="40"/>
  <c r="EY35" i="40"/>
  <c r="EX35" i="40"/>
  <c r="EW35" i="40"/>
  <c r="EV35" i="40"/>
  <c r="EU35" i="40"/>
  <c r="ET35" i="40"/>
  <c r="ES35" i="40"/>
  <c r="ER35" i="40"/>
  <c r="EQ35" i="40"/>
  <c r="EP35" i="40"/>
  <c r="EO35" i="40"/>
  <c r="EN35" i="40"/>
  <c r="EM35" i="40"/>
  <c r="EL35" i="40"/>
  <c r="EK35" i="40"/>
  <c r="EJ35" i="40"/>
  <c r="EI35" i="40"/>
  <c r="EH35" i="40"/>
  <c r="EG35" i="40"/>
  <c r="EF35" i="40"/>
  <c r="EE35" i="40"/>
  <c r="ED35" i="40"/>
  <c r="EC35" i="40"/>
  <c r="EB35" i="40"/>
  <c r="EA35" i="40"/>
  <c r="DZ35" i="40"/>
  <c r="DY35" i="40"/>
  <c r="DX35" i="40"/>
  <c r="DW35" i="40"/>
  <c r="DV35" i="40"/>
  <c r="DU35" i="40"/>
  <c r="DT35" i="40"/>
  <c r="DS35" i="40"/>
  <c r="DR35" i="40"/>
  <c r="DQ35" i="40"/>
  <c r="DP35" i="40"/>
  <c r="DO35" i="40"/>
  <c r="DN35" i="40"/>
  <c r="DM35" i="40"/>
  <c r="DL35" i="40"/>
  <c r="DK35" i="40"/>
  <c r="DJ35" i="40"/>
  <c r="DI35" i="40"/>
  <c r="HD34" i="40"/>
  <c r="HC34" i="40"/>
  <c r="HB34" i="40"/>
  <c r="HA34" i="40"/>
  <c r="GZ34" i="40"/>
  <c r="GY34" i="40"/>
  <c r="GX34" i="40"/>
  <c r="GW34" i="40"/>
  <c r="GV34" i="40"/>
  <c r="GU34" i="40"/>
  <c r="GT34" i="40"/>
  <c r="GS34" i="40"/>
  <c r="GR34" i="40"/>
  <c r="GQ34" i="40"/>
  <c r="GP34" i="40"/>
  <c r="GO34" i="40"/>
  <c r="GN34" i="40"/>
  <c r="GM34" i="40"/>
  <c r="GL34" i="40"/>
  <c r="GK34" i="40"/>
  <c r="GJ34" i="40"/>
  <c r="GI34" i="40"/>
  <c r="GH34" i="40"/>
  <c r="GG34" i="40"/>
  <c r="GF34" i="40"/>
  <c r="GE34" i="40"/>
  <c r="GD34" i="40"/>
  <c r="GC34" i="40"/>
  <c r="GB34" i="40"/>
  <c r="GA34" i="40"/>
  <c r="FZ34" i="40"/>
  <c r="FY34" i="40"/>
  <c r="FX34" i="40"/>
  <c r="FW34" i="40"/>
  <c r="FV34" i="40"/>
  <c r="FU34" i="40"/>
  <c r="FT34" i="40"/>
  <c r="FS34" i="40"/>
  <c r="FR34" i="40"/>
  <c r="FQ34" i="40"/>
  <c r="FP34" i="40"/>
  <c r="FO34" i="40"/>
  <c r="FN34" i="40"/>
  <c r="FM34" i="40"/>
  <c r="FL34" i="40"/>
  <c r="FK34" i="40"/>
  <c r="FJ34" i="40"/>
  <c r="FI34" i="40"/>
  <c r="FH34" i="40"/>
  <c r="FG34" i="40"/>
  <c r="FF34" i="40"/>
  <c r="FE34" i="40"/>
  <c r="FD34" i="40"/>
  <c r="FC34" i="40"/>
  <c r="FB34" i="40"/>
  <c r="FA34" i="40"/>
  <c r="EZ34" i="40"/>
  <c r="EY34" i="40"/>
  <c r="EX34" i="40"/>
  <c r="EW34" i="40"/>
  <c r="EV34" i="40"/>
  <c r="EU34" i="40"/>
  <c r="ET34" i="40"/>
  <c r="ES34" i="40"/>
  <c r="ER34" i="40"/>
  <c r="EQ34" i="40"/>
  <c r="EP34" i="40"/>
  <c r="EO34" i="40"/>
  <c r="EN34" i="40"/>
  <c r="EM34" i="40"/>
  <c r="EL34" i="40"/>
  <c r="EK34" i="40"/>
  <c r="EJ34" i="40"/>
  <c r="EI34" i="40"/>
  <c r="EH34" i="40"/>
  <c r="EG34" i="40"/>
  <c r="EF34" i="40"/>
  <c r="EE34" i="40"/>
  <c r="ED34" i="40"/>
  <c r="EC34" i="40"/>
  <c r="EB34" i="40"/>
  <c r="EA34" i="40"/>
  <c r="DZ34" i="40"/>
  <c r="DY34" i="40"/>
  <c r="DX34" i="40"/>
  <c r="DW34" i="40"/>
  <c r="DV34" i="40"/>
  <c r="DU34" i="40"/>
  <c r="DT34" i="40"/>
  <c r="DS34" i="40"/>
  <c r="DR34" i="40"/>
  <c r="DQ34" i="40"/>
  <c r="DP34" i="40"/>
  <c r="DO34" i="40"/>
  <c r="DN34" i="40"/>
  <c r="DM34" i="40"/>
  <c r="DL34" i="40"/>
  <c r="DK34" i="40"/>
  <c r="DJ34" i="40"/>
  <c r="DI34" i="40"/>
  <c r="HD33" i="40"/>
  <c r="HC33" i="40"/>
  <c r="HB33" i="40"/>
  <c r="HA33" i="40"/>
  <c r="GZ33" i="40"/>
  <c r="GY33" i="40"/>
  <c r="GX33" i="40"/>
  <c r="GW33" i="40"/>
  <c r="GV33" i="40"/>
  <c r="GU33" i="40"/>
  <c r="GT33" i="40"/>
  <c r="GS33" i="40"/>
  <c r="GR33" i="40"/>
  <c r="GQ33" i="40"/>
  <c r="GP33" i="40"/>
  <c r="GO33" i="40"/>
  <c r="GN33" i="40"/>
  <c r="GM33" i="40"/>
  <c r="GL33" i="40"/>
  <c r="GK33" i="40"/>
  <c r="GJ33" i="40"/>
  <c r="GI33" i="40"/>
  <c r="GH33" i="40"/>
  <c r="GG33" i="40"/>
  <c r="GF33" i="40"/>
  <c r="GE33" i="40"/>
  <c r="GD33" i="40"/>
  <c r="GC33" i="40"/>
  <c r="GB33" i="40"/>
  <c r="GA33" i="40"/>
  <c r="FZ33" i="40"/>
  <c r="FY33" i="40"/>
  <c r="FX33" i="40"/>
  <c r="FW33" i="40"/>
  <c r="FV33" i="40"/>
  <c r="FU33" i="40"/>
  <c r="FT33" i="40"/>
  <c r="FS33" i="40"/>
  <c r="FR33" i="40"/>
  <c r="FQ33" i="40"/>
  <c r="FP33" i="40"/>
  <c r="FO33" i="40"/>
  <c r="FN33" i="40"/>
  <c r="FM33" i="40"/>
  <c r="FL33" i="40"/>
  <c r="FK33" i="40"/>
  <c r="FJ33" i="40"/>
  <c r="FI33" i="40"/>
  <c r="FH33" i="40"/>
  <c r="FG33" i="40"/>
  <c r="FF33" i="40"/>
  <c r="FE33" i="40"/>
  <c r="FD33" i="40"/>
  <c r="FC33" i="40"/>
  <c r="FB33" i="40"/>
  <c r="FA33" i="40"/>
  <c r="EZ33" i="40"/>
  <c r="EY33" i="40"/>
  <c r="EX33" i="40"/>
  <c r="EW33" i="40"/>
  <c r="EV33" i="40"/>
  <c r="EU33" i="40"/>
  <c r="ET33" i="40"/>
  <c r="ES33" i="40"/>
  <c r="ER33" i="40"/>
  <c r="EQ33" i="40"/>
  <c r="EP33" i="40"/>
  <c r="EO33" i="40"/>
  <c r="EN33" i="40"/>
  <c r="EM33" i="40"/>
  <c r="EL33" i="40"/>
  <c r="EK33" i="40"/>
  <c r="EJ33" i="40"/>
  <c r="EI33" i="40"/>
  <c r="EH33" i="40"/>
  <c r="EG33" i="40"/>
  <c r="EF33" i="40"/>
  <c r="EE33" i="40"/>
  <c r="ED33" i="40"/>
  <c r="EC33" i="40"/>
  <c r="EB33" i="40"/>
  <c r="EA33" i="40"/>
  <c r="DZ33" i="40"/>
  <c r="DY33" i="40"/>
  <c r="DX33" i="40"/>
  <c r="DW33" i="40"/>
  <c r="DV33" i="40"/>
  <c r="DU33" i="40"/>
  <c r="DT33" i="40"/>
  <c r="DS33" i="40"/>
  <c r="DR33" i="40"/>
  <c r="DQ33" i="40"/>
  <c r="DP33" i="40"/>
  <c r="DO33" i="40"/>
  <c r="DN33" i="40"/>
  <c r="DM33" i="40"/>
  <c r="DL33" i="40"/>
  <c r="DK33" i="40"/>
  <c r="DJ33" i="40"/>
  <c r="DI33" i="40"/>
  <c r="HD32" i="40"/>
  <c r="HC32" i="40"/>
  <c r="HB32" i="40"/>
  <c r="HA32" i="40"/>
  <c r="GZ32" i="40"/>
  <c r="GY32" i="40"/>
  <c r="GX32" i="40"/>
  <c r="GW32" i="40"/>
  <c r="GV32" i="40"/>
  <c r="GU32" i="40"/>
  <c r="GT32" i="40"/>
  <c r="GS32" i="40"/>
  <c r="GR32" i="40"/>
  <c r="GQ32" i="40"/>
  <c r="GP32" i="40"/>
  <c r="GO32" i="40"/>
  <c r="GN32" i="40"/>
  <c r="GM32" i="40"/>
  <c r="GL32" i="40"/>
  <c r="GK32" i="40"/>
  <c r="GJ32" i="40"/>
  <c r="GI32" i="40"/>
  <c r="GH32" i="40"/>
  <c r="GG32" i="40"/>
  <c r="GF32" i="40"/>
  <c r="GE32" i="40"/>
  <c r="GD32" i="40"/>
  <c r="GC32" i="40"/>
  <c r="GB32" i="40"/>
  <c r="GA32" i="40"/>
  <c r="FZ32" i="40"/>
  <c r="FY32" i="40"/>
  <c r="FX32" i="40"/>
  <c r="FW32" i="40"/>
  <c r="FV32" i="40"/>
  <c r="FU32" i="40"/>
  <c r="FT32" i="40"/>
  <c r="FS32" i="40"/>
  <c r="FR32" i="40"/>
  <c r="FQ32" i="40"/>
  <c r="FP32" i="40"/>
  <c r="FO32" i="40"/>
  <c r="FN32" i="40"/>
  <c r="FM32" i="40"/>
  <c r="FL32" i="40"/>
  <c r="FK32" i="40"/>
  <c r="FJ32" i="40"/>
  <c r="FI32" i="40"/>
  <c r="FH32" i="40"/>
  <c r="FG32" i="40"/>
  <c r="FF32" i="40"/>
  <c r="FE32" i="40"/>
  <c r="FD32" i="40"/>
  <c r="FC32" i="40"/>
  <c r="FB32" i="40"/>
  <c r="FA32" i="40"/>
  <c r="EZ32" i="40"/>
  <c r="EY32" i="40"/>
  <c r="EX32" i="40"/>
  <c r="EW32" i="40"/>
  <c r="EV32" i="40"/>
  <c r="EU32" i="40"/>
  <c r="ET32" i="40"/>
  <c r="ES32" i="40"/>
  <c r="ER32" i="40"/>
  <c r="EQ32" i="40"/>
  <c r="EP32" i="40"/>
  <c r="EO32" i="40"/>
  <c r="EN32" i="40"/>
  <c r="EM32" i="40"/>
  <c r="EL32" i="40"/>
  <c r="EK32" i="40"/>
  <c r="EJ32" i="40"/>
  <c r="EI32" i="40"/>
  <c r="EH32" i="40"/>
  <c r="EG32" i="40"/>
  <c r="EF32" i="40"/>
  <c r="EE32" i="40"/>
  <c r="ED32" i="40"/>
  <c r="EC32" i="40"/>
  <c r="EB32" i="40"/>
  <c r="EA32" i="40"/>
  <c r="DZ32" i="40"/>
  <c r="DY32" i="40"/>
  <c r="DX32" i="40"/>
  <c r="DW32" i="40"/>
  <c r="DV32" i="40"/>
  <c r="DU32" i="40"/>
  <c r="DT32" i="40"/>
  <c r="DS32" i="40"/>
  <c r="DR32" i="40"/>
  <c r="DQ32" i="40"/>
  <c r="DP32" i="40"/>
  <c r="DO32" i="40"/>
  <c r="DN32" i="40"/>
  <c r="DM32" i="40"/>
  <c r="DL32" i="40"/>
  <c r="DK32" i="40"/>
  <c r="DJ32" i="40"/>
  <c r="DI32" i="40"/>
  <c r="HD31" i="40"/>
  <c r="HC31" i="40"/>
  <c r="HB31" i="40"/>
  <c r="HA31" i="40"/>
  <c r="GZ31" i="40"/>
  <c r="GY31" i="40"/>
  <c r="GX31" i="40"/>
  <c r="GW31" i="40"/>
  <c r="GV31" i="40"/>
  <c r="GU31" i="40"/>
  <c r="GT31" i="40"/>
  <c r="GS31" i="40"/>
  <c r="GR31" i="40"/>
  <c r="GQ31" i="40"/>
  <c r="GP31" i="40"/>
  <c r="GO31" i="40"/>
  <c r="GN31" i="40"/>
  <c r="GM31" i="40"/>
  <c r="GL31" i="40"/>
  <c r="GK31" i="40"/>
  <c r="GJ31" i="40"/>
  <c r="GI31" i="40"/>
  <c r="GH31" i="40"/>
  <c r="GG31" i="40"/>
  <c r="GF31" i="40"/>
  <c r="GE31" i="40"/>
  <c r="GD31" i="40"/>
  <c r="GC31" i="40"/>
  <c r="GB31" i="40"/>
  <c r="GA31" i="40"/>
  <c r="FZ31" i="40"/>
  <c r="FY31" i="40"/>
  <c r="FX31" i="40"/>
  <c r="FW31" i="40"/>
  <c r="FV31" i="40"/>
  <c r="FU31" i="40"/>
  <c r="FT31" i="40"/>
  <c r="FS31" i="40"/>
  <c r="FR31" i="40"/>
  <c r="FQ31" i="40"/>
  <c r="FP31" i="40"/>
  <c r="FO31" i="40"/>
  <c r="FN31" i="40"/>
  <c r="FM31" i="40"/>
  <c r="FL31" i="40"/>
  <c r="FK31" i="40"/>
  <c r="FJ31" i="40"/>
  <c r="FI31" i="40"/>
  <c r="FH31" i="40"/>
  <c r="FG31" i="40"/>
  <c r="FF31" i="40"/>
  <c r="FE31" i="40"/>
  <c r="FD31" i="40"/>
  <c r="FC31" i="40"/>
  <c r="FB31" i="40"/>
  <c r="FA31" i="40"/>
  <c r="EZ31" i="40"/>
  <c r="EY31" i="40"/>
  <c r="EX31" i="40"/>
  <c r="EW31" i="40"/>
  <c r="EV31" i="40"/>
  <c r="EU31" i="40"/>
  <c r="ET31" i="40"/>
  <c r="ES31" i="40"/>
  <c r="ER31" i="40"/>
  <c r="EQ31" i="40"/>
  <c r="EP31" i="40"/>
  <c r="EO31" i="40"/>
  <c r="EN31" i="40"/>
  <c r="EM31" i="40"/>
  <c r="EL31" i="40"/>
  <c r="EK31" i="40"/>
  <c r="EJ31" i="40"/>
  <c r="EI31" i="40"/>
  <c r="EH31" i="40"/>
  <c r="EG31" i="40"/>
  <c r="EF31" i="40"/>
  <c r="EE31" i="40"/>
  <c r="ED31" i="40"/>
  <c r="EC31" i="40"/>
  <c r="EB31" i="40"/>
  <c r="EA31" i="40"/>
  <c r="DZ31" i="40"/>
  <c r="DY31" i="40"/>
  <c r="DX31" i="40"/>
  <c r="DW31" i="40"/>
  <c r="DV31" i="40"/>
  <c r="DU31" i="40"/>
  <c r="DT31" i="40"/>
  <c r="DS31" i="40"/>
  <c r="DR31" i="40"/>
  <c r="DQ31" i="40"/>
  <c r="DP31" i="40"/>
  <c r="DO31" i="40"/>
  <c r="DN31" i="40"/>
  <c r="DM31" i="40"/>
  <c r="DL31" i="40"/>
  <c r="DK31" i="40"/>
  <c r="DJ31" i="40"/>
  <c r="DI31" i="40"/>
  <c r="HD30" i="40"/>
  <c r="HC30" i="40"/>
  <c r="HB30" i="40"/>
  <c r="HA30" i="40"/>
  <c r="GZ30" i="40"/>
  <c r="GY30" i="40"/>
  <c r="GX30" i="40"/>
  <c r="GW30" i="40"/>
  <c r="GV30" i="40"/>
  <c r="GU30" i="40"/>
  <c r="GT30" i="40"/>
  <c r="GS30" i="40"/>
  <c r="GR30" i="40"/>
  <c r="GQ30" i="40"/>
  <c r="GP30" i="40"/>
  <c r="GO30" i="40"/>
  <c r="GN30" i="40"/>
  <c r="GM30" i="40"/>
  <c r="GL30" i="40"/>
  <c r="GK30" i="40"/>
  <c r="GJ30" i="40"/>
  <c r="GI30" i="40"/>
  <c r="GH30" i="40"/>
  <c r="GG30" i="40"/>
  <c r="GF30" i="40"/>
  <c r="GE30" i="40"/>
  <c r="GD30" i="40"/>
  <c r="GC30" i="40"/>
  <c r="GB30" i="40"/>
  <c r="GA30" i="40"/>
  <c r="FZ30" i="40"/>
  <c r="FY30" i="40"/>
  <c r="FX30" i="40"/>
  <c r="FW30" i="40"/>
  <c r="FV30" i="40"/>
  <c r="FU30" i="40"/>
  <c r="FT30" i="40"/>
  <c r="FS30" i="40"/>
  <c r="FR30" i="40"/>
  <c r="FQ30" i="40"/>
  <c r="FP30" i="40"/>
  <c r="FO30" i="40"/>
  <c r="FN30" i="40"/>
  <c r="FM30" i="40"/>
  <c r="FL30" i="40"/>
  <c r="FK30" i="40"/>
  <c r="FJ30" i="40"/>
  <c r="FI30" i="40"/>
  <c r="FH30" i="40"/>
  <c r="FG30" i="40"/>
  <c r="FF30" i="40"/>
  <c r="FE30" i="40"/>
  <c r="FD30" i="40"/>
  <c r="FC30" i="40"/>
  <c r="FB30" i="40"/>
  <c r="FA30" i="40"/>
  <c r="EZ30" i="40"/>
  <c r="EY30" i="40"/>
  <c r="EX30" i="40"/>
  <c r="EW30" i="40"/>
  <c r="EV30" i="40"/>
  <c r="EU30" i="40"/>
  <c r="ET30" i="40"/>
  <c r="ES30" i="40"/>
  <c r="ER30" i="40"/>
  <c r="EQ30" i="40"/>
  <c r="EP30" i="40"/>
  <c r="EO30" i="40"/>
  <c r="EN30" i="40"/>
  <c r="EM30" i="40"/>
  <c r="EL30" i="40"/>
  <c r="EK30" i="40"/>
  <c r="EJ30" i="40"/>
  <c r="EI30" i="40"/>
  <c r="EH30" i="40"/>
  <c r="EG30" i="40"/>
  <c r="EF30" i="40"/>
  <c r="EE30" i="40"/>
  <c r="ED30" i="40"/>
  <c r="EC30" i="40"/>
  <c r="EB30" i="40"/>
  <c r="EA30" i="40"/>
  <c r="DZ30" i="40"/>
  <c r="DY30" i="40"/>
  <c r="DX30" i="40"/>
  <c r="DW30" i="40"/>
  <c r="DV30" i="40"/>
  <c r="DU30" i="40"/>
  <c r="DT30" i="40"/>
  <c r="DS30" i="40"/>
  <c r="DR30" i="40"/>
  <c r="DQ30" i="40"/>
  <c r="DP30" i="40"/>
  <c r="DO30" i="40"/>
  <c r="DN30" i="40"/>
  <c r="DM30" i="40"/>
  <c r="DL30" i="40"/>
  <c r="DK30" i="40"/>
  <c r="DJ30" i="40"/>
  <c r="DI30" i="40"/>
  <c r="HD29" i="40"/>
  <c r="HC29" i="40"/>
  <c r="HB29" i="40"/>
  <c r="HA29" i="40"/>
  <c r="GZ29" i="40"/>
  <c r="GY29" i="40"/>
  <c r="GX29" i="40"/>
  <c r="GW29" i="40"/>
  <c r="GV29" i="40"/>
  <c r="GU29" i="40"/>
  <c r="GT29" i="40"/>
  <c r="GS29" i="40"/>
  <c r="GR29" i="40"/>
  <c r="GQ29" i="40"/>
  <c r="GP29" i="40"/>
  <c r="GO29" i="40"/>
  <c r="GN29" i="40"/>
  <c r="GM29" i="40"/>
  <c r="GL29" i="40"/>
  <c r="GK29" i="40"/>
  <c r="GJ29" i="40"/>
  <c r="GI29" i="40"/>
  <c r="GH29" i="40"/>
  <c r="GG29" i="40"/>
  <c r="GF29" i="40"/>
  <c r="GE29" i="40"/>
  <c r="GD29" i="40"/>
  <c r="GC29" i="40"/>
  <c r="GB29" i="40"/>
  <c r="GA29" i="40"/>
  <c r="FZ29" i="40"/>
  <c r="FY29" i="40"/>
  <c r="FX29" i="40"/>
  <c r="FW29" i="40"/>
  <c r="FV29" i="40"/>
  <c r="FU29" i="40"/>
  <c r="FT29" i="40"/>
  <c r="FS29" i="40"/>
  <c r="FR29" i="40"/>
  <c r="FQ29" i="40"/>
  <c r="FP29" i="40"/>
  <c r="FO29" i="40"/>
  <c r="FN29" i="40"/>
  <c r="FM29" i="40"/>
  <c r="FL29" i="40"/>
  <c r="FK29" i="40"/>
  <c r="FJ29" i="40"/>
  <c r="FI29" i="40"/>
  <c r="FH29" i="40"/>
  <c r="FG29" i="40"/>
  <c r="FF29" i="40"/>
  <c r="FE29" i="40"/>
  <c r="FD29" i="40"/>
  <c r="FC29" i="40"/>
  <c r="FB29" i="40"/>
  <c r="FA29" i="40"/>
  <c r="EZ29" i="40"/>
  <c r="EY29" i="40"/>
  <c r="EX29" i="40"/>
  <c r="EW29" i="40"/>
  <c r="EV29" i="40"/>
  <c r="EU29" i="40"/>
  <c r="ET29" i="40"/>
  <c r="ES29" i="40"/>
  <c r="ER29" i="40"/>
  <c r="EQ29" i="40"/>
  <c r="EP29" i="40"/>
  <c r="EO29" i="40"/>
  <c r="EN29" i="40"/>
  <c r="EM29" i="40"/>
  <c r="EL29" i="40"/>
  <c r="EK29" i="40"/>
  <c r="EJ29" i="40"/>
  <c r="EI29" i="40"/>
  <c r="EH29" i="40"/>
  <c r="EG29" i="40"/>
  <c r="EF29" i="40"/>
  <c r="EE29" i="40"/>
  <c r="ED29" i="40"/>
  <c r="EC29" i="40"/>
  <c r="EB29" i="40"/>
  <c r="EA29" i="40"/>
  <c r="DZ29" i="40"/>
  <c r="DY29" i="40"/>
  <c r="DX29" i="40"/>
  <c r="DW29" i="40"/>
  <c r="DV29" i="40"/>
  <c r="DU29" i="40"/>
  <c r="DT29" i="40"/>
  <c r="DS29" i="40"/>
  <c r="DR29" i="40"/>
  <c r="DQ29" i="40"/>
  <c r="DP29" i="40"/>
  <c r="DO29" i="40"/>
  <c r="DN29" i="40"/>
  <c r="DM29" i="40"/>
  <c r="DL29" i="40"/>
  <c r="DK29" i="40"/>
  <c r="DJ29" i="40"/>
  <c r="DI29" i="40"/>
  <c r="HD28" i="40"/>
  <c r="HC28" i="40"/>
  <c r="HB28" i="40"/>
  <c r="HA28" i="40"/>
  <c r="GZ28" i="40"/>
  <c r="GY28" i="40"/>
  <c r="GX28" i="40"/>
  <c r="GW28" i="40"/>
  <c r="GV28" i="40"/>
  <c r="GU28" i="40"/>
  <c r="GT28" i="40"/>
  <c r="GS28" i="40"/>
  <c r="GR28" i="40"/>
  <c r="GQ28" i="40"/>
  <c r="GP28" i="40"/>
  <c r="GO28" i="40"/>
  <c r="GN28" i="40"/>
  <c r="GM28" i="40"/>
  <c r="GL28" i="40"/>
  <c r="GK28" i="40"/>
  <c r="GJ28" i="40"/>
  <c r="GI28" i="40"/>
  <c r="GH28" i="40"/>
  <c r="GG28" i="40"/>
  <c r="GF28" i="40"/>
  <c r="GE28" i="40"/>
  <c r="GD28" i="40"/>
  <c r="GC28" i="40"/>
  <c r="GB28" i="40"/>
  <c r="GA28" i="40"/>
  <c r="FZ28" i="40"/>
  <c r="FY28" i="40"/>
  <c r="FX28" i="40"/>
  <c r="FW28" i="40"/>
  <c r="FV28" i="40"/>
  <c r="FU28" i="40"/>
  <c r="FT28" i="40"/>
  <c r="FS28" i="40"/>
  <c r="FR28" i="40"/>
  <c r="FQ28" i="40"/>
  <c r="FP28" i="40"/>
  <c r="FO28" i="40"/>
  <c r="FN28" i="40"/>
  <c r="FM28" i="40"/>
  <c r="FL28" i="40"/>
  <c r="FK28" i="40"/>
  <c r="FJ28" i="40"/>
  <c r="FI28" i="40"/>
  <c r="FH28" i="40"/>
  <c r="FG28" i="40"/>
  <c r="FF28" i="40"/>
  <c r="FE28" i="40"/>
  <c r="FD28" i="40"/>
  <c r="FC28" i="40"/>
  <c r="FB28" i="40"/>
  <c r="FA28" i="40"/>
  <c r="EZ28" i="40"/>
  <c r="EY28" i="40"/>
  <c r="EX28" i="40"/>
  <c r="EW28" i="40"/>
  <c r="EV28" i="40"/>
  <c r="EU28" i="40"/>
  <c r="ET28" i="40"/>
  <c r="ES28" i="40"/>
  <c r="ER28" i="40"/>
  <c r="EQ28" i="40"/>
  <c r="EP28" i="40"/>
  <c r="EO28" i="40"/>
  <c r="EN28" i="40"/>
  <c r="EM28" i="40"/>
  <c r="EL28" i="40"/>
  <c r="EK28" i="40"/>
  <c r="EJ28" i="40"/>
  <c r="EI28" i="40"/>
  <c r="EH28" i="40"/>
  <c r="EG28" i="40"/>
  <c r="EF28" i="40"/>
  <c r="EE28" i="40"/>
  <c r="ED28" i="40"/>
  <c r="EC28" i="40"/>
  <c r="EB28" i="40"/>
  <c r="EA28" i="40"/>
  <c r="DZ28" i="40"/>
  <c r="DY28" i="40"/>
  <c r="DX28" i="40"/>
  <c r="DW28" i="40"/>
  <c r="DV28" i="40"/>
  <c r="DU28" i="40"/>
  <c r="DT28" i="40"/>
  <c r="DS28" i="40"/>
  <c r="DR28" i="40"/>
  <c r="DQ28" i="40"/>
  <c r="DP28" i="40"/>
  <c r="DO28" i="40"/>
  <c r="DN28" i="40"/>
  <c r="DM28" i="40"/>
  <c r="DL28" i="40"/>
  <c r="DK28" i="40"/>
  <c r="DJ28" i="40"/>
  <c r="DI28" i="40"/>
  <c r="HD27" i="40"/>
  <c r="HC27" i="40"/>
  <c r="HB27" i="40"/>
  <c r="HA27" i="40"/>
  <c r="GZ27" i="40"/>
  <c r="GY27" i="40"/>
  <c r="GX27" i="40"/>
  <c r="GW27" i="40"/>
  <c r="GV27" i="40"/>
  <c r="GU27" i="40"/>
  <c r="GT27" i="40"/>
  <c r="GS27" i="40"/>
  <c r="GR27" i="40"/>
  <c r="GQ27" i="40"/>
  <c r="GP27" i="40"/>
  <c r="GO27" i="40"/>
  <c r="GN27" i="40"/>
  <c r="GM27" i="40"/>
  <c r="GL27" i="40"/>
  <c r="GK27" i="40"/>
  <c r="GJ27" i="40"/>
  <c r="GI27" i="40"/>
  <c r="GH27" i="40"/>
  <c r="GG27" i="40"/>
  <c r="GF27" i="40"/>
  <c r="GE27" i="40"/>
  <c r="GD27" i="40"/>
  <c r="GC27" i="40"/>
  <c r="GB27" i="40"/>
  <c r="GA27" i="40"/>
  <c r="FZ27" i="40"/>
  <c r="FY27" i="40"/>
  <c r="FX27" i="40"/>
  <c r="FW27" i="40"/>
  <c r="FV27" i="40"/>
  <c r="FU27" i="40"/>
  <c r="FT27" i="40"/>
  <c r="FS27" i="40"/>
  <c r="FR27" i="40"/>
  <c r="FQ27" i="40"/>
  <c r="FP27" i="40"/>
  <c r="FO27" i="40"/>
  <c r="FN27" i="40"/>
  <c r="FM27" i="40"/>
  <c r="FL27" i="40"/>
  <c r="FK27" i="40"/>
  <c r="FJ27" i="40"/>
  <c r="FI27" i="40"/>
  <c r="FH27" i="40"/>
  <c r="FG27" i="40"/>
  <c r="FF27" i="40"/>
  <c r="FE27" i="40"/>
  <c r="FD27" i="40"/>
  <c r="FC27" i="40"/>
  <c r="FB27" i="40"/>
  <c r="FA27" i="40"/>
  <c r="EZ27" i="40"/>
  <c r="EY27" i="40"/>
  <c r="EX27" i="40"/>
  <c r="EW27" i="40"/>
  <c r="EV27" i="40"/>
  <c r="EU27" i="40"/>
  <c r="ET27" i="40"/>
  <c r="ES27" i="40"/>
  <c r="ER27" i="40"/>
  <c r="EQ27" i="40"/>
  <c r="EP27" i="40"/>
  <c r="EO27" i="40"/>
  <c r="EN27" i="40"/>
  <c r="EM27" i="40"/>
  <c r="EL27" i="40"/>
  <c r="EK27" i="40"/>
  <c r="EJ27" i="40"/>
  <c r="EI27" i="40"/>
  <c r="EH27" i="40"/>
  <c r="EG27" i="40"/>
  <c r="EF27" i="40"/>
  <c r="EE27" i="40"/>
  <c r="ED27" i="40"/>
  <c r="EC27" i="40"/>
  <c r="EB27" i="40"/>
  <c r="EA27" i="40"/>
  <c r="DZ27" i="40"/>
  <c r="DY27" i="40"/>
  <c r="DX27" i="40"/>
  <c r="DW27" i="40"/>
  <c r="DV27" i="40"/>
  <c r="DU27" i="40"/>
  <c r="DT27" i="40"/>
  <c r="DS27" i="40"/>
  <c r="DR27" i="40"/>
  <c r="DQ27" i="40"/>
  <c r="DP27" i="40"/>
  <c r="DO27" i="40"/>
  <c r="DN27" i="40"/>
  <c r="DM27" i="40"/>
  <c r="DL27" i="40"/>
  <c r="DK27" i="40"/>
  <c r="DJ27" i="40"/>
  <c r="DI27" i="40"/>
  <c r="HD26" i="40"/>
  <c r="HC26" i="40"/>
  <c r="HB26" i="40"/>
  <c r="HA26" i="40"/>
  <c r="GZ26" i="40"/>
  <c r="GY26" i="40"/>
  <c r="GX26" i="40"/>
  <c r="GW26" i="40"/>
  <c r="GV26" i="40"/>
  <c r="GU26" i="40"/>
  <c r="GT26" i="40"/>
  <c r="GS26" i="40"/>
  <c r="GR26" i="40"/>
  <c r="GQ26" i="40"/>
  <c r="GP26" i="40"/>
  <c r="GO26" i="40"/>
  <c r="GN26" i="40"/>
  <c r="GM26" i="40"/>
  <c r="GL26" i="40"/>
  <c r="GK26" i="40"/>
  <c r="GJ26" i="40"/>
  <c r="GI26" i="40"/>
  <c r="GH26" i="40"/>
  <c r="GG26" i="40"/>
  <c r="GF26" i="40"/>
  <c r="GE26" i="40"/>
  <c r="GD26" i="40"/>
  <c r="GC26" i="40"/>
  <c r="GB26" i="40"/>
  <c r="GA26" i="40"/>
  <c r="FZ26" i="40"/>
  <c r="FY26" i="40"/>
  <c r="FX26" i="40"/>
  <c r="FW26" i="40"/>
  <c r="FV26" i="40"/>
  <c r="FU26" i="40"/>
  <c r="FT26" i="40"/>
  <c r="FS26" i="40"/>
  <c r="FR26" i="40"/>
  <c r="FQ26" i="40"/>
  <c r="FP26" i="40"/>
  <c r="FO26" i="40"/>
  <c r="FN26" i="40"/>
  <c r="FM26" i="40"/>
  <c r="FL26" i="40"/>
  <c r="FK26" i="40"/>
  <c r="FJ26" i="40"/>
  <c r="FI26" i="40"/>
  <c r="FH26" i="40"/>
  <c r="FG26" i="40"/>
  <c r="FF26" i="40"/>
  <c r="FE26" i="40"/>
  <c r="FD26" i="40"/>
  <c r="FC26" i="40"/>
  <c r="FB26" i="40"/>
  <c r="FA26" i="40"/>
  <c r="EZ26" i="40"/>
  <c r="EY26" i="40"/>
  <c r="EX26" i="40"/>
  <c r="EW26" i="40"/>
  <c r="EV26" i="40"/>
  <c r="EU26" i="40"/>
  <c r="ET26" i="40"/>
  <c r="ES26" i="40"/>
  <c r="ER26" i="40"/>
  <c r="EQ26" i="40"/>
  <c r="EP26" i="40"/>
  <c r="EO26" i="40"/>
  <c r="EN26" i="40"/>
  <c r="EM26" i="40"/>
  <c r="EL26" i="40"/>
  <c r="EK26" i="40"/>
  <c r="EJ26" i="40"/>
  <c r="EI26" i="40"/>
  <c r="EH26" i="40"/>
  <c r="EG26" i="40"/>
  <c r="EF26" i="40"/>
  <c r="EE26" i="40"/>
  <c r="ED26" i="40"/>
  <c r="EC26" i="40"/>
  <c r="EB26" i="40"/>
  <c r="EA26" i="40"/>
  <c r="DZ26" i="40"/>
  <c r="DY26" i="40"/>
  <c r="DX26" i="40"/>
  <c r="DW26" i="40"/>
  <c r="DV26" i="40"/>
  <c r="DU26" i="40"/>
  <c r="DT26" i="40"/>
  <c r="DS26" i="40"/>
  <c r="DR26" i="40"/>
  <c r="DQ26" i="40"/>
  <c r="DP26" i="40"/>
  <c r="DO26" i="40"/>
  <c r="DN26" i="40"/>
  <c r="DM26" i="40"/>
  <c r="DL26" i="40"/>
  <c r="DK26" i="40"/>
  <c r="DJ26" i="40"/>
  <c r="DI26" i="40"/>
  <c r="HD25" i="40"/>
  <c r="HC25" i="40"/>
  <c r="HB25" i="40"/>
  <c r="HA25" i="40"/>
  <c r="GZ25" i="40"/>
  <c r="GY25" i="40"/>
  <c r="GX25" i="40"/>
  <c r="GW25" i="40"/>
  <c r="GV25" i="40"/>
  <c r="GU25" i="40"/>
  <c r="GT25" i="40"/>
  <c r="GS25" i="40"/>
  <c r="GR25" i="40"/>
  <c r="GQ25" i="40"/>
  <c r="GP25" i="40"/>
  <c r="GO25" i="40"/>
  <c r="GN25" i="40"/>
  <c r="GM25" i="40"/>
  <c r="GL25" i="40"/>
  <c r="GK25" i="40"/>
  <c r="GJ25" i="40"/>
  <c r="GI25" i="40"/>
  <c r="GH25" i="40"/>
  <c r="GG25" i="40"/>
  <c r="GF25" i="40"/>
  <c r="GE25" i="40"/>
  <c r="GD25" i="40"/>
  <c r="GC25" i="40"/>
  <c r="GB25" i="40"/>
  <c r="GA25" i="40"/>
  <c r="FZ25" i="40"/>
  <c r="FY25" i="40"/>
  <c r="FX25" i="40"/>
  <c r="FW25" i="40"/>
  <c r="FV25" i="40"/>
  <c r="FU25" i="40"/>
  <c r="FT25" i="40"/>
  <c r="FS25" i="40"/>
  <c r="FR25" i="40"/>
  <c r="FQ25" i="40"/>
  <c r="FP25" i="40"/>
  <c r="FO25" i="40"/>
  <c r="FN25" i="40"/>
  <c r="FM25" i="40"/>
  <c r="FL25" i="40"/>
  <c r="FK25" i="40"/>
  <c r="FJ25" i="40"/>
  <c r="FI25" i="40"/>
  <c r="FH25" i="40"/>
  <c r="FG25" i="40"/>
  <c r="FF25" i="40"/>
  <c r="FE25" i="40"/>
  <c r="FD25" i="40"/>
  <c r="FC25" i="40"/>
  <c r="FB25" i="40"/>
  <c r="FA25" i="40"/>
  <c r="EZ25" i="40"/>
  <c r="EY25" i="40"/>
  <c r="EX25" i="40"/>
  <c r="EW25" i="40"/>
  <c r="EV25" i="40"/>
  <c r="EU25" i="40"/>
  <c r="ET25" i="40"/>
  <c r="ES25" i="40"/>
  <c r="ER25" i="40"/>
  <c r="EQ25" i="40"/>
  <c r="EP25" i="40"/>
  <c r="EO25" i="40"/>
  <c r="EN25" i="40"/>
  <c r="EM25" i="40"/>
  <c r="EL25" i="40"/>
  <c r="EK25" i="40"/>
  <c r="EJ25" i="40"/>
  <c r="EI25" i="40"/>
  <c r="EH25" i="40"/>
  <c r="EG25" i="40"/>
  <c r="EF25" i="40"/>
  <c r="EE25" i="40"/>
  <c r="ED25" i="40"/>
  <c r="EC25" i="40"/>
  <c r="EB25" i="40"/>
  <c r="EA25" i="40"/>
  <c r="DZ25" i="40"/>
  <c r="DY25" i="40"/>
  <c r="DX25" i="40"/>
  <c r="DW25" i="40"/>
  <c r="DV25" i="40"/>
  <c r="DU25" i="40"/>
  <c r="DT25" i="40"/>
  <c r="DS25" i="40"/>
  <c r="DR25" i="40"/>
  <c r="DQ25" i="40"/>
  <c r="DP25" i="40"/>
  <c r="DO25" i="40"/>
  <c r="DN25" i="40"/>
  <c r="DM25" i="40"/>
  <c r="DL25" i="40"/>
  <c r="DK25" i="40"/>
  <c r="DJ25" i="40"/>
  <c r="DI25" i="40"/>
  <c r="HD24" i="40"/>
  <c r="HC24" i="40"/>
  <c r="HB24" i="40"/>
  <c r="HA24" i="40"/>
  <c r="GZ24" i="40"/>
  <c r="GY24" i="40"/>
  <c r="GX24" i="40"/>
  <c r="GW24" i="40"/>
  <c r="GV24" i="40"/>
  <c r="GU24" i="40"/>
  <c r="GT24" i="40"/>
  <c r="GS24" i="40"/>
  <c r="GR24" i="40"/>
  <c r="GQ24" i="40"/>
  <c r="GP24" i="40"/>
  <c r="GO24" i="40"/>
  <c r="GN24" i="40"/>
  <c r="GM24" i="40"/>
  <c r="GL24" i="40"/>
  <c r="GK24" i="40"/>
  <c r="GJ24" i="40"/>
  <c r="GI24" i="40"/>
  <c r="GH24" i="40"/>
  <c r="GG24" i="40"/>
  <c r="GF24" i="40"/>
  <c r="GE24" i="40"/>
  <c r="GD24" i="40"/>
  <c r="GC24" i="40"/>
  <c r="GB24" i="40"/>
  <c r="GA24" i="40"/>
  <c r="FZ24" i="40"/>
  <c r="FY24" i="40"/>
  <c r="FX24" i="40"/>
  <c r="FW24" i="40"/>
  <c r="FV24" i="40"/>
  <c r="FU24" i="40"/>
  <c r="FT24" i="40"/>
  <c r="FS24" i="40"/>
  <c r="FR24" i="40"/>
  <c r="FQ24" i="40"/>
  <c r="FP24" i="40"/>
  <c r="FO24" i="40"/>
  <c r="FN24" i="40"/>
  <c r="FM24" i="40"/>
  <c r="FL24" i="40"/>
  <c r="FK24" i="40"/>
  <c r="FJ24" i="40"/>
  <c r="FI24" i="40"/>
  <c r="FH24" i="40"/>
  <c r="FG24" i="40"/>
  <c r="FF24" i="40"/>
  <c r="FE24" i="40"/>
  <c r="FD24" i="40"/>
  <c r="FC24" i="40"/>
  <c r="FB24" i="40"/>
  <c r="FA24" i="40"/>
  <c r="EZ24" i="40"/>
  <c r="EY24" i="40"/>
  <c r="EX24" i="40"/>
  <c r="EW24" i="40"/>
  <c r="EV24" i="40"/>
  <c r="EU24" i="40"/>
  <c r="ET24" i="40"/>
  <c r="ES24" i="40"/>
  <c r="ER24" i="40"/>
  <c r="EQ24" i="40"/>
  <c r="EP24" i="40"/>
  <c r="EO24" i="40"/>
  <c r="EN24" i="40"/>
  <c r="EM24" i="40"/>
  <c r="EL24" i="40"/>
  <c r="EK24" i="40"/>
  <c r="EJ24" i="40"/>
  <c r="EI24" i="40"/>
  <c r="EH24" i="40"/>
  <c r="EG24" i="40"/>
  <c r="EF24" i="40"/>
  <c r="EE24" i="40"/>
  <c r="ED24" i="40"/>
  <c r="EC24" i="40"/>
  <c r="EB24" i="40"/>
  <c r="EA24" i="40"/>
  <c r="DZ24" i="40"/>
  <c r="DY24" i="40"/>
  <c r="DX24" i="40"/>
  <c r="DW24" i="40"/>
  <c r="DV24" i="40"/>
  <c r="DU24" i="40"/>
  <c r="DT24" i="40"/>
  <c r="DS24" i="40"/>
  <c r="DR24" i="40"/>
  <c r="DQ24" i="40"/>
  <c r="DP24" i="40"/>
  <c r="DO24" i="40"/>
  <c r="DN24" i="40"/>
  <c r="DM24" i="40"/>
  <c r="DL24" i="40"/>
  <c r="DK24" i="40"/>
  <c r="DJ24" i="40"/>
  <c r="DI24" i="40"/>
  <c r="HD23" i="40"/>
  <c r="HC23" i="40"/>
  <c r="HB23" i="40"/>
  <c r="HA23" i="40"/>
  <c r="GZ23" i="40"/>
  <c r="GY23" i="40"/>
  <c r="GX23" i="40"/>
  <c r="GW23" i="40"/>
  <c r="GV23" i="40"/>
  <c r="GU23" i="40"/>
  <c r="GT23" i="40"/>
  <c r="GS23" i="40"/>
  <c r="GR23" i="40"/>
  <c r="GQ23" i="40"/>
  <c r="GP23" i="40"/>
  <c r="GO23" i="40"/>
  <c r="GN23" i="40"/>
  <c r="GM23" i="40"/>
  <c r="GL23" i="40"/>
  <c r="GK23" i="40"/>
  <c r="GJ23" i="40"/>
  <c r="GI23" i="40"/>
  <c r="GH23" i="40"/>
  <c r="GG23" i="40"/>
  <c r="GF23" i="40"/>
  <c r="GE23" i="40"/>
  <c r="GD23" i="40"/>
  <c r="GC23" i="40"/>
  <c r="GB23" i="40"/>
  <c r="GA23" i="40"/>
  <c r="FZ23" i="40"/>
  <c r="FY23" i="40"/>
  <c r="FX23" i="40"/>
  <c r="FW23" i="40"/>
  <c r="FV23" i="40"/>
  <c r="FU23" i="40"/>
  <c r="FT23" i="40"/>
  <c r="FS23" i="40"/>
  <c r="FR23" i="40"/>
  <c r="FQ23" i="40"/>
  <c r="FP23" i="40"/>
  <c r="FO23" i="40"/>
  <c r="FN23" i="40"/>
  <c r="FM23" i="40"/>
  <c r="FL23" i="40"/>
  <c r="FK23" i="40"/>
  <c r="FJ23" i="40"/>
  <c r="FI23" i="40"/>
  <c r="FH23" i="40"/>
  <c r="FG23" i="40"/>
  <c r="FF23" i="40"/>
  <c r="FE23" i="40"/>
  <c r="FD23" i="40"/>
  <c r="FC23" i="40"/>
  <c r="FB23" i="40"/>
  <c r="FA23" i="40"/>
  <c r="EZ23" i="40"/>
  <c r="EY23" i="40"/>
  <c r="EX23" i="40"/>
  <c r="EW23" i="40"/>
  <c r="EV23" i="40"/>
  <c r="EU23" i="40"/>
  <c r="ET23" i="40"/>
  <c r="ES23" i="40"/>
  <c r="ER23" i="40"/>
  <c r="EQ23" i="40"/>
  <c r="EP23" i="40"/>
  <c r="EO23" i="40"/>
  <c r="EN23" i="40"/>
  <c r="EM23" i="40"/>
  <c r="EL23" i="40"/>
  <c r="EK23" i="40"/>
  <c r="EJ23" i="40"/>
  <c r="EI23" i="40"/>
  <c r="EH23" i="40"/>
  <c r="EG23" i="40"/>
  <c r="EF23" i="40"/>
  <c r="EE23" i="40"/>
  <c r="ED23" i="40"/>
  <c r="EC23" i="40"/>
  <c r="EB23" i="40"/>
  <c r="EA23" i="40"/>
  <c r="DZ23" i="40"/>
  <c r="DY23" i="40"/>
  <c r="DX23" i="40"/>
  <c r="DW23" i="40"/>
  <c r="DV23" i="40"/>
  <c r="DU23" i="40"/>
  <c r="DT23" i="40"/>
  <c r="DS23" i="40"/>
  <c r="DR23" i="40"/>
  <c r="DQ23" i="40"/>
  <c r="DP23" i="40"/>
  <c r="DO23" i="40"/>
  <c r="DN23" i="40"/>
  <c r="DM23" i="40"/>
  <c r="DL23" i="40"/>
  <c r="DK23" i="40"/>
  <c r="DJ23" i="40"/>
  <c r="DI23" i="40"/>
  <c r="HD22" i="40"/>
  <c r="HC22" i="40"/>
  <c r="HB22" i="40"/>
  <c r="HA22" i="40"/>
  <c r="GZ22" i="40"/>
  <c r="GY22" i="40"/>
  <c r="GX22" i="40"/>
  <c r="GW22" i="40"/>
  <c r="GV22" i="40"/>
  <c r="GU22" i="40"/>
  <c r="GT22" i="40"/>
  <c r="GS22" i="40"/>
  <c r="GR22" i="40"/>
  <c r="GQ22" i="40"/>
  <c r="GP22" i="40"/>
  <c r="GO22" i="40"/>
  <c r="GN22" i="40"/>
  <c r="GM22" i="40"/>
  <c r="GL22" i="40"/>
  <c r="GK22" i="40"/>
  <c r="GJ22" i="40"/>
  <c r="GI22" i="40"/>
  <c r="GH22" i="40"/>
  <c r="GG22" i="40"/>
  <c r="GF22" i="40"/>
  <c r="GE22" i="40"/>
  <c r="GD22" i="40"/>
  <c r="GC22" i="40"/>
  <c r="GB22" i="40"/>
  <c r="GA22" i="40"/>
  <c r="FZ22" i="40"/>
  <c r="FY22" i="40"/>
  <c r="FX22" i="40"/>
  <c r="FW22" i="40"/>
  <c r="FV22" i="40"/>
  <c r="FU22" i="40"/>
  <c r="FT22" i="40"/>
  <c r="FS22" i="40"/>
  <c r="FR22" i="40"/>
  <c r="FQ22" i="40"/>
  <c r="FP22" i="40"/>
  <c r="FO22" i="40"/>
  <c r="FN22" i="40"/>
  <c r="FM22" i="40"/>
  <c r="FL22" i="40"/>
  <c r="FK22" i="40"/>
  <c r="FJ22" i="40"/>
  <c r="FI22" i="40"/>
  <c r="FH22" i="40"/>
  <c r="FG22" i="40"/>
  <c r="FF22" i="40"/>
  <c r="FE22" i="40"/>
  <c r="FD22" i="40"/>
  <c r="FC22" i="40"/>
  <c r="FB22" i="40"/>
  <c r="FA22" i="40"/>
  <c r="EZ22" i="40"/>
  <c r="EY22" i="40"/>
  <c r="EX22" i="40"/>
  <c r="EW22" i="40"/>
  <c r="EV22" i="40"/>
  <c r="EU22" i="40"/>
  <c r="ET22" i="40"/>
  <c r="ES22" i="40"/>
  <c r="ER22" i="40"/>
  <c r="EQ22" i="40"/>
  <c r="EP22" i="40"/>
  <c r="EO22" i="40"/>
  <c r="EN22" i="40"/>
  <c r="EM22" i="40"/>
  <c r="EL22" i="40"/>
  <c r="EK22" i="40"/>
  <c r="EJ22" i="40"/>
  <c r="EI22" i="40"/>
  <c r="EH22" i="40"/>
  <c r="EG22" i="40"/>
  <c r="EF22" i="40"/>
  <c r="EE22" i="40"/>
  <c r="ED22" i="40"/>
  <c r="EC22" i="40"/>
  <c r="EB22" i="40"/>
  <c r="EA22" i="40"/>
  <c r="DZ22" i="40"/>
  <c r="DY22" i="40"/>
  <c r="DX22" i="40"/>
  <c r="DW22" i="40"/>
  <c r="DV22" i="40"/>
  <c r="DU22" i="40"/>
  <c r="DT22" i="40"/>
  <c r="DS22" i="40"/>
  <c r="DR22" i="40"/>
  <c r="DQ22" i="40"/>
  <c r="DP22" i="40"/>
  <c r="DO22" i="40"/>
  <c r="DN22" i="40"/>
  <c r="DM22" i="40"/>
  <c r="DL22" i="40"/>
  <c r="DK22" i="40"/>
  <c r="DJ22" i="40"/>
  <c r="DI22" i="40"/>
  <c r="HD21" i="40"/>
  <c r="HC21" i="40"/>
  <c r="HB21" i="40"/>
  <c r="HA21" i="40"/>
  <c r="GZ21" i="40"/>
  <c r="GY21" i="40"/>
  <c r="GX21" i="40"/>
  <c r="GW21" i="40"/>
  <c r="GV21" i="40"/>
  <c r="GU21" i="40"/>
  <c r="GT21" i="40"/>
  <c r="GS21" i="40"/>
  <c r="GR21" i="40"/>
  <c r="GQ21" i="40"/>
  <c r="GP21" i="40"/>
  <c r="GO21" i="40"/>
  <c r="GN21" i="40"/>
  <c r="GM21" i="40"/>
  <c r="GL21" i="40"/>
  <c r="GK21" i="40"/>
  <c r="GJ21" i="40"/>
  <c r="GI21" i="40"/>
  <c r="GH21" i="40"/>
  <c r="GG21" i="40"/>
  <c r="GF21" i="40"/>
  <c r="GE21" i="40"/>
  <c r="GD21" i="40"/>
  <c r="GC21" i="40"/>
  <c r="GB21" i="40"/>
  <c r="GA21" i="40"/>
  <c r="FZ21" i="40"/>
  <c r="FY21" i="40"/>
  <c r="FX21" i="40"/>
  <c r="FW21" i="40"/>
  <c r="FV21" i="40"/>
  <c r="FU21" i="40"/>
  <c r="FT21" i="40"/>
  <c r="FS21" i="40"/>
  <c r="FR21" i="40"/>
  <c r="FQ21" i="40"/>
  <c r="FP21" i="40"/>
  <c r="FO21" i="40"/>
  <c r="FN21" i="40"/>
  <c r="FM21" i="40"/>
  <c r="FL21" i="40"/>
  <c r="FK21" i="40"/>
  <c r="FJ21" i="40"/>
  <c r="FI21" i="40"/>
  <c r="FH21" i="40"/>
  <c r="FG21" i="40"/>
  <c r="FF21" i="40"/>
  <c r="FE21" i="40"/>
  <c r="FD21" i="40"/>
  <c r="FC21" i="40"/>
  <c r="FB21" i="40"/>
  <c r="FA21" i="40"/>
  <c r="EZ21" i="40"/>
  <c r="EY21" i="40"/>
  <c r="EX21" i="40"/>
  <c r="EW21" i="40"/>
  <c r="EV21" i="40"/>
  <c r="EU21" i="40"/>
  <c r="ET21" i="40"/>
  <c r="ES21" i="40"/>
  <c r="ER21" i="40"/>
  <c r="EQ21" i="40"/>
  <c r="EP21" i="40"/>
  <c r="EO21" i="40"/>
  <c r="EN21" i="40"/>
  <c r="EM21" i="40"/>
  <c r="EL21" i="40"/>
  <c r="EK21" i="40"/>
  <c r="EJ21" i="40"/>
  <c r="EI21" i="40"/>
  <c r="EH21" i="40"/>
  <c r="EG21" i="40"/>
  <c r="EF21" i="40"/>
  <c r="EE21" i="40"/>
  <c r="ED21" i="40"/>
  <c r="EC21" i="40"/>
  <c r="EB21" i="40"/>
  <c r="EA21" i="40"/>
  <c r="DZ21" i="40"/>
  <c r="DY21" i="40"/>
  <c r="DX21" i="40"/>
  <c r="DW21" i="40"/>
  <c r="DV21" i="40"/>
  <c r="DU21" i="40"/>
  <c r="DT21" i="40"/>
  <c r="DS21" i="40"/>
  <c r="DR21" i="40"/>
  <c r="DQ21" i="40"/>
  <c r="DP21" i="40"/>
  <c r="DO21" i="40"/>
  <c r="DN21" i="40"/>
  <c r="DM21" i="40"/>
  <c r="DL21" i="40"/>
  <c r="DK21" i="40"/>
  <c r="DJ21" i="40"/>
  <c r="DI21" i="40"/>
  <c r="HD20" i="40"/>
  <c r="HC20" i="40"/>
  <c r="HB20" i="40"/>
  <c r="HA20" i="40"/>
  <c r="GZ20" i="40"/>
  <c r="GY20" i="40"/>
  <c r="GX20" i="40"/>
  <c r="GW20" i="40"/>
  <c r="GV20" i="40"/>
  <c r="GU20" i="40"/>
  <c r="GT20" i="40"/>
  <c r="GS20" i="40"/>
  <c r="GR20" i="40"/>
  <c r="GQ20" i="40"/>
  <c r="GP20" i="40"/>
  <c r="GO20" i="40"/>
  <c r="GN20" i="40"/>
  <c r="GM20" i="40"/>
  <c r="GL20" i="40"/>
  <c r="GK20" i="40"/>
  <c r="GJ20" i="40"/>
  <c r="GI20" i="40"/>
  <c r="GH20" i="40"/>
  <c r="GG20" i="40"/>
  <c r="GF20" i="40"/>
  <c r="GE20" i="40"/>
  <c r="GD20" i="40"/>
  <c r="GC20" i="40"/>
  <c r="GB20" i="40"/>
  <c r="GA20" i="40"/>
  <c r="FZ20" i="40"/>
  <c r="FY20" i="40"/>
  <c r="FX20" i="40"/>
  <c r="FW20" i="40"/>
  <c r="FV20" i="40"/>
  <c r="FU20" i="40"/>
  <c r="FT20" i="40"/>
  <c r="FS20" i="40"/>
  <c r="FR20" i="40"/>
  <c r="FQ20" i="40"/>
  <c r="FP20" i="40"/>
  <c r="FO20" i="40"/>
  <c r="FN20" i="40"/>
  <c r="FM20" i="40"/>
  <c r="FL20" i="40"/>
  <c r="FK20" i="40"/>
  <c r="FJ20" i="40"/>
  <c r="FI20" i="40"/>
  <c r="FH20" i="40"/>
  <c r="FG20" i="40"/>
  <c r="FF20" i="40"/>
  <c r="FE20" i="40"/>
  <c r="FD20" i="40"/>
  <c r="FC20" i="40"/>
  <c r="FB20" i="40"/>
  <c r="FA20" i="40"/>
  <c r="EZ20" i="40"/>
  <c r="EY20" i="40"/>
  <c r="EX20" i="40"/>
  <c r="EW20" i="40"/>
  <c r="EV20" i="40"/>
  <c r="EU20" i="40"/>
  <c r="ET20" i="40"/>
  <c r="ES20" i="40"/>
  <c r="ER20" i="40"/>
  <c r="EQ20" i="40"/>
  <c r="EP20" i="40"/>
  <c r="EO20" i="40"/>
  <c r="EN20" i="40"/>
  <c r="EM20" i="40"/>
  <c r="EL20" i="40"/>
  <c r="EK20" i="40"/>
  <c r="EJ20" i="40"/>
  <c r="EI20" i="40"/>
  <c r="EH20" i="40"/>
  <c r="EG20" i="40"/>
  <c r="EF20" i="40"/>
  <c r="EE20" i="40"/>
  <c r="ED20" i="40"/>
  <c r="EC20" i="40"/>
  <c r="EB20" i="40"/>
  <c r="EA20" i="40"/>
  <c r="DZ20" i="40"/>
  <c r="DY20" i="40"/>
  <c r="DX20" i="40"/>
  <c r="DW20" i="40"/>
  <c r="DV20" i="40"/>
  <c r="DU20" i="40"/>
  <c r="DT20" i="40"/>
  <c r="DS20" i="40"/>
  <c r="DR20" i="40"/>
  <c r="DQ20" i="40"/>
  <c r="DP20" i="40"/>
  <c r="DO20" i="40"/>
  <c r="DN20" i="40"/>
  <c r="DM20" i="40"/>
  <c r="DL20" i="40"/>
  <c r="DK20" i="40"/>
  <c r="DJ20" i="40"/>
  <c r="DI20" i="40"/>
  <c r="HD19" i="40"/>
  <c r="HC19" i="40"/>
  <c r="HB19" i="40"/>
  <c r="HA19" i="40"/>
  <c r="GZ19" i="40"/>
  <c r="GY19" i="40"/>
  <c r="GX19" i="40"/>
  <c r="GW19" i="40"/>
  <c r="GV19" i="40"/>
  <c r="GU19" i="40"/>
  <c r="GT19" i="40"/>
  <c r="GS19" i="40"/>
  <c r="GR19" i="40"/>
  <c r="GQ19" i="40"/>
  <c r="GP19" i="40"/>
  <c r="GO19" i="40"/>
  <c r="GN19" i="40"/>
  <c r="GM19" i="40"/>
  <c r="GL19" i="40"/>
  <c r="GK19" i="40"/>
  <c r="GJ19" i="40"/>
  <c r="GI19" i="40"/>
  <c r="GH19" i="40"/>
  <c r="GG19" i="40"/>
  <c r="GF19" i="40"/>
  <c r="GE19" i="40"/>
  <c r="GD19" i="40"/>
  <c r="GC19" i="40"/>
  <c r="GB19" i="40"/>
  <c r="GA19" i="40"/>
  <c r="FZ19" i="40"/>
  <c r="FY19" i="40"/>
  <c r="FX19" i="40"/>
  <c r="FW19" i="40"/>
  <c r="FV19" i="40"/>
  <c r="FU19" i="40"/>
  <c r="FT19" i="40"/>
  <c r="FS19" i="40"/>
  <c r="FR19" i="40"/>
  <c r="FQ19" i="40"/>
  <c r="FP19" i="40"/>
  <c r="FO19" i="40"/>
  <c r="FN19" i="40"/>
  <c r="FM19" i="40"/>
  <c r="FL19" i="40"/>
  <c r="FK19" i="40"/>
  <c r="FJ19" i="40"/>
  <c r="FI19" i="40"/>
  <c r="FH19" i="40"/>
  <c r="FG19" i="40"/>
  <c r="FF19" i="40"/>
  <c r="FE19" i="40"/>
  <c r="FD19" i="40"/>
  <c r="FC19" i="40"/>
  <c r="FB19" i="40"/>
  <c r="FA19" i="40"/>
  <c r="EZ19" i="40"/>
  <c r="EY19" i="40"/>
  <c r="EX19" i="40"/>
  <c r="EW19" i="40"/>
  <c r="EV19" i="40"/>
  <c r="EU19" i="40"/>
  <c r="ET19" i="40"/>
  <c r="ES19" i="40"/>
  <c r="ER19" i="40"/>
  <c r="EQ19" i="40"/>
  <c r="EP19" i="40"/>
  <c r="EO19" i="40"/>
  <c r="EN19" i="40"/>
  <c r="EM19" i="40"/>
  <c r="EL19" i="40"/>
  <c r="EK19" i="40"/>
  <c r="EJ19" i="40"/>
  <c r="EI19" i="40"/>
  <c r="EH19" i="40"/>
  <c r="EG19" i="40"/>
  <c r="EF19" i="40"/>
  <c r="EE19" i="40"/>
  <c r="ED19" i="40"/>
  <c r="EC19" i="40"/>
  <c r="EB19" i="40"/>
  <c r="EA19" i="40"/>
  <c r="DZ19" i="40"/>
  <c r="DY19" i="40"/>
  <c r="DX19" i="40"/>
  <c r="DW19" i="40"/>
  <c r="DV19" i="40"/>
  <c r="DU19" i="40"/>
  <c r="DT19" i="40"/>
  <c r="DS19" i="40"/>
  <c r="DR19" i="40"/>
  <c r="DQ19" i="40"/>
  <c r="DP19" i="40"/>
  <c r="DO19" i="40"/>
  <c r="DN19" i="40"/>
  <c r="DM19" i="40"/>
  <c r="DL19" i="40"/>
  <c r="DK19" i="40"/>
  <c r="DJ19" i="40"/>
  <c r="DI19" i="40"/>
  <c r="HD18" i="40"/>
  <c r="HC18" i="40"/>
  <c r="HB18" i="40"/>
  <c r="HA18" i="40"/>
  <c r="GZ18" i="40"/>
  <c r="GY18" i="40"/>
  <c r="GX18" i="40"/>
  <c r="GW18" i="40"/>
  <c r="GV18" i="40"/>
  <c r="GU18" i="40"/>
  <c r="GT18" i="40"/>
  <c r="GS18" i="40"/>
  <c r="GR18" i="40"/>
  <c r="GQ18" i="40"/>
  <c r="GP18" i="40"/>
  <c r="GO18" i="40"/>
  <c r="GN18" i="40"/>
  <c r="GM18" i="40"/>
  <c r="GL18" i="40"/>
  <c r="GK18" i="40"/>
  <c r="GJ18" i="40"/>
  <c r="GI18" i="40"/>
  <c r="GH18" i="40"/>
  <c r="GG18" i="40"/>
  <c r="GF18" i="40"/>
  <c r="GE18" i="40"/>
  <c r="GD18" i="40"/>
  <c r="GC18" i="40"/>
  <c r="GB18" i="40"/>
  <c r="GA18" i="40"/>
  <c r="FZ18" i="40"/>
  <c r="FY18" i="40"/>
  <c r="FX18" i="40"/>
  <c r="FW18" i="40"/>
  <c r="FV18" i="40"/>
  <c r="FU18" i="40"/>
  <c r="FT18" i="40"/>
  <c r="FS18" i="40"/>
  <c r="FR18" i="40"/>
  <c r="FQ18" i="40"/>
  <c r="FP18" i="40"/>
  <c r="FO18" i="40"/>
  <c r="FN18" i="40"/>
  <c r="FM18" i="40"/>
  <c r="FL18" i="40"/>
  <c r="FK18" i="40"/>
  <c r="FJ18" i="40"/>
  <c r="FI18" i="40"/>
  <c r="FH18" i="40"/>
  <c r="FG18" i="40"/>
  <c r="FF18" i="40"/>
  <c r="FE18" i="40"/>
  <c r="FD18" i="40"/>
  <c r="FC18" i="40"/>
  <c r="FB18" i="40"/>
  <c r="FA18" i="40"/>
  <c r="EZ18" i="40"/>
  <c r="EY18" i="40"/>
  <c r="EX18" i="40"/>
  <c r="EW18" i="40"/>
  <c r="EV18" i="40"/>
  <c r="EU18" i="40"/>
  <c r="ET18" i="40"/>
  <c r="ES18" i="40"/>
  <c r="ER18" i="40"/>
  <c r="EQ18" i="40"/>
  <c r="EP18" i="40"/>
  <c r="EO18" i="40"/>
  <c r="EN18" i="40"/>
  <c r="EM18" i="40"/>
  <c r="EL18" i="40"/>
  <c r="EK18" i="40"/>
  <c r="EJ18" i="40"/>
  <c r="EI18" i="40"/>
  <c r="EH18" i="40"/>
  <c r="EG18" i="40"/>
  <c r="EF18" i="40"/>
  <c r="EE18" i="40"/>
  <c r="ED18" i="40"/>
  <c r="EC18" i="40"/>
  <c r="EB18" i="40"/>
  <c r="EA18" i="40"/>
  <c r="DZ18" i="40"/>
  <c r="DY18" i="40"/>
  <c r="DX18" i="40"/>
  <c r="DW18" i="40"/>
  <c r="DV18" i="40"/>
  <c r="DU18" i="40"/>
  <c r="DT18" i="40"/>
  <c r="DS18" i="40"/>
  <c r="DR18" i="40"/>
  <c r="DQ18" i="40"/>
  <c r="DP18" i="40"/>
  <c r="DO18" i="40"/>
  <c r="DN18" i="40"/>
  <c r="DM18" i="40"/>
  <c r="DL18" i="40"/>
  <c r="DK18" i="40"/>
  <c r="DJ18" i="40"/>
  <c r="DI18" i="40"/>
  <c r="HD17" i="40"/>
  <c r="HC17" i="40"/>
  <c r="HB17" i="40"/>
  <c r="HA17" i="40"/>
  <c r="GZ17" i="40"/>
  <c r="GY17" i="40"/>
  <c r="GX17" i="40"/>
  <c r="GW17" i="40"/>
  <c r="GV17" i="40"/>
  <c r="GU17" i="40"/>
  <c r="GT17" i="40"/>
  <c r="GS17" i="40"/>
  <c r="GR17" i="40"/>
  <c r="GQ17" i="40"/>
  <c r="GP17" i="40"/>
  <c r="GO17" i="40"/>
  <c r="GN17" i="40"/>
  <c r="GM17" i="40"/>
  <c r="GL17" i="40"/>
  <c r="GK17" i="40"/>
  <c r="GJ17" i="40"/>
  <c r="GI17" i="40"/>
  <c r="GH17" i="40"/>
  <c r="GG17" i="40"/>
  <c r="GF17" i="40"/>
  <c r="GE17" i="40"/>
  <c r="GD17" i="40"/>
  <c r="GC17" i="40"/>
  <c r="GB17" i="40"/>
  <c r="GA17" i="40"/>
  <c r="FZ17" i="40"/>
  <c r="FY17" i="40"/>
  <c r="FX17" i="40"/>
  <c r="FW17" i="40"/>
  <c r="FV17" i="40"/>
  <c r="FU17" i="40"/>
  <c r="FT17" i="40"/>
  <c r="FS17" i="40"/>
  <c r="FR17" i="40"/>
  <c r="FQ17" i="40"/>
  <c r="FP17" i="40"/>
  <c r="FO17" i="40"/>
  <c r="FN17" i="40"/>
  <c r="FM17" i="40"/>
  <c r="FL17" i="40"/>
  <c r="FK17" i="40"/>
  <c r="FJ17" i="40"/>
  <c r="FI17" i="40"/>
  <c r="FH17" i="40"/>
  <c r="FG17" i="40"/>
  <c r="FF17" i="40"/>
  <c r="FE17" i="40"/>
  <c r="FD17" i="40"/>
  <c r="FC17" i="40"/>
  <c r="FB17" i="40"/>
  <c r="FA17" i="40"/>
  <c r="EZ17" i="40"/>
  <c r="EY17" i="40"/>
  <c r="EX17" i="40"/>
  <c r="EW17" i="40"/>
  <c r="EV17" i="40"/>
  <c r="EU17" i="40"/>
  <c r="ET17" i="40"/>
  <c r="ES17" i="40"/>
  <c r="ER17" i="40"/>
  <c r="EQ17" i="40"/>
  <c r="EP17" i="40"/>
  <c r="EO17" i="40"/>
  <c r="EN17" i="40"/>
  <c r="EM17" i="40"/>
  <c r="EL17" i="40"/>
  <c r="EK17" i="40"/>
  <c r="EJ17" i="40"/>
  <c r="EI17" i="40"/>
  <c r="EH17" i="40"/>
  <c r="EG17" i="40"/>
  <c r="EF17" i="40"/>
  <c r="EE17" i="40"/>
  <c r="ED17" i="40"/>
  <c r="EC17" i="40"/>
  <c r="EB17" i="40"/>
  <c r="EA17" i="40"/>
  <c r="DZ17" i="40"/>
  <c r="DY17" i="40"/>
  <c r="DX17" i="40"/>
  <c r="DW17" i="40"/>
  <c r="DV17" i="40"/>
  <c r="DU17" i="40"/>
  <c r="DT17" i="40"/>
  <c r="DS17" i="40"/>
  <c r="DR17" i="40"/>
  <c r="DQ17" i="40"/>
  <c r="DP17" i="40"/>
  <c r="DO17" i="40"/>
  <c r="DN17" i="40"/>
  <c r="DM17" i="40"/>
  <c r="DL17" i="40"/>
  <c r="DK17" i="40"/>
  <c r="DJ17" i="40"/>
  <c r="DI17" i="40"/>
  <c r="HD16" i="40"/>
  <c r="HC16" i="40"/>
  <c r="HB16" i="40"/>
  <c r="HA16" i="40"/>
  <c r="GZ16" i="40"/>
  <c r="GY16" i="40"/>
  <c r="GX16" i="40"/>
  <c r="GW16" i="40"/>
  <c r="GV16" i="40"/>
  <c r="GU16" i="40"/>
  <c r="GT16" i="40"/>
  <c r="GS16" i="40"/>
  <c r="GR16" i="40"/>
  <c r="GQ16" i="40"/>
  <c r="GP16" i="40"/>
  <c r="GO16" i="40"/>
  <c r="GN16" i="40"/>
  <c r="GM16" i="40"/>
  <c r="GL16" i="40"/>
  <c r="GK16" i="40"/>
  <c r="GJ16" i="40"/>
  <c r="GI16" i="40"/>
  <c r="GH16" i="40"/>
  <c r="GG16" i="40"/>
  <c r="GF16" i="40"/>
  <c r="GE16" i="40"/>
  <c r="GD16" i="40"/>
  <c r="GC16" i="40"/>
  <c r="GB16" i="40"/>
  <c r="GA16" i="40"/>
  <c r="FZ16" i="40"/>
  <c r="FY16" i="40"/>
  <c r="FX16" i="40"/>
  <c r="FW16" i="40"/>
  <c r="FV16" i="40"/>
  <c r="FU16" i="40"/>
  <c r="FT16" i="40"/>
  <c r="FS16" i="40"/>
  <c r="FR16" i="40"/>
  <c r="FQ16" i="40"/>
  <c r="FP16" i="40"/>
  <c r="FO16" i="40"/>
  <c r="FN16" i="40"/>
  <c r="FM16" i="40"/>
  <c r="FL16" i="40"/>
  <c r="FK16" i="40"/>
  <c r="FJ16" i="40"/>
  <c r="FI16" i="40"/>
  <c r="FH16" i="40"/>
  <c r="FG16" i="40"/>
  <c r="FF16" i="40"/>
  <c r="FE16" i="40"/>
  <c r="FD16" i="40"/>
  <c r="FC16" i="40"/>
  <c r="FB16" i="40"/>
  <c r="FA16" i="40"/>
  <c r="EZ16" i="40"/>
  <c r="EY16" i="40"/>
  <c r="EX16" i="40"/>
  <c r="EW16" i="40"/>
  <c r="EV16" i="40"/>
  <c r="EU16" i="40"/>
  <c r="ET16" i="40"/>
  <c r="ES16" i="40"/>
  <c r="ER16" i="40"/>
  <c r="EQ16" i="40"/>
  <c r="EP16" i="40"/>
  <c r="EO16" i="40"/>
  <c r="EN16" i="40"/>
  <c r="EM16" i="40"/>
  <c r="EL16" i="40"/>
  <c r="EK16" i="40"/>
  <c r="EJ16" i="40"/>
  <c r="EI16" i="40"/>
  <c r="EH16" i="40"/>
  <c r="EG16" i="40"/>
  <c r="EF16" i="40"/>
  <c r="EE16" i="40"/>
  <c r="ED16" i="40"/>
  <c r="EC16" i="40"/>
  <c r="EB16" i="40"/>
  <c r="EA16" i="40"/>
  <c r="DZ16" i="40"/>
  <c r="DY16" i="40"/>
  <c r="DX16" i="40"/>
  <c r="DW16" i="40"/>
  <c r="DV16" i="40"/>
  <c r="DU16" i="40"/>
  <c r="DT16" i="40"/>
  <c r="DS16" i="40"/>
  <c r="DR16" i="40"/>
  <c r="DQ16" i="40"/>
  <c r="DP16" i="40"/>
  <c r="DO16" i="40"/>
  <c r="DN16" i="40"/>
  <c r="DM16" i="40"/>
  <c r="DL16" i="40"/>
  <c r="DK16" i="40"/>
  <c r="DJ16" i="40"/>
  <c r="DI16" i="40"/>
  <c r="HD15" i="40"/>
  <c r="HC15" i="40"/>
  <c r="HB15" i="40"/>
  <c r="HA15" i="40"/>
  <c r="GZ15" i="40"/>
  <c r="GY15" i="40"/>
  <c r="GX15" i="40"/>
  <c r="GW15" i="40"/>
  <c r="GV15" i="40"/>
  <c r="GU15" i="40"/>
  <c r="GT15" i="40"/>
  <c r="GS15" i="40"/>
  <c r="GR15" i="40"/>
  <c r="GQ15" i="40"/>
  <c r="GP15" i="40"/>
  <c r="GO15" i="40"/>
  <c r="GN15" i="40"/>
  <c r="GM15" i="40"/>
  <c r="GL15" i="40"/>
  <c r="GK15" i="40"/>
  <c r="GJ15" i="40"/>
  <c r="GI15" i="40"/>
  <c r="GH15" i="40"/>
  <c r="GG15" i="40"/>
  <c r="GF15" i="40"/>
  <c r="GE15" i="40"/>
  <c r="GD15" i="40"/>
  <c r="GC15" i="40"/>
  <c r="GB15" i="40"/>
  <c r="GA15" i="40"/>
  <c r="FZ15" i="40"/>
  <c r="FY15" i="40"/>
  <c r="FX15" i="40"/>
  <c r="FW15" i="40"/>
  <c r="FV15" i="40"/>
  <c r="FU15" i="40"/>
  <c r="FT15" i="40"/>
  <c r="FS15" i="40"/>
  <c r="FR15" i="40"/>
  <c r="FQ15" i="40"/>
  <c r="FP15" i="40"/>
  <c r="FO15" i="40"/>
  <c r="FN15" i="40"/>
  <c r="FM15" i="40"/>
  <c r="FL15" i="40"/>
  <c r="FK15" i="40"/>
  <c r="FJ15" i="40"/>
  <c r="FI15" i="40"/>
  <c r="FH15" i="40"/>
  <c r="FG15" i="40"/>
  <c r="FF15" i="40"/>
  <c r="FE15" i="40"/>
  <c r="FD15" i="40"/>
  <c r="FC15" i="40"/>
  <c r="FB15" i="40"/>
  <c r="FA15" i="40"/>
  <c r="EZ15" i="40"/>
  <c r="EY15" i="40"/>
  <c r="EX15" i="40"/>
  <c r="EW15" i="40"/>
  <c r="EV15" i="40"/>
  <c r="EU15" i="40"/>
  <c r="ET15" i="40"/>
  <c r="ES15" i="40"/>
  <c r="ER15" i="40"/>
  <c r="EQ15" i="40"/>
  <c r="EP15" i="40"/>
  <c r="EO15" i="40"/>
  <c r="EN15" i="40"/>
  <c r="EM15" i="40"/>
  <c r="EL15" i="40"/>
  <c r="EK15" i="40"/>
  <c r="EJ15" i="40"/>
  <c r="EI15" i="40"/>
  <c r="EH15" i="40"/>
  <c r="EG15" i="40"/>
  <c r="EF15" i="40"/>
  <c r="EE15" i="40"/>
  <c r="ED15" i="40"/>
  <c r="EC15" i="40"/>
  <c r="EB15" i="40"/>
  <c r="EA15" i="40"/>
  <c r="DZ15" i="40"/>
  <c r="DY15" i="40"/>
  <c r="DX15" i="40"/>
  <c r="DW15" i="40"/>
  <c r="DV15" i="40"/>
  <c r="DU15" i="40"/>
  <c r="DT15" i="40"/>
  <c r="DS15" i="40"/>
  <c r="DR15" i="40"/>
  <c r="DQ15" i="40"/>
  <c r="DP15" i="40"/>
  <c r="DO15" i="40"/>
  <c r="DN15" i="40"/>
  <c r="DM15" i="40"/>
  <c r="DL15" i="40"/>
  <c r="DK15" i="40"/>
  <c r="DJ15" i="40"/>
  <c r="DI15" i="40"/>
  <c r="HD14" i="40"/>
  <c r="HC14" i="40"/>
  <c r="HB14" i="40"/>
  <c r="HA14" i="40"/>
  <c r="GZ14" i="40"/>
  <c r="GY14" i="40"/>
  <c r="GX14" i="40"/>
  <c r="GW14" i="40"/>
  <c r="GV14" i="40"/>
  <c r="GU14" i="40"/>
  <c r="GT14" i="40"/>
  <c r="GS14" i="40"/>
  <c r="GR14" i="40"/>
  <c r="GQ14" i="40"/>
  <c r="GP14" i="40"/>
  <c r="GO14" i="40"/>
  <c r="GN14" i="40"/>
  <c r="GM14" i="40"/>
  <c r="GL14" i="40"/>
  <c r="GK14" i="40"/>
  <c r="GJ14" i="40"/>
  <c r="GI14" i="40"/>
  <c r="GH14" i="40"/>
  <c r="GG14" i="40"/>
  <c r="GF14" i="40"/>
  <c r="GE14" i="40"/>
  <c r="GD14" i="40"/>
  <c r="GC14" i="40"/>
  <c r="GB14" i="40"/>
  <c r="GA14" i="40"/>
  <c r="FZ14" i="40"/>
  <c r="FY14" i="40"/>
  <c r="FX14" i="40"/>
  <c r="FW14" i="40"/>
  <c r="FV14" i="40"/>
  <c r="FU14" i="40"/>
  <c r="FT14" i="40"/>
  <c r="FS14" i="40"/>
  <c r="FR14" i="40"/>
  <c r="FQ14" i="40"/>
  <c r="FP14" i="40"/>
  <c r="FO14" i="40"/>
  <c r="FN14" i="40"/>
  <c r="FM14" i="40"/>
  <c r="FL14" i="40"/>
  <c r="FK14" i="40"/>
  <c r="FJ14" i="40"/>
  <c r="FI14" i="40"/>
  <c r="FH14" i="40"/>
  <c r="FG14" i="40"/>
  <c r="FF14" i="40"/>
  <c r="FE14" i="40"/>
  <c r="FD14" i="40"/>
  <c r="FC14" i="40"/>
  <c r="FB14" i="40"/>
  <c r="FA14" i="40"/>
  <c r="EZ14" i="40"/>
  <c r="EY14" i="40"/>
  <c r="EX14" i="40"/>
  <c r="EW14" i="40"/>
  <c r="EV14" i="40"/>
  <c r="EU14" i="40"/>
  <c r="ET14" i="40"/>
  <c r="ES14" i="40"/>
  <c r="ER14" i="40"/>
  <c r="EQ14" i="40"/>
  <c r="EP14" i="40"/>
  <c r="EO14" i="40"/>
  <c r="EN14" i="40"/>
  <c r="EM14" i="40"/>
  <c r="EL14" i="40"/>
  <c r="EK14" i="40"/>
  <c r="EJ14" i="40"/>
  <c r="EI14" i="40"/>
  <c r="EH14" i="40"/>
  <c r="EG14" i="40"/>
  <c r="EF14" i="40"/>
  <c r="EE14" i="40"/>
  <c r="ED14" i="40"/>
  <c r="EC14" i="40"/>
  <c r="EB14" i="40"/>
  <c r="EA14" i="40"/>
  <c r="DZ14" i="40"/>
  <c r="DY14" i="40"/>
  <c r="DX14" i="40"/>
  <c r="DW14" i="40"/>
  <c r="DV14" i="40"/>
  <c r="DU14" i="40"/>
  <c r="DT14" i="40"/>
  <c r="DS14" i="40"/>
  <c r="DR14" i="40"/>
  <c r="DQ14" i="40"/>
  <c r="DP14" i="40"/>
  <c r="DO14" i="40"/>
  <c r="DN14" i="40"/>
  <c r="DM14" i="40"/>
  <c r="DL14" i="40"/>
  <c r="DK14" i="40"/>
  <c r="DJ14" i="40"/>
  <c r="DI14" i="40"/>
  <c r="HD13" i="40"/>
  <c r="HC13" i="40"/>
  <c r="HB13" i="40"/>
  <c r="HA13" i="40"/>
  <c r="GZ13" i="40"/>
  <c r="GY13" i="40"/>
  <c r="GX13" i="40"/>
  <c r="GW13" i="40"/>
  <c r="GV13" i="40"/>
  <c r="GU13" i="40"/>
  <c r="GT13" i="40"/>
  <c r="GS13" i="40"/>
  <c r="GR13" i="40"/>
  <c r="GQ13" i="40"/>
  <c r="GP13" i="40"/>
  <c r="GO13" i="40"/>
  <c r="GN13" i="40"/>
  <c r="GM13" i="40"/>
  <c r="GL13" i="40"/>
  <c r="GK13" i="40"/>
  <c r="GJ13" i="40"/>
  <c r="GI13" i="40"/>
  <c r="GH13" i="40"/>
  <c r="GG13" i="40"/>
  <c r="GF13" i="40"/>
  <c r="GE13" i="40"/>
  <c r="GD13" i="40"/>
  <c r="GC13" i="40"/>
  <c r="GB13" i="40"/>
  <c r="GA13" i="40"/>
  <c r="FZ13" i="40"/>
  <c r="FY13" i="40"/>
  <c r="FX13" i="40"/>
  <c r="FW13" i="40"/>
  <c r="FV13" i="40"/>
  <c r="FU13" i="40"/>
  <c r="FT13" i="40"/>
  <c r="FS13" i="40"/>
  <c r="FR13" i="40"/>
  <c r="FQ13" i="40"/>
  <c r="FP13" i="40"/>
  <c r="FO13" i="40"/>
  <c r="FN13" i="40"/>
  <c r="FM13" i="40"/>
  <c r="FL13" i="40"/>
  <c r="FK13" i="40"/>
  <c r="FJ13" i="40"/>
  <c r="FI13" i="40"/>
  <c r="FH13" i="40"/>
  <c r="FG13" i="40"/>
  <c r="FF13" i="40"/>
  <c r="FE13" i="40"/>
  <c r="FD13" i="40"/>
  <c r="FC13" i="40"/>
  <c r="FB13" i="40"/>
  <c r="FA13" i="40"/>
  <c r="EZ13" i="40"/>
  <c r="EY13" i="40"/>
  <c r="EX13" i="40"/>
  <c r="EW13" i="40"/>
  <c r="EV13" i="40"/>
  <c r="EU13" i="40"/>
  <c r="ET13" i="40"/>
  <c r="ES13" i="40"/>
  <c r="ER13" i="40"/>
  <c r="EQ13" i="40"/>
  <c r="EP13" i="40"/>
  <c r="EO13" i="40"/>
  <c r="EN13" i="40"/>
  <c r="EM13" i="40"/>
  <c r="EL13" i="40"/>
  <c r="EK13" i="40"/>
  <c r="EJ13" i="40"/>
  <c r="EI13" i="40"/>
  <c r="EH13" i="40"/>
  <c r="EG13" i="40"/>
  <c r="EF13" i="40"/>
  <c r="EE13" i="40"/>
  <c r="ED13" i="40"/>
  <c r="EC13" i="40"/>
  <c r="EB13" i="40"/>
  <c r="EA13" i="40"/>
  <c r="DZ13" i="40"/>
  <c r="DY13" i="40"/>
  <c r="DX13" i="40"/>
  <c r="DW13" i="40"/>
  <c r="DV13" i="40"/>
  <c r="DU13" i="40"/>
  <c r="DT13" i="40"/>
  <c r="DS13" i="40"/>
  <c r="DR13" i="40"/>
  <c r="DQ13" i="40"/>
  <c r="DP13" i="40"/>
  <c r="DO13" i="40"/>
  <c r="DN13" i="40"/>
  <c r="DM13" i="40"/>
  <c r="DL13" i="40"/>
  <c r="DK13" i="40"/>
  <c r="DJ13" i="40"/>
  <c r="DI13" i="40"/>
  <c r="HD12" i="40"/>
  <c r="HC12" i="40"/>
  <c r="HB12" i="40"/>
  <c r="HA12" i="40"/>
  <c r="GZ12" i="40"/>
  <c r="GY12" i="40"/>
  <c r="GX12" i="40"/>
  <c r="GW12" i="40"/>
  <c r="GV12" i="40"/>
  <c r="GU12" i="40"/>
  <c r="GT12" i="40"/>
  <c r="GS12" i="40"/>
  <c r="GR12" i="40"/>
  <c r="GQ12" i="40"/>
  <c r="GP12" i="40"/>
  <c r="GO12" i="40"/>
  <c r="GN12" i="40"/>
  <c r="GM12" i="40"/>
  <c r="GL12" i="40"/>
  <c r="GK12" i="40"/>
  <c r="GJ12" i="40"/>
  <c r="GI12" i="40"/>
  <c r="GH12" i="40"/>
  <c r="GG12" i="40"/>
  <c r="GF12" i="40"/>
  <c r="GE12" i="40"/>
  <c r="GD12" i="40"/>
  <c r="GC12" i="40"/>
  <c r="GB12" i="40"/>
  <c r="GA12" i="40"/>
  <c r="FZ12" i="40"/>
  <c r="FY12" i="40"/>
  <c r="FX12" i="40"/>
  <c r="FW12" i="40"/>
  <c r="FV12" i="40"/>
  <c r="FU12" i="40"/>
  <c r="FT12" i="40"/>
  <c r="FS12" i="40"/>
  <c r="FR12" i="40"/>
  <c r="FQ12" i="40"/>
  <c r="FP12" i="40"/>
  <c r="FO12" i="40"/>
  <c r="FN12" i="40"/>
  <c r="FM12" i="40"/>
  <c r="FL12" i="40"/>
  <c r="FK12" i="40"/>
  <c r="FJ12" i="40"/>
  <c r="FI12" i="40"/>
  <c r="FH12" i="40"/>
  <c r="FG12" i="40"/>
  <c r="FF12" i="40"/>
  <c r="FE12" i="40"/>
  <c r="FD12" i="40"/>
  <c r="FC12" i="40"/>
  <c r="FB12" i="40"/>
  <c r="FA12" i="40"/>
  <c r="EZ12" i="40"/>
  <c r="EY12" i="40"/>
  <c r="EX12" i="40"/>
  <c r="EW12" i="40"/>
  <c r="EV12" i="40"/>
  <c r="EU12" i="40"/>
  <c r="ET12" i="40"/>
  <c r="ES12" i="40"/>
  <c r="ER12" i="40"/>
  <c r="EQ12" i="40"/>
  <c r="EP12" i="40"/>
  <c r="EO12" i="40"/>
  <c r="EN12" i="40"/>
  <c r="EM12" i="40"/>
  <c r="EL12" i="40"/>
  <c r="EK12" i="40"/>
  <c r="EJ12" i="40"/>
  <c r="EI12" i="40"/>
  <c r="EH12" i="40"/>
  <c r="EG12" i="40"/>
  <c r="EF12" i="40"/>
  <c r="EE12" i="40"/>
  <c r="ED12" i="40"/>
  <c r="EC12" i="40"/>
  <c r="EB12" i="40"/>
  <c r="EA12" i="40"/>
  <c r="DZ12" i="40"/>
  <c r="DY12" i="40"/>
  <c r="DX12" i="40"/>
  <c r="DW12" i="40"/>
  <c r="DV12" i="40"/>
  <c r="DU12" i="40"/>
  <c r="DT12" i="40"/>
  <c r="DS12" i="40"/>
  <c r="DR12" i="40"/>
  <c r="DQ12" i="40"/>
  <c r="DP12" i="40"/>
  <c r="DO12" i="40"/>
  <c r="DN12" i="40"/>
  <c r="DM12" i="40"/>
  <c r="DL12" i="40"/>
  <c r="DK12" i="40"/>
  <c r="DJ12" i="40"/>
  <c r="DI12" i="40"/>
  <c r="HD11" i="40"/>
  <c r="HC11" i="40"/>
  <c r="HB11" i="40"/>
  <c r="HA11" i="40"/>
  <c r="GZ11" i="40"/>
  <c r="GY11" i="40"/>
  <c r="GX11" i="40"/>
  <c r="GW11" i="40"/>
  <c r="GV11" i="40"/>
  <c r="GU11" i="40"/>
  <c r="GT11" i="40"/>
  <c r="GS11" i="40"/>
  <c r="GR11" i="40"/>
  <c r="GQ11" i="40"/>
  <c r="GP11" i="40"/>
  <c r="GO11" i="40"/>
  <c r="GN11" i="40"/>
  <c r="GM11" i="40"/>
  <c r="GL11" i="40"/>
  <c r="GK11" i="40"/>
  <c r="GJ11" i="40"/>
  <c r="GI11" i="40"/>
  <c r="GH11" i="40"/>
  <c r="GG11" i="40"/>
  <c r="GF11" i="40"/>
  <c r="GE11" i="40"/>
  <c r="GD11" i="40"/>
  <c r="GC11" i="40"/>
  <c r="GB11" i="40"/>
  <c r="GA11" i="40"/>
  <c r="FZ11" i="40"/>
  <c r="FY11" i="40"/>
  <c r="FX11" i="40"/>
  <c r="FW11" i="40"/>
  <c r="FV11" i="40"/>
  <c r="FU11" i="40"/>
  <c r="FT11" i="40"/>
  <c r="FS11" i="40"/>
  <c r="FR11" i="40"/>
  <c r="FQ11" i="40"/>
  <c r="FP11" i="40"/>
  <c r="FO11" i="40"/>
  <c r="FN11" i="40"/>
  <c r="FM11" i="40"/>
  <c r="FL11" i="40"/>
  <c r="FK11" i="40"/>
  <c r="FJ11" i="40"/>
  <c r="FI11" i="40"/>
  <c r="FH11" i="40"/>
  <c r="FG11" i="40"/>
  <c r="FF11" i="40"/>
  <c r="FE11" i="40"/>
  <c r="FD11" i="40"/>
  <c r="FC11" i="40"/>
  <c r="FB11" i="40"/>
  <c r="FA11" i="40"/>
  <c r="EZ11" i="40"/>
  <c r="EY11" i="40"/>
  <c r="EX11" i="40"/>
  <c r="EW11" i="40"/>
  <c r="EV11" i="40"/>
  <c r="EU11" i="40"/>
  <c r="ET11" i="40"/>
  <c r="ES11" i="40"/>
  <c r="ER11" i="40"/>
  <c r="EQ11" i="40"/>
  <c r="EP11" i="40"/>
  <c r="EO11" i="40"/>
  <c r="EN11" i="40"/>
  <c r="EM11" i="40"/>
  <c r="EL11" i="40"/>
  <c r="EK11" i="40"/>
  <c r="EJ11" i="40"/>
  <c r="EI11" i="40"/>
  <c r="EH11" i="40"/>
  <c r="EG11" i="40"/>
  <c r="EF11" i="40"/>
  <c r="EE11" i="40"/>
  <c r="ED11" i="40"/>
  <c r="EC11" i="40"/>
  <c r="EB11" i="40"/>
  <c r="EA11" i="40"/>
  <c r="DZ11" i="40"/>
  <c r="DY11" i="40"/>
  <c r="DX11" i="40"/>
  <c r="DW11" i="40"/>
  <c r="DV11" i="40"/>
  <c r="DU11" i="40"/>
  <c r="DT11" i="40"/>
  <c r="DS11" i="40"/>
  <c r="DR11" i="40"/>
  <c r="DQ11" i="40"/>
  <c r="DP11" i="40"/>
  <c r="DO11" i="40"/>
  <c r="DN11" i="40"/>
  <c r="DM11" i="40"/>
  <c r="DL11" i="40"/>
  <c r="DK11" i="40"/>
  <c r="DJ11" i="40"/>
  <c r="DI11" i="40"/>
  <c r="HD10" i="40"/>
  <c r="HC10" i="40"/>
  <c r="HB10" i="40"/>
  <c r="HA10" i="40"/>
  <c r="GZ10" i="40"/>
  <c r="GY10" i="40"/>
  <c r="GX10" i="40"/>
  <c r="GW10" i="40"/>
  <c r="GV10" i="40"/>
  <c r="GU10" i="40"/>
  <c r="GT10" i="40"/>
  <c r="GS10" i="40"/>
  <c r="GR10" i="40"/>
  <c r="GQ10" i="40"/>
  <c r="GP10" i="40"/>
  <c r="GO10" i="40"/>
  <c r="GN10" i="40"/>
  <c r="GM10" i="40"/>
  <c r="GL10" i="40"/>
  <c r="GK10" i="40"/>
  <c r="GJ10" i="40"/>
  <c r="GI10" i="40"/>
  <c r="GH10" i="40"/>
  <c r="GG10" i="40"/>
  <c r="GF10" i="40"/>
  <c r="GE10" i="40"/>
  <c r="GD10" i="40"/>
  <c r="GC10" i="40"/>
  <c r="GB10" i="40"/>
  <c r="GA10" i="40"/>
  <c r="FZ10" i="40"/>
  <c r="FY10" i="40"/>
  <c r="FX10" i="40"/>
  <c r="FW10" i="40"/>
  <c r="FV10" i="40"/>
  <c r="FU10" i="40"/>
  <c r="FT10" i="40"/>
  <c r="FS10" i="40"/>
  <c r="FR10" i="40"/>
  <c r="FQ10" i="40"/>
  <c r="FP10" i="40"/>
  <c r="FO10" i="40"/>
  <c r="FN10" i="40"/>
  <c r="FM10" i="40"/>
  <c r="FL10" i="40"/>
  <c r="FK10" i="40"/>
  <c r="FJ10" i="40"/>
  <c r="FI10" i="40"/>
  <c r="FH10" i="40"/>
  <c r="FG10" i="40"/>
  <c r="FF10" i="40"/>
  <c r="FE10" i="40"/>
  <c r="FD10" i="40"/>
  <c r="FC10" i="40"/>
  <c r="FB10" i="40"/>
  <c r="FA10" i="40"/>
  <c r="EZ10" i="40"/>
  <c r="EY10" i="40"/>
  <c r="EX10" i="40"/>
  <c r="EW10" i="40"/>
  <c r="EV10" i="40"/>
  <c r="EU10" i="40"/>
  <c r="ET10" i="40"/>
  <c r="ES10" i="40"/>
  <c r="ER10" i="40"/>
  <c r="EQ10" i="40"/>
  <c r="EP10" i="40"/>
  <c r="EO10" i="40"/>
  <c r="EN10" i="40"/>
  <c r="EM10" i="40"/>
  <c r="EL10" i="40"/>
  <c r="EK10" i="40"/>
  <c r="EJ10" i="40"/>
  <c r="EI10" i="40"/>
  <c r="EH10" i="40"/>
  <c r="EG10" i="40"/>
  <c r="EF10" i="40"/>
  <c r="EE10" i="40"/>
  <c r="ED10" i="40"/>
  <c r="EC10" i="40"/>
  <c r="EB10" i="40"/>
  <c r="EA10" i="40"/>
  <c r="DZ10" i="40"/>
  <c r="DY10" i="40"/>
  <c r="DX10" i="40"/>
  <c r="DW10" i="40"/>
  <c r="DV10" i="40"/>
  <c r="DU10" i="40"/>
  <c r="DT10" i="40"/>
  <c r="DS10" i="40"/>
  <c r="DR10" i="40"/>
  <c r="DQ10" i="40"/>
  <c r="DP10" i="40"/>
  <c r="DO10" i="40"/>
  <c r="DN10" i="40"/>
  <c r="DM10" i="40"/>
  <c r="DL10" i="40"/>
  <c r="DK10" i="40"/>
  <c r="DJ10" i="40"/>
  <c r="DI10" i="40"/>
  <c r="HD9" i="40"/>
  <c r="HC9" i="40"/>
  <c r="HB9" i="40"/>
  <c r="HA9" i="40"/>
  <c r="GZ9" i="40"/>
  <c r="GY9" i="40"/>
  <c r="GX9" i="40"/>
  <c r="GW9" i="40"/>
  <c r="GV9" i="40"/>
  <c r="GU9" i="40"/>
  <c r="GT9" i="40"/>
  <c r="GS9" i="40"/>
  <c r="GR9" i="40"/>
  <c r="GQ9" i="40"/>
  <c r="GP9" i="40"/>
  <c r="GO9" i="40"/>
  <c r="GN9" i="40"/>
  <c r="GM9" i="40"/>
  <c r="GL9" i="40"/>
  <c r="GK9" i="40"/>
  <c r="GJ9" i="40"/>
  <c r="GI9" i="40"/>
  <c r="GH9" i="40"/>
  <c r="GG9" i="40"/>
  <c r="GF9" i="40"/>
  <c r="GE9" i="40"/>
  <c r="GD9" i="40"/>
  <c r="GC9" i="40"/>
  <c r="GB9" i="40"/>
  <c r="GA9" i="40"/>
  <c r="FZ9" i="40"/>
  <c r="FY9" i="40"/>
  <c r="FX9" i="40"/>
  <c r="FW9" i="40"/>
  <c r="FV9" i="40"/>
  <c r="FU9" i="40"/>
  <c r="FT9" i="40"/>
  <c r="FS9" i="40"/>
  <c r="FR9" i="40"/>
  <c r="FQ9" i="40"/>
  <c r="FP9" i="40"/>
  <c r="FO9" i="40"/>
  <c r="FN9" i="40"/>
  <c r="FM9" i="40"/>
  <c r="FL9" i="40"/>
  <c r="FK9" i="40"/>
  <c r="FJ9" i="40"/>
  <c r="FI9" i="40"/>
  <c r="FH9" i="40"/>
  <c r="FG9" i="40"/>
  <c r="FF9" i="40"/>
  <c r="FE9" i="40"/>
  <c r="FD9" i="40"/>
  <c r="FC9" i="40"/>
  <c r="FB9" i="40"/>
  <c r="FA9" i="40"/>
  <c r="EZ9" i="40"/>
  <c r="EY9" i="40"/>
  <c r="EX9" i="40"/>
  <c r="EW9" i="40"/>
  <c r="EV9" i="40"/>
  <c r="EU9" i="40"/>
  <c r="ET9" i="40"/>
  <c r="ES9" i="40"/>
  <c r="ER9" i="40"/>
  <c r="EQ9" i="40"/>
  <c r="EP9" i="40"/>
  <c r="EO9" i="40"/>
  <c r="EN9" i="40"/>
  <c r="EM9" i="40"/>
  <c r="EL9" i="40"/>
  <c r="EK9" i="40"/>
  <c r="EJ9" i="40"/>
  <c r="EI9" i="40"/>
  <c r="EH9" i="40"/>
  <c r="EG9" i="40"/>
  <c r="EF9" i="40"/>
  <c r="EE9" i="40"/>
  <c r="ED9" i="40"/>
  <c r="EC9" i="40"/>
  <c r="EB9" i="40"/>
  <c r="EA9" i="40"/>
  <c r="DZ9" i="40"/>
  <c r="DY9" i="40"/>
  <c r="DX9" i="40"/>
  <c r="DW9" i="40"/>
  <c r="DV9" i="40"/>
  <c r="DU9" i="40"/>
  <c r="DT9" i="40"/>
  <c r="DS9" i="40"/>
  <c r="DR9" i="40"/>
  <c r="DQ9" i="40"/>
  <c r="DP9" i="40"/>
  <c r="DO9" i="40"/>
  <c r="DN9" i="40"/>
  <c r="DM9" i="40"/>
  <c r="DL9" i="40"/>
  <c r="DK9" i="40"/>
  <c r="DJ9" i="40"/>
  <c r="DI9" i="40"/>
  <c r="HD8" i="40"/>
  <c r="HC8" i="40"/>
  <c r="HB8" i="40"/>
  <c r="HA8" i="40"/>
  <c r="GZ8" i="40"/>
  <c r="GY8" i="40"/>
  <c r="GX8" i="40"/>
  <c r="GW8" i="40"/>
  <c r="GV8" i="40"/>
  <c r="GU8" i="40"/>
  <c r="GT8" i="40"/>
  <c r="GS8" i="40"/>
  <c r="GR8" i="40"/>
  <c r="GQ8" i="40"/>
  <c r="GP8" i="40"/>
  <c r="GO8" i="40"/>
  <c r="GN8" i="40"/>
  <c r="GM8" i="40"/>
  <c r="GL8" i="40"/>
  <c r="GK8" i="40"/>
  <c r="GJ8" i="40"/>
  <c r="GI8" i="40"/>
  <c r="GH8" i="40"/>
  <c r="GG8" i="40"/>
  <c r="GF8" i="40"/>
  <c r="GE8" i="40"/>
  <c r="GD8" i="40"/>
  <c r="GC8" i="40"/>
  <c r="GB8" i="40"/>
  <c r="GA8" i="40"/>
  <c r="FZ8" i="40"/>
  <c r="FY8" i="40"/>
  <c r="FX8" i="40"/>
  <c r="FW8" i="40"/>
  <c r="FV8" i="40"/>
  <c r="FU8" i="40"/>
  <c r="FT8" i="40"/>
  <c r="FS8" i="40"/>
  <c r="FR8" i="40"/>
  <c r="FQ8" i="40"/>
  <c r="FP8" i="40"/>
  <c r="FO8" i="40"/>
  <c r="FN8" i="40"/>
  <c r="FM8" i="40"/>
  <c r="FL8" i="40"/>
  <c r="FK8" i="40"/>
  <c r="FJ8" i="40"/>
  <c r="FI8" i="40"/>
  <c r="FH8" i="40"/>
  <c r="FG8" i="40"/>
  <c r="FF8" i="40"/>
  <c r="FE8" i="40"/>
  <c r="FD8" i="40"/>
  <c r="FC8" i="40"/>
  <c r="FB8" i="40"/>
  <c r="FA8" i="40"/>
  <c r="EZ8" i="40"/>
  <c r="EY8" i="40"/>
  <c r="EX8" i="40"/>
  <c r="EW8" i="40"/>
  <c r="EV8" i="40"/>
  <c r="EU8" i="40"/>
  <c r="ET8" i="40"/>
  <c r="ES8" i="40"/>
  <c r="ER8" i="40"/>
  <c r="EQ8" i="40"/>
  <c r="EP8" i="40"/>
  <c r="EO8" i="40"/>
  <c r="EN8" i="40"/>
  <c r="EM8" i="40"/>
  <c r="EL8" i="40"/>
  <c r="EK8" i="40"/>
  <c r="EJ8" i="40"/>
  <c r="EI8" i="40"/>
  <c r="EH8" i="40"/>
  <c r="EG8" i="40"/>
  <c r="EF8" i="40"/>
  <c r="EE8" i="40"/>
  <c r="ED8" i="40"/>
  <c r="EC8" i="40"/>
  <c r="EB8" i="40"/>
  <c r="EA8" i="40"/>
  <c r="DZ8" i="40"/>
  <c r="DY8" i="40"/>
  <c r="DX8" i="40"/>
  <c r="DW8" i="40"/>
  <c r="DV8" i="40"/>
  <c r="DU8" i="40"/>
  <c r="DT8" i="40"/>
  <c r="DS8" i="40"/>
  <c r="DR8" i="40"/>
  <c r="DQ8" i="40"/>
  <c r="DP8" i="40"/>
  <c r="DO8" i="40"/>
  <c r="DN8" i="40"/>
  <c r="DM8" i="40"/>
  <c r="DL8" i="40"/>
  <c r="DK8" i="40"/>
  <c r="DJ8" i="40"/>
  <c r="DI8" i="40"/>
  <c r="HD7" i="40"/>
  <c r="HC7" i="40"/>
  <c r="HB7" i="40"/>
  <c r="HA7" i="40"/>
  <c r="GZ7" i="40"/>
  <c r="GY7" i="40"/>
  <c r="GX7" i="40"/>
  <c r="GW7" i="40"/>
  <c r="GV7" i="40"/>
  <c r="GU7" i="40"/>
  <c r="GT7" i="40"/>
  <c r="GS7" i="40"/>
  <c r="GR7" i="40"/>
  <c r="GQ7" i="40"/>
  <c r="GP7" i="40"/>
  <c r="GO7" i="40"/>
  <c r="GN7" i="40"/>
  <c r="GM7" i="40"/>
  <c r="GL7" i="40"/>
  <c r="GK7" i="40"/>
  <c r="GJ7" i="40"/>
  <c r="GI7" i="40"/>
  <c r="GH7" i="40"/>
  <c r="GG7" i="40"/>
  <c r="GF7" i="40"/>
  <c r="GE7" i="40"/>
  <c r="GD7" i="40"/>
  <c r="GC7" i="40"/>
  <c r="GB7" i="40"/>
  <c r="GA7" i="40"/>
  <c r="FZ7" i="40"/>
  <c r="FY7" i="40"/>
  <c r="FX7" i="40"/>
  <c r="FW7" i="40"/>
  <c r="FV7" i="40"/>
  <c r="FU7" i="40"/>
  <c r="FT7" i="40"/>
  <c r="FS7" i="40"/>
  <c r="FR7" i="40"/>
  <c r="FQ7" i="40"/>
  <c r="FP7" i="40"/>
  <c r="FO7" i="40"/>
  <c r="FN7" i="40"/>
  <c r="FM7" i="40"/>
  <c r="FL7" i="40"/>
  <c r="FK7" i="40"/>
  <c r="FJ7" i="40"/>
  <c r="FI7" i="40"/>
  <c r="FH7" i="40"/>
  <c r="FG7" i="40"/>
  <c r="FF7" i="40"/>
  <c r="FE7" i="40"/>
  <c r="FD7" i="40"/>
  <c r="FC7" i="40"/>
  <c r="FB7" i="40"/>
  <c r="FA7" i="40"/>
  <c r="EZ7" i="40"/>
  <c r="EY7" i="40"/>
  <c r="EX7" i="40"/>
  <c r="EW7" i="40"/>
  <c r="EV7" i="40"/>
  <c r="EU7" i="40"/>
  <c r="ET7" i="40"/>
  <c r="ES7" i="40"/>
  <c r="ER7" i="40"/>
  <c r="EQ7" i="40"/>
  <c r="EP7" i="40"/>
  <c r="EO7" i="40"/>
  <c r="EN7" i="40"/>
  <c r="EM7" i="40"/>
  <c r="EL7" i="40"/>
  <c r="EK7" i="40"/>
  <c r="EJ7" i="40"/>
  <c r="EI7" i="40"/>
  <c r="EH7" i="40"/>
  <c r="EG7" i="40"/>
  <c r="EF7" i="40"/>
  <c r="EE7" i="40"/>
  <c r="ED7" i="40"/>
  <c r="EC7" i="40"/>
  <c r="EB7" i="40"/>
  <c r="EA7" i="40"/>
  <c r="DZ7" i="40"/>
  <c r="DY7" i="40"/>
  <c r="DX7" i="40"/>
  <c r="DW7" i="40"/>
  <c r="DV7" i="40"/>
  <c r="DU7" i="40"/>
  <c r="DT7" i="40"/>
  <c r="DS7" i="40"/>
  <c r="DR7" i="40"/>
  <c r="DQ7" i="40"/>
  <c r="DP7" i="40"/>
  <c r="DO7" i="40"/>
  <c r="DN7" i="40"/>
  <c r="DM7" i="40"/>
  <c r="DL7" i="40"/>
  <c r="DK7" i="40"/>
  <c r="DJ7" i="40"/>
  <c r="DI7" i="40"/>
  <c r="HD6" i="40"/>
  <c r="HC6" i="40"/>
  <c r="HB6" i="40"/>
  <c r="HA6" i="40"/>
  <c r="GZ6" i="40"/>
  <c r="GY6" i="40"/>
  <c r="GX6" i="40"/>
  <c r="GW6" i="40"/>
  <c r="GV6" i="40"/>
  <c r="GU6" i="40"/>
  <c r="GT6" i="40"/>
  <c r="GS6" i="40"/>
  <c r="GR6" i="40"/>
  <c r="GQ6" i="40"/>
  <c r="GP6" i="40"/>
  <c r="GO6" i="40"/>
  <c r="GN6" i="40"/>
  <c r="GM6" i="40"/>
  <c r="GL6" i="40"/>
  <c r="GK6" i="40"/>
  <c r="GJ6" i="40"/>
  <c r="GI6" i="40"/>
  <c r="GH6" i="40"/>
  <c r="GG6" i="40"/>
  <c r="GF6" i="40"/>
  <c r="GE6" i="40"/>
  <c r="GD6" i="40"/>
  <c r="GC6" i="40"/>
  <c r="GB6" i="40"/>
  <c r="GA6" i="40"/>
  <c r="FZ6" i="40"/>
  <c r="FY6" i="40"/>
  <c r="FX6" i="40"/>
  <c r="FW6" i="40"/>
  <c r="FV6" i="40"/>
  <c r="FU6" i="40"/>
  <c r="FT6" i="40"/>
  <c r="FS6" i="40"/>
  <c r="FR6" i="40"/>
  <c r="FQ6" i="40"/>
  <c r="FP6" i="40"/>
  <c r="FO6" i="40"/>
  <c r="FN6" i="40"/>
  <c r="FM6" i="40"/>
  <c r="FL6" i="40"/>
  <c r="FK6" i="40"/>
  <c r="FJ6" i="40"/>
  <c r="FI6" i="40"/>
  <c r="FH6" i="40"/>
  <c r="FG6" i="40"/>
  <c r="FF6" i="40"/>
  <c r="FE6" i="40"/>
  <c r="FD6" i="40"/>
  <c r="FC6" i="40"/>
  <c r="FB6" i="40"/>
  <c r="FA6" i="40"/>
  <c r="EZ6" i="40"/>
  <c r="EY6" i="40"/>
  <c r="EX6" i="40"/>
  <c r="EW6" i="40"/>
  <c r="EV6" i="40"/>
  <c r="EU6" i="40"/>
  <c r="ET6" i="40"/>
  <c r="ES6" i="40"/>
  <c r="ER6" i="40"/>
  <c r="EQ6" i="40"/>
  <c r="EP6" i="40"/>
  <c r="EO6" i="40"/>
  <c r="EN6" i="40"/>
  <c r="EM6" i="40"/>
  <c r="EL6" i="40"/>
  <c r="EK6" i="40"/>
  <c r="EJ6" i="40"/>
  <c r="EI6" i="40"/>
  <c r="EH6" i="40"/>
  <c r="EG6" i="40"/>
  <c r="EF6" i="40"/>
  <c r="EE6" i="40"/>
  <c r="ED6" i="40"/>
  <c r="EC6" i="40"/>
  <c r="EB6" i="40"/>
  <c r="EA6" i="40"/>
  <c r="DZ6" i="40"/>
  <c r="DY6" i="40"/>
  <c r="DX6" i="40"/>
  <c r="DW6" i="40"/>
  <c r="DV6" i="40"/>
  <c r="DU6" i="40"/>
  <c r="DT6" i="40"/>
  <c r="DS6" i="40"/>
  <c r="DR6" i="40"/>
  <c r="DQ6" i="40"/>
  <c r="DP6" i="40"/>
  <c r="DO6" i="40"/>
  <c r="DN6" i="40"/>
  <c r="DM6" i="40"/>
  <c r="DL6" i="40"/>
  <c r="DK6" i="40"/>
  <c r="DJ6" i="40"/>
  <c r="DI6" i="40"/>
  <c r="HD5" i="40"/>
  <c r="HC5" i="40"/>
  <c r="HB5" i="40"/>
  <c r="HA5" i="40"/>
  <c r="GZ5" i="40"/>
  <c r="GY5" i="40"/>
  <c r="GX5" i="40"/>
  <c r="GW5" i="40"/>
  <c r="GV5" i="40"/>
  <c r="GU5" i="40"/>
  <c r="GT5" i="40"/>
  <c r="GS5" i="40"/>
  <c r="GR5" i="40"/>
  <c r="GQ5" i="40"/>
  <c r="GP5" i="40"/>
  <c r="GO5" i="40"/>
  <c r="GN5" i="40"/>
  <c r="GM5" i="40"/>
  <c r="GL5" i="40"/>
  <c r="GK5" i="40"/>
  <c r="GJ5" i="40"/>
  <c r="GI5" i="40"/>
  <c r="GH5" i="40"/>
  <c r="GG5" i="40"/>
  <c r="GF5" i="40"/>
  <c r="GE5" i="40"/>
  <c r="GD5" i="40"/>
  <c r="GC5" i="40"/>
  <c r="GB5" i="40"/>
  <c r="GA5" i="40"/>
  <c r="FZ5" i="40"/>
  <c r="FY5" i="40"/>
  <c r="FX5" i="40"/>
  <c r="FW5" i="40"/>
  <c r="FV5" i="40"/>
  <c r="FU5" i="40"/>
  <c r="FT5" i="40"/>
  <c r="FS5" i="40"/>
  <c r="FR5" i="40"/>
  <c r="FQ5" i="40"/>
  <c r="FP5" i="40"/>
  <c r="FO5" i="40"/>
  <c r="FN5" i="40"/>
  <c r="FM5" i="40"/>
  <c r="FL5" i="40"/>
  <c r="FK5" i="40"/>
  <c r="FJ5" i="40"/>
  <c r="FI5" i="40"/>
  <c r="FH5" i="40"/>
  <c r="FG5" i="40"/>
  <c r="FF5" i="40"/>
  <c r="FE5" i="40"/>
  <c r="FD5" i="40"/>
  <c r="FC5" i="40"/>
  <c r="FB5" i="40"/>
  <c r="FA5" i="40"/>
  <c r="EZ5" i="40"/>
  <c r="EY5" i="40"/>
  <c r="EX5" i="40"/>
  <c r="EW5" i="40"/>
  <c r="EV5" i="40"/>
  <c r="EU5" i="40"/>
  <c r="ET5" i="40"/>
  <c r="ES5" i="40"/>
  <c r="ER5" i="40"/>
  <c r="EQ5" i="40"/>
  <c r="EP5" i="40"/>
  <c r="EO5" i="40"/>
  <c r="EN5" i="40"/>
  <c r="EM5" i="40"/>
  <c r="EL5" i="40"/>
  <c r="EK5" i="40"/>
  <c r="EJ5" i="40"/>
  <c r="EI5" i="40"/>
  <c r="EH5" i="40"/>
  <c r="EG5" i="40"/>
  <c r="EF5" i="40"/>
  <c r="EE5" i="40"/>
  <c r="ED5" i="40"/>
  <c r="EC5" i="40"/>
  <c r="EB5" i="40"/>
  <c r="EA5" i="40"/>
  <c r="DZ5" i="40"/>
  <c r="DY5" i="40"/>
  <c r="DX5" i="40"/>
  <c r="DW5" i="40"/>
  <c r="DV5" i="40"/>
  <c r="DU5" i="40"/>
  <c r="DT5" i="40"/>
  <c r="DS5" i="40"/>
  <c r="DR5" i="40"/>
  <c r="DQ5" i="40"/>
  <c r="DP5" i="40"/>
  <c r="DO5" i="40"/>
  <c r="DN5" i="40"/>
  <c r="DM5" i="40"/>
  <c r="DL5" i="40"/>
  <c r="DK5" i="40"/>
  <c r="DJ5" i="40"/>
  <c r="DI5" i="40"/>
  <c r="HD4" i="40"/>
  <c r="HC4" i="40"/>
  <c r="HB4" i="40"/>
  <c r="HA4" i="40"/>
  <c r="GZ4" i="40"/>
  <c r="GY4" i="40"/>
  <c r="GX4" i="40"/>
  <c r="GW4" i="40"/>
  <c r="GV4" i="40"/>
  <c r="GU4" i="40"/>
  <c r="GT4" i="40"/>
  <c r="GS4" i="40"/>
  <c r="GR4" i="40"/>
  <c r="GQ4" i="40"/>
  <c r="GP4" i="40"/>
  <c r="GO4" i="40"/>
  <c r="GN4" i="40"/>
  <c r="GM4" i="40"/>
  <c r="GL4" i="40"/>
  <c r="GK4" i="40"/>
  <c r="GJ4" i="40"/>
  <c r="GI4" i="40"/>
  <c r="GH4" i="40"/>
  <c r="GG4" i="40"/>
  <c r="GF4" i="40"/>
  <c r="GE4" i="40"/>
  <c r="GD4" i="40"/>
  <c r="GC4" i="40"/>
  <c r="GB4" i="40"/>
  <c r="GA4" i="40"/>
  <c r="FZ4" i="40"/>
  <c r="FY4" i="40"/>
  <c r="FX4" i="40"/>
  <c r="FW4" i="40"/>
  <c r="FV4" i="40"/>
  <c r="FU4" i="40"/>
  <c r="FT4" i="40"/>
  <c r="FS4" i="40"/>
  <c r="FR4" i="40"/>
  <c r="FQ4" i="40"/>
  <c r="FP4" i="40"/>
  <c r="FO4" i="40"/>
  <c r="FN4" i="40"/>
  <c r="FM4" i="40"/>
  <c r="FL4" i="40"/>
  <c r="FK4" i="40"/>
  <c r="FJ4" i="40"/>
  <c r="FI4" i="40"/>
  <c r="FH4" i="40"/>
  <c r="FG4" i="40"/>
  <c r="FF4" i="40"/>
  <c r="FE4" i="40"/>
  <c r="FD4" i="40"/>
  <c r="FC4" i="40"/>
  <c r="FB4" i="40"/>
  <c r="FA4" i="40"/>
  <c r="EZ4" i="40"/>
  <c r="EY4" i="40"/>
  <c r="EX4" i="40"/>
  <c r="EW4" i="40"/>
  <c r="EV4" i="40"/>
  <c r="EU4" i="40"/>
  <c r="ET4" i="40"/>
  <c r="ES4" i="40"/>
  <c r="ER4" i="40"/>
  <c r="EQ4" i="40"/>
  <c r="EP4" i="40"/>
  <c r="EO4" i="40"/>
  <c r="EN4" i="40"/>
  <c r="EM4" i="40"/>
  <c r="EL4" i="40"/>
  <c r="EK4" i="40"/>
  <c r="EJ4" i="40"/>
  <c r="EI4" i="40"/>
  <c r="EH4" i="40"/>
  <c r="EG4" i="40"/>
  <c r="EF4" i="40"/>
  <c r="EE4" i="40"/>
  <c r="ED4" i="40"/>
  <c r="EC4" i="40"/>
  <c r="EB4" i="40"/>
  <c r="EA4" i="40"/>
  <c r="DZ4" i="40"/>
  <c r="DY4" i="40"/>
  <c r="DX4" i="40"/>
  <c r="DW4" i="40"/>
  <c r="DV4" i="40"/>
  <c r="DU4" i="40"/>
  <c r="DT4" i="40"/>
  <c r="DS4" i="40"/>
  <c r="DR4" i="40"/>
  <c r="DQ4" i="40"/>
  <c r="DP4" i="40"/>
  <c r="DO4" i="40"/>
  <c r="DN4" i="40"/>
  <c r="DM4" i="40"/>
  <c r="DL4" i="40"/>
  <c r="DK4" i="40"/>
  <c r="DJ4" i="40"/>
  <c r="DI4" i="40"/>
  <c r="HD3" i="40"/>
  <c r="HC3" i="40"/>
  <c r="HB3" i="40"/>
  <c r="HA3" i="40"/>
  <c r="GZ3" i="40"/>
  <c r="GY3" i="40"/>
  <c r="GX3" i="40"/>
  <c r="GW3" i="40"/>
  <c r="GV3" i="40"/>
  <c r="GU3" i="40"/>
  <c r="GT3" i="40"/>
  <c r="GS3" i="40"/>
  <c r="GR3" i="40"/>
  <c r="GQ3" i="40"/>
  <c r="GP3" i="40"/>
  <c r="GO3" i="40"/>
  <c r="GN3" i="40"/>
  <c r="GM3" i="40"/>
  <c r="GL3" i="40"/>
  <c r="GK3" i="40"/>
  <c r="GJ3" i="40"/>
  <c r="GI3" i="40"/>
  <c r="GH3" i="40"/>
  <c r="GG3" i="40"/>
  <c r="GF3" i="40"/>
  <c r="GE3" i="40"/>
  <c r="GD3" i="40"/>
  <c r="GC3" i="40"/>
  <c r="GB3" i="40"/>
  <c r="GA3" i="40"/>
  <c r="FZ3" i="40"/>
  <c r="FY3" i="40"/>
  <c r="FX3" i="40"/>
  <c r="FW3" i="40"/>
  <c r="FV3" i="40"/>
  <c r="FU3" i="40"/>
  <c r="FT3" i="40"/>
  <c r="FS3" i="40"/>
  <c r="FR3" i="40"/>
  <c r="FQ3" i="40"/>
  <c r="FP3" i="40"/>
  <c r="FO3" i="40"/>
  <c r="FN3" i="40"/>
  <c r="FM3" i="40"/>
  <c r="FL3" i="40"/>
  <c r="FK3" i="40"/>
  <c r="FJ3" i="40"/>
  <c r="FI3" i="40"/>
  <c r="FH3" i="40"/>
  <c r="FG3" i="40"/>
  <c r="FF3" i="40"/>
  <c r="FE3" i="40"/>
  <c r="FD3" i="40"/>
  <c r="FC3" i="40"/>
  <c r="FB3" i="40"/>
  <c r="FA3" i="40"/>
  <c r="EZ3" i="40"/>
  <c r="EY3" i="40"/>
  <c r="EX3" i="40"/>
  <c r="EW3" i="40"/>
  <c r="EV3" i="40"/>
  <c r="EU3" i="40"/>
  <c r="ET3" i="40"/>
  <c r="ES3" i="40"/>
  <c r="ER3" i="40"/>
  <c r="EQ3" i="40"/>
  <c r="EP3" i="40"/>
  <c r="EO3" i="40"/>
  <c r="EN3" i="40"/>
  <c r="EM3" i="40"/>
  <c r="EL3" i="40"/>
  <c r="EK3" i="40"/>
  <c r="EJ3" i="40"/>
  <c r="EI3" i="40"/>
  <c r="EH3" i="40"/>
  <c r="EG3" i="40"/>
  <c r="EF3" i="40"/>
  <c r="EE3" i="40"/>
  <c r="ED3" i="40"/>
  <c r="EC3" i="40"/>
  <c r="EB3" i="40"/>
  <c r="EA3" i="40"/>
  <c r="DZ3" i="40"/>
  <c r="DY3" i="40"/>
  <c r="DX3" i="40"/>
  <c r="DW3" i="40"/>
  <c r="DV3" i="40"/>
  <c r="DU3" i="40"/>
  <c r="DT3" i="40"/>
  <c r="DS3" i="40"/>
  <c r="DR3" i="40"/>
  <c r="DQ3" i="40"/>
  <c r="DP3" i="40"/>
  <c r="DO3" i="40"/>
  <c r="DN3" i="40"/>
  <c r="DM3" i="40"/>
  <c r="DL3" i="40"/>
  <c r="DK3" i="40"/>
  <c r="DJ3" i="40"/>
  <c r="DI3" i="40"/>
  <c r="N3" i="40"/>
  <c r="O3" i="40"/>
  <c r="P3" i="40"/>
  <c r="Q3" i="40"/>
  <c r="R3" i="40"/>
  <c r="S3" i="40"/>
  <c r="T3" i="40"/>
  <c r="U3" i="40"/>
  <c r="V3" i="40"/>
  <c r="W3" i="40"/>
  <c r="X3" i="40"/>
  <c r="Y3" i="40"/>
  <c r="Z3" i="40"/>
  <c r="AA3" i="40"/>
  <c r="AB3" i="40"/>
  <c r="AC3" i="40"/>
  <c r="AD3" i="40"/>
  <c r="AE3" i="40"/>
  <c r="AF3" i="40"/>
  <c r="AG3" i="40"/>
  <c r="AH3" i="40"/>
  <c r="AI3" i="40"/>
  <c r="AJ3" i="40"/>
  <c r="AK3" i="40"/>
  <c r="AL3" i="40"/>
  <c r="AM3" i="40"/>
  <c r="AN3" i="40"/>
  <c r="AO3" i="40"/>
  <c r="AP3" i="40"/>
  <c r="AQ3" i="40"/>
  <c r="AR3" i="40"/>
  <c r="AS3" i="40"/>
  <c r="AT3" i="40"/>
  <c r="AU3" i="40"/>
  <c r="AV3" i="40"/>
  <c r="AW3" i="40"/>
  <c r="AX3" i="40"/>
  <c r="AY3" i="40"/>
  <c r="AZ3" i="40"/>
  <c r="BA3" i="40"/>
  <c r="BB3" i="40"/>
  <c r="BC3" i="40"/>
  <c r="BD3" i="40"/>
  <c r="BE3" i="40"/>
  <c r="BF3" i="40"/>
  <c r="BG3" i="40"/>
  <c r="BH3" i="40"/>
  <c r="BI3" i="40"/>
  <c r="BJ3" i="40"/>
  <c r="BK3" i="40"/>
  <c r="BL3" i="40"/>
  <c r="BM3" i="40"/>
  <c r="BN3" i="40"/>
  <c r="BO3" i="40"/>
  <c r="BP3" i="40"/>
  <c r="BQ3" i="40"/>
  <c r="BR3" i="40"/>
  <c r="BS3" i="40"/>
  <c r="BT3" i="40"/>
  <c r="BU3" i="40"/>
  <c r="BV3" i="40"/>
  <c r="BW3" i="40"/>
  <c r="BX3" i="40"/>
  <c r="BY3" i="40"/>
  <c r="BZ3" i="40"/>
  <c r="CA3" i="40"/>
  <c r="CB3" i="40"/>
  <c r="CC3" i="40"/>
  <c r="CD3" i="40"/>
  <c r="CE3" i="40"/>
  <c r="CF3" i="40"/>
  <c r="CG3" i="40"/>
  <c r="CH3" i="40"/>
  <c r="CI3" i="40"/>
  <c r="CJ3" i="40"/>
  <c r="CK3" i="40"/>
  <c r="CL3" i="40"/>
  <c r="CM3" i="40"/>
  <c r="CN3" i="40"/>
  <c r="CO3" i="40"/>
  <c r="CP3" i="40"/>
  <c r="CQ3" i="40"/>
  <c r="CR3" i="40"/>
  <c r="CS3" i="40"/>
  <c r="CT3" i="40"/>
  <c r="CU3" i="40"/>
  <c r="CV3" i="40"/>
  <c r="CW3" i="40"/>
  <c r="CX3" i="40"/>
  <c r="CY3" i="40"/>
  <c r="CZ3" i="40"/>
  <c r="DA3" i="40"/>
  <c r="DB3" i="40"/>
  <c r="DC3" i="40"/>
  <c r="DD3" i="40"/>
  <c r="DE3" i="40"/>
  <c r="DF3" i="40"/>
  <c r="DG3" i="40"/>
  <c r="DH3" i="40"/>
  <c r="N4" i="40"/>
  <c r="O4" i="40"/>
  <c r="P4" i="40"/>
  <c r="Q4" i="40"/>
  <c r="R4" i="40"/>
  <c r="S4" i="40"/>
  <c r="T4" i="40"/>
  <c r="U4" i="40"/>
  <c r="V4" i="40"/>
  <c r="W4" i="40"/>
  <c r="X4" i="40"/>
  <c r="Y4" i="40"/>
  <c r="Z4" i="40"/>
  <c r="AA4" i="40"/>
  <c r="AB4" i="40"/>
  <c r="AC4" i="40"/>
  <c r="AD4" i="40"/>
  <c r="AE4" i="40"/>
  <c r="AF4" i="40"/>
  <c r="AG4" i="40"/>
  <c r="AH4" i="40"/>
  <c r="AI4" i="40"/>
  <c r="AJ4" i="40"/>
  <c r="AK4" i="40"/>
  <c r="AL4" i="40"/>
  <c r="AM4" i="40"/>
  <c r="AN4" i="40"/>
  <c r="AO4" i="40"/>
  <c r="AP4" i="40"/>
  <c r="AQ4" i="40"/>
  <c r="AR4" i="40"/>
  <c r="AS4" i="40"/>
  <c r="AT4" i="40"/>
  <c r="AU4" i="40"/>
  <c r="AV4" i="40"/>
  <c r="AW4" i="40"/>
  <c r="AX4" i="40"/>
  <c r="AY4" i="40"/>
  <c r="AZ4" i="40"/>
  <c r="BA4" i="40"/>
  <c r="BB4" i="40"/>
  <c r="BC4" i="40"/>
  <c r="BD4" i="40"/>
  <c r="BE4" i="40"/>
  <c r="BF4" i="40"/>
  <c r="BG4" i="40"/>
  <c r="BH4" i="40"/>
  <c r="BI4" i="40"/>
  <c r="BJ4" i="40"/>
  <c r="BK4" i="40"/>
  <c r="BL4" i="40"/>
  <c r="BM4" i="40"/>
  <c r="BN4" i="40"/>
  <c r="BO4" i="40"/>
  <c r="BP4" i="40"/>
  <c r="BQ4" i="40"/>
  <c r="BR4" i="40"/>
  <c r="BS4" i="40"/>
  <c r="BT4" i="40"/>
  <c r="BU4" i="40"/>
  <c r="BV4" i="40"/>
  <c r="BW4" i="40"/>
  <c r="BX4" i="40"/>
  <c r="BY4" i="40"/>
  <c r="BZ4" i="40"/>
  <c r="CA4" i="40"/>
  <c r="CB4" i="40"/>
  <c r="CC4" i="40"/>
  <c r="CD4" i="40"/>
  <c r="CE4" i="40"/>
  <c r="CF4" i="40"/>
  <c r="CG4" i="40"/>
  <c r="CH4" i="40"/>
  <c r="CI4" i="40"/>
  <c r="CJ4" i="40"/>
  <c r="CK4" i="40"/>
  <c r="CL4" i="40"/>
  <c r="CM4" i="40"/>
  <c r="CN4" i="40"/>
  <c r="CO4" i="40"/>
  <c r="CP4" i="40"/>
  <c r="CQ4" i="40"/>
  <c r="CR4" i="40"/>
  <c r="CS4" i="40"/>
  <c r="CT4" i="40"/>
  <c r="CU4" i="40"/>
  <c r="CV4" i="40"/>
  <c r="CW4" i="40"/>
  <c r="CX4" i="40"/>
  <c r="CY4" i="40"/>
  <c r="CZ4" i="40"/>
  <c r="DA4" i="40"/>
  <c r="DB4" i="40"/>
  <c r="DC4" i="40"/>
  <c r="DD4" i="40"/>
  <c r="DE4" i="40"/>
  <c r="DF4" i="40"/>
  <c r="DG4" i="40"/>
  <c r="DH4" i="40"/>
  <c r="N5" i="40"/>
  <c r="O5" i="40"/>
  <c r="P5" i="40"/>
  <c r="Q5" i="40"/>
  <c r="R5" i="40"/>
  <c r="S5" i="40"/>
  <c r="T5" i="40"/>
  <c r="U5" i="40"/>
  <c r="V5" i="40"/>
  <c r="W5" i="40"/>
  <c r="X5" i="40"/>
  <c r="Y5" i="40"/>
  <c r="Z5" i="40"/>
  <c r="AA5" i="40"/>
  <c r="AB5" i="40"/>
  <c r="AC5" i="40"/>
  <c r="AD5" i="40"/>
  <c r="AE5" i="40"/>
  <c r="AF5" i="40"/>
  <c r="AG5" i="40"/>
  <c r="AH5" i="40"/>
  <c r="AI5" i="40"/>
  <c r="AJ5" i="40"/>
  <c r="AK5" i="40"/>
  <c r="AL5" i="40"/>
  <c r="AM5" i="40"/>
  <c r="AN5" i="40"/>
  <c r="AO5" i="40"/>
  <c r="AP5" i="40"/>
  <c r="AQ5" i="40"/>
  <c r="AR5" i="40"/>
  <c r="AS5" i="40"/>
  <c r="AT5" i="40"/>
  <c r="AU5" i="40"/>
  <c r="AV5" i="40"/>
  <c r="AW5" i="40"/>
  <c r="AX5" i="40"/>
  <c r="AY5" i="40"/>
  <c r="AZ5" i="40"/>
  <c r="BA5" i="40"/>
  <c r="BB5" i="40"/>
  <c r="BC5" i="40"/>
  <c r="BD5" i="40"/>
  <c r="BE5" i="40"/>
  <c r="BF5" i="40"/>
  <c r="BG5" i="40"/>
  <c r="BH5" i="40"/>
  <c r="BI5" i="40"/>
  <c r="BJ5" i="40"/>
  <c r="BK5" i="40"/>
  <c r="BL5" i="40"/>
  <c r="BM5" i="40"/>
  <c r="BN5" i="40"/>
  <c r="BO5" i="40"/>
  <c r="BP5" i="40"/>
  <c r="BQ5" i="40"/>
  <c r="BR5" i="40"/>
  <c r="BS5" i="40"/>
  <c r="BT5" i="40"/>
  <c r="BU5" i="40"/>
  <c r="BV5" i="40"/>
  <c r="BW5" i="40"/>
  <c r="BX5" i="40"/>
  <c r="BY5" i="40"/>
  <c r="BZ5" i="40"/>
  <c r="CA5" i="40"/>
  <c r="CB5" i="40"/>
  <c r="CC5" i="40"/>
  <c r="CD5" i="40"/>
  <c r="CE5" i="40"/>
  <c r="CF5" i="40"/>
  <c r="CG5" i="40"/>
  <c r="CH5" i="40"/>
  <c r="CI5" i="40"/>
  <c r="CJ5" i="40"/>
  <c r="CK5" i="40"/>
  <c r="CL5" i="40"/>
  <c r="CM5" i="40"/>
  <c r="CN5" i="40"/>
  <c r="CO5" i="40"/>
  <c r="CP5" i="40"/>
  <c r="CQ5" i="40"/>
  <c r="CR5" i="40"/>
  <c r="CS5" i="40"/>
  <c r="CT5" i="40"/>
  <c r="CU5" i="40"/>
  <c r="CV5" i="40"/>
  <c r="CW5" i="40"/>
  <c r="CX5" i="40"/>
  <c r="CY5" i="40"/>
  <c r="CZ5" i="40"/>
  <c r="DA5" i="40"/>
  <c r="DB5" i="40"/>
  <c r="DC5" i="40"/>
  <c r="DD5" i="40"/>
  <c r="DE5" i="40"/>
  <c r="DF5" i="40"/>
  <c r="DG5" i="40"/>
  <c r="DH5" i="40"/>
  <c r="N6" i="40"/>
  <c r="O6" i="40"/>
  <c r="P6" i="40"/>
  <c r="Q6" i="40"/>
  <c r="R6" i="40"/>
  <c r="S6" i="40"/>
  <c r="T6" i="40"/>
  <c r="U6" i="40"/>
  <c r="V6" i="40"/>
  <c r="W6" i="40"/>
  <c r="X6" i="40"/>
  <c r="Y6" i="40"/>
  <c r="Z6" i="40"/>
  <c r="AA6" i="40"/>
  <c r="AB6" i="40"/>
  <c r="AC6" i="40"/>
  <c r="AD6" i="40"/>
  <c r="AE6" i="40"/>
  <c r="AF6" i="40"/>
  <c r="AG6" i="40"/>
  <c r="AH6" i="40"/>
  <c r="AI6" i="40"/>
  <c r="AJ6" i="40"/>
  <c r="AK6" i="40"/>
  <c r="AL6" i="40"/>
  <c r="AM6" i="40"/>
  <c r="AN6" i="40"/>
  <c r="AO6" i="40"/>
  <c r="AP6" i="40"/>
  <c r="AQ6" i="40"/>
  <c r="AR6" i="40"/>
  <c r="AS6" i="40"/>
  <c r="AT6" i="40"/>
  <c r="AU6" i="40"/>
  <c r="AV6" i="40"/>
  <c r="AW6" i="40"/>
  <c r="AX6" i="40"/>
  <c r="AY6" i="40"/>
  <c r="AZ6" i="40"/>
  <c r="BA6" i="40"/>
  <c r="BB6" i="40"/>
  <c r="BC6" i="40"/>
  <c r="BD6" i="40"/>
  <c r="BE6" i="40"/>
  <c r="BF6" i="40"/>
  <c r="BG6" i="40"/>
  <c r="BH6" i="40"/>
  <c r="BI6" i="40"/>
  <c r="BJ6" i="40"/>
  <c r="BK6" i="40"/>
  <c r="BL6" i="40"/>
  <c r="BM6" i="40"/>
  <c r="BN6" i="40"/>
  <c r="BO6" i="40"/>
  <c r="BP6" i="40"/>
  <c r="BQ6" i="40"/>
  <c r="BR6" i="40"/>
  <c r="BS6" i="40"/>
  <c r="BT6" i="40"/>
  <c r="BU6" i="40"/>
  <c r="BV6" i="40"/>
  <c r="BW6" i="40"/>
  <c r="BX6" i="40"/>
  <c r="BY6" i="40"/>
  <c r="BZ6" i="40"/>
  <c r="CA6" i="40"/>
  <c r="CB6" i="40"/>
  <c r="CC6" i="40"/>
  <c r="CD6" i="40"/>
  <c r="CE6" i="40"/>
  <c r="CF6" i="40"/>
  <c r="CG6" i="40"/>
  <c r="CH6" i="40"/>
  <c r="CI6" i="40"/>
  <c r="CJ6" i="40"/>
  <c r="CK6" i="40"/>
  <c r="CL6" i="40"/>
  <c r="CM6" i="40"/>
  <c r="CN6" i="40"/>
  <c r="CO6" i="40"/>
  <c r="CP6" i="40"/>
  <c r="CQ6" i="40"/>
  <c r="CR6" i="40"/>
  <c r="CS6" i="40"/>
  <c r="CT6" i="40"/>
  <c r="CU6" i="40"/>
  <c r="CV6" i="40"/>
  <c r="CW6" i="40"/>
  <c r="CX6" i="40"/>
  <c r="CY6" i="40"/>
  <c r="CZ6" i="40"/>
  <c r="DA6" i="40"/>
  <c r="DB6" i="40"/>
  <c r="DC6" i="40"/>
  <c r="DD6" i="40"/>
  <c r="DE6" i="40"/>
  <c r="DF6" i="40"/>
  <c r="DG6" i="40"/>
  <c r="DH6" i="40"/>
  <c r="N7" i="40"/>
  <c r="O7" i="40"/>
  <c r="P7" i="40"/>
  <c r="Q7" i="40"/>
  <c r="R7" i="40"/>
  <c r="S7" i="40"/>
  <c r="T7" i="40"/>
  <c r="U7" i="40"/>
  <c r="V7" i="40"/>
  <c r="W7" i="40"/>
  <c r="X7" i="40"/>
  <c r="Y7" i="40"/>
  <c r="Z7" i="40"/>
  <c r="AA7" i="40"/>
  <c r="AB7" i="40"/>
  <c r="AC7" i="40"/>
  <c r="AD7" i="40"/>
  <c r="AE7" i="40"/>
  <c r="AF7" i="40"/>
  <c r="AG7" i="40"/>
  <c r="AH7" i="40"/>
  <c r="AI7" i="40"/>
  <c r="AJ7" i="40"/>
  <c r="AK7" i="40"/>
  <c r="AL7" i="40"/>
  <c r="AM7" i="40"/>
  <c r="AN7" i="40"/>
  <c r="AO7" i="40"/>
  <c r="AP7" i="40"/>
  <c r="AQ7" i="40"/>
  <c r="AR7" i="40"/>
  <c r="AS7" i="40"/>
  <c r="AT7" i="40"/>
  <c r="AU7" i="40"/>
  <c r="AV7" i="40"/>
  <c r="AW7" i="40"/>
  <c r="AX7" i="40"/>
  <c r="AY7" i="40"/>
  <c r="AZ7" i="40"/>
  <c r="BA7" i="40"/>
  <c r="BB7" i="40"/>
  <c r="BC7" i="40"/>
  <c r="BD7" i="40"/>
  <c r="BE7" i="40"/>
  <c r="BF7" i="40"/>
  <c r="BG7" i="40"/>
  <c r="BH7" i="40"/>
  <c r="BI7" i="40"/>
  <c r="BJ7" i="40"/>
  <c r="BK7" i="40"/>
  <c r="BL7" i="40"/>
  <c r="BM7" i="40"/>
  <c r="BN7" i="40"/>
  <c r="BO7" i="40"/>
  <c r="BP7" i="40"/>
  <c r="BQ7" i="40"/>
  <c r="BR7" i="40"/>
  <c r="BS7" i="40"/>
  <c r="BT7" i="40"/>
  <c r="BU7" i="40"/>
  <c r="BV7" i="40"/>
  <c r="BW7" i="40"/>
  <c r="BX7" i="40"/>
  <c r="BY7" i="40"/>
  <c r="BZ7" i="40"/>
  <c r="CA7" i="40"/>
  <c r="CB7" i="40"/>
  <c r="CC7" i="40"/>
  <c r="CD7" i="40"/>
  <c r="CE7" i="40"/>
  <c r="CF7" i="40"/>
  <c r="CG7" i="40"/>
  <c r="CH7" i="40"/>
  <c r="CI7" i="40"/>
  <c r="CJ7" i="40"/>
  <c r="CK7" i="40"/>
  <c r="CL7" i="40"/>
  <c r="CM7" i="40"/>
  <c r="CN7" i="40"/>
  <c r="CO7" i="40"/>
  <c r="CP7" i="40"/>
  <c r="CQ7" i="40"/>
  <c r="CR7" i="40"/>
  <c r="CS7" i="40"/>
  <c r="CT7" i="40"/>
  <c r="CU7" i="40"/>
  <c r="CV7" i="40"/>
  <c r="CW7" i="40"/>
  <c r="CX7" i="40"/>
  <c r="CY7" i="40"/>
  <c r="CZ7" i="40"/>
  <c r="DA7" i="40"/>
  <c r="DB7" i="40"/>
  <c r="DC7" i="40"/>
  <c r="DD7" i="40"/>
  <c r="DE7" i="40"/>
  <c r="DF7" i="40"/>
  <c r="DG7" i="40"/>
  <c r="DH7" i="40"/>
  <c r="N8" i="40"/>
  <c r="O8" i="40"/>
  <c r="P8" i="40"/>
  <c r="Q8" i="40"/>
  <c r="R8" i="40"/>
  <c r="S8" i="40"/>
  <c r="T8" i="40"/>
  <c r="U8" i="40"/>
  <c r="V8" i="40"/>
  <c r="W8" i="40"/>
  <c r="X8" i="40"/>
  <c r="Y8" i="40"/>
  <c r="Z8" i="40"/>
  <c r="AA8" i="40"/>
  <c r="AB8" i="40"/>
  <c r="AC8" i="40"/>
  <c r="AD8" i="40"/>
  <c r="AE8" i="40"/>
  <c r="AF8" i="40"/>
  <c r="AG8" i="40"/>
  <c r="AH8" i="40"/>
  <c r="AI8" i="40"/>
  <c r="AJ8" i="40"/>
  <c r="AK8" i="40"/>
  <c r="AL8" i="40"/>
  <c r="AM8" i="40"/>
  <c r="AN8" i="40"/>
  <c r="AO8" i="40"/>
  <c r="AP8" i="40"/>
  <c r="AQ8" i="40"/>
  <c r="AR8" i="40"/>
  <c r="AS8" i="40"/>
  <c r="AT8" i="40"/>
  <c r="AU8" i="40"/>
  <c r="AV8" i="40"/>
  <c r="AW8" i="40"/>
  <c r="AX8" i="40"/>
  <c r="AY8" i="40"/>
  <c r="AZ8" i="40"/>
  <c r="BA8" i="40"/>
  <c r="BB8" i="40"/>
  <c r="BC8" i="40"/>
  <c r="BD8" i="40"/>
  <c r="BE8" i="40"/>
  <c r="BF8" i="40"/>
  <c r="BG8" i="40"/>
  <c r="BH8" i="40"/>
  <c r="BI8" i="40"/>
  <c r="BJ8" i="40"/>
  <c r="BK8" i="40"/>
  <c r="BL8" i="40"/>
  <c r="BM8" i="40"/>
  <c r="BN8" i="40"/>
  <c r="BO8" i="40"/>
  <c r="BP8" i="40"/>
  <c r="BQ8" i="40"/>
  <c r="BR8" i="40"/>
  <c r="BS8" i="40"/>
  <c r="BT8" i="40"/>
  <c r="BU8" i="40"/>
  <c r="BV8" i="40"/>
  <c r="BW8" i="40"/>
  <c r="BX8" i="40"/>
  <c r="BY8" i="40"/>
  <c r="BZ8" i="40"/>
  <c r="CA8" i="40"/>
  <c r="CB8" i="40"/>
  <c r="CC8" i="40"/>
  <c r="CD8" i="40"/>
  <c r="CE8" i="40"/>
  <c r="CF8" i="40"/>
  <c r="CG8" i="40"/>
  <c r="CH8" i="40"/>
  <c r="CI8" i="40"/>
  <c r="CJ8" i="40"/>
  <c r="CK8" i="40"/>
  <c r="CL8" i="40"/>
  <c r="CM8" i="40"/>
  <c r="CN8" i="40"/>
  <c r="CO8" i="40"/>
  <c r="CP8" i="40"/>
  <c r="CQ8" i="40"/>
  <c r="CR8" i="40"/>
  <c r="CS8" i="40"/>
  <c r="CT8" i="40"/>
  <c r="CU8" i="40"/>
  <c r="CV8" i="40"/>
  <c r="CW8" i="40"/>
  <c r="CX8" i="40"/>
  <c r="CY8" i="40"/>
  <c r="CZ8" i="40"/>
  <c r="DA8" i="40"/>
  <c r="DB8" i="40"/>
  <c r="DC8" i="40"/>
  <c r="DD8" i="40"/>
  <c r="DE8" i="40"/>
  <c r="DF8" i="40"/>
  <c r="DG8" i="40"/>
  <c r="DH8" i="40"/>
  <c r="N9" i="40"/>
  <c r="O9" i="40"/>
  <c r="P9" i="40"/>
  <c r="Q9" i="40"/>
  <c r="R9" i="40"/>
  <c r="S9" i="40"/>
  <c r="T9" i="40"/>
  <c r="U9" i="40"/>
  <c r="V9" i="40"/>
  <c r="W9" i="40"/>
  <c r="X9" i="40"/>
  <c r="Y9" i="40"/>
  <c r="Z9" i="40"/>
  <c r="AA9" i="40"/>
  <c r="AB9" i="40"/>
  <c r="AC9" i="40"/>
  <c r="AD9" i="40"/>
  <c r="AE9" i="40"/>
  <c r="AF9" i="40"/>
  <c r="AG9" i="40"/>
  <c r="AH9" i="40"/>
  <c r="AI9" i="40"/>
  <c r="AJ9" i="40"/>
  <c r="AK9" i="40"/>
  <c r="AL9" i="40"/>
  <c r="AM9" i="40"/>
  <c r="AN9" i="40"/>
  <c r="AO9" i="40"/>
  <c r="AP9" i="40"/>
  <c r="AQ9" i="40"/>
  <c r="AR9" i="40"/>
  <c r="AS9" i="40"/>
  <c r="AT9" i="40"/>
  <c r="AU9" i="40"/>
  <c r="AV9" i="40"/>
  <c r="AW9" i="40"/>
  <c r="AX9" i="40"/>
  <c r="AY9" i="40"/>
  <c r="AZ9" i="40"/>
  <c r="BA9" i="40"/>
  <c r="BB9" i="40"/>
  <c r="BC9" i="40"/>
  <c r="BD9" i="40"/>
  <c r="BE9" i="40"/>
  <c r="BF9" i="40"/>
  <c r="BG9" i="40"/>
  <c r="BH9" i="40"/>
  <c r="BI9" i="40"/>
  <c r="BJ9" i="40"/>
  <c r="BK9" i="40"/>
  <c r="BL9" i="40"/>
  <c r="BM9" i="40"/>
  <c r="BN9" i="40"/>
  <c r="BO9" i="40"/>
  <c r="BP9" i="40"/>
  <c r="BQ9" i="40"/>
  <c r="BR9" i="40"/>
  <c r="BS9" i="40"/>
  <c r="BT9" i="40"/>
  <c r="BU9" i="40"/>
  <c r="BV9" i="40"/>
  <c r="BW9" i="40"/>
  <c r="BX9" i="40"/>
  <c r="BY9" i="40"/>
  <c r="BZ9" i="40"/>
  <c r="CA9" i="40"/>
  <c r="CB9" i="40"/>
  <c r="CC9" i="40"/>
  <c r="CD9" i="40"/>
  <c r="CE9" i="40"/>
  <c r="CF9" i="40"/>
  <c r="CG9" i="40"/>
  <c r="CH9" i="40"/>
  <c r="CI9" i="40"/>
  <c r="CJ9" i="40"/>
  <c r="CK9" i="40"/>
  <c r="CL9" i="40"/>
  <c r="CM9" i="40"/>
  <c r="CN9" i="40"/>
  <c r="CO9" i="40"/>
  <c r="CP9" i="40"/>
  <c r="CQ9" i="40"/>
  <c r="CR9" i="40"/>
  <c r="CS9" i="40"/>
  <c r="CT9" i="40"/>
  <c r="CU9" i="40"/>
  <c r="CV9" i="40"/>
  <c r="CW9" i="40"/>
  <c r="CX9" i="40"/>
  <c r="CY9" i="40"/>
  <c r="CZ9" i="40"/>
  <c r="DA9" i="40"/>
  <c r="DB9" i="40"/>
  <c r="DC9" i="40"/>
  <c r="DD9" i="40"/>
  <c r="DE9" i="40"/>
  <c r="DF9" i="40"/>
  <c r="DG9" i="40"/>
  <c r="DH9" i="40"/>
  <c r="N10" i="40"/>
  <c r="O10" i="40"/>
  <c r="P10" i="40"/>
  <c r="Q10" i="40"/>
  <c r="R10" i="40"/>
  <c r="S10" i="40"/>
  <c r="T10" i="40"/>
  <c r="U10" i="40"/>
  <c r="V10" i="40"/>
  <c r="W10" i="40"/>
  <c r="X10" i="40"/>
  <c r="Y10" i="40"/>
  <c r="Z10" i="40"/>
  <c r="AA10" i="40"/>
  <c r="AB10" i="40"/>
  <c r="AC10" i="40"/>
  <c r="AD10" i="40"/>
  <c r="AE10" i="40"/>
  <c r="AF10" i="40"/>
  <c r="AG10" i="40"/>
  <c r="AH10" i="40"/>
  <c r="AI10" i="40"/>
  <c r="AJ10" i="40"/>
  <c r="AK10" i="40"/>
  <c r="AL10" i="40"/>
  <c r="AM10" i="40"/>
  <c r="AN10" i="40"/>
  <c r="AO10" i="40"/>
  <c r="AP10" i="40"/>
  <c r="AQ10" i="40"/>
  <c r="AR10" i="40"/>
  <c r="AS10" i="40"/>
  <c r="AT10" i="40"/>
  <c r="AU10" i="40"/>
  <c r="AV10" i="40"/>
  <c r="AW10" i="40"/>
  <c r="AX10" i="40"/>
  <c r="AY10" i="40"/>
  <c r="AZ10" i="40"/>
  <c r="BA10" i="40"/>
  <c r="BB10" i="40"/>
  <c r="BC10" i="40"/>
  <c r="BD10" i="40"/>
  <c r="BE10" i="40"/>
  <c r="BF10" i="40"/>
  <c r="BG10" i="40"/>
  <c r="BH10" i="40"/>
  <c r="BI10" i="40"/>
  <c r="BJ10" i="40"/>
  <c r="BK10" i="40"/>
  <c r="BL10" i="40"/>
  <c r="BM10" i="40"/>
  <c r="BN10" i="40"/>
  <c r="BO10" i="40"/>
  <c r="BP10" i="40"/>
  <c r="BQ10" i="40"/>
  <c r="BR10" i="40"/>
  <c r="BS10" i="40"/>
  <c r="BT10" i="40"/>
  <c r="BU10" i="40"/>
  <c r="BV10" i="40"/>
  <c r="BW10" i="40"/>
  <c r="BX10" i="40"/>
  <c r="BY10" i="40"/>
  <c r="BZ10" i="40"/>
  <c r="CA10" i="40"/>
  <c r="CB10" i="40"/>
  <c r="CC10" i="40"/>
  <c r="CD10" i="40"/>
  <c r="CE10" i="40"/>
  <c r="CF10" i="40"/>
  <c r="CG10" i="40"/>
  <c r="CH10" i="40"/>
  <c r="CI10" i="40"/>
  <c r="CJ10" i="40"/>
  <c r="CK10" i="40"/>
  <c r="CL10" i="40"/>
  <c r="CM10" i="40"/>
  <c r="CN10" i="40"/>
  <c r="CO10" i="40"/>
  <c r="CP10" i="40"/>
  <c r="CQ10" i="40"/>
  <c r="CR10" i="40"/>
  <c r="CS10" i="40"/>
  <c r="CT10" i="40"/>
  <c r="CU10" i="40"/>
  <c r="CV10" i="40"/>
  <c r="CW10" i="40"/>
  <c r="CX10" i="40"/>
  <c r="CY10" i="40"/>
  <c r="CZ10" i="40"/>
  <c r="DA10" i="40"/>
  <c r="DB10" i="40"/>
  <c r="DC10" i="40"/>
  <c r="DD10" i="40"/>
  <c r="DE10" i="40"/>
  <c r="DF10" i="40"/>
  <c r="DG10" i="40"/>
  <c r="DH10" i="40"/>
  <c r="N11" i="40"/>
  <c r="O11" i="40"/>
  <c r="P11" i="40"/>
  <c r="Q11" i="40"/>
  <c r="R11" i="40"/>
  <c r="S11" i="40"/>
  <c r="T11" i="40"/>
  <c r="U11" i="40"/>
  <c r="V11" i="40"/>
  <c r="W11" i="40"/>
  <c r="X11" i="40"/>
  <c r="Y11" i="40"/>
  <c r="Z11" i="40"/>
  <c r="AA11" i="40"/>
  <c r="AB11" i="40"/>
  <c r="AC11" i="40"/>
  <c r="AD11" i="40"/>
  <c r="AE11" i="40"/>
  <c r="AF11" i="40"/>
  <c r="AG11" i="40"/>
  <c r="AH11" i="40"/>
  <c r="AI11" i="40"/>
  <c r="AJ11" i="40"/>
  <c r="AK11" i="40"/>
  <c r="AL11" i="40"/>
  <c r="AM11" i="40"/>
  <c r="AN11" i="40"/>
  <c r="AO11" i="40"/>
  <c r="AP11" i="40"/>
  <c r="AQ11" i="40"/>
  <c r="AR11" i="40"/>
  <c r="AS11" i="40"/>
  <c r="AT11" i="40"/>
  <c r="AU11" i="40"/>
  <c r="AV11" i="40"/>
  <c r="AW11" i="40"/>
  <c r="AX11" i="40"/>
  <c r="AY11" i="40"/>
  <c r="AZ11" i="40"/>
  <c r="BA11" i="40"/>
  <c r="BB11" i="40"/>
  <c r="BC11" i="40"/>
  <c r="BD11" i="40"/>
  <c r="BE11" i="40"/>
  <c r="BF11" i="40"/>
  <c r="BG11" i="40"/>
  <c r="BH11" i="40"/>
  <c r="BI11" i="40"/>
  <c r="BJ11" i="40"/>
  <c r="BK11" i="40"/>
  <c r="BL11" i="40"/>
  <c r="BM11" i="40"/>
  <c r="BN11" i="40"/>
  <c r="BO11" i="40"/>
  <c r="BP11" i="40"/>
  <c r="BQ11" i="40"/>
  <c r="BR11" i="40"/>
  <c r="BS11" i="40"/>
  <c r="BT11" i="40"/>
  <c r="BU11" i="40"/>
  <c r="BV11" i="40"/>
  <c r="BW11" i="40"/>
  <c r="BX11" i="40"/>
  <c r="BY11" i="40"/>
  <c r="BZ11" i="40"/>
  <c r="CA11" i="40"/>
  <c r="CB11" i="40"/>
  <c r="CC11" i="40"/>
  <c r="CD11" i="40"/>
  <c r="CE11" i="40"/>
  <c r="CF11" i="40"/>
  <c r="CG11" i="40"/>
  <c r="CH11" i="40"/>
  <c r="CI11" i="40"/>
  <c r="CJ11" i="40"/>
  <c r="CK11" i="40"/>
  <c r="CL11" i="40"/>
  <c r="CM11" i="40"/>
  <c r="CN11" i="40"/>
  <c r="CO11" i="40"/>
  <c r="CP11" i="40"/>
  <c r="CQ11" i="40"/>
  <c r="CR11" i="40"/>
  <c r="CS11" i="40"/>
  <c r="CT11" i="40"/>
  <c r="CU11" i="40"/>
  <c r="CV11" i="40"/>
  <c r="CW11" i="40"/>
  <c r="CX11" i="40"/>
  <c r="CY11" i="40"/>
  <c r="CZ11" i="40"/>
  <c r="DA11" i="40"/>
  <c r="DB11" i="40"/>
  <c r="DC11" i="40"/>
  <c r="DD11" i="40"/>
  <c r="DE11" i="40"/>
  <c r="DF11" i="40"/>
  <c r="DG11" i="40"/>
  <c r="DH11" i="40"/>
  <c r="N12" i="40"/>
  <c r="O12" i="40"/>
  <c r="P12" i="40"/>
  <c r="Q12" i="40"/>
  <c r="R12" i="40"/>
  <c r="S12" i="40"/>
  <c r="T12" i="40"/>
  <c r="U12" i="40"/>
  <c r="V12" i="40"/>
  <c r="W12" i="40"/>
  <c r="X12" i="40"/>
  <c r="Y12" i="40"/>
  <c r="Z12" i="40"/>
  <c r="AA12" i="40"/>
  <c r="AB12" i="40"/>
  <c r="AC12" i="40"/>
  <c r="AD12" i="40"/>
  <c r="AE12" i="40"/>
  <c r="AF12" i="40"/>
  <c r="AG12" i="40"/>
  <c r="AH12" i="40"/>
  <c r="AI12" i="40"/>
  <c r="AJ12" i="40"/>
  <c r="AK12" i="40"/>
  <c r="AL12" i="40"/>
  <c r="AM12" i="40"/>
  <c r="AN12" i="40"/>
  <c r="AO12" i="40"/>
  <c r="AP12" i="40"/>
  <c r="AQ12" i="40"/>
  <c r="AR12" i="40"/>
  <c r="AS12" i="40"/>
  <c r="AT12" i="40"/>
  <c r="AU12" i="40"/>
  <c r="AV12" i="40"/>
  <c r="AW12" i="40"/>
  <c r="AX12" i="40"/>
  <c r="AY12" i="40"/>
  <c r="AZ12" i="40"/>
  <c r="BA12" i="40"/>
  <c r="BB12" i="40"/>
  <c r="BC12" i="40"/>
  <c r="BD12" i="40"/>
  <c r="BE12" i="40"/>
  <c r="BF12" i="40"/>
  <c r="BG12" i="40"/>
  <c r="BH12" i="40"/>
  <c r="BI12" i="40"/>
  <c r="BJ12" i="40"/>
  <c r="BK12" i="40"/>
  <c r="BL12" i="40"/>
  <c r="BM12" i="40"/>
  <c r="BN12" i="40"/>
  <c r="BO12" i="40"/>
  <c r="BP12" i="40"/>
  <c r="BQ12" i="40"/>
  <c r="BR12" i="40"/>
  <c r="BS12" i="40"/>
  <c r="BT12" i="40"/>
  <c r="BU12" i="40"/>
  <c r="BV12" i="40"/>
  <c r="BW12" i="40"/>
  <c r="BX12" i="40"/>
  <c r="BY12" i="40"/>
  <c r="BZ12" i="40"/>
  <c r="CA12" i="40"/>
  <c r="CB12" i="40"/>
  <c r="CC12" i="40"/>
  <c r="CD12" i="40"/>
  <c r="CE12" i="40"/>
  <c r="CF12" i="40"/>
  <c r="CG12" i="40"/>
  <c r="CH12" i="40"/>
  <c r="CI12" i="40"/>
  <c r="CJ12" i="40"/>
  <c r="CK12" i="40"/>
  <c r="CL12" i="40"/>
  <c r="CM12" i="40"/>
  <c r="CN12" i="40"/>
  <c r="CO12" i="40"/>
  <c r="CP12" i="40"/>
  <c r="CQ12" i="40"/>
  <c r="CR12" i="40"/>
  <c r="CS12" i="40"/>
  <c r="CT12" i="40"/>
  <c r="CU12" i="40"/>
  <c r="CV12" i="40"/>
  <c r="CW12" i="40"/>
  <c r="CX12" i="40"/>
  <c r="CY12" i="40"/>
  <c r="CZ12" i="40"/>
  <c r="DA12" i="40"/>
  <c r="DB12" i="40"/>
  <c r="DC12" i="40"/>
  <c r="DD12" i="40"/>
  <c r="DE12" i="40"/>
  <c r="DF12" i="40"/>
  <c r="DG12" i="40"/>
  <c r="DH12" i="40"/>
  <c r="N13" i="40"/>
  <c r="O13" i="40"/>
  <c r="P13" i="40"/>
  <c r="Q13" i="40"/>
  <c r="R13" i="40"/>
  <c r="S13" i="40"/>
  <c r="T13" i="40"/>
  <c r="U13" i="40"/>
  <c r="V13" i="40"/>
  <c r="W13" i="40"/>
  <c r="X13" i="40"/>
  <c r="Y13" i="40"/>
  <c r="Z13" i="40"/>
  <c r="AA13" i="40"/>
  <c r="AB13" i="40"/>
  <c r="AC13" i="40"/>
  <c r="AD13" i="40"/>
  <c r="AE13" i="40"/>
  <c r="AF13" i="40"/>
  <c r="AG13" i="40"/>
  <c r="AH13" i="40"/>
  <c r="AI13" i="40"/>
  <c r="AJ13" i="40"/>
  <c r="AK13" i="40"/>
  <c r="AL13" i="40"/>
  <c r="AM13" i="40"/>
  <c r="AN13" i="40"/>
  <c r="AO13" i="40"/>
  <c r="AP13" i="40"/>
  <c r="AQ13" i="40"/>
  <c r="AR13" i="40"/>
  <c r="AS13" i="40"/>
  <c r="AT13" i="40"/>
  <c r="AU13" i="40"/>
  <c r="AV13" i="40"/>
  <c r="AW13" i="40"/>
  <c r="AX13" i="40"/>
  <c r="AY13" i="40"/>
  <c r="AZ13" i="40"/>
  <c r="BA13" i="40"/>
  <c r="BB13" i="40"/>
  <c r="BC13" i="40"/>
  <c r="BD13" i="40"/>
  <c r="BE13" i="40"/>
  <c r="BF13" i="40"/>
  <c r="BG13" i="40"/>
  <c r="BH13" i="40"/>
  <c r="BI13" i="40"/>
  <c r="BJ13" i="40"/>
  <c r="BK13" i="40"/>
  <c r="BL13" i="40"/>
  <c r="BM13" i="40"/>
  <c r="BN13" i="40"/>
  <c r="BO13" i="40"/>
  <c r="BP13" i="40"/>
  <c r="BQ13" i="40"/>
  <c r="BR13" i="40"/>
  <c r="BS13" i="40"/>
  <c r="BT13" i="40"/>
  <c r="BU13" i="40"/>
  <c r="BV13" i="40"/>
  <c r="BW13" i="40"/>
  <c r="BX13" i="40"/>
  <c r="BY13" i="40"/>
  <c r="BZ13" i="40"/>
  <c r="CA13" i="40"/>
  <c r="CB13" i="40"/>
  <c r="CC13" i="40"/>
  <c r="CD13" i="40"/>
  <c r="CE13" i="40"/>
  <c r="CF13" i="40"/>
  <c r="CG13" i="40"/>
  <c r="CH13" i="40"/>
  <c r="CI13" i="40"/>
  <c r="CJ13" i="40"/>
  <c r="CK13" i="40"/>
  <c r="CL13" i="40"/>
  <c r="CM13" i="40"/>
  <c r="CN13" i="40"/>
  <c r="CO13" i="40"/>
  <c r="CP13" i="40"/>
  <c r="CQ13" i="40"/>
  <c r="CR13" i="40"/>
  <c r="CS13" i="40"/>
  <c r="CT13" i="40"/>
  <c r="CU13" i="40"/>
  <c r="CV13" i="40"/>
  <c r="CW13" i="40"/>
  <c r="CX13" i="40"/>
  <c r="CY13" i="40"/>
  <c r="CZ13" i="40"/>
  <c r="DA13" i="40"/>
  <c r="DB13" i="40"/>
  <c r="DC13" i="40"/>
  <c r="DD13" i="40"/>
  <c r="DE13" i="40"/>
  <c r="DF13" i="40"/>
  <c r="DG13" i="40"/>
  <c r="DH13" i="40"/>
  <c r="N14" i="40"/>
  <c r="O14" i="40"/>
  <c r="P14" i="40"/>
  <c r="Q14" i="40"/>
  <c r="R14" i="40"/>
  <c r="S14" i="40"/>
  <c r="T14" i="40"/>
  <c r="U14" i="40"/>
  <c r="V14" i="40"/>
  <c r="W14" i="40"/>
  <c r="X14" i="40"/>
  <c r="Y14" i="40"/>
  <c r="Z14" i="40"/>
  <c r="AA14" i="40"/>
  <c r="AB14" i="40"/>
  <c r="AC14" i="40"/>
  <c r="AD14" i="40"/>
  <c r="AE14" i="40"/>
  <c r="AF14" i="40"/>
  <c r="AG14" i="40"/>
  <c r="AH14" i="40"/>
  <c r="AI14" i="40"/>
  <c r="AJ14" i="40"/>
  <c r="AK14" i="40"/>
  <c r="AL14" i="40"/>
  <c r="AM14" i="40"/>
  <c r="AN14" i="40"/>
  <c r="AO14" i="40"/>
  <c r="AP14" i="40"/>
  <c r="AQ14" i="40"/>
  <c r="AR14" i="40"/>
  <c r="AS14" i="40"/>
  <c r="AT14" i="40"/>
  <c r="AU14" i="40"/>
  <c r="AV14" i="40"/>
  <c r="AW14" i="40"/>
  <c r="AX14" i="40"/>
  <c r="AY14" i="40"/>
  <c r="AZ14" i="40"/>
  <c r="BA14" i="40"/>
  <c r="BB14" i="40"/>
  <c r="BC14" i="40"/>
  <c r="BD14" i="40"/>
  <c r="BE14" i="40"/>
  <c r="BF14" i="40"/>
  <c r="BG14" i="40"/>
  <c r="BH14" i="40"/>
  <c r="BI14" i="40"/>
  <c r="BJ14" i="40"/>
  <c r="BK14" i="40"/>
  <c r="BL14" i="40"/>
  <c r="BM14" i="40"/>
  <c r="BN14" i="40"/>
  <c r="BO14" i="40"/>
  <c r="BP14" i="40"/>
  <c r="BQ14" i="40"/>
  <c r="BR14" i="40"/>
  <c r="BS14" i="40"/>
  <c r="BT14" i="40"/>
  <c r="BU14" i="40"/>
  <c r="BV14" i="40"/>
  <c r="BW14" i="40"/>
  <c r="BX14" i="40"/>
  <c r="BY14" i="40"/>
  <c r="BZ14" i="40"/>
  <c r="CA14" i="40"/>
  <c r="CB14" i="40"/>
  <c r="CC14" i="40"/>
  <c r="CD14" i="40"/>
  <c r="CE14" i="40"/>
  <c r="CF14" i="40"/>
  <c r="CG14" i="40"/>
  <c r="CH14" i="40"/>
  <c r="CI14" i="40"/>
  <c r="CJ14" i="40"/>
  <c r="CK14" i="40"/>
  <c r="CL14" i="40"/>
  <c r="CM14" i="40"/>
  <c r="CN14" i="40"/>
  <c r="CO14" i="40"/>
  <c r="CP14" i="40"/>
  <c r="CQ14" i="40"/>
  <c r="CR14" i="40"/>
  <c r="CS14" i="40"/>
  <c r="CT14" i="40"/>
  <c r="CU14" i="40"/>
  <c r="CV14" i="40"/>
  <c r="CW14" i="40"/>
  <c r="CX14" i="40"/>
  <c r="CY14" i="40"/>
  <c r="CZ14" i="40"/>
  <c r="DA14" i="40"/>
  <c r="DB14" i="40"/>
  <c r="DC14" i="40"/>
  <c r="DD14" i="40"/>
  <c r="DE14" i="40"/>
  <c r="DF14" i="40"/>
  <c r="DG14" i="40"/>
  <c r="DH14" i="40"/>
  <c r="N15" i="40"/>
  <c r="O15" i="40"/>
  <c r="P15" i="40"/>
  <c r="Q15" i="40"/>
  <c r="R15" i="40"/>
  <c r="S15" i="40"/>
  <c r="T15" i="40"/>
  <c r="U15" i="40"/>
  <c r="V15" i="40"/>
  <c r="W15" i="40"/>
  <c r="X15" i="40"/>
  <c r="Y15" i="40"/>
  <c r="Z15" i="40"/>
  <c r="AA15" i="40"/>
  <c r="AB15" i="40"/>
  <c r="AC15" i="40"/>
  <c r="AD15" i="40"/>
  <c r="AE15" i="40"/>
  <c r="AF15" i="40"/>
  <c r="AG15" i="40"/>
  <c r="AH15" i="40"/>
  <c r="AI15" i="40"/>
  <c r="AJ15" i="40"/>
  <c r="AK15" i="40"/>
  <c r="AL15" i="40"/>
  <c r="AM15" i="40"/>
  <c r="AN15" i="40"/>
  <c r="AO15" i="40"/>
  <c r="AP15" i="40"/>
  <c r="AQ15" i="40"/>
  <c r="AR15" i="40"/>
  <c r="AS15" i="40"/>
  <c r="AT15" i="40"/>
  <c r="AU15" i="40"/>
  <c r="AV15" i="40"/>
  <c r="AW15" i="40"/>
  <c r="AX15" i="40"/>
  <c r="AY15" i="40"/>
  <c r="AZ15" i="40"/>
  <c r="BA15" i="40"/>
  <c r="BB15" i="40"/>
  <c r="BC15" i="40"/>
  <c r="BD15" i="40"/>
  <c r="BE15" i="40"/>
  <c r="BF15" i="40"/>
  <c r="BG15" i="40"/>
  <c r="BH15" i="40"/>
  <c r="BI15" i="40"/>
  <c r="BJ15" i="40"/>
  <c r="BK15" i="40"/>
  <c r="BL15" i="40"/>
  <c r="BM15" i="40"/>
  <c r="BN15" i="40"/>
  <c r="BO15" i="40"/>
  <c r="BP15" i="40"/>
  <c r="BQ15" i="40"/>
  <c r="BR15" i="40"/>
  <c r="BS15" i="40"/>
  <c r="BT15" i="40"/>
  <c r="BU15" i="40"/>
  <c r="BV15" i="40"/>
  <c r="BW15" i="40"/>
  <c r="BX15" i="40"/>
  <c r="BY15" i="40"/>
  <c r="BZ15" i="40"/>
  <c r="CA15" i="40"/>
  <c r="CB15" i="40"/>
  <c r="CC15" i="40"/>
  <c r="CD15" i="40"/>
  <c r="CE15" i="40"/>
  <c r="CF15" i="40"/>
  <c r="CG15" i="40"/>
  <c r="CH15" i="40"/>
  <c r="CI15" i="40"/>
  <c r="CJ15" i="40"/>
  <c r="CK15" i="40"/>
  <c r="CL15" i="40"/>
  <c r="CM15" i="40"/>
  <c r="CN15" i="40"/>
  <c r="CO15" i="40"/>
  <c r="CP15" i="40"/>
  <c r="CQ15" i="40"/>
  <c r="CR15" i="40"/>
  <c r="CS15" i="40"/>
  <c r="CT15" i="40"/>
  <c r="CU15" i="40"/>
  <c r="CV15" i="40"/>
  <c r="CW15" i="40"/>
  <c r="CX15" i="40"/>
  <c r="CY15" i="40"/>
  <c r="CZ15" i="40"/>
  <c r="DA15" i="40"/>
  <c r="DB15" i="40"/>
  <c r="DC15" i="40"/>
  <c r="DD15" i="40"/>
  <c r="DE15" i="40"/>
  <c r="DF15" i="40"/>
  <c r="DG15" i="40"/>
  <c r="DH15" i="40"/>
  <c r="N16" i="40"/>
  <c r="O16" i="40"/>
  <c r="P16" i="40"/>
  <c r="Q16" i="40"/>
  <c r="R16" i="40"/>
  <c r="S16" i="40"/>
  <c r="T16" i="40"/>
  <c r="U16" i="40"/>
  <c r="V16" i="40"/>
  <c r="W16" i="40"/>
  <c r="X16" i="40"/>
  <c r="Y16" i="40"/>
  <c r="Z16" i="40"/>
  <c r="AA16" i="40"/>
  <c r="AB16" i="40"/>
  <c r="AC16" i="40"/>
  <c r="AD16" i="40"/>
  <c r="AE16" i="40"/>
  <c r="AF16" i="40"/>
  <c r="AG16" i="40"/>
  <c r="AH16" i="40"/>
  <c r="AI16" i="40"/>
  <c r="AJ16" i="40"/>
  <c r="AK16" i="40"/>
  <c r="AL16" i="40"/>
  <c r="AM16" i="40"/>
  <c r="AN16" i="40"/>
  <c r="AO16" i="40"/>
  <c r="AP16" i="40"/>
  <c r="AQ16" i="40"/>
  <c r="AR16" i="40"/>
  <c r="AS16" i="40"/>
  <c r="AT16" i="40"/>
  <c r="AU16" i="40"/>
  <c r="AV16" i="40"/>
  <c r="AW16" i="40"/>
  <c r="AX16" i="40"/>
  <c r="AY16" i="40"/>
  <c r="AZ16" i="40"/>
  <c r="BA16" i="40"/>
  <c r="BB16" i="40"/>
  <c r="BC16" i="40"/>
  <c r="BD16" i="40"/>
  <c r="BE16" i="40"/>
  <c r="BF16" i="40"/>
  <c r="BG16" i="40"/>
  <c r="BH16" i="40"/>
  <c r="BI16" i="40"/>
  <c r="BJ16" i="40"/>
  <c r="BK16" i="40"/>
  <c r="BL16" i="40"/>
  <c r="BM16" i="40"/>
  <c r="BN16" i="40"/>
  <c r="BO16" i="40"/>
  <c r="BP16" i="40"/>
  <c r="BQ16" i="40"/>
  <c r="BR16" i="40"/>
  <c r="BS16" i="40"/>
  <c r="BT16" i="40"/>
  <c r="BU16" i="40"/>
  <c r="BV16" i="40"/>
  <c r="BW16" i="40"/>
  <c r="BX16" i="40"/>
  <c r="BY16" i="40"/>
  <c r="BZ16" i="40"/>
  <c r="CA16" i="40"/>
  <c r="CB16" i="40"/>
  <c r="CC16" i="40"/>
  <c r="CD16" i="40"/>
  <c r="CE16" i="40"/>
  <c r="CF16" i="40"/>
  <c r="CG16" i="40"/>
  <c r="CH16" i="40"/>
  <c r="CI16" i="40"/>
  <c r="CJ16" i="40"/>
  <c r="CK16" i="40"/>
  <c r="CL16" i="40"/>
  <c r="CM16" i="40"/>
  <c r="CN16" i="40"/>
  <c r="CO16" i="40"/>
  <c r="CP16" i="40"/>
  <c r="CQ16" i="40"/>
  <c r="CR16" i="40"/>
  <c r="CS16" i="40"/>
  <c r="CT16" i="40"/>
  <c r="CU16" i="40"/>
  <c r="CV16" i="40"/>
  <c r="CW16" i="40"/>
  <c r="CX16" i="40"/>
  <c r="CY16" i="40"/>
  <c r="CZ16" i="40"/>
  <c r="DA16" i="40"/>
  <c r="DB16" i="40"/>
  <c r="DC16" i="40"/>
  <c r="DD16" i="40"/>
  <c r="DE16" i="40"/>
  <c r="DF16" i="40"/>
  <c r="DG16" i="40"/>
  <c r="DH16" i="40"/>
  <c r="N17" i="40"/>
  <c r="O17" i="40"/>
  <c r="P17" i="40"/>
  <c r="Q17" i="40"/>
  <c r="R17" i="40"/>
  <c r="S17" i="40"/>
  <c r="T17" i="40"/>
  <c r="U17" i="40"/>
  <c r="V17" i="40"/>
  <c r="W17" i="40"/>
  <c r="X17" i="40"/>
  <c r="Y17" i="40"/>
  <c r="Z17" i="40"/>
  <c r="AA17" i="40"/>
  <c r="AB17" i="40"/>
  <c r="AC17" i="40"/>
  <c r="AD17" i="40"/>
  <c r="AE17" i="40"/>
  <c r="AF17" i="40"/>
  <c r="AG17" i="40"/>
  <c r="AH17" i="40"/>
  <c r="AI17" i="40"/>
  <c r="AJ17" i="40"/>
  <c r="AK17" i="40"/>
  <c r="AL17" i="40"/>
  <c r="AM17" i="40"/>
  <c r="AN17" i="40"/>
  <c r="AO17" i="40"/>
  <c r="AP17" i="40"/>
  <c r="AQ17" i="40"/>
  <c r="AR17" i="40"/>
  <c r="AS17" i="40"/>
  <c r="AT17" i="40"/>
  <c r="AU17" i="40"/>
  <c r="AV17" i="40"/>
  <c r="AW17" i="40"/>
  <c r="AX17" i="40"/>
  <c r="AY17" i="40"/>
  <c r="AZ17" i="40"/>
  <c r="BA17" i="40"/>
  <c r="BB17" i="40"/>
  <c r="BC17" i="40"/>
  <c r="BD17" i="40"/>
  <c r="BE17" i="40"/>
  <c r="BF17" i="40"/>
  <c r="BG17" i="40"/>
  <c r="BH17" i="40"/>
  <c r="BI17" i="40"/>
  <c r="BJ17" i="40"/>
  <c r="BK17" i="40"/>
  <c r="BL17" i="40"/>
  <c r="BM17" i="40"/>
  <c r="BN17" i="40"/>
  <c r="BO17" i="40"/>
  <c r="BP17" i="40"/>
  <c r="BQ17" i="40"/>
  <c r="BR17" i="40"/>
  <c r="BS17" i="40"/>
  <c r="BT17" i="40"/>
  <c r="BU17" i="40"/>
  <c r="BV17" i="40"/>
  <c r="BW17" i="40"/>
  <c r="BX17" i="40"/>
  <c r="BY17" i="40"/>
  <c r="BZ17" i="40"/>
  <c r="CA17" i="40"/>
  <c r="CB17" i="40"/>
  <c r="CC17" i="40"/>
  <c r="CD17" i="40"/>
  <c r="CE17" i="40"/>
  <c r="CF17" i="40"/>
  <c r="CG17" i="40"/>
  <c r="CH17" i="40"/>
  <c r="CI17" i="40"/>
  <c r="CJ17" i="40"/>
  <c r="CK17" i="40"/>
  <c r="CL17" i="40"/>
  <c r="CM17" i="40"/>
  <c r="CN17" i="40"/>
  <c r="CO17" i="40"/>
  <c r="CP17" i="40"/>
  <c r="CQ17" i="40"/>
  <c r="CR17" i="40"/>
  <c r="CS17" i="40"/>
  <c r="CT17" i="40"/>
  <c r="CU17" i="40"/>
  <c r="CV17" i="40"/>
  <c r="CW17" i="40"/>
  <c r="CX17" i="40"/>
  <c r="CY17" i="40"/>
  <c r="CZ17" i="40"/>
  <c r="DA17" i="40"/>
  <c r="DB17" i="40"/>
  <c r="DC17" i="40"/>
  <c r="DD17" i="40"/>
  <c r="DE17" i="40"/>
  <c r="DF17" i="40"/>
  <c r="DG17" i="40"/>
  <c r="DH17" i="40"/>
  <c r="N18" i="40"/>
  <c r="O18" i="40"/>
  <c r="P18" i="40"/>
  <c r="Q18" i="40"/>
  <c r="R18" i="40"/>
  <c r="S18" i="40"/>
  <c r="T18" i="40"/>
  <c r="U18" i="40"/>
  <c r="V18" i="40"/>
  <c r="W18" i="40"/>
  <c r="X18" i="40"/>
  <c r="Y18" i="40"/>
  <c r="Z18" i="40"/>
  <c r="AA18" i="40"/>
  <c r="AB18" i="40"/>
  <c r="AC18" i="40"/>
  <c r="AD18" i="40"/>
  <c r="AE18" i="40"/>
  <c r="AF18" i="40"/>
  <c r="AG18" i="40"/>
  <c r="AH18" i="40"/>
  <c r="AI18" i="40"/>
  <c r="AJ18" i="40"/>
  <c r="AK18" i="40"/>
  <c r="AL18" i="40"/>
  <c r="AM18" i="40"/>
  <c r="AN18" i="40"/>
  <c r="AO18" i="40"/>
  <c r="AP18" i="40"/>
  <c r="AQ18" i="40"/>
  <c r="AR18" i="40"/>
  <c r="AS18" i="40"/>
  <c r="AT18" i="40"/>
  <c r="AU18" i="40"/>
  <c r="AV18" i="40"/>
  <c r="AW18" i="40"/>
  <c r="AX18" i="40"/>
  <c r="AY18" i="40"/>
  <c r="AZ18" i="40"/>
  <c r="BA18" i="40"/>
  <c r="BB18" i="40"/>
  <c r="BC18" i="40"/>
  <c r="BD18" i="40"/>
  <c r="BE18" i="40"/>
  <c r="BF18" i="40"/>
  <c r="BG18" i="40"/>
  <c r="BH18" i="40"/>
  <c r="BI18" i="40"/>
  <c r="BJ18" i="40"/>
  <c r="BK18" i="40"/>
  <c r="BL18" i="40"/>
  <c r="BM18" i="40"/>
  <c r="BN18" i="40"/>
  <c r="BO18" i="40"/>
  <c r="BP18" i="40"/>
  <c r="BQ18" i="40"/>
  <c r="BR18" i="40"/>
  <c r="BS18" i="40"/>
  <c r="BT18" i="40"/>
  <c r="BU18" i="40"/>
  <c r="BV18" i="40"/>
  <c r="BW18" i="40"/>
  <c r="BX18" i="40"/>
  <c r="BY18" i="40"/>
  <c r="BZ18" i="40"/>
  <c r="CA18" i="40"/>
  <c r="CB18" i="40"/>
  <c r="CC18" i="40"/>
  <c r="CD18" i="40"/>
  <c r="CE18" i="40"/>
  <c r="CF18" i="40"/>
  <c r="CG18" i="40"/>
  <c r="CH18" i="40"/>
  <c r="CI18" i="40"/>
  <c r="CJ18" i="40"/>
  <c r="CK18" i="40"/>
  <c r="CL18" i="40"/>
  <c r="CM18" i="40"/>
  <c r="CN18" i="40"/>
  <c r="CO18" i="40"/>
  <c r="CP18" i="40"/>
  <c r="CQ18" i="40"/>
  <c r="CR18" i="40"/>
  <c r="CS18" i="40"/>
  <c r="CT18" i="40"/>
  <c r="CU18" i="40"/>
  <c r="CV18" i="40"/>
  <c r="CW18" i="40"/>
  <c r="CX18" i="40"/>
  <c r="CY18" i="40"/>
  <c r="CZ18" i="40"/>
  <c r="DA18" i="40"/>
  <c r="DB18" i="40"/>
  <c r="DC18" i="40"/>
  <c r="DD18" i="40"/>
  <c r="DE18" i="40"/>
  <c r="DF18" i="40"/>
  <c r="DG18" i="40"/>
  <c r="DH18" i="40"/>
  <c r="N19" i="40"/>
  <c r="O19" i="40"/>
  <c r="P19" i="40"/>
  <c r="Q19" i="40"/>
  <c r="R19" i="40"/>
  <c r="S19" i="40"/>
  <c r="T19" i="40"/>
  <c r="U19" i="40"/>
  <c r="V19" i="40"/>
  <c r="W19" i="40"/>
  <c r="X19" i="40"/>
  <c r="Y19" i="40"/>
  <c r="Z19" i="40"/>
  <c r="AA19" i="40"/>
  <c r="AB19" i="40"/>
  <c r="AC19" i="40"/>
  <c r="AD19" i="40"/>
  <c r="AE19" i="40"/>
  <c r="AF19" i="40"/>
  <c r="AG19" i="40"/>
  <c r="AH19" i="40"/>
  <c r="AI19" i="40"/>
  <c r="AJ19" i="40"/>
  <c r="AK19" i="40"/>
  <c r="AL19" i="40"/>
  <c r="AM19" i="40"/>
  <c r="AN19" i="40"/>
  <c r="AO19" i="40"/>
  <c r="AP19" i="40"/>
  <c r="AQ19" i="40"/>
  <c r="AR19" i="40"/>
  <c r="AS19" i="40"/>
  <c r="AT19" i="40"/>
  <c r="AU19" i="40"/>
  <c r="AV19" i="40"/>
  <c r="AW19" i="40"/>
  <c r="AX19" i="40"/>
  <c r="AY19" i="40"/>
  <c r="AZ19" i="40"/>
  <c r="BA19" i="40"/>
  <c r="BB19" i="40"/>
  <c r="BC19" i="40"/>
  <c r="BD19" i="40"/>
  <c r="BE19" i="40"/>
  <c r="BF19" i="40"/>
  <c r="BG19" i="40"/>
  <c r="BH19" i="40"/>
  <c r="BI19" i="40"/>
  <c r="BJ19" i="40"/>
  <c r="BK19" i="40"/>
  <c r="BL19" i="40"/>
  <c r="BM19" i="40"/>
  <c r="BN19" i="40"/>
  <c r="BO19" i="40"/>
  <c r="BP19" i="40"/>
  <c r="BQ19" i="40"/>
  <c r="BR19" i="40"/>
  <c r="BS19" i="40"/>
  <c r="BT19" i="40"/>
  <c r="BU19" i="40"/>
  <c r="BV19" i="40"/>
  <c r="BW19" i="40"/>
  <c r="BX19" i="40"/>
  <c r="BY19" i="40"/>
  <c r="BZ19" i="40"/>
  <c r="CA19" i="40"/>
  <c r="CB19" i="40"/>
  <c r="CC19" i="40"/>
  <c r="CD19" i="40"/>
  <c r="CE19" i="40"/>
  <c r="CF19" i="40"/>
  <c r="CG19" i="40"/>
  <c r="CH19" i="40"/>
  <c r="CI19" i="40"/>
  <c r="CJ19" i="40"/>
  <c r="CK19" i="40"/>
  <c r="CL19" i="40"/>
  <c r="CM19" i="40"/>
  <c r="CN19" i="40"/>
  <c r="CO19" i="40"/>
  <c r="CP19" i="40"/>
  <c r="CQ19" i="40"/>
  <c r="CR19" i="40"/>
  <c r="CS19" i="40"/>
  <c r="CT19" i="40"/>
  <c r="CU19" i="40"/>
  <c r="CV19" i="40"/>
  <c r="CW19" i="40"/>
  <c r="CX19" i="40"/>
  <c r="CY19" i="40"/>
  <c r="CZ19" i="40"/>
  <c r="DA19" i="40"/>
  <c r="DB19" i="40"/>
  <c r="DC19" i="40"/>
  <c r="DD19" i="40"/>
  <c r="DE19" i="40"/>
  <c r="DF19" i="40"/>
  <c r="DG19" i="40"/>
  <c r="DH19" i="40"/>
  <c r="N20" i="40"/>
  <c r="O20" i="40"/>
  <c r="P20" i="40"/>
  <c r="Q20" i="40"/>
  <c r="R20" i="40"/>
  <c r="S20" i="40"/>
  <c r="T20" i="40"/>
  <c r="U20" i="40"/>
  <c r="V20" i="40"/>
  <c r="W20" i="40"/>
  <c r="X20" i="40"/>
  <c r="Y20" i="40"/>
  <c r="Z20" i="40"/>
  <c r="AA20" i="40"/>
  <c r="AB20" i="40"/>
  <c r="AC20" i="40"/>
  <c r="AD20" i="40"/>
  <c r="AE20" i="40"/>
  <c r="AF20" i="40"/>
  <c r="AG20" i="40"/>
  <c r="AH20" i="40"/>
  <c r="AI20" i="40"/>
  <c r="AJ20" i="40"/>
  <c r="AK20" i="40"/>
  <c r="AL20" i="40"/>
  <c r="AM20" i="40"/>
  <c r="AN20" i="40"/>
  <c r="AO20" i="40"/>
  <c r="AP20" i="40"/>
  <c r="AQ20" i="40"/>
  <c r="AR20" i="40"/>
  <c r="AS20" i="40"/>
  <c r="AT20" i="40"/>
  <c r="AU20" i="40"/>
  <c r="AV20" i="40"/>
  <c r="AW20" i="40"/>
  <c r="AX20" i="40"/>
  <c r="AY20" i="40"/>
  <c r="AZ20" i="40"/>
  <c r="BA20" i="40"/>
  <c r="BB20" i="40"/>
  <c r="BC20" i="40"/>
  <c r="BD20" i="40"/>
  <c r="BE20" i="40"/>
  <c r="BF20" i="40"/>
  <c r="BG20" i="40"/>
  <c r="BH20" i="40"/>
  <c r="BI20" i="40"/>
  <c r="BJ20" i="40"/>
  <c r="BK20" i="40"/>
  <c r="BL20" i="40"/>
  <c r="BM20" i="40"/>
  <c r="BN20" i="40"/>
  <c r="BO20" i="40"/>
  <c r="BP20" i="40"/>
  <c r="BQ20" i="40"/>
  <c r="BR20" i="40"/>
  <c r="BS20" i="40"/>
  <c r="BT20" i="40"/>
  <c r="BU20" i="40"/>
  <c r="BV20" i="40"/>
  <c r="BW20" i="40"/>
  <c r="BX20" i="40"/>
  <c r="BY20" i="40"/>
  <c r="BZ20" i="40"/>
  <c r="CA20" i="40"/>
  <c r="CB20" i="40"/>
  <c r="CC20" i="40"/>
  <c r="CD20" i="40"/>
  <c r="CE20" i="40"/>
  <c r="CF20" i="40"/>
  <c r="CG20" i="40"/>
  <c r="CH20" i="40"/>
  <c r="CI20" i="40"/>
  <c r="CJ20" i="40"/>
  <c r="CK20" i="40"/>
  <c r="CL20" i="40"/>
  <c r="CM20" i="40"/>
  <c r="CN20" i="40"/>
  <c r="CO20" i="40"/>
  <c r="CP20" i="40"/>
  <c r="CQ20" i="40"/>
  <c r="CR20" i="40"/>
  <c r="CS20" i="40"/>
  <c r="CT20" i="40"/>
  <c r="CU20" i="40"/>
  <c r="CV20" i="40"/>
  <c r="CW20" i="40"/>
  <c r="CX20" i="40"/>
  <c r="CY20" i="40"/>
  <c r="CZ20" i="40"/>
  <c r="DA20" i="40"/>
  <c r="DB20" i="40"/>
  <c r="DC20" i="40"/>
  <c r="DD20" i="40"/>
  <c r="DE20" i="40"/>
  <c r="DF20" i="40"/>
  <c r="DG20" i="40"/>
  <c r="DH20" i="40"/>
  <c r="N21" i="40"/>
  <c r="O21" i="40"/>
  <c r="P21" i="40"/>
  <c r="Q21" i="40"/>
  <c r="R21" i="40"/>
  <c r="S21" i="40"/>
  <c r="T21" i="40"/>
  <c r="U21" i="40"/>
  <c r="V21" i="40"/>
  <c r="W21" i="40"/>
  <c r="X21" i="40"/>
  <c r="Y21" i="40"/>
  <c r="Z21" i="40"/>
  <c r="AA21" i="40"/>
  <c r="AB21" i="40"/>
  <c r="AC21" i="40"/>
  <c r="AD21" i="40"/>
  <c r="AE21" i="40"/>
  <c r="AF21" i="40"/>
  <c r="AG21" i="40"/>
  <c r="AH21" i="40"/>
  <c r="AI21" i="40"/>
  <c r="AJ21" i="40"/>
  <c r="AK21" i="40"/>
  <c r="AL21" i="40"/>
  <c r="AM21" i="40"/>
  <c r="AN21" i="40"/>
  <c r="AO21" i="40"/>
  <c r="AP21" i="40"/>
  <c r="AQ21" i="40"/>
  <c r="AR21" i="40"/>
  <c r="AS21" i="40"/>
  <c r="AT21" i="40"/>
  <c r="AU21" i="40"/>
  <c r="AV21" i="40"/>
  <c r="AW21" i="40"/>
  <c r="AX21" i="40"/>
  <c r="AY21" i="40"/>
  <c r="AZ21" i="40"/>
  <c r="BA21" i="40"/>
  <c r="BB21" i="40"/>
  <c r="BC21" i="40"/>
  <c r="BD21" i="40"/>
  <c r="BE21" i="40"/>
  <c r="BF21" i="40"/>
  <c r="BG21" i="40"/>
  <c r="BH21" i="40"/>
  <c r="BI21" i="40"/>
  <c r="BJ21" i="40"/>
  <c r="BK21" i="40"/>
  <c r="BL21" i="40"/>
  <c r="BM21" i="40"/>
  <c r="BN21" i="40"/>
  <c r="BO21" i="40"/>
  <c r="BP21" i="40"/>
  <c r="BQ21" i="40"/>
  <c r="BR21" i="40"/>
  <c r="BS21" i="40"/>
  <c r="BT21" i="40"/>
  <c r="BU21" i="40"/>
  <c r="BV21" i="40"/>
  <c r="BW21" i="40"/>
  <c r="BX21" i="40"/>
  <c r="BY21" i="40"/>
  <c r="BZ21" i="40"/>
  <c r="CA21" i="40"/>
  <c r="CB21" i="40"/>
  <c r="CC21" i="40"/>
  <c r="CD21" i="40"/>
  <c r="CE21" i="40"/>
  <c r="CF21" i="40"/>
  <c r="CG21" i="40"/>
  <c r="CH21" i="40"/>
  <c r="CI21" i="40"/>
  <c r="CJ21" i="40"/>
  <c r="CK21" i="40"/>
  <c r="CL21" i="40"/>
  <c r="CM21" i="40"/>
  <c r="CN21" i="40"/>
  <c r="CO21" i="40"/>
  <c r="CP21" i="40"/>
  <c r="CQ21" i="40"/>
  <c r="CR21" i="40"/>
  <c r="CS21" i="40"/>
  <c r="CT21" i="40"/>
  <c r="CU21" i="40"/>
  <c r="CV21" i="40"/>
  <c r="CW21" i="40"/>
  <c r="CX21" i="40"/>
  <c r="CY21" i="40"/>
  <c r="CZ21" i="40"/>
  <c r="DA21" i="40"/>
  <c r="DB21" i="40"/>
  <c r="DC21" i="40"/>
  <c r="DD21" i="40"/>
  <c r="DE21" i="40"/>
  <c r="DF21" i="40"/>
  <c r="DG21" i="40"/>
  <c r="DH21" i="40"/>
  <c r="N22" i="40"/>
  <c r="O22" i="40"/>
  <c r="P22" i="40"/>
  <c r="Q22" i="40"/>
  <c r="R22" i="40"/>
  <c r="S22" i="40"/>
  <c r="T22" i="40"/>
  <c r="U22" i="40"/>
  <c r="V22" i="40"/>
  <c r="W22" i="40"/>
  <c r="X22" i="40"/>
  <c r="Y22" i="40"/>
  <c r="Z22" i="40"/>
  <c r="AA22" i="40"/>
  <c r="AB22" i="40"/>
  <c r="AC22" i="40"/>
  <c r="AD22" i="40"/>
  <c r="AE22" i="40"/>
  <c r="AF22" i="40"/>
  <c r="AG22" i="40"/>
  <c r="AH22" i="40"/>
  <c r="AI22" i="40"/>
  <c r="AJ22" i="40"/>
  <c r="AK22" i="40"/>
  <c r="AL22" i="40"/>
  <c r="AM22" i="40"/>
  <c r="AN22" i="40"/>
  <c r="AO22" i="40"/>
  <c r="AP22" i="40"/>
  <c r="AQ22" i="40"/>
  <c r="AR22" i="40"/>
  <c r="AS22" i="40"/>
  <c r="AT22" i="40"/>
  <c r="AU22" i="40"/>
  <c r="AV22" i="40"/>
  <c r="AW22" i="40"/>
  <c r="AX22" i="40"/>
  <c r="AY22" i="40"/>
  <c r="AZ22" i="40"/>
  <c r="BA22" i="40"/>
  <c r="BB22" i="40"/>
  <c r="BC22" i="40"/>
  <c r="BD22" i="40"/>
  <c r="BE22" i="40"/>
  <c r="BF22" i="40"/>
  <c r="BG22" i="40"/>
  <c r="BH22" i="40"/>
  <c r="BI22" i="40"/>
  <c r="BJ22" i="40"/>
  <c r="BK22" i="40"/>
  <c r="BL22" i="40"/>
  <c r="BM22" i="40"/>
  <c r="BN22" i="40"/>
  <c r="BO22" i="40"/>
  <c r="BP22" i="40"/>
  <c r="BQ22" i="40"/>
  <c r="BR22" i="40"/>
  <c r="BS22" i="40"/>
  <c r="BT22" i="40"/>
  <c r="BU22" i="40"/>
  <c r="BV22" i="40"/>
  <c r="BW22" i="40"/>
  <c r="BX22" i="40"/>
  <c r="BY22" i="40"/>
  <c r="BZ22" i="40"/>
  <c r="CA22" i="40"/>
  <c r="CB22" i="40"/>
  <c r="CC22" i="40"/>
  <c r="CD22" i="40"/>
  <c r="CE22" i="40"/>
  <c r="CF22" i="40"/>
  <c r="CG22" i="40"/>
  <c r="CH22" i="40"/>
  <c r="CI22" i="40"/>
  <c r="CJ22" i="40"/>
  <c r="CK22" i="40"/>
  <c r="CL22" i="40"/>
  <c r="CM22" i="40"/>
  <c r="CN22" i="40"/>
  <c r="CO22" i="40"/>
  <c r="CP22" i="40"/>
  <c r="CQ22" i="40"/>
  <c r="CR22" i="40"/>
  <c r="CS22" i="40"/>
  <c r="CT22" i="40"/>
  <c r="CU22" i="40"/>
  <c r="CV22" i="40"/>
  <c r="CW22" i="40"/>
  <c r="CX22" i="40"/>
  <c r="CY22" i="40"/>
  <c r="CZ22" i="40"/>
  <c r="DA22" i="40"/>
  <c r="DB22" i="40"/>
  <c r="DC22" i="40"/>
  <c r="DD22" i="40"/>
  <c r="DE22" i="40"/>
  <c r="DF22" i="40"/>
  <c r="DG22" i="40"/>
  <c r="DH22" i="40"/>
  <c r="N23" i="40"/>
  <c r="O23" i="40"/>
  <c r="P23" i="40"/>
  <c r="Q23" i="40"/>
  <c r="R23" i="40"/>
  <c r="S23" i="40"/>
  <c r="T23" i="40"/>
  <c r="U23" i="40"/>
  <c r="V23" i="40"/>
  <c r="W23" i="40"/>
  <c r="X23" i="40"/>
  <c r="Y23" i="40"/>
  <c r="Z23" i="40"/>
  <c r="AA23" i="40"/>
  <c r="AB23" i="40"/>
  <c r="AC23" i="40"/>
  <c r="AD23" i="40"/>
  <c r="AE23" i="40"/>
  <c r="AF23" i="40"/>
  <c r="AG23" i="40"/>
  <c r="AH23" i="40"/>
  <c r="AI23" i="40"/>
  <c r="AJ23" i="40"/>
  <c r="AK23" i="40"/>
  <c r="AL23" i="40"/>
  <c r="AM23" i="40"/>
  <c r="AN23" i="40"/>
  <c r="AO23" i="40"/>
  <c r="AP23" i="40"/>
  <c r="AQ23" i="40"/>
  <c r="AR23" i="40"/>
  <c r="AS23" i="40"/>
  <c r="AT23" i="40"/>
  <c r="AU23" i="40"/>
  <c r="AV23" i="40"/>
  <c r="AW23" i="40"/>
  <c r="AX23" i="40"/>
  <c r="AY23" i="40"/>
  <c r="AZ23" i="40"/>
  <c r="BA23" i="40"/>
  <c r="BB23" i="40"/>
  <c r="BC23" i="40"/>
  <c r="BD23" i="40"/>
  <c r="BE23" i="40"/>
  <c r="BF23" i="40"/>
  <c r="BG23" i="40"/>
  <c r="BH23" i="40"/>
  <c r="BI23" i="40"/>
  <c r="BJ23" i="40"/>
  <c r="BK23" i="40"/>
  <c r="BL23" i="40"/>
  <c r="BM23" i="40"/>
  <c r="BN23" i="40"/>
  <c r="BO23" i="40"/>
  <c r="BP23" i="40"/>
  <c r="BQ23" i="40"/>
  <c r="BR23" i="40"/>
  <c r="BS23" i="40"/>
  <c r="BT23" i="40"/>
  <c r="BU23" i="40"/>
  <c r="BV23" i="40"/>
  <c r="BW23" i="40"/>
  <c r="BX23" i="40"/>
  <c r="BY23" i="40"/>
  <c r="BZ23" i="40"/>
  <c r="CA23" i="40"/>
  <c r="CB23" i="40"/>
  <c r="CC23" i="40"/>
  <c r="CD23" i="40"/>
  <c r="CE23" i="40"/>
  <c r="CF23" i="40"/>
  <c r="CG23" i="40"/>
  <c r="CH23" i="40"/>
  <c r="CI23" i="40"/>
  <c r="CJ23" i="40"/>
  <c r="CK23" i="40"/>
  <c r="CL23" i="40"/>
  <c r="CM23" i="40"/>
  <c r="CN23" i="40"/>
  <c r="CO23" i="40"/>
  <c r="CP23" i="40"/>
  <c r="CQ23" i="40"/>
  <c r="CR23" i="40"/>
  <c r="CS23" i="40"/>
  <c r="CT23" i="40"/>
  <c r="CU23" i="40"/>
  <c r="CV23" i="40"/>
  <c r="CW23" i="40"/>
  <c r="CX23" i="40"/>
  <c r="CY23" i="40"/>
  <c r="CZ23" i="40"/>
  <c r="DA23" i="40"/>
  <c r="DB23" i="40"/>
  <c r="DC23" i="40"/>
  <c r="DD23" i="40"/>
  <c r="DE23" i="40"/>
  <c r="DF23" i="40"/>
  <c r="DG23" i="40"/>
  <c r="DH23" i="40"/>
  <c r="N24" i="40"/>
  <c r="O24" i="40"/>
  <c r="P24" i="40"/>
  <c r="Q24" i="40"/>
  <c r="R24" i="40"/>
  <c r="S24" i="40"/>
  <c r="T24" i="40"/>
  <c r="U24" i="40"/>
  <c r="V24" i="40"/>
  <c r="W24" i="40"/>
  <c r="X24" i="40"/>
  <c r="Y24" i="40"/>
  <c r="Z24" i="40"/>
  <c r="AA24" i="40"/>
  <c r="AB24" i="40"/>
  <c r="AC24" i="40"/>
  <c r="AD24" i="40"/>
  <c r="AE24" i="40"/>
  <c r="AF24" i="40"/>
  <c r="AG24" i="40"/>
  <c r="AH24" i="40"/>
  <c r="AI24" i="40"/>
  <c r="AJ24" i="40"/>
  <c r="AK24" i="40"/>
  <c r="AL24" i="40"/>
  <c r="AM24" i="40"/>
  <c r="AN24" i="40"/>
  <c r="AO24" i="40"/>
  <c r="AP24" i="40"/>
  <c r="AQ24" i="40"/>
  <c r="AR24" i="40"/>
  <c r="AS24" i="40"/>
  <c r="AT24" i="40"/>
  <c r="AU24" i="40"/>
  <c r="AV24" i="40"/>
  <c r="AW24" i="40"/>
  <c r="AX24" i="40"/>
  <c r="AY24" i="40"/>
  <c r="AZ24" i="40"/>
  <c r="BA24" i="40"/>
  <c r="BB24" i="40"/>
  <c r="BC24" i="40"/>
  <c r="BD24" i="40"/>
  <c r="BE24" i="40"/>
  <c r="BF24" i="40"/>
  <c r="BG24" i="40"/>
  <c r="BH24" i="40"/>
  <c r="BI24" i="40"/>
  <c r="BJ24" i="40"/>
  <c r="BK24" i="40"/>
  <c r="BL24" i="40"/>
  <c r="BM24" i="40"/>
  <c r="BN24" i="40"/>
  <c r="BO24" i="40"/>
  <c r="BP24" i="40"/>
  <c r="BQ24" i="40"/>
  <c r="BR24" i="40"/>
  <c r="BS24" i="40"/>
  <c r="BT24" i="40"/>
  <c r="BU24" i="40"/>
  <c r="BV24" i="40"/>
  <c r="BW24" i="40"/>
  <c r="BX24" i="40"/>
  <c r="BY24" i="40"/>
  <c r="BZ24" i="40"/>
  <c r="CA24" i="40"/>
  <c r="CB24" i="40"/>
  <c r="CC24" i="40"/>
  <c r="CD24" i="40"/>
  <c r="CE24" i="40"/>
  <c r="CF24" i="40"/>
  <c r="CG24" i="40"/>
  <c r="CH24" i="40"/>
  <c r="CI24" i="40"/>
  <c r="CJ24" i="40"/>
  <c r="CK24" i="40"/>
  <c r="CL24" i="40"/>
  <c r="CM24" i="40"/>
  <c r="CN24" i="40"/>
  <c r="CO24" i="40"/>
  <c r="CP24" i="40"/>
  <c r="CQ24" i="40"/>
  <c r="CR24" i="40"/>
  <c r="CS24" i="40"/>
  <c r="CT24" i="40"/>
  <c r="CU24" i="40"/>
  <c r="CV24" i="40"/>
  <c r="CW24" i="40"/>
  <c r="CX24" i="40"/>
  <c r="CY24" i="40"/>
  <c r="CZ24" i="40"/>
  <c r="DA24" i="40"/>
  <c r="DB24" i="40"/>
  <c r="DC24" i="40"/>
  <c r="DD24" i="40"/>
  <c r="DE24" i="40"/>
  <c r="DF24" i="40"/>
  <c r="DG24" i="40"/>
  <c r="DH24" i="40"/>
  <c r="N25" i="40"/>
  <c r="O25" i="40"/>
  <c r="P25" i="40"/>
  <c r="Q25" i="40"/>
  <c r="R25" i="40"/>
  <c r="S25" i="40"/>
  <c r="T25" i="40"/>
  <c r="U25" i="40"/>
  <c r="V25" i="40"/>
  <c r="W25" i="40"/>
  <c r="X25" i="40"/>
  <c r="Y25" i="40"/>
  <c r="Z25" i="40"/>
  <c r="AA25" i="40"/>
  <c r="AB25" i="40"/>
  <c r="AC25" i="40"/>
  <c r="AD25" i="40"/>
  <c r="AE25" i="40"/>
  <c r="AF25" i="40"/>
  <c r="AG25" i="40"/>
  <c r="AH25" i="40"/>
  <c r="AI25" i="40"/>
  <c r="AJ25" i="40"/>
  <c r="AK25" i="40"/>
  <c r="AL25" i="40"/>
  <c r="AM25" i="40"/>
  <c r="AN25" i="40"/>
  <c r="AO25" i="40"/>
  <c r="AP25" i="40"/>
  <c r="AQ25" i="40"/>
  <c r="AR25" i="40"/>
  <c r="AS25" i="40"/>
  <c r="AT25" i="40"/>
  <c r="AU25" i="40"/>
  <c r="AV25" i="40"/>
  <c r="AW25" i="40"/>
  <c r="AX25" i="40"/>
  <c r="AY25" i="40"/>
  <c r="AZ25" i="40"/>
  <c r="BA25" i="40"/>
  <c r="BB25" i="40"/>
  <c r="BC25" i="40"/>
  <c r="BD25" i="40"/>
  <c r="BE25" i="40"/>
  <c r="BF25" i="40"/>
  <c r="BG25" i="40"/>
  <c r="BH25" i="40"/>
  <c r="BI25" i="40"/>
  <c r="BJ25" i="40"/>
  <c r="BK25" i="40"/>
  <c r="BL25" i="40"/>
  <c r="BM25" i="40"/>
  <c r="BN25" i="40"/>
  <c r="BO25" i="40"/>
  <c r="BP25" i="40"/>
  <c r="BQ25" i="40"/>
  <c r="BR25" i="40"/>
  <c r="BS25" i="40"/>
  <c r="BT25" i="40"/>
  <c r="BU25" i="40"/>
  <c r="BV25" i="40"/>
  <c r="BW25" i="40"/>
  <c r="BX25" i="40"/>
  <c r="BY25" i="40"/>
  <c r="BZ25" i="40"/>
  <c r="CA25" i="40"/>
  <c r="CB25" i="40"/>
  <c r="CC25" i="40"/>
  <c r="CD25" i="40"/>
  <c r="CE25" i="40"/>
  <c r="CF25" i="40"/>
  <c r="CG25" i="40"/>
  <c r="CH25" i="40"/>
  <c r="CI25" i="40"/>
  <c r="CJ25" i="40"/>
  <c r="CK25" i="40"/>
  <c r="CL25" i="40"/>
  <c r="CM25" i="40"/>
  <c r="CN25" i="40"/>
  <c r="CO25" i="40"/>
  <c r="CP25" i="40"/>
  <c r="CQ25" i="40"/>
  <c r="CR25" i="40"/>
  <c r="CS25" i="40"/>
  <c r="CT25" i="40"/>
  <c r="CU25" i="40"/>
  <c r="CV25" i="40"/>
  <c r="CW25" i="40"/>
  <c r="CX25" i="40"/>
  <c r="CY25" i="40"/>
  <c r="CZ25" i="40"/>
  <c r="DA25" i="40"/>
  <c r="DB25" i="40"/>
  <c r="DC25" i="40"/>
  <c r="DD25" i="40"/>
  <c r="DE25" i="40"/>
  <c r="DF25" i="40"/>
  <c r="DG25" i="40"/>
  <c r="DH25" i="40"/>
  <c r="N26" i="40"/>
  <c r="O26" i="40"/>
  <c r="P26" i="40"/>
  <c r="Q26" i="40"/>
  <c r="R26" i="40"/>
  <c r="S26" i="40"/>
  <c r="T26" i="40"/>
  <c r="U26" i="40"/>
  <c r="V26" i="40"/>
  <c r="W26" i="40"/>
  <c r="X26" i="40"/>
  <c r="Y26" i="40"/>
  <c r="Z26" i="40"/>
  <c r="AA26" i="40"/>
  <c r="AB26" i="40"/>
  <c r="AC26" i="40"/>
  <c r="AD26" i="40"/>
  <c r="AE26" i="40"/>
  <c r="AF26" i="40"/>
  <c r="AG26" i="40"/>
  <c r="AH26" i="40"/>
  <c r="AI26" i="40"/>
  <c r="AJ26" i="40"/>
  <c r="AK26" i="40"/>
  <c r="AL26" i="40"/>
  <c r="AM26" i="40"/>
  <c r="AN26" i="40"/>
  <c r="AO26" i="40"/>
  <c r="AP26" i="40"/>
  <c r="AQ26" i="40"/>
  <c r="AR26" i="40"/>
  <c r="AS26" i="40"/>
  <c r="AT26" i="40"/>
  <c r="AU26" i="40"/>
  <c r="AV26" i="40"/>
  <c r="AW26" i="40"/>
  <c r="AX26" i="40"/>
  <c r="AY26" i="40"/>
  <c r="AZ26" i="40"/>
  <c r="BA26" i="40"/>
  <c r="BB26" i="40"/>
  <c r="BC26" i="40"/>
  <c r="BD26" i="40"/>
  <c r="BE26" i="40"/>
  <c r="BF26" i="40"/>
  <c r="BG26" i="40"/>
  <c r="BH26" i="40"/>
  <c r="BI26" i="40"/>
  <c r="BJ26" i="40"/>
  <c r="BK26" i="40"/>
  <c r="BL26" i="40"/>
  <c r="BM26" i="40"/>
  <c r="BN26" i="40"/>
  <c r="BO26" i="40"/>
  <c r="BP26" i="40"/>
  <c r="BQ26" i="40"/>
  <c r="BR26" i="40"/>
  <c r="BS26" i="40"/>
  <c r="BT26" i="40"/>
  <c r="BU26" i="40"/>
  <c r="BV26" i="40"/>
  <c r="BW26" i="40"/>
  <c r="BX26" i="40"/>
  <c r="BY26" i="40"/>
  <c r="BZ26" i="40"/>
  <c r="CA26" i="40"/>
  <c r="CB26" i="40"/>
  <c r="CC26" i="40"/>
  <c r="CD26" i="40"/>
  <c r="CE26" i="40"/>
  <c r="CF26" i="40"/>
  <c r="CG26" i="40"/>
  <c r="CH26" i="40"/>
  <c r="CI26" i="40"/>
  <c r="CJ26" i="40"/>
  <c r="CK26" i="40"/>
  <c r="CL26" i="40"/>
  <c r="CM26" i="40"/>
  <c r="CN26" i="40"/>
  <c r="CO26" i="40"/>
  <c r="CP26" i="40"/>
  <c r="CQ26" i="40"/>
  <c r="CR26" i="40"/>
  <c r="CS26" i="40"/>
  <c r="CT26" i="40"/>
  <c r="CU26" i="40"/>
  <c r="CV26" i="40"/>
  <c r="CW26" i="40"/>
  <c r="CX26" i="40"/>
  <c r="CY26" i="40"/>
  <c r="CZ26" i="40"/>
  <c r="DA26" i="40"/>
  <c r="DB26" i="40"/>
  <c r="DC26" i="40"/>
  <c r="DD26" i="40"/>
  <c r="DE26" i="40"/>
  <c r="DF26" i="40"/>
  <c r="DG26" i="40"/>
  <c r="DH26" i="40"/>
  <c r="N27" i="40"/>
  <c r="O27" i="40"/>
  <c r="P27" i="40"/>
  <c r="Q27" i="40"/>
  <c r="R27" i="40"/>
  <c r="S27" i="40"/>
  <c r="T27" i="40"/>
  <c r="U27" i="40"/>
  <c r="V27" i="40"/>
  <c r="W27" i="40"/>
  <c r="X27" i="40"/>
  <c r="Y27" i="40"/>
  <c r="Z27" i="40"/>
  <c r="AA27" i="40"/>
  <c r="AB27" i="40"/>
  <c r="AC27" i="40"/>
  <c r="AD27" i="40"/>
  <c r="AE27" i="40"/>
  <c r="AF27" i="40"/>
  <c r="AG27" i="40"/>
  <c r="AH27" i="40"/>
  <c r="AI27" i="40"/>
  <c r="AJ27" i="40"/>
  <c r="AK27" i="40"/>
  <c r="AL27" i="40"/>
  <c r="AM27" i="40"/>
  <c r="AN27" i="40"/>
  <c r="AO27" i="40"/>
  <c r="AP27" i="40"/>
  <c r="AQ27" i="40"/>
  <c r="AR27" i="40"/>
  <c r="AS27" i="40"/>
  <c r="AT27" i="40"/>
  <c r="AU27" i="40"/>
  <c r="AV27" i="40"/>
  <c r="AW27" i="40"/>
  <c r="AX27" i="40"/>
  <c r="AY27" i="40"/>
  <c r="AZ27" i="40"/>
  <c r="BA27" i="40"/>
  <c r="BB27" i="40"/>
  <c r="BC27" i="40"/>
  <c r="BD27" i="40"/>
  <c r="BE27" i="40"/>
  <c r="BF27" i="40"/>
  <c r="BG27" i="40"/>
  <c r="BH27" i="40"/>
  <c r="BI27" i="40"/>
  <c r="BJ27" i="40"/>
  <c r="BK27" i="40"/>
  <c r="BL27" i="40"/>
  <c r="BM27" i="40"/>
  <c r="BN27" i="40"/>
  <c r="BO27" i="40"/>
  <c r="BP27" i="40"/>
  <c r="BQ27" i="40"/>
  <c r="BR27" i="40"/>
  <c r="BS27" i="40"/>
  <c r="BT27" i="40"/>
  <c r="BU27" i="40"/>
  <c r="BV27" i="40"/>
  <c r="BW27" i="40"/>
  <c r="BX27" i="40"/>
  <c r="BY27" i="40"/>
  <c r="BZ27" i="40"/>
  <c r="CA27" i="40"/>
  <c r="CB27" i="40"/>
  <c r="CC27" i="40"/>
  <c r="CD27" i="40"/>
  <c r="CE27" i="40"/>
  <c r="CF27" i="40"/>
  <c r="CG27" i="40"/>
  <c r="CH27" i="40"/>
  <c r="CI27" i="40"/>
  <c r="CJ27" i="40"/>
  <c r="CK27" i="40"/>
  <c r="CL27" i="40"/>
  <c r="CM27" i="40"/>
  <c r="CN27" i="40"/>
  <c r="CO27" i="40"/>
  <c r="CP27" i="40"/>
  <c r="CQ27" i="40"/>
  <c r="CR27" i="40"/>
  <c r="CS27" i="40"/>
  <c r="CT27" i="40"/>
  <c r="CU27" i="40"/>
  <c r="CV27" i="40"/>
  <c r="CW27" i="40"/>
  <c r="CX27" i="40"/>
  <c r="CY27" i="40"/>
  <c r="CZ27" i="40"/>
  <c r="DA27" i="40"/>
  <c r="DB27" i="40"/>
  <c r="DC27" i="40"/>
  <c r="DD27" i="40"/>
  <c r="DE27" i="40"/>
  <c r="DF27" i="40"/>
  <c r="DG27" i="40"/>
  <c r="DH27" i="40"/>
  <c r="N28" i="40"/>
  <c r="O28" i="40"/>
  <c r="P28" i="40"/>
  <c r="Q28" i="40"/>
  <c r="R28" i="40"/>
  <c r="S28" i="40"/>
  <c r="T28" i="40"/>
  <c r="U28" i="40"/>
  <c r="V28" i="40"/>
  <c r="W28" i="40"/>
  <c r="X28" i="40"/>
  <c r="Y28" i="40"/>
  <c r="Z28" i="40"/>
  <c r="AA28" i="40"/>
  <c r="AB28" i="40"/>
  <c r="AC28" i="40"/>
  <c r="AD28" i="40"/>
  <c r="AE28" i="40"/>
  <c r="AF28" i="40"/>
  <c r="AG28" i="40"/>
  <c r="AH28" i="40"/>
  <c r="AI28" i="40"/>
  <c r="AJ28" i="40"/>
  <c r="AK28" i="40"/>
  <c r="AL28" i="40"/>
  <c r="AM28" i="40"/>
  <c r="AN28" i="40"/>
  <c r="AO28" i="40"/>
  <c r="AP28" i="40"/>
  <c r="AQ28" i="40"/>
  <c r="AR28" i="40"/>
  <c r="AS28" i="40"/>
  <c r="AT28" i="40"/>
  <c r="AU28" i="40"/>
  <c r="AV28" i="40"/>
  <c r="AW28" i="40"/>
  <c r="AX28" i="40"/>
  <c r="AY28" i="40"/>
  <c r="AZ28" i="40"/>
  <c r="BA28" i="40"/>
  <c r="BB28" i="40"/>
  <c r="BC28" i="40"/>
  <c r="BD28" i="40"/>
  <c r="BE28" i="40"/>
  <c r="BF28" i="40"/>
  <c r="BG28" i="40"/>
  <c r="BH28" i="40"/>
  <c r="BI28" i="40"/>
  <c r="BJ28" i="40"/>
  <c r="BK28" i="40"/>
  <c r="BL28" i="40"/>
  <c r="BM28" i="40"/>
  <c r="BN28" i="40"/>
  <c r="BO28" i="40"/>
  <c r="BP28" i="40"/>
  <c r="BQ28" i="40"/>
  <c r="BR28" i="40"/>
  <c r="BS28" i="40"/>
  <c r="BT28" i="40"/>
  <c r="BU28" i="40"/>
  <c r="BV28" i="40"/>
  <c r="BW28" i="40"/>
  <c r="BX28" i="40"/>
  <c r="BY28" i="40"/>
  <c r="BZ28" i="40"/>
  <c r="CA28" i="40"/>
  <c r="CB28" i="40"/>
  <c r="CC28" i="40"/>
  <c r="CD28" i="40"/>
  <c r="CE28" i="40"/>
  <c r="CF28" i="40"/>
  <c r="CG28" i="40"/>
  <c r="CH28" i="40"/>
  <c r="CI28" i="40"/>
  <c r="CJ28" i="40"/>
  <c r="CK28" i="40"/>
  <c r="CL28" i="40"/>
  <c r="CM28" i="40"/>
  <c r="CN28" i="40"/>
  <c r="CO28" i="40"/>
  <c r="CP28" i="40"/>
  <c r="CQ28" i="40"/>
  <c r="CR28" i="40"/>
  <c r="CS28" i="40"/>
  <c r="CT28" i="40"/>
  <c r="CU28" i="40"/>
  <c r="CV28" i="40"/>
  <c r="CW28" i="40"/>
  <c r="CX28" i="40"/>
  <c r="CY28" i="40"/>
  <c r="CZ28" i="40"/>
  <c r="DA28" i="40"/>
  <c r="DB28" i="40"/>
  <c r="DC28" i="40"/>
  <c r="DD28" i="40"/>
  <c r="DE28" i="40"/>
  <c r="DF28" i="40"/>
  <c r="DG28" i="40"/>
  <c r="DH28" i="40"/>
  <c r="N29" i="40"/>
  <c r="O29" i="40"/>
  <c r="P29" i="40"/>
  <c r="Q29" i="40"/>
  <c r="R29" i="40"/>
  <c r="S29" i="40"/>
  <c r="T29" i="40"/>
  <c r="U29" i="40"/>
  <c r="V29" i="40"/>
  <c r="W29" i="40"/>
  <c r="X29" i="40"/>
  <c r="Y29" i="40"/>
  <c r="Z29" i="40"/>
  <c r="AA29" i="40"/>
  <c r="AB29" i="40"/>
  <c r="AC29" i="40"/>
  <c r="AD29" i="40"/>
  <c r="AE29" i="40"/>
  <c r="AF29" i="40"/>
  <c r="AG29" i="40"/>
  <c r="AH29" i="40"/>
  <c r="AI29" i="40"/>
  <c r="AJ29" i="40"/>
  <c r="AK29" i="40"/>
  <c r="AL29" i="40"/>
  <c r="AM29" i="40"/>
  <c r="AN29" i="40"/>
  <c r="AO29" i="40"/>
  <c r="AP29" i="40"/>
  <c r="AQ29" i="40"/>
  <c r="AR29" i="40"/>
  <c r="AS29" i="40"/>
  <c r="AT29" i="40"/>
  <c r="AU29" i="40"/>
  <c r="AV29" i="40"/>
  <c r="AW29" i="40"/>
  <c r="AX29" i="40"/>
  <c r="AY29" i="40"/>
  <c r="AZ29" i="40"/>
  <c r="BA29" i="40"/>
  <c r="BB29" i="40"/>
  <c r="BC29" i="40"/>
  <c r="BD29" i="40"/>
  <c r="BE29" i="40"/>
  <c r="BF29" i="40"/>
  <c r="BG29" i="40"/>
  <c r="BH29" i="40"/>
  <c r="BI29" i="40"/>
  <c r="BJ29" i="40"/>
  <c r="BK29" i="40"/>
  <c r="BL29" i="40"/>
  <c r="BM29" i="40"/>
  <c r="BN29" i="40"/>
  <c r="BO29" i="40"/>
  <c r="BP29" i="40"/>
  <c r="BQ29" i="40"/>
  <c r="BR29" i="40"/>
  <c r="BS29" i="40"/>
  <c r="BT29" i="40"/>
  <c r="BU29" i="40"/>
  <c r="BV29" i="40"/>
  <c r="BW29" i="40"/>
  <c r="BX29" i="40"/>
  <c r="BY29" i="40"/>
  <c r="BZ29" i="40"/>
  <c r="CA29" i="40"/>
  <c r="CB29" i="40"/>
  <c r="CC29" i="40"/>
  <c r="CD29" i="40"/>
  <c r="CE29" i="40"/>
  <c r="CF29" i="40"/>
  <c r="CG29" i="40"/>
  <c r="CH29" i="40"/>
  <c r="CI29" i="40"/>
  <c r="CJ29" i="40"/>
  <c r="CK29" i="40"/>
  <c r="CL29" i="40"/>
  <c r="CM29" i="40"/>
  <c r="CN29" i="40"/>
  <c r="CO29" i="40"/>
  <c r="CP29" i="40"/>
  <c r="CQ29" i="40"/>
  <c r="CR29" i="40"/>
  <c r="CS29" i="40"/>
  <c r="CT29" i="40"/>
  <c r="CU29" i="40"/>
  <c r="CV29" i="40"/>
  <c r="CW29" i="40"/>
  <c r="CX29" i="40"/>
  <c r="CY29" i="40"/>
  <c r="CZ29" i="40"/>
  <c r="DA29" i="40"/>
  <c r="DB29" i="40"/>
  <c r="DC29" i="40"/>
  <c r="DD29" i="40"/>
  <c r="DE29" i="40"/>
  <c r="DF29" i="40"/>
  <c r="DG29" i="40"/>
  <c r="DH29" i="40"/>
  <c r="N30" i="40"/>
  <c r="O30" i="40"/>
  <c r="P30" i="40"/>
  <c r="Q30" i="40"/>
  <c r="R30" i="40"/>
  <c r="S30" i="40"/>
  <c r="T30" i="40"/>
  <c r="U30" i="40"/>
  <c r="V30" i="40"/>
  <c r="W30" i="40"/>
  <c r="X30" i="40"/>
  <c r="Y30" i="40"/>
  <c r="Z30" i="40"/>
  <c r="AA30" i="40"/>
  <c r="AB30" i="40"/>
  <c r="AC30" i="40"/>
  <c r="AD30" i="40"/>
  <c r="AE30" i="40"/>
  <c r="AF30" i="40"/>
  <c r="AG30" i="40"/>
  <c r="AH30" i="40"/>
  <c r="AI30" i="40"/>
  <c r="AJ30" i="40"/>
  <c r="AK30" i="40"/>
  <c r="AL30" i="40"/>
  <c r="AM30" i="40"/>
  <c r="AN30" i="40"/>
  <c r="AO30" i="40"/>
  <c r="AP30" i="40"/>
  <c r="AQ30" i="40"/>
  <c r="AR30" i="40"/>
  <c r="AS30" i="40"/>
  <c r="AT30" i="40"/>
  <c r="AU30" i="40"/>
  <c r="AV30" i="40"/>
  <c r="AW30" i="40"/>
  <c r="AX30" i="40"/>
  <c r="AY30" i="40"/>
  <c r="AZ30" i="40"/>
  <c r="BA30" i="40"/>
  <c r="BB30" i="40"/>
  <c r="BC30" i="40"/>
  <c r="BD30" i="40"/>
  <c r="BE30" i="40"/>
  <c r="BF30" i="40"/>
  <c r="BG30" i="40"/>
  <c r="BH30" i="40"/>
  <c r="BI30" i="40"/>
  <c r="BJ30" i="40"/>
  <c r="BK30" i="40"/>
  <c r="BL30" i="40"/>
  <c r="BM30" i="40"/>
  <c r="BN30" i="40"/>
  <c r="BO30" i="40"/>
  <c r="BP30" i="40"/>
  <c r="BQ30" i="40"/>
  <c r="BR30" i="40"/>
  <c r="BS30" i="40"/>
  <c r="BT30" i="40"/>
  <c r="BU30" i="40"/>
  <c r="BV30" i="40"/>
  <c r="BW30" i="40"/>
  <c r="BX30" i="40"/>
  <c r="BY30" i="40"/>
  <c r="BZ30" i="40"/>
  <c r="CA30" i="40"/>
  <c r="CB30" i="40"/>
  <c r="CC30" i="40"/>
  <c r="CD30" i="40"/>
  <c r="CE30" i="40"/>
  <c r="CF30" i="40"/>
  <c r="CG30" i="40"/>
  <c r="CH30" i="40"/>
  <c r="CI30" i="40"/>
  <c r="CJ30" i="40"/>
  <c r="CK30" i="40"/>
  <c r="CL30" i="40"/>
  <c r="CM30" i="40"/>
  <c r="CN30" i="40"/>
  <c r="CO30" i="40"/>
  <c r="CP30" i="40"/>
  <c r="CQ30" i="40"/>
  <c r="CR30" i="40"/>
  <c r="CS30" i="40"/>
  <c r="CT30" i="40"/>
  <c r="CU30" i="40"/>
  <c r="CV30" i="40"/>
  <c r="CW30" i="40"/>
  <c r="CX30" i="40"/>
  <c r="CY30" i="40"/>
  <c r="CZ30" i="40"/>
  <c r="DA30" i="40"/>
  <c r="DB30" i="40"/>
  <c r="DC30" i="40"/>
  <c r="DD30" i="40"/>
  <c r="DE30" i="40"/>
  <c r="DF30" i="40"/>
  <c r="DG30" i="40"/>
  <c r="DH30" i="40"/>
  <c r="N31" i="40"/>
  <c r="O31" i="40"/>
  <c r="P31" i="40"/>
  <c r="Q31" i="40"/>
  <c r="R31" i="40"/>
  <c r="S31" i="40"/>
  <c r="T31" i="40"/>
  <c r="U31" i="40"/>
  <c r="V31" i="40"/>
  <c r="W31" i="40"/>
  <c r="X31" i="40"/>
  <c r="Y31" i="40"/>
  <c r="Z31" i="40"/>
  <c r="AA31" i="40"/>
  <c r="AB31" i="40"/>
  <c r="AC31" i="40"/>
  <c r="AD31" i="40"/>
  <c r="AE31" i="40"/>
  <c r="AF31" i="40"/>
  <c r="AG31" i="40"/>
  <c r="AH31" i="40"/>
  <c r="AI31" i="40"/>
  <c r="AJ31" i="40"/>
  <c r="AK31" i="40"/>
  <c r="AL31" i="40"/>
  <c r="AM31" i="40"/>
  <c r="AN31" i="40"/>
  <c r="AO31" i="40"/>
  <c r="AP31" i="40"/>
  <c r="AQ31" i="40"/>
  <c r="AR31" i="40"/>
  <c r="AS31" i="40"/>
  <c r="AT31" i="40"/>
  <c r="AU31" i="40"/>
  <c r="AV31" i="40"/>
  <c r="AW31" i="40"/>
  <c r="AX31" i="40"/>
  <c r="AY31" i="40"/>
  <c r="AZ31" i="40"/>
  <c r="BA31" i="40"/>
  <c r="BB31" i="40"/>
  <c r="BC31" i="40"/>
  <c r="BD31" i="40"/>
  <c r="BE31" i="40"/>
  <c r="BF31" i="40"/>
  <c r="BG31" i="40"/>
  <c r="BH31" i="40"/>
  <c r="BI31" i="40"/>
  <c r="BJ31" i="40"/>
  <c r="BK31" i="40"/>
  <c r="BL31" i="40"/>
  <c r="BM31" i="40"/>
  <c r="BN31" i="40"/>
  <c r="BO31" i="40"/>
  <c r="BP31" i="40"/>
  <c r="BQ31" i="40"/>
  <c r="BR31" i="40"/>
  <c r="BS31" i="40"/>
  <c r="BT31" i="40"/>
  <c r="BU31" i="40"/>
  <c r="BV31" i="40"/>
  <c r="BW31" i="40"/>
  <c r="BX31" i="40"/>
  <c r="BY31" i="40"/>
  <c r="BZ31" i="40"/>
  <c r="CA31" i="40"/>
  <c r="CB31" i="40"/>
  <c r="CC31" i="40"/>
  <c r="CD31" i="40"/>
  <c r="CE31" i="40"/>
  <c r="CF31" i="40"/>
  <c r="CG31" i="40"/>
  <c r="CH31" i="40"/>
  <c r="CI31" i="40"/>
  <c r="CJ31" i="40"/>
  <c r="CK31" i="40"/>
  <c r="CL31" i="40"/>
  <c r="CM31" i="40"/>
  <c r="CN31" i="40"/>
  <c r="CO31" i="40"/>
  <c r="CP31" i="40"/>
  <c r="CQ31" i="40"/>
  <c r="CR31" i="40"/>
  <c r="CS31" i="40"/>
  <c r="CT31" i="40"/>
  <c r="CU31" i="40"/>
  <c r="CV31" i="40"/>
  <c r="CW31" i="40"/>
  <c r="CX31" i="40"/>
  <c r="CY31" i="40"/>
  <c r="CZ31" i="40"/>
  <c r="DA31" i="40"/>
  <c r="DB31" i="40"/>
  <c r="DC31" i="40"/>
  <c r="DD31" i="40"/>
  <c r="DE31" i="40"/>
  <c r="DF31" i="40"/>
  <c r="DG31" i="40"/>
  <c r="DH31" i="40"/>
  <c r="N32" i="40"/>
  <c r="O32" i="40"/>
  <c r="P32" i="40"/>
  <c r="Q32" i="40"/>
  <c r="R32" i="40"/>
  <c r="S32" i="40"/>
  <c r="T32" i="40"/>
  <c r="U32" i="40"/>
  <c r="V32" i="40"/>
  <c r="W32" i="40"/>
  <c r="X32" i="40"/>
  <c r="Y32" i="40"/>
  <c r="Z32" i="40"/>
  <c r="AA32" i="40"/>
  <c r="AB32" i="40"/>
  <c r="AC32" i="40"/>
  <c r="AD32" i="40"/>
  <c r="AE32" i="40"/>
  <c r="AF32" i="40"/>
  <c r="AG32" i="40"/>
  <c r="AH32" i="40"/>
  <c r="AI32" i="40"/>
  <c r="AJ32" i="40"/>
  <c r="AK32" i="40"/>
  <c r="AL32" i="40"/>
  <c r="AM32" i="40"/>
  <c r="AN32" i="40"/>
  <c r="AO32" i="40"/>
  <c r="AP32" i="40"/>
  <c r="AQ32" i="40"/>
  <c r="AR32" i="40"/>
  <c r="AS32" i="40"/>
  <c r="AT32" i="40"/>
  <c r="AU32" i="40"/>
  <c r="AV32" i="40"/>
  <c r="AW32" i="40"/>
  <c r="AX32" i="40"/>
  <c r="AY32" i="40"/>
  <c r="AZ32" i="40"/>
  <c r="BA32" i="40"/>
  <c r="BB32" i="40"/>
  <c r="BC32" i="40"/>
  <c r="BD32" i="40"/>
  <c r="BE32" i="40"/>
  <c r="BF32" i="40"/>
  <c r="BG32" i="40"/>
  <c r="BH32" i="40"/>
  <c r="BI32" i="40"/>
  <c r="BJ32" i="40"/>
  <c r="BK32" i="40"/>
  <c r="BL32" i="40"/>
  <c r="BM32" i="40"/>
  <c r="BN32" i="40"/>
  <c r="BO32" i="40"/>
  <c r="BP32" i="40"/>
  <c r="BQ32" i="40"/>
  <c r="BR32" i="40"/>
  <c r="BS32" i="40"/>
  <c r="BT32" i="40"/>
  <c r="BU32" i="40"/>
  <c r="BV32" i="40"/>
  <c r="BW32" i="40"/>
  <c r="BX32" i="40"/>
  <c r="BY32" i="40"/>
  <c r="BZ32" i="40"/>
  <c r="CA32" i="40"/>
  <c r="CB32" i="40"/>
  <c r="CC32" i="40"/>
  <c r="CD32" i="40"/>
  <c r="CE32" i="40"/>
  <c r="CF32" i="40"/>
  <c r="CG32" i="40"/>
  <c r="CH32" i="40"/>
  <c r="CI32" i="40"/>
  <c r="CJ32" i="40"/>
  <c r="CK32" i="40"/>
  <c r="CL32" i="40"/>
  <c r="CM32" i="40"/>
  <c r="CN32" i="40"/>
  <c r="CO32" i="40"/>
  <c r="CP32" i="40"/>
  <c r="CQ32" i="40"/>
  <c r="CR32" i="40"/>
  <c r="CS32" i="40"/>
  <c r="CT32" i="40"/>
  <c r="CU32" i="40"/>
  <c r="CV32" i="40"/>
  <c r="CW32" i="40"/>
  <c r="CX32" i="40"/>
  <c r="CY32" i="40"/>
  <c r="CZ32" i="40"/>
  <c r="DA32" i="40"/>
  <c r="DB32" i="40"/>
  <c r="DC32" i="40"/>
  <c r="DD32" i="40"/>
  <c r="DE32" i="40"/>
  <c r="DF32" i="40"/>
  <c r="DG32" i="40"/>
  <c r="DH32" i="40"/>
  <c r="N33" i="40"/>
  <c r="O33" i="40"/>
  <c r="P33" i="40"/>
  <c r="Q33" i="40"/>
  <c r="R33" i="40"/>
  <c r="S33" i="40"/>
  <c r="T33" i="40"/>
  <c r="U33" i="40"/>
  <c r="V33" i="40"/>
  <c r="W33" i="40"/>
  <c r="X33" i="40"/>
  <c r="Y33" i="40"/>
  <c r="Z33" i="40"/>
  <c r="AA33" i="40"/>
  <c r="AB33" i="40"/>
  <c r="AC33" i="40"/>
  <c r="AD33" i="40"/>
  <c r="AE33" i="40"/>
  <c r="AF33" i="40"/>
  <c r="AG33" i="40"/>
  <c r="AH33" i="40"/>
  <c r="AI33" i="40"/>
  <c r="AJ33" i="40"/>
  <c r="AK33" i="40"/>
  <c r="AL33" i="40"/>
  <c r="AM33" i="40"/>
  <c r="AN33" i="40"/>
  <c r="AO33" i="40"/>
  <c r="AP33" i="40"/>
  <c r="AQ33" i="40"/>
  <c r="AR33" i="40"/>
  <c r="AS33" i="40"/>
  <c r="AT33" i="40"/>
  <c r="AU33" i="40"/>
  <c r="AV33" i="40"/>
  <c r="AW33" i="40"/>
  <c r="AX33" i="40"/>
  <c r="AY33" i="40"/>
  <c r="AZ33" i="40"/>
  <c r="BA33" i="40"/>
  <c r="BB33" i="40"/>
  <c r="BC33" i="40"/>
  <c r="BD33" i="40"/>
  <c r="BE33" i="40"/>
  <c r="BF33" i="40"/>
  <c r="BG33" i="40"/>
  <c r="BH33" i="40"/>
  <c r="BI33" i="40"/>
  <c r="BJ33" i="40"/>
  <c r="BK33" i="40"/>
  <c r="BL33" i="40"/>
  <c r="BM33" i="40"/>
  <c r="BN33" i="40"/>
  <c r="BO33" i="40"/>
  <c r="BP33" i="40"/>
  <c r="BQ33" i="40"/>
  <c r="BR33" i="40"/>
  <c r="BS33" i="40"/>
  <c r="BT33" i="40"/>
  <c r="BU33" i="40"/>
  <c r="BV33" i="40"/>
  <c r="BW33" i="40"/>
  <c r="BX33" i="40"/>
  <c r="BY33" i="40"/>
  <c r="BZ33" i="40"/>
  <c r="CA33" i="40"/>
  <c r="CB33" i="40"/>
  <c r="CC33" i="40"/>
  <c r="CD33" i="40"/>
  <c r="CE33" i="40"/>
  <c r="CF33" i="40"/>
  <c r="CG33" i="40"/>
  <c r="CH33" i="40"/>
  <c r="CI33" i="40"/>
  <c r="CJ33" i="40"/>
  <c r="CK33" i="40"/>
  <c r="CL33" i="40"/>
  <c r="CM33" i="40"/>
  <c r="CN33" i="40"/>
  <c r="CO33" i="40"/>
  <c r="CP33" i="40"/>
  <c r="CQ33" i="40"/>
  <c r="CR33" i="40"/>
  <c r="CS33" i="40"/>
  <c r="CT33" i="40"/>
  <c r="CU33" i="40"/>
  <c r="CV33" i="40"/>
  <c r="CW33" i="40"/>
  <c r="CX33" i="40"/>
  <c r="CY33" i="40"/>
  <c r="CZ33" i="40"/>
  <c r="DA33" i="40"/>
  <c r="DB33" i="40"/>
  <c r="DC33" i="40"/>
  <c r="DD33" i="40"/>
  <c r="DE33" i="40"/>
  <c r="DF33" i="40"/>
  <c r="DG33" i="40"/>
  <c r="DH33" i="40"/>
  <c r="N34" i="40"/>
  <c r="O34" i="40"/>
  <c r="P34" i="40"/>
  <c r="Q34" i="40"/>
  <c r="R34" i="40"/>
  <c r="S34" i="40"/>
  <c r="T34" i="40"/>
  <c r="U34" i="40"/>
  <c r="V34" i="40"/>
  <c r="W34" i="40"/>
  <c r="X34" i="40"/>
  <c r="Y34" i="40"/>
  <c r="Z34" i="40"/>
  <c r="AA34" i="40"/>
  <c r="AB34" i="40"/>
  <c r="AC34" i="40"/>
  <c r="AD34" i="40"/>
  <c r="AE34" i="40"/>
  <c r="AF34" i="40"/>
  <c r="AG34" i="40"/>
  <c r="AH34" i="40"/>
  <c r="AI34" i="40"/>
  <c r="AJ34" i="40"/>
  <c r="AK34" i="40"/>
  <c r="AL34" i="40"/>
  <c r="AM34" i="40"/>
  <c r="AN34" i="40"/>
  <c r="AO34" i="40"/>
  <c r="AP34" i="40"/>
  <c r="AQ34" i="40"/>
  <c r="AR34" i="40"/>
  <c r="AS34" i="40"/>
  <c r="AT34" i="40"/>
  <c r="AU34" i="40"/>
  <c r="AV34" i="40"/>
  <c r="AW34" i="40"/>
  <c r="AX34" i="40"/>
  <c r="AY34" i="40"/>
  <c r="AZ34" i="40"/>
  <c r="BA34" i="40"/>
  <c r="BB34" i="40"/>
  <c r="BC34" i="40"/>
  <c r="BD34" i="40"/>
  <c r="BE34" i="40"/>
  <c r="BF34" i="40"/>
  <c r="BG34" i="40"/>
  <c r="BH34" i="40"/>
  <c r="BI34" i="40"/>
  <c r="BJ34" i="40"/>
  <c r="BK34" i="40"/>
  <c r="BL34" i="40"/>
  <c r="BM34" i="40"/>
  <c r="BN34" i="40"/>
  <c r="BO34" i="40"/>
  <c r="BP34" i="40"/>
  <c r="BQ34" i="40"/>
  <c r="BR34" i="40"/>
  <c r="BS34" i="40"/>
  <c r="BT34" i="40"/>
  <c r="BU34" i="40"/>
  <c r="BV34" i="40"/>
  <c r="BW34" i="40"/>
  <c r="BX34" i="40"/>
  <c r="BY34" i="40"/>
  <c r="BZ34" i="40"/>
  <c r="CA34" i="40"/>
  <c r="CB34" i="40"/>
  <c r="CC34" i="40"/>
  <c r="CD34" i="40"/>
  <c r="CE34" i="40"/>
  <c r="CF34" i="40"/>
  <c r="CG34" i="40"/>
  <c r="CH34" i="40"/>
  <c r="CI34" i="40"/>
  <c r="CJ34" i="40"/>
  <c r="CK34" i="40"/>
  <c r="CL34" i="40"/>
  <c r="CM34" i="40"/>
  <c r="CN34" i="40"/>
  <c r="CO34" i="40"/>
  <c r="CP34" i="40"/>
  <c r="CQ34" i="40"/>
  <c r="CR34" i="40"/>
  <c r="CS34" i="40"/>
  <c r="CT34" i="40"/>
  <c r="CU34" i="40"/>
  <c r="CV34" i="40"/>
  <c r="CW34" i="40"/>
  <c r="CX34" i="40"/>
  <c r="CY34" i="40"/>
  <c r="CZ34" i="40"/>
  <c r="DA34" i="40"/>
  <c r="DB34" i="40"/>
  <c r="DC34" i="40"/>
  <c r="DD34" i="40"/>
  <c r="DE34" i="40"/>
  <c r="DF34" i="40"/>
  <c r="DG34" i="40"/>
  <c r="DH34" i="40"/>
  <c r="N35" i="40"/>
  <c r="O35" i="40"/>
  <c r="P35" i="40"/>
  <c r="Q35" i="40"/>
  <c r="R35" i="40"/>
  <c r="S35" i="40"/>
  <c r="T35" i="40"/>
  <c r="U35" i="40"/>
  <c r="V35" i="40"/>
  <c r="W35" i="40"/>
  <c r="X35" i="40"/>
  <c r="Y35" i="40"/>
  <c r="Z35" i="40"/>
  <c r="AA35" i="40"/>
  <c r="AB35" i="40"/>
  <c r="AC35" i="40"/>
  <c r="AD35" i="40"/>
  <c r="AE35" i="40"/>
  <c r="AF35" i="40"/>
  <c r="AG35" i="40"/>
  <c r="AH35" i="40"/>
  <c r="AI35" i="40"/>
  <c r="AJ35" i="40"/>
  <c r="AK35" i="40"/>
  <c r="AL35" i="40"/>
  <c r="AM35" i="40"/>
  <c r="AN35" i="40"/>
  <c r="AO35" i="40"/>
  <c r="AP35" i="40"/>
  <c r="AQ35" i="40"/>
  <c r="AR35" i="40"/>
  <c r="AS35" i="40"/>
  <c r="AT35" i="40"/>
  <c r="AU35" i="40"/>
  <c r="AV35" i="40"/>
  <c r="AW35" i="40"/>
  <c r="AX35" i="40"/>
  <c r="AY35" i="40"/>
  <c r="AZ35" i="40"/>
  <c r="BA35" i="40"/>
  <c r="BB35" i="40"/>
  <c r="BC35" i="40"/>
  <c r="BD35" i="40"/>
  <c r="BE35" i="40"/>
  <c r="BF35" i="40"/>
  <c r="BG35" i="40"/>
  <c r="BH35" i="40"/>
  <c r="BI35" i="40"/>
  <c r="BJ35" i="40"/>
  <c r="BK35" i="40"/>
  <c r="BL35" i="40"/>
  <c r="BM35" i="40"/>
  <c r="BN35" i="40"/>
  <c r="BO35" i="40"/>
  <c r="BP35" i="40"/>
  <c r="BQ35" i="40"/>
  <c r="BR35" i="40"/>
  <c r="BS35" i="40"/>
  <c r="BT35" i="40"/>
  <c r="BU35" i="40"/>
  <c r="BV35" i="40"/>
  <c r="BW35" i="40"/>
  <c r="BX35" i="40"/>
  <c r="BY35" i="40"/>
  <c r="BZ35" i="40"/>
  <c r="CA35" i="40"/>
  <c r="CB35" i="40"/>
  <c r="CC35" i="40"/>
  <c r="CD35" i="40"/>
  <c r="CE35" i="40"/>
  <c r="CF35" i="40"/>
  <c r="CG35" i="40"/>
  <c r="CH35" i="40"/>
  <c r="CI35" i="40"/>
  <c r="CJ35" i="40"/>
  <c r="CK35" i="40"/>
  <c r="CL35" i="40"/>
  <c r="CM35" i="40"/>
  <c r="CN35" i="40"/>
  <c r="CO35" i="40"/>
  <c r="CP35" i="40"/>
  <c r="CQ35" i="40"/>
  <c r="CR35" i="40"/>
  <c r="CS35" i="40"/>
  <c r="CT35" i="40"/>
  <c r="CU35" i="40"/>
  <c r="CV35" i="40"/>
  <c r="CW35" i="40"/>
  <c r="CX35" i="40"/>
  <c r="CY35" i="40"/>
  <c r="CZ35" i="40"/>
  <c r="DA35" i="40"/>
  <c r="DB35" i="40"/>
  <c r="DC35" i="40"/>
  <c r="DD35" i="40"/>
  <c r="DE35" i="40"/>
  <c r="DF35" i="40"/>
  <c r="DG35" i="40"/>
  <c r="DH35" i="40"/>
  <c r="N36" i="40"/>
  <c r="O36" i="40"/>
  <c r="P36" i="40"/>
  <c r="Q36" i="40"/>
  <c r="R36" i="40"/>
  <c r="S36" i="40"/>
  <c r="T36" i="40"/>
  <c r="U36" i="40"/>
  <c r="V36" i="40"/>
  <c r="W36" i="40"/>
  <c r="X36" i="40"/>
  <c r="Y36" i="40"/>
  <c r="Z36" i="40"/>
  <c r="AA36" i="40"/>
  <c r="AB36" i="40"/>
  <c r="AC36" i="40"/>
  <c r="AD36" i="40"/>
  <c r="AE36" i="40"/>
  <c r="AF36" i="40"/>
  <c r="AG36" i="40"/>
  <c r="AH36" i="40"/>
  <c r="AI36" i="40"/>
  <c r="AJ36" i="40"/>
  <c r="AK36" i="40"/>
  <c r="AL36" i="40"/>
  <c r="AM36" i="40"/>
  <c r="AN36" i="40"/>
  <c r="AO36" i="40"/>
  <c r="AP36" i="40"/>
  <c r="AQ36" i="40"/>
  <c r="AR36" i="40"/>
  <c r="AS36" i="40"/>
  <c r="AT36" i="40"/>
  <c r="AU36" i="40"/>
  <c r="AV36" i="40"/>
  <c r="AW36" i="40"/>
  <c r="AX36" i="40"/>
  <c r="AY36" i="40"/>
  <c r="AZ36" i="40"/>
  <c r="BA36" i="40"/>
  <c r="BB36" i="40"/>
  <c r="BC36" i="40"/>
  <c r="BD36" i="40"/>
  <c r="BE36" i="40"/>
  <c r="BF36" i="40"/>
  <c r="BG36" i="40"/>
  <c r="BH36" i="40"/>
  <c r="BI36" i="40"/>
  <c r="BJ36" i="40"/>
  <c r="BK36" i="40"/>
  <c r="BL36" i="40"/>
  <c r="BM36" i="40"/>
  <c r="BN36" i="40"/>
  <c r="BO36" i="40"/>
  <c r="BP36" i="40"/>
  <c r="BQ36" i="40"/>
  <c r="BR36" i="40"/>
  <c r="BS36" i="40"/>
  <c r="BT36" i="40"/>
  <c r="BU36" i="40"/>
  <c r="BV36" i="40"/>
  <c r="BW36" i="40"/>
  <c r="BX36" i="40"/>
  <c r="BY36" i="40"/>
  <c r="BZ36" i="40"/>
  <c r="CA36" i="40"/>
  <c r="CB36" i="40"/>
  <c r="CC36" i="40"/>
  <c r="CD36" i="40"/>
  <c r="CE36" i="40"/>
  <c r="CF36" i="40"/>
  <c r="CG36" i="40"/>
  <c r="CH36" i="40"/>
  <c r="CI36" i="40"/>
  <c r="CJ36" i="40"/>
  <c r="CK36" i="40"/>
  <c r="CL36" i="40"/>
  <c r="CM36" i="40"/>
  <c r="CN36" i="40"/>
  <c r="CO36" i="40"/>
  <c r="CP36" i="40"/>
  <c r="CQ36" i="40"/>
  <c r="CR36" i="40"/>
  <c r="CS36" i="40"/>
  <c r="CT36" i="40"/>
  <c r="CU36" i="40"/>
  <c r="CV36" i="40"/>
  <c r="CW36" i="40"/>
  <c r="CX36" i="40"/>
  <c r="CY36" i="40"/>
  <c r="CZ36" i="40"/>
  <c r="DA36" i="40"/>
  <c r="DB36" i="40"/>
  <c r="DC36" i="40"/>
  <c r="DD36" i="40"/>
  <c r="DE36" i="40"/>
  <c r="DF36" i="40"/>
  <c r="DG36" i="40"/>
  <c r="DH36" i="40"/>
  <c r="N37" i="40"/>
  <c r="O37" i="40"/>
  <c r="P37" i="40"/>
  <c r="Q37" i="40"/>
  <c r="R37" i="40"/>
  <c r="S37" i="40"/>
  <c r="T37" i="40"/>
  <c r="U37" i="40"/>
  <c r="V37" i="40"/>
  <c r="W37" i="40"/>
  <c r="X37" i="40"/>
  <c r="Y37" i="40"/>
  <c r="Z37" i="40"/>
  <c r="AA37" i="40"/>
  <c r="AB37" i="40"/>
  <c r="AC37" i="40"/>
  <c r="AD37" i="40"/>
  <c r="AE37" i="40"/>
  <c r="AF37" i="40"/>
  <c r="AG37" i="40"/>
  <c r="AH37" i="40"/>
  <c r="AI37" i="40"/>
  <c r="AJ37" i="40"/>
  <c r="AK37" i="40"/>
  <c r="AL37" i="40"/>
  <c r="AM37" i="40"/>
  <c r="AN37" i="40"/>
  <c r="AO37" i="40"/>
  <c r="AP37" i="40"/>
  <c r="AQ37" i="40"/>
  <c r="AR37" i="40"/>
  <c r="AS37" i="40"/>
  <c r="AT37" i="40"/>
  <c r="AU37" i="40"/>
  <c r="AV37" i="40"/>
  <c r="AW37" i="40"/>
  <c r="AX37" i="40"/>
  <c r="AY37" i="40"/>
  <c r="AZ37" i="40"/>
  <c r="BA37" i="40"/>
  <c r="BB37" i="40"/>
  <c r="BC37" i="40"/>
  <c r="BD37" i="40"/>
  <c r="BE37" i="40"/>
  <c r="BF37" i="40"/>
  <c r="BG37" i="40"/>
  <c r="BH37" i="40"/>
  <c r="BI37" i="40"/>
  <c r="BJ37" i="40"/>
  <c r="BK37" i="40"/>
  <c r="BL37" i="40"/>
  <c r="BM37" i="40"/>
  <c r="BN37" i="40"/>
  <c r="BO37" i="40"/>
  <c r="BP37" i="40"/>
  <c r="BQ37" i="40"/>
  <c r="BR37" i="40"/>
  <c r="BS37" i="40"/>
  <c r="BT37" i="40"/>
  <c r="BU37" i="40"/>
  <c r="BV37" i="40"/>
  <c r="BW37" i="40"/>
  <c r="BX37" i="40"/>
  <c r="BY37" i="40"/>
  <c r="BZ37" i="40"/>
  <c r="CA37" i="40"/>
  <c r="CB37" i="40"/>
  <c r="CC37" i="40"/>
  <c r="CD37" i="40"/>
  <c r="CE37" i="40"/>
  <c r="CF37" i="40"/>
  <c r="CG37" i="40"/>
  <c r="CH37" i="40"/>
  <c r="CI37" i="40"/>
  <c r="CJ37" i="40"/>
  <c r="CK37" i="40"/>
  <c r="CL37" i="40"/>
  <c r="CM37" i="40"/>
  <c r="CN37" i="40"/>
  <c r="CO37" i="40"/>
  <c r="CP37" i="40"/>
  <c r="CQ37" i="40"/>
  <c r="CR37" i="40"/>
  <c r="CS37" i="40"/>
  <c r="CT37" i="40"/>
  <c r="CU37" i="40"/>
  <c r="CV37" i="40"/>
  <c r="CW37" i="40"/>
  <c r="CX37" i="40"/>
  <c r="CY37" i="40"/>
  <c r="CZ37" i="40"/>
  <c r="DA37" i="40"/>
  <c r="DB37" i="40"/>
  <c r="DC37" i="40"/>
  <c r="DD37" i="40"/>
  <c r="DE37" i="40"/>
  <c r="DF37" i="40"/>
  <c r="DG37" i="40"/>
  <c r="DH37" i="40"/>
  <c r="N38" i="40"/>
  <c r="O38" i="40"/>
  <c r="P38" i="40"/>
  <c r="Q38" i="40"/>
  <c r="R38" i="40"/>
  <c r="S38" i="40"/>
  <c r="T38" i="40"/>
  <c r="U38" i="40"/>
  <c r="V38" i="40"/>
  <c r="W38" i="40"/>
  <c r="X38" i="40"/>
  <c r="Y38" i="40"/>
  <c r="Z38" i="40"/>
  <c r="AA38" i="40"/>
  <c r="AB38" i="40"/>
  <c r="AC38" i="40"/>
  <c r="AD38" i="40"/>
  <c r="AE38" i="40"/>
  <c r="AF38" i="40"/>
  <c r="AG38" i="40"/>
  <c r="AH38" i="40"/>
  <c r="AI38" i="40"/>
  <c r="AJ38" i="40"/>
  <c r="AK38" i="40"/>
  <c r="AL38" i="40"/>
  <c r="AM38" i="40"/>
  <c r="AN38" i="40"/>
  <c r="AO38" i="40"/>
  <c r="AP38" i="40"/>
  <c r="AQ38" i="40"/>
  <c r="AR38" i="40"/>
  <c r="AS38" i="40"/>
  <c r="AT38" i="40"/>
  <c r="AU38" i="40"/>
  <c r="AV38" i="40"/>
  <c r="AW38" i="40"/>
  <c r="AX38" i="40"/>
  <c r="AY38" i="40"/>
  <c r="AZ38" i="40"/>
  <c r="BA38" i="40"/>
  <c r="BB38" i="40"/>
  <c r="BC38" i="40"/>
  <c r="BD38" i="40"/>
  <c r="BE38" i="40"/>
  <c r="BF38" i="40"/>
  <c r="BG38" i="40"/>
  <c r="BH38" i="40"/>
  <c r="BI38" i="40"/>
  <c r="BJ38" i="40"/>
  <c r="BK38" i="40"/>
  <c r="BL38" i="40"/>
  <c r="BM38" i="40"/>
  <c r="BN38" i="40"/>
  <c r="BO38" i="40"/>
  <c r="BP38" i="40"/>
  <c r="BQ38" i="40"/>
  <c r="BR38" i="40"/>
  <c r="BS38" i="40"/>
  <c r="BT38" i="40"/>
  <c r="BU38" i="40"/>
  <c r="BV38" i="40"/>
  <c r="BW38" i="40"/>
  <c r="BX38" i="40"/>
  <c r="BY38" i="40"/>
  <c r="BZ38" i="40"/>
  <c r="CA38" i="40"/>
  <c r="CB38" i="40"/>
  <c r="CC38" i="40"/>
  <c r="CD38" i="40"/>
  <c r="CE38" i="40"/>
  <c r="CF38" i="40"/>
  <c r="CG38" i="40"/>
  <c r="CH38" i="40"/>
  <c r="CI38" i="40"/>
  <c r="CJ38" i="40"/>
  <c r="CK38" i="40"/>
  <c r="CL38" i="40"/>
  <c r="CM38" i="40"/>
  <c r="CN38" i="40"/>
  <c r="CO38" i="40"/>
  <c r="CP38" i="40"/>
  <c r="CQ38" i="40"/>
  <c r="CR38" i="40"/>
  <c r="CS38" i="40"/>
  <c r="CT38" i="40"/>
  <c r="CU38" i="40"/>
  <c r="CV38" i="40"/>
  <c r="CW38" i="40"/>
  <c r="CX38" i="40"/>
  <c r="CY38" i="40"/>
  <c r="CZ38" i="40"/>
  <c r="DA38" i="40"/>
  <c r="DB38" i="40"/>
  <c r="DC38" i="40"/>
  <c r="DD38" i="40"/>
  <c r="DE38" i="40"/>
  <c r="DF38" i="40"/>
  <c r="DG38" i="40"/>
  <c r="DH38" i="40"/>
  <c r="N39" i="40"/>
  <c r="O39" i="40"/>
  <c r="P39" i="40"/>
  <c r="Q39" i="40"/>
  <c r="R39" i="40"/>
  <c r="S39" i="40"/>
  <c r="T39" i="40"/>
  <c r="U39" i="40"/>
  <c r="V39" i="40"/>
  <c r="W39" i="40"/>
  <c r="X39" i="40"/>
  <c r="Y39" i="40"/>
  <c r="Z39" i="40"/>
  <c r="AA39" i="40"/>
  <c r="AB39" i="40"/>
  <c r="AC39" i="40"/>
  <c r="AD39" i="40"/>
  <c r="AE39" i="40"/>
  <c r="AF39" i="40"/>
  <c r="AG39" i="40"/>
  <c r="AH39" i="40"/>
  <c r="AI39" i="40"/>
  <c r="AJ39" i="40"/>
  <c r="AK39" i="40"/>
  <c r="AL39" i="40"/>
  <c r="AM39" i="40"/>
  <c r="AN39" i="40"/>
  <c r="AO39" i="40"/>
  <c r="AP39" i="40"/>
  <c r="AQ39" i="40"/>
  <c r="AR39" i="40"/>
  <c r="AS39" i="40"/>
  <c r="AT39" i="40"/>
  <c r="AU39" i="40"/>
  <c r="AV39" i="40"/>
  <c r="AW39" i="40"/>
  <c r="AX39" i="40"/>
  <c r="AY39" i="40"/>
  <c r="AZ39" i="40"/>
  <c r="BA39" i="40"/>
  <c r="BB39" i="40"/>
  <c r="BC39" i="40"/>
  <c r="BD39" i="40"/>
  <c r="BE39" i="40"/>
  <c r="BF39" i="40"/>
  <c r="BG39" i="40"/>
  <c r="BH39" i="40"/>
  <c r="BI39" i="40"/>
  <c r="BJ39" i="40"/>
  <c r="BK39" i="40"/>
  <c r="BL39" i="40"/>
  <c r="BM39" i="40"/>
  <c r="BN39" i="40"/>
  <c r="BO39" i="40"/>
  <c r="BP39" i="40"/>
  <c r="BQ39" i="40"/>
  <c r="BR39" i="40"/>
  <c r="BS39" i="40"/>
  <c r="BT39" i="40"/>
  <c r="BU39" i="40"/>
  <c r="BV39" i="40"/>
  <c r="BW39" i="40"/>
  <c r="BX39" i="40"/>
  <c r="BY39" i="40"/>
  <c r="BZ39" i="40"/>
  <c r="CA39" i="40"/>
  <c r="CB39" i="40"/>
  <c r="CC39" i="40"/>
  <c r="CD39" i="40"/>
  <c r="CE39" i="40"/>
  <c r="CF39" i="40"/>
  <c r="CG39" i="40"/>
  <c r="CH39" i="40"/>
  <c r="CI39" i="40"/>
  <c r="CJ39" i="40"/>
  <c r="CK39" i="40"/>
  <c r="CL39" i="40"/>
  <c r="CM39" i="40"/>
  <c r="CN39" i="40"/>
  <c r="CO39" i="40"/>
  <c r="CP39" i="40"/>
  <c r="CQ39" i="40"/>
  <c r="CR39" i="40"/>
  <c r="CS39" i="40"/>
  <c r="CT39" i="40"/>
  <c r="CU39" i="40"/>
  <c r="CV39" i="40"/>
  <c r="CW39" i="40"/>
  <c r="CX39" i="40"/>
  <c r="CY39" i="40"/>
  <c r="CZ39" i="40"/>
  <c r="DA39" i="40"/>
  <c r="DB39" i="40"/>
  <c r="DC39" i="40"/>
  <c r="DD39" i="40"/>
  <c r="DE39" i="40"/>
  <c r="DF39" i="40"/>
  <c r="DG39" i="40"/>
  <c r="DH39" i="40"/>
  <c r="N40" i="40"/>
  <c r="O40" i="40"/>
  <c r="P40" i="40"/>
  <c r="Q40" i="40"/>
  <c r="R40" i="40"/>
  <c r="S40" i="40"/>
  <c r="T40" i="40"/>
  <c r="U40" i="40"/>
  <c r="V40" i="40"/>
  <c r="W40" i="40"/>
  <c r="X40" i="40"/>
  <c r="Y40" i="40"/>
  <c r="Z40" i="40"/>
  <c r="AA40" i="40"/>
  <c r="AB40" i="40"/>
  <c r="AC40" i="40"/>
  <c r="AD40" i="40"/>
  <c r="AE40" i="40"/>
  <c r="AF40" i="40"/>
  <c r="AG40" i="40"/>
  <c r="AH40" i="40"/>
  <c r="AI40" i="40"/>
  <c r="AJ40" i="40"/>
  <c r="AK40" i="40"/>
  <c r="AL40" i="40"/>
  <c r="AM40" i="40"/>
  <c r="AN40" i="40"/>
  <c r="AO40" i="40"/>
  <c r="AP40" i="40"/>
  <c r="AQ40" i="40"/>
  <c r="AR40" i="40"/>
  <c r="AS40" i="40"/>
  <c r="AT40" i="40"/>
  <c r="AU40" i="40"/>
  <c r="AV40" i="40"/>
  <c r="AW40" i="40"/>
  <c r="AX40" i="40"/>
  <c r="AY40" i="40"/>
  <c r="AZ40" i="40"/>
  <c r="BA40" i="40"/>
  <c r="BB40" i="40"/>
  <c r="BC40" i="40"/>
  <c r="BD40" i="40"/>
  <c r="BE40" i="40"/>
  <c r="BF40" i="40"/>
  <c r="BG40" i="40"/>
  <c r="BH40" i="40"/>
  <c r="BI40" i="40"/>
  <c r="BJ40" i="40"/>
  <c r="BK40" i="40"/>
  <c r="BL40" i="40"/>
  <c r="BM40" i="40"/>
  <c r="BN40" i="40"/>
  <c r="BO40" i="40"/>
  <c r="BP40" i="40"/>
  <c r="BQ40" i="40"/>
  <c r="BR40" i="40"/>
  <c r="BS40" i="40"/>
  <c r="BT40" i="40"/>
  <c r="BU40" i="40"/>
  <c r="BV40" i="40"/>
  <c r="BW40" i="40"/>
  <c r="BX40" i="40"/>
  <c r="BY40" i="40"/>
  <c r="BZ40" i="40"/>
  <c r="CA40" i="40"/>
  <c r="CB40" i="40"/>
  <c r="CC40" i="40"/>
  <c r="CD40" i="40"/>
  <c r="CE40" i="40"/>
  <c r="CF40" i="40"/>
  <c r="CG40" i="40"/>
  <c r="CH40" i="40"/>
  <c r="CI40" i="40"/>
  <c r="CJ40" i="40"/>
  <c r="CK40" i="40"/>
  <c r="CL40" i="40"/>
  <c r="CM40" i="40"/>
  <c r="CN40" i="40"/>
  <c r="CO40" i="40"/>
  <c r="CP40" i="40"/>
  <c r="CQ40" i="40"/>
  <c r="CR40" i="40"/>
  <c r="CS40" i="40"/>
  <c r="CT40" i="40"/>
  <c r="CU40" i="40"/>
  <c r="CV40" i="40"/>
  <c r="CW40" i="40"/>
  <c r="CX40" i="40"/>
  <c r="CY40" i="40"/>
  <c r="CZ40" i="40"/>
  <c r="DA40" i="40"/>
  <c r="DB40" i="40"/>
  <c r="DC40" i="40"/>
  <c r="DD40" i="40"/>
  <c r="DE40" i="40"/>
  <c r="DF40" i="40"/>
  <c r="DG40" i="40"/>
  <c r="DH40" i="40"/>
  <c r="N41" i="40"/>
  <c r="O41" i="40"/>
  <c r="P41" i="40"/>
  <c r="Q41" i="40"/>
  <c r="R41" i="40"/>
  <c r="S41" i="40"/>
  <c r="T41" i="40"/>
  <c r="U41" i="40"/>
  <c r="V41" i="40"/>
  <c r="W41" i="40"/>
  <c r="X41" i="40"/>
  <c r="Y41" i="40"/>
  <c r="Z41" i="40"/>
  <c r="AA41" i="40"/>
  <c r="AB41" i="40"/>
  <c r="AC41" i="40"/>
  <c r="AD41" i="40"/>
  <c r="AE41" i="40"/>
  <c r="AF41" i="40"/>
  <c r="AG41" i="40"/>
  <c r="AH41" i="40"/>
  <c r="AI41" i="40"/>
  <c r="AJ41" i="40"/>
  <c r="AK41" i="40"/>
  <c r="AL41" i="40"/>
  <c r="AM41" i="40"/>
  <c r="AN41" i="40"/>
  <c r="AO41" i="40"/>
  <c r="AP41" i="40"/>
  <c r="AQ41" i="40"/>
  <c r="AR41" i="40"/>
  <c r="AS41" i="40"/>
  <c r="AT41" i="40"/>
  <c r="AU41" i="40"/>
  <c r="AV41" i="40"/>
  <c r="AW41" i="40"/>
  <c r="AX41" i="40"/>
  <c r="AY41" i="40"/>
  <c r="AZ41" i="40"/>
  <c r="BA41" i="40"/>
  <c r="BB41" i="40"/>
  <c r="BC41" i="40"/>
  <c r="BD41" i="40"/>
  <c r="BE41" i="40"/>
  <c r="BF41" i="40"/>
  <c r="BG41" i="40"/>
  <c r="BH41" i="40"/>
  <c r="BI41" i="40"/>
  <c r="BJ41" i="40"/>
  <c r="BK41" i="40"/>
  <c r="BL41" i="40"/>
  <c r="BM41" i="40"/>
  <c r="BN41" i="40"/>
  <c r="BO41" i="40"/>
  <c r="BP41" i="40"/>
  <c r="BQ41" i="40"/>
  <c r="BR41" i="40"/>
  <c r="BS41" i="40"/>
  <c r="BT41" i="40"/>
  <c r="BU41" i="40"/>
  <c r="BV41" i="40"/>
  <c r="BW41" i="40"/>
  <c r="BX41" i="40"/>
  <c r="BY41" i="40"/>
  <c r="BZ41" i="40"/>
  <c r="CA41" i="40"/>
  <c r="CB41" i="40"/>
  <c r="CC41" i="40"/>
  <c r="CD41" i="40"/>
  <c r="CE41" i="40"/>
  <c r="CF41" i="40"/>
  <c r="CG41" i="40"/>
  <c r="CH41" i="40"/>
  <c r="CI41" i="40"/>
  <c r="CJ41" i="40"/>
  <c r="CK41" i="40"/>
  <c r="CL41" i="40"/>
  <c r="CM41" i="40"/>
  <c r="CN41" i="40"/>
  <c r="CO41" i="40"/>
  <c r="CP41" i="40"/>
  <c r="CQ41" i="40"/>
  <c r="CR41" i="40"/>
  <c r="CS41" i="40"/>
  <c r="CT41" i="40"/>
  <c r="CU41" i="40"/>
  <c r="CV41" i="40"/>
  <c r="CW41" i="40"/>
  <c r="CX41" i="40"/>
  <c r="CY41" i="40"/>
  <c r="CZ41" i="40"/>
  <c r="DA41" i="40"/>
  <c r="DB41" i="40"/>
  <c r="DC41" i="40"/>
  <c r="DD41" i="40"/>
  <c r="DE41" i="40"/>
  <c r="DF41" i="40"/>
  <c r="DG41" i="40"/>
  <c r="DH41" i="40"/>
  <c r="N42" i="40"/>
  <c r="O42" i="40"/>
  <c r="P42" i="40"/>
  <c r="Q42" i="40"/>
  <c r="R42" i="40"/>
  <c r="S42" i="40"/>
  <c r="T42" i="40"/>
  <c r="U42" i="40"/>
  <c r="V42" i="40"/>
  <c r="W42" i="40"/>
  <c r="X42" i="40"/>
  <c r="Y42" i="40"/>
  <c r="Z42" i="40"/>
  <c r="AA42" i="40"/>
  <c r="AB42" i="40"/>
  <c r="AC42" i="40"/>
  <c r="AD42" i="40"/>
  <c r="AE42" i="40"/>
  <c r="AF42" i="40"/>
  <c r="AG42" i="40"/>
  <c r="AH42" i="40"/>
  <c r="AI42" i="40"/>
  <c r="AJ42" i="40"/>
  <c r="AK42" i="40"/>
  <c r="AL42" i="40"/>
  <c r="AM42" i="40"/>
  <c r="AN42" i="40"/>
  <c r="AO42" i="40"/>
  <c r="AP42" i="40"/>
  <c r="AQ42" i="40"/>
  <c r="AR42" i="40"/>
  <c r="AS42" i="40"/>
  <c r="AT42" i="40"/>
  <c r="AU42" i="40"/>
  <c r="AV42" i="40"/>
  <c r="AW42" i="40"/>
  <c r="AX42" i="40"/>
  <c r="AY42" i="40"/>
  <c r="AZ42" i="40"/>
  <c r="BA42" i="40"/>
  <c r="BB42" i="40"/>
  <c r="BC42" i="40"/>
  <c r="BD42" i="40"/>
  <c r="BE42" i="40"/>
  <c r="BF42" i="40"/>
  <c r="BG42" i="40"/>
  <c r="BH42" i="40"/>
  <c r="BI42" i="40"/>
  <c r="BJ42" i="40"/>
  <c r="BK42" i="40"/>
  <c r="BL42" i="40"/>
  <c r="BM42" i="40"/>
  <c r="BN42" i="40"/>
  <c r="BO42" i="40"/>
  <c r="BP42" i="40"/>
  <c r="BQ42" i="40"/>
  <c r="BR42" i="40"/>
  <c r="BS42" i="40"/>
  <c r="BT42" i="40"/>
  <c r="BU42" i="40"/>
  <c r="BV42" i="40"/>
  <c r="BW42" i="40"/>
  <c r="BX42" i="40"/>
  <c r="BY42" i="40"/>
  <c r="BZ42" i="40"/>
  <c r="CA42" i="40"/>
  <c r="CB42" i="40"/>
  <c r="CC42" i="40"/>
  <c r="CD42" i="40"/>
  <c r="CE42" i="40"/>
  <c r="CF42" i="40"/>
  <c r="CG42" i="40"/>
  <c r="CH42" i="40"/>
  <c r="CI42" i="40"/>
  <c r="CJ42" i="40"/>
  <c r="CK42" i="40"/>
  <c r="CL42" i="40"/>
  <c r="CM42" i="40"/>
  <c r="CN42" i="40"/>
  <c r="CO42" i="40"/>
  <c r="CP42" i="40"/>
  <c r="CQ42" i="40"/>
  <c r="CR42" i="40"/>
  <c r="CS42" i="40"/>
  <c r="CT42" i="40"/>
  <c r="CU42" i="40"/>
  <c r="CV42" i="40"/>
  <c r="CW42" i="40"/>
  <c r="CX42" i="40"/>
  <c r="CY42" i="40"/>
  <c r="CZ42" i="40"/>
  <c r="DA42" i="40"/>
  <c r="DB42" i="40"/>
  <c r="DC42" i="40"/>
  <c r="DD42" i="40"/>
  <c r="DE42" i="40"/>
  <c r="DF42" i="40"/>
  <c r="DG42" i="40"/>
  <c r="DH42" i="40"/>
  <c r="N43" i="40"/>
  <c r="O43" i="40"/>
  <c r="P43" i="40"/>
  <c r="Q43" i="40"/>
  <c r="R43" i="40"/>
  <c r="S43" i="40"/>
  <c r="T43" i="40"/>
  <c r="U43" i="40"/>
  <c r="V43" i="40"/>
  <c r="W43" i="40"/>
  <c r="X43" i="40"/>
  <c r="Y43" i="40"/>
  <c r="Z43" i="40"/>
  <c r="AA43" i="40"/>
  <c r="AB43" i="40"/>
  <c r="AC43" i="40"/>
  <c r="AD43" i="40"/>
  <c r="AE43" i="40"/>
  <c r="AF43" i="40"/>
  <c r="AG43" i="40"/>
  <c r="AH43" i="40"/>
  <c r="AI43" i="40"/>
  <c r="AJ43" i="40"/>
  <c r="AK43" i="40"/>
  <c r="AL43" i="40"/>
  <c r="AM43" i="40"/>
  <c r="AN43" i="40"/>
  <c r="AO43" i="40"/>
  <c r="AP43" i="40"/>
  <c r="AQ43" i="40"/>
  <c r="AR43" i="40"/>
  <c r="AS43" i="40"/>
  <c r="AT43" i="40"/>
  <c r="AU43" i="40"/>
  <c r="AV43" i="40"/>
  <c r="AW43" i="40"/>
  <c r="AX43" i="40"/>
  <c r="AY43" i="40"/>
  <c r="AZ43" i="40"/>
  <c r="BA43" i="40"/>
  <c r="BB43" i="40"/>
  <c r="BC43" i="40"/>
  <c r="BD43" i="40"/>
  <c r="BE43" i="40"/>
  <c r="BF43" i="40"/>
  <c r="BG43" i="40"/>
  <c r="BH43" i="40"/>
  <c r="BI43" i="40"/>
  <c r="BJ43" i="40"/>
  <c r="BK43" i="40"/>
  <c r="BL43" i="40"/>
  <c r="BM43" i="40"/>
  <c r="BN43" i="40"/>
  <c r="BO43" i="40"/>
  <c r="BP43" i="40"/>
  <c r="BQ43" i="40"/>
  <c r="BR43" i="40"/>
  <c r="BS43" i="40"/>
  <c r="BT43" i="40"/>
  <c r="BU43" i="40"/>
  <c r="BV43" i="40"/>
  <c r="BW43" i="40"/>
  <c r="BX43" i="40"/>
  <c r="BY43" i="40"/>
  <c r="BZ43" i="40"/>
  <c r="CA43" i="40"/>
  <c r="CB43" i="40"/>
  <c r="CC43" i="40"/>
  <c r="CD43" i="40"/>
  <c r="CE43" i="40"/>
  <c r="CF43" i="40"/>
  <c r="CG43" i="40"/>
  <c r="CH43" i="40"/>
  <c r="CI43" i="40"/>
  <c r="CJ43" i="40"/>
  <c r="CK43" i="40"/>
  <c r="CL43" i="40"/>
  <c r="CM43" i="40"/>
  <c r="CN43" i="40"/>
  <c r="CO43" i="40"/>
  <c r="CP43" i="40"/>
  <c r="CQ43" i="40"/>
  <c r="CR43" i="40"/>
  <c r="CS43" i="40"/>
  <c r="CT43" i="40"/>
  <c r="CU43" i="40"/>
  <c r="CV43" i="40"/>
  <c r="CW43" i="40"/>
  <c r="CX43" i="40"/>
  <c r="CY43" i="40"/>
  <c r="CZ43" i="40"/>
  <c r="DA43" i="40"/>
  <c r="DB43" i="40"/>
  <c r="DC43" i="40"/>
  <c r="DD43" i="40"/>
  <c r="DE43" i="40"/>
  <c r="DF43" i="40"/>
  <c r="DG43" i="40"/>
  <c r="DH43" i="40"/>
  <c r="N44" i="40"/>
  <c r="O44" i="40"/>
  <c r="P44" i="40"/>
  <c r="Q44" i="40"/>
  <c r="R44" i="40"/>
  <c r="S44" i="40"/>
  <c r="T44" i="40"/>
  <c r="U44" i="40"/>
  <c r="V44" i="40"/>
  <c r="W44" i="40"/>
  <c r="X44" i="40"/>
  <c r="Y44" i="40"/>
  <c r="Z44" i="40"/>
  <c r="AA44" i="40"/>
  <c r="AB44" i="40"/>
  <c r="AC44" i="40"/>
  <c r="AD44" i="40"/>
  <c r="AE44" i="40"/>
  <c r="AF44" i="40"/>
  <c r="AG44" i="40"/>
  <c r="AH44" i="40"/>
  <c r="AI44" i="40"/>
  <c r="AJ44" i="40"/>
  <c r="AK44" i="40"/>
  <c r="AL44" i="40"/>
  <c r="AM44" i="40"/>
  <c r="AN44" i="40"/>
  <c r="AO44" i="40"/>
  <c r="AP44" i="40"/>
  <c r="AQ44" i="40"/>
  <c r="AR44" i="40"/>
  <c r="AS44" i="40"/>
  <c r="AT44" i="40"/>
  <c r="AU44" i="40"/>
  <c r="AV44" i="40"/>
  <c r="AW44" i="40"/>
  <c r="AX44" i="40"/>
  <c r="AY44" i="40"/>
  <c r="AZ44" i="40"/>
  <c r="BA44" i="40"/>
  <c r="BB44" i="40"/>
  <c r="BC44" i="40"/>
  <c r="BD44" i="40"/>
  <c r="BE44" i="40"/>
  <c r="BF44" i="40"/>
  <c r="BG44" i="40"/>
  <c r="BH44" i="40"/>
  <c r="BI44" i="40"/>
  <c r="BJ44" i="40"/>
  <c r="BK44" i="40"/>
  <c r="BL44" i="40"/>
  <c r="BM44" i="40"/>
  <c r="BN44" i="40"/>
  <c r="BO44" i="40"/>
  <c r="BP44" i="40"/>
  <c r="BQ44" i="40"/>
  <c r="BR44" i="40"/>
  <c r="BS44" i="40"/>
  <c r="BT44" i="40"/>
  <c r="BU44" i="40"/>
  <c r="BV44" i="40"/>
  <c r="BW44" i="40"/>
  <c r="BX44" i="40"/>
  <c r="BY44" i="40"/>
  <c r="BZ44" i="40"/>
  <c r="CA44" i="40"/>
  <c r="CB44" i="40"/>
  <c r="CC44" i="40"/>
  <c r="CD44" i="40"/>
  <c r="CE44" i="40"/>
  <c r="CF44" i="40"/>
  <c r="CG44" i="40"/>
  <c r="CH44" i="40"/>
  <c r="CI44" i="40"/>
  <c r="CJ44" i="40"/>
  <c r="CK44" i="40"/>
  <c r="CL44" i="40"/>
  <c r="CM44" i="40"/>
  <c r="CN44" i="40"/>
  <c r="CO44" i="40"/>
  <c r="CP44" i="40"/>
  <c r="CQ44" i="40"/>
  <c r="CR44" i="40"/>
  <c r="CS44" i="40"/>
  <c r="CT44" i="40"/>
  <c r="CU44" i="40"/>
  <c r="CV44" i="40"/>
  <c r="CW44" i="40"/>
  <c r="CX44" i="40"/>
  <c r="CY44" i="40"/>
  <c r="CZ44" i="40"/>
  <c r="DA44" i="40"/>
  <c r="DB44" i="40"/>
  <c r="DC44" i="40"/>
  <c r="DD44" i="40"/>
  <c r="DE44" i="40"/>
  <c r="DF44" i="40"/>
  <c r="DG44" i="40"/>
  <c r="DH44" i="40"/>
  <c r="M36" i="40"/>
  <c r="M44" i="40"/>
  <c r="M43" i="40"/>
  <c r="M42" i="40"/>
  <c r="M41" i="40"/>
  <c r="M40" i="40"/>
  <c r="M39" i="40"/>
  <c r="M38" i="40"/>
  <c r="M37" i="40"/>
  <c r="M35" i="40"/>
  <c r="M34" i="40"/>
  <c r="M33" i="40"/>
  <c r="M32" i="40"/>
  <c r="M31" i="40"/>
  <c r="M30" i="40"/>
  <c r="M29" i="40"/>
  <c r="M28" i="40"/>
  <c r="M27" i="40"/>
  <c r="M26" i="40"/>
  <c r="M25" i="40"/>
  <c r="M24" i="40"/>
  <c r="M23" i="40"/>
  <c r="M22" i="40"/>
  <c r="M21" i="40"/>
  <c r="M20" i="40"/>
  <c r="M19" i="40"/>
  <c r="M18" i="40"/>
  <c r="M17" i="40"/>
  <c r="M16" i="40"/>
  <c r="M15" i="40"/>
  <c r="M14" i="40"/>
  <c r="M13" i="40"/>
  <c r="M12" i="40"/>
  <c r="M11" i="40"/>
  <c r="M10" i="40"/>
  <c r="M9" i="40"/>
  <c r="M8" i="40"/>
  <c r="M7" i="40"/>
  <c r="M6" i="40"/>
  <c r="M5" i="40"/>
  <c r="M4" i="40"/>
  <c r="M3" i="40"/>
  <c r="BK55" i="39" l="1"/>
  <c r="G36" i="31"/>
  <c r="L13" i="26"/>
  <c r="J13" i="26"/>
  <c r="K13" i="26"/>
  <c r="D43" i="16"/>
  <c r="I37" i="40" l="1"/>
  <c r="E13" i="26" l="1"/>
  <c r="K18" i="31" l="1"/>
  <c r="N35" i="31"/>
  <c r="N37" i="31"/>
  <c r="K17" i="31"/>
  <c r="N33" i="31"/>
  <c r="I35" i="31"/>
  <c r="I34" i="31"/>
  <c r="I13" i="39" l="1"/>
  <c r="I10" i="40"/>
  <c r="D43" i="40"/>
  <c r="D42" i="40"/>
  <c r="D41" i="40"/>
  <c r="D40" i="40"/>
  <c r="D39" i="40"/>
  <c r="D37" i="40"/>
  <c r="I41" i="40"/>
  <c r="J41" i="40"/>
  <c r="I42" i="40"/>
  <c r="J42" i="40"/>
  <c r="I43" i="40"/>
  <c r="J43" i="40"/>
  <c r="I44" i="40"/>
  <c r="J40" i="40"/>
  <c r="I40" i="40"/>
  <c r="F44" i="40"/>
  <c r="J44" i="40" s="1"/>
  <c r="F43" i="40"/>
  <c r="I34" i="40"/>
  <c r="J34" i="40"/>
  <c r="G8" i="31"/>
  <c r="D44" i="16"/>
  <c r="D42" i="16"/>
  <c r="D36" i="16"/>
  <c r="AD10" i="17"/>
  <c r="AD9" i="17"/>
  <c r="AD8" i="17"/>
  <c r="AD7" i="17"/>
  <c r="D119" i="16"/>
  <c r="G5" i="31"/>
  <c r="H18" i="40"/>
  <c r="I3" i="40"/>
  <c r="J3" i="40" s="1"/>
  <c r="I4" i="40"/>
  <c r="I39" i="40"/>
  <c r="D10" i="40"/>
  <c r="J35" i="40"/>
  <c r="I35" i="40"/>
  <c r="H36" i="40"/>
  <c r="J36" i="40" s="1"/>
  <c r="J24" i="40"/>
  <c r="J25" i="40"/>
  <c r="J26" i="40"/>
  <c r="J27" i="40"/>
  <c r="J28" i="40"/>
  <c r="J29" i="40"/>
  <c r="J30" i="40"/>
  <c r="J31" i="40"/>
  <c r="J32" i="40"/>
  <c r="J33" i="40"/>
  <c r="I24" i="40"/>
  <c r="I25" i="40"/>
  <c r="I26" i="40"/>
  <c r="I27" i="40"/>
  <c r="I28" i="40"/>
  <c r="I29" i="40"/>
  <c r="I30" i="40"/>
  <c r="I31" i="40"/>
  <c r="I32" i="40"/>
  <c r="I33" i="40"/>
  <c r="J20" i="40"/>
  <c r="J21" i="40"/>
  <c r="J22" i="40"/>
  <c r="J23" i="40"/>
  <c r="I20" i="40"/>
  <c r="I21" i="40"/>
  <c r="I22" i="40"/>
  <c r="I23" i="40"/>
  <c r="J19" i="40"/>
  <c r="I19" i="40"/>
  <c r="J17" i="40"/>
  <c r="J16" i="40"/>
  <c r="I17" i="40"/>
  <c r="I16" i="40"/>
  <c r="I12" i="40"/>
  <c r="J12" i="40" s="1"/>
  <c r="I13" i="40"/>
  <c r="J13" i="40" s="1"/>
  <c r="I14" i="40"/>
  <c r="J14" i="40" s="1"/>
  <c r="I15" i="40"/>
  <c r="J15" i="40" s="1"/>
  <c r="I11" i="40"/>
  <c r="J11" i="40" s="1"/>
  <c r="I6" i="40"/>
  <c r="J6" i="40" s="1"/>
  <c r="I7" i="40"/>
  <c r="J7" i="40" s="1"/>
  <c r="I8" i="40"/>
  <c r="J8" i="40" s="1"/>
  <c r="I9" i="40"/>
  <c r="J9" i="40" s="1"/>
  <c r="I5" i="40"/>
  <c r="J5" i="40" s="1"/>
  <c r="BB9" i="39"/>
  <c r="AZ9" i="39"/>
  <c r="J10" i="40" l="1"/>
  <c r="J4" i="40"/>
  <c r="D44" i="40"/>
  <c r="D3" i="40"/>
  <c r="J39" i="40"/>
  <c r="I36" i="40"/>
  <c r="D36" i="40" s="1"/>
  <c r="D34" i="40"/>
  <c r="D20" i="40"/>
  <c r="D29" i="40"/>
  <c r="D28" i="40"/>
  <c r="D27" i="40"/>
  <c r="D11" i="40"/>
  <c r="D24" i="40"/>
  <c r="D35" i="40"/>
  <c r="D26" i="40"/>
  <c r="D33" i="40"/>
  <c r="D31" i="40"/>
  <c r="D30" i="40"/>
  <c r="D25" i="40"/>
  <c r="D32" i="40"/>
  <c r="D8" i="40"/>
  <c r="D7" i="40"/>
  <c r="D6" i="40"/>
  <c r="D15" i="40"/>
  <c r="D13" i="40"/>
  <c r="D12" i="40"/>
  <c r="D14" i="40"/>
  <c r="D5" i="40"/>
  <c r="D9" i="40"/>
  <c r="AA9" i="39"/>
  <c r="Y9" i="39"/>
  <c r="F112" i="16"/>
  <c r="F113" i="16"/>
  <c r="F114" i="16"/>
  <c r="F115" i="16"/>
  <c r="F116" i="16"/>
  <c r="I27" i="31"/>
  <c r="I26" i="31"/>
  <c r="I25" i="31"/>
  <c r="Q9" i="39"/>
  <c r="O9" i="39"/>
  <c r="AS9" i="39"/>
  <c r="AQ9" i="39"/>
  <c r="D22" i="40" l="1"/>
  <c r="D103" i="16" s="1"/>
  <c r="D21" i="40"/>
  <c r="D19" i="40"/>
  <c r="D4" i="40"/>
  <c r="G29" i="31" s="1"/>
  <c r="D142" i="16"/>
  <c r="I4" i="31" l="1"/>
  <c r="D145" i="16" l="1"/>
  <c r="D144" i="16"/>
  <c r="D143" i="16"/>
  <c r="AP13" i="24"/>
  <c r="AO13" i="24"/>
  <c r="AN13" i="24"/>
  <c r="AM13" i="24"/>
  <c r="AL7" i="24"/>
  <c r="AL8" i="24" s="1"/>
  <c r="AL9" i="24" s="1"/>
  <c r="AL10" i="24" s="1"/>
  <c r="AL11" i="24" s="1"/>
  <c r="AL12" i="24" s="1"/>
  <c r="AL13" i="24" s="1"/>
  <c r="AJ8" i="24"/>
  <c r="AJ9" i="24"/>
  <c r="AJ10" i="24"/>
  <c r="AJ11" i="24" s="1"/>
  <c r="AJ12" i="24" s="1"/>
  <c r="AJ13" i="24" s="1"/>
  <c r="AJ7" i="24"/>
  <c r="D124" i="16"/>
  <c r="D132" i="16"/>
  <c r="D130" i="16"/>
  <c r="D126" i="16"/>
  <c r="F120" i="16"/>
  <c r="G120" i="16" s="1"/>
  <c r="H120" i="16" s="1"/>
  <c r="H119" i="16"/>
  <c r="D125" i="16"/>
  <c r="F118" i="16"/>
  <c r="G118" i="16" s="1"/>
  <c r="H118" i="16" s="1"/>
  <c r="G119" i="16"/>
  <c r="BM16" i="17"/>
  <c r="BM15" i="17"/>
  <c r="BM14" i="17"/>
  <c r="BM13" i="17"/>
  <c r="BQ7" i="17"/>
  <c r="D39" i="16"/>
  <c r="G30" i="31"/>
  <c r="I5" i="31"/>
  <c r="D33" i="16"/>
  <c r="D49" i="16"/>
  <c r="D50" i="16"/>
  <c r="E29" i="31"/>
  <c r="E30" i="31"/>
  <c r="G18" i="31" l="1"/>
  <c r="I33" i="31"/>
  <c r="G20" i="31"/>
  <c r="G17" i="31"/>
  <c r="D34" i="16"/>
  <c r="D131" i="16"/>
  <c r="F119" i="16"/>
  <c r="E5" i="31"/>
  <c r="D76" i="16"/>
  <c r="I13" i="31" s="1"/>
  <c r="I6" i="31"/>
  <c r="D74" i="16"/>
  <c r="D72" i="16"/>
  <c r="D71" i="16"/>
  <c r="D70" i="16"/>
  <c r="D69" i="16"/>
  <c r="H13" i="23"/>
  <c r="D73" i="16"/>
  <c r="D67" i="16"/>
  <c r="I28" i="31" s="1"/>
  <c r="D94" i="16"/>
  <c r="D93" i="16"/>
  <c r="D92" i="16"/>
  <c r="D91" i="16"/>
  <c r="D90" i="16"/>
  <c r="D85" i="16"/>
  <c r="D84" i="16"/>
  <c r="D83" i="16"/>
  <c r="D82" i="16"/>
  <c r="D81" i="16"/>
  <c r="D80" i="16"/>
  <c r="D60" i="16"/>
  <c r="D59" i="16"/>
  <c r="H7" i="17"/>
  <c r="D110" i="16"/>
  <c r="D109" i="16"/>
  <c r="D108" i="16"/>
  <c r="D107" i="16"/>
  <c r="D106" i="16"/>
  <c r="D104" i="16"/>
  <c r="D102" i="16"/>
  <c r="D101" i="16"/>
  <c r="D100" i="16"/>
  <c r="I7" i="31" l="1"/>
  <c r="I12" i="31"/>
  <c r="I21" i="31"/>
  <c r="I14" i="31"/>
  <c r="I22" i="31"/>
  <c r="I23" i="31"/>
  <c r="I15" i="31"/>
  <c r="I24" i="31"/>
  <c r="Z51" i="26"/>
  <c r="Y51" i="26"/>
  <c r="U51" i="26"/>
  <c r="T51" i="26"/>
  <c r="P51" i="26"/>
  <c r="O51" i="26"/>
  <c r="K51" i="26"/>
  <c r="J51" i="26"/>
  <c r="F51" i="26"/>
  <c r="E51" i="26"/>
  <c r="AC51" i="23"/>
  <c r="AC52" i="23"/>
  <c r="AB51" i="23"/>
  <c r="AB52" i="23"/>
  <c r="X51" i="23"/>
  <c r="X52" i="23"/>
  <c r="W51" i="23"/>
  <c r="W52" i="23"/>
  <c r="S51" i="23"/>
  <c r="S52" i="23"/>
  <c r="R51" i="23"/>
  <c r="R52" i="23"/>
  <c r="N51" i="23"/>
  <c r="N52" i="23"/>
  <c r="M51" i="23"/>
  <c r="M52" i="23"/>
  <c r="I51" i="23"/>
  <c r="I52" i="23"/>
  <c r="H51" i="23"/>
  <c r="H52" i="23"/>
  <c r="B22" i="24"/>
  <c r="B21" i="24"/>
  <c r="B20" i="24"/>
  <c r="B19" i="24"/>
  <c r="B17" i="24"/>
  <c r="E6" i="24"/>
  <c r="E7" i="24"/>
  <c r="E8" i="24"/>
  <c r="E9" i="24"/>
  <c r="E10" i="24"/>
  <c r="AA51" i="26" l="1"/>
  <c r="AL48" i="39" s="1"/>
  <c r="J52" i="23"/>
  <c r="Y52" i="23"/>
  <c r="AD52" i="23"/>
  <c r="AD51" i="23"/>
  <c r="K48" i="39" s="1"/>
  <c r="V51" i="26"/>
  <c r="AK48" i="39" s="1"/>
  <c r="G51" i="26"/>
  <c r="AH48" i="39" s="1"/>
  <c r="L51" i="26"/>
  <c r="AI48" i="39" s="1"/>
  <c r="Q51" i="26"/>
  <c r="AJ48" i="39" s="1"/>
  <c r="Y51" i="23"/>
  <c r="J48" i="39" s="1"/>
  <c r="T52" i="23"/>
  <c r="T51" i="23"/>
  <c r="I48" i="39" s="1"/>
  <c r="O52" i="23"/>
  <c r="O51" i="23"/>
  <c r="H48" i="39" s="1"/>
  <c r="J51" i="23"/>
  <c r="G48" i="39" s="1"/>
  <c r="AJ6" i="17"/>
  <c r="AJ7" i="17"/>
  <c r="AE8" i="17"/>
  <c r="AN8" i="17" s="1"/>
  <c r="AJ8" i="17"/>
  <c r="AE9" i="17"/>
  <c r="AI9" i="17" s="1"/>
  <c r="AJ9" i="17"/>
  <c r="AE10" i="17"/>
  <c r="AN10" i="17" s="1"/>
  <c r="D29" i="16" s="1"/>
  <c r="AJ10" i="17"/>
  <c r="D7" i="29"/>
  <c r="E7" i="29"/>
  <c r="F7" i="29"/>
  <c r="M7" i="29"/>
  <c r="N7" i="29"/>
  <c r="O7" i="29"/>
  <c r="R7" i="29" s="1"/>
  <c r="P7" i="29"/>
  <c r="Q7" i="29"/>
  <c r="D8" i="29"/>
  <c r="M8" i="29" s="1"/>
  <c r="E8" i="29"/>
  <c r="F8" i="29"/>
  <c r="D9" i="29"/>
  <c r="P9" i="29" s="1"/>
  <c r="E9" i="29"/>
  <c r="F9" i="29"/>
  <c r="M9" i="29"/>
  <c r="N9" i="29"/>
  <c r="O9" i="29"/>
  <c r="Q9" i="29"/>
  <c r="D10" i="29"/>
  <c r="E10" i="29"/>
  <c r="F10" i="29"/>
  <c r="M10" i="29"/>
  <c r="N10" i="29"/>
  <c r="Q10" i="29" s="1"/>
  <c r="O10" i="29"/>
  <c r="P10" i="29"/>
  <c r="R10" i="29"/>
  <c r="D11" i="29"/>
  <c r="E11" i="29"/>
  <c r="F11" i="29"/>
  <c r="M11" i="29"/>
  <c r="N11" i="29"/>
  <c r="O11" i="29"/>
  <c r="R11" i="29" s="1"/>
  <c r="P11" i="29"/>
  <c r="Q11" i="29"/>
  <c r="D12" i="29"/>
  <c r="M12" i="29" s="1"/>
  <c r="E12" i="29"/>
  <c r="F12" i="29"/>
  <c r="J25" i="17"/>
  <c r="I25" i="17"/>
  <c r="H25" i="17"/>
  <c r="J24" i="17"/>
  <c r="I24" i="17"/>
  <c r="H24" i="17"/>
  <c r="J23" i="17"/>
  <c r="I23" i="17"/>
  <c r="H23" i="17"/>
  <c r="J22" i="17"/>
  <c r="I22" i="17"/>
  <c r="H22" i="17"/>
  <c r="J21" i="17"/>
  <c r="I21" i="17"/>
  <c r="H21" i="17"/>
  <c r="J20" i="17"/>
  <c r="I20" i="17"/>
  <c r="H20" i="17"/>
  <c r="J19" i="17"/>
  <c r="I19" i="17"/>
  <c r="H19" i="17"/>
  <c r="J18" i="17"/>
  <c r="I18" i="17"/>
  <c r="H18" i="17"/>
  <c r="J17" i="17"/>
  <c r="I17" i="17"/>
  <c r="H17" i="17"/>
  <c r="J15" i="17"/>
  <c r="I15" i="17"/>
  <c r="H15" i="17"/>
  <c r="J14" i="17"/>
  <c r="I14" i="17"/>
  <c r="H14" i="17"/>
  <c r="J13" i="17"/>
  <c r="I13" i="17"/>
  <c r="H13" i="17"/>
  <c r="J12" i="17"/>
  <c r="I12" i="17"/>
  <c r="H12" i="17"/>
  <c r="J11" i="17"/>
  <c r="I11" i="17"/>
  <c r="H11" i="17"/>
  <c r="J10" i="17"/>
  <c r="I10" i="17"/>
  <c r="H10" i="17"/>
  <c r="J9" i="17"/>
  <c r="I9" i="17"/>
  <c r="H9" i="17"/>
  <c r="J8" i="17"/>
  <c r="I8" i="17"/>
  <c r="H8" i="17"/>
  <c r="J7" i="17"/>
  <c r="I7" i="17"/>
  <c r="AH7" i="24"/>
  <c r="AH8" i="24" s="1"/>
  <c r="AH9" i="24" s="1"/>
  <c r="AH10" i="24" s="1"/>
  <c r="AH11" i="24" s="1"/>
  <c r="AH12" i="24" s="1"/>
  <c r="AH13" i="24" s="1"/>
  <c r="AG7" i="24"/>
  <c r="AG8" i="24" s="1"/>
  <c r="AG9" i="24" s="1"/>
  <c r="AG10" i="24" s="1"/>
  <c r="AG11" i="24" s="1"/>
  <c r="AG12" i="24" s="1"/>
  <c r="AG13" i="24" s="1"/>
  <c r="AE7" i="24"/>
  <c r="AE8" i="24" s="1"/>
  <c r="AE9" i="24" s="1"/>
  <c r="AE10" i="24" s="1"/>
  <c r="AE11" i="24" s="1"/>
  <c r="AE12" i="24" s="1"/>
  <c r="AE13" i="24" s="1"/>
  <c r="AD7" i="24"/>
  <c r="AD8" i="24" s="1"/>
  <c r="AD9" i="24" s="1"/>
  <c r="AD10" i="24" s="1"/>
  <c r="AD11" i="24" s="1"/>
  <c r="AD12" i="24" s="1"/>
  <c r="AD13" i="24" s="1"/>
  <c r="AC7" i="24"/>
  <c r="AC8" i="24" s="1"/>
  <c r="AC9" i="24" s="1"/>
  <c r="AC10" i="24" s="1"/>
  <c r="AC11" i="24" s="1"/>
  <c r="AC12" i="24" s="1"/>
  <c r="AC13" i="24" s="1"/>
  <c r="AB7" i="24"/>
  <c r="AB8" i="24" s="1"/>
  <c r="AB9" i="24" s="1"/>
  <c r="AB10" i="24" s="1"/>
  <c r="AB11" i="24" s="1"/>
  <c r="AB12" i="24" s="1"/>
  <c r="AB13" i="24" s="1"/>
  <c r="AA7" i="24"/>
  <c r="AA8" i="24" s="1"/>
  <c r="AA9" i="24" s="1"/>
  <c r="AA10" i="24" s="1"/>
  <c r="AA11" i="24" s="1"/>
  <c r="AA12" i="24" s="1"/>
  <c r="AA13" i="24" s="1"/>
  <c r="Y7" i="24"/>
  <c r="Y8" i="24" s="1"/>
  <c r="Y9" i="24" s="1"/>
  <c r="Y10" i="24" s="1"/>
  <c r="Y11" i="24" s="1"/>
  <c r="Y12" i="24" s="1"/>
  <c r="Y13" i="24" s="1"/>
  <c r="E14" i="31" l="1"/>
  <c r="E23" i="31"/>
  <c r="D22" i="16"/>
  <c r="G14" i="31"/>
  <c r="D27" i="16"/>
  <c r="G23" i="31"/>
  <c r="AI10" i="17"/>
  <c r="D23" i="16" s="1"/>
  <c r="AI8" i="17"/>
  <c r="AN9" i="17"/>
  <c r="D53" i="16" s="1"/>
  <c r="N12" i="29"/>
  <c r="P12" i="29"/>
  <c r="P8" i="29"/>
  <c r="Q12" i="29"/>
  <c r="O12" i="29"/>
  <c r="R12" i="29" s="1"/>
  <c r="R9" i="29"/>
  <c r="O8" i="29"/>
  <c r="R8" i="29" s="1"/>
  <c r="N8" i="29"/>
  <c r="Q8" i="29" s="1"/>
  <c r="X7" i="24"/>
  <c r="X8" i="24" s="1"/>
  <c r="X9" i="24" s="1"/>
  <c r="X10" i="24" s="1"/>
  <c r="X11" i="24" s="1"/>
  <c r="X12" i="24" s="1"/>
  <c r="X13" i="24" s="1"/>
  <c r="W7" i="24"/>
  <c r="W8" i="24" s="1"/>
  <c r="W9" i="24" s="1"/>
  <c r="W10" i="24" s="1"/>
  <c r="W11" i="24" s="1"/>
  <c r="W12" i="24" s="1"/>
  <c r="W13" i="24" s="1"/>
  <c r="V7" i="24"/>
  <c r="V8" i="24" s="1"/>
  <c r="V9" i="24" s="1"/>
  <c r="V10" i="24" s="1"/>
  <c r="V11" i="24" s="1"/>
  <c r="V12" i="24" s="1"/>
  <c r="V13" i="24" s="1"/>
  <c r="E10" i="31" l="1"/>
  <c r="D21" i="16"/>
  <c r="E19" i="31"/>
  <c r="G10" i="31"/>
  <c r="G19" i="31"/>
  <c r="D52" i="16"/>
  <c r="P8" i="31" s="1"/>
  <c r="D28" i="16"/>
  <c r="D88" i="16"/>
  <c r="D87" i="16"/>
  <c r="O23" i="24"/>
  <c r="I10" i="24" l="1"/>
  <c r="K11" i="24"/>
  <c r="B18" i="24" s="1"/>
  <c r="K6" i="24"/>
  <c r="B14" i="24" s="1"/>
  <c r="K8" i="24"/>
  <c r="K9" i="24"/>
  <c r="B16" i="24" s="1"/>
  <c r="Z14" i="26"/>
  <c r="Z15" i="26"/>
  <c r="Z16" i="26"/>
  <c r="Z17" i="26"/>
  <c r="Z18" i="26"/>
  <c r="Z19" i="26"/>
  <c r="Z20" i="26"/>
  <c r="Z21" i="26"/>
  <c r="Z22" i="26"/>
  <c r="Z23" i="26"/>
  <c r="Z24" i="26"/>
  <c r="Z25" i="26"/>
  <c r="Z26" i="26"/>
  <c r="Z27" i="26"/>
  <c r="Z28" i="26"/>
  <c r="Z29" i="26"/>
  <c r="Z30" i="26"/>
  <c r="Z31" i="26"/>
  <c r="Z32" i="26"/>
  <c r="Z33" i="26"/>
  <c r="Z34" i="26"/>
  <c r="Z35" i="26"/>
  <c r="Z36" i="26"/>
  <c r="Z37" i="26"/>
  <c r="Z38" i="26"/>
  <c r="Z39" i="26"/>
  <c r="Z40" i="26"/>
  <c r="Z41" i="26"/>
  <c r="Z42" i="26"/>
  <c r="Z43" i="26"/>
  <c r="Z44" i="26"/>
  <c r="Z45" i="26"/>
  <c r="Z46" i="26"/>
  <c r="Z47" i="26"/>
  <c r="Z48" i="26"/>
  <c r="Z49" i="26"/>
  <c r="Z50" i="26"/>
  <c r="Z13" i="26"/>
  <c r="Y14" i="26"/>
  <c r="Y15" i="26"/>
  <c r="Y16" i="26"/>
  <c r="Y17" i="26"/>
  <c r="Y18" i="26"/>
  <c r="Y19" i="26"/>
  <c r="Y20" i="26"/>
  <c r="Y21" i="26"/>
  <c r="Y22" i="26"/>
  <c r="Y23" i="26"/>
  <c r="Y24" i="26"/>
  <c r="Y25" i="26"/>
  <c r="Y26" i="26"/>
  <c r="Y27" i="26"/>
  <c r="Y28" i="26"/>
  <c r="Y29" i="26"/>
  <c r="Y30" i="26"/>
  <c r="Y31" i="26"/>
  <c r="Y32" i="26"/>
  <c r="Y33" i="26"/>
  <c r="Y34" i="26"/>
  <c r="Y35" i="26"/>
  <c r="Y36" i="26"/>
  <c r="Y37" i="26"/>
  <c r="Y38" i="26"/>
  <c r="Y39" i="26"/>
  <c r="Y40" i="26"/>
  <c r="Y41" i="26"/>
  <c r="Y42" i="26"/>
  <c r="Y43" i="26"/>
  <c r="Y44" i="26"/>
  <c r="Y45" i="26"/>
  <c r="Y46" i="26"/>
  <c r="Y47" i="26"/>
  <c r="Y48" i="26"/>
  <c r="Y49" i="26"/>
  <c r="Y50" i="26"/>
  <c r="Y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13" i="26"/>
  <c r="U14" i="26"/>
  <c r="U15" i="26"/>
  <c r="U16" i="26"/>
  <c r="U17" i="26"/>
  <c r="U18" i="26"/>
  <c r="U19" i="26"/>
  <c r="U20" i="26"/>
  <c r="U21" i="26"/>
  <c r="U22" i="26"/>
  <c r="U23" i="26"/>
  <c r="U24" i="26"/>
  <c r="U25" i="26"/>
  <c r="U26" i="26"/>
  <c r="U27" i="26"/>
  <c r="U28" i="26"/>
  <c r="U29" i="26"/>
  <c r="U30" i="26"/>
  <c r="U31" i="26"/>
  <c r="U32" i="26"/>
  <c r="U33" i="26"/>
  <c r="U34" i="26"/>
  <c r="U35" i="26"/>
  <c r="U36" i="26"/>
  <c r="U37" i="26"/>
  <c r="U38" i="26"/>
  <c r="U39" i="26"/>
  <c r="U40" i="26"/>
  <c r="U41" i="26"/>
  <c r="U42" i="26"/>
  <c r="U43" i="26"/>
  <c r="U44" i="26"/>
  <c r="U45" i="26"/>
  <c r="U46" i="26"/>
  <c r="U47" i="26"/>
  <c r="U48" i="26"/>
  <c r="U49" i="26"/>
  <c r="U50" i="26"/>
  <c r="U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13" i="26"/>
  <c r="F15"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F14"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AD24" i="23"/>
  <c r="K21" i="39" s="1"/>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W14" i="23"/>
  <c r="W15" i="23"/>
  <c r="W16" i="23"/>
  <c r="W17" i="23"/>
  <c r="W18" i="23"/>
  <c r="W19" i="23"/>
  <c r="Y19" i="23" s="1"/>
  <c r="J16" i="39" s="1"/>
  <c r="W20" i="23"/>
  <c r="Y20" i="23" s="1"/>
  <c r="J17" i="39" s="1"/>
  <c r="W21" i="23"/>
  <c r="W22" i="23"/>
  <c r="Y22" i="23" s="1"/>
  <c r="J19" i="39" s="1"/>
  <c r="W23" i="23"/>
  <c r="Y23" i="23" s="1"/>
  <c r="J20" i="39" s="1"/>
  <c r="W24" i="23"/>
  <c r="W25" i="23"/>
  <c r="W26" i="23"/>
  <c r="W27" i="23"/>
  <c r="W28" i="23"/>
  <c r="W29" i="23"/>
  <c r="W30" i="23"/>
  <c r="W31" i="23"/>
  <c r="Y31" i="23" s="1"/>
  <c r="J28" i="39" s="1"/>
  <c r="W32" i="23"/>
  <c r="Y32" i="23" s="1"/>
  <c r="J29" i="39" s="1"/>
  <c r="W33" i="23"/>
  <c r="W34" i="23"/>
  <c r="Y34" i="23" s="1"/>
  <c r="J31" i="39" s="1"/>
  <c r="W35" i="23"/>
  <c r="Y35" i="23" s="1"/>
  <c r="J32" i="39" s="1"/>
  <c r="W36" i="23"/>
  <c r="W37" i="23"/>
  <c r="W38" i="23"/>
  <c r="W39" i="23"/>
  <c r="W40" i="23"/>
  <c r="W41" i="23"/>
  <c r="W42" i="23"/>
  <c r="W43" i="23"/>
  <c r="Y43" i="23" s="1"/>
  <c r="J40" i="39" s="1"/>
  <c r="W44" i="23"/>
  <c r="Y44" i="23" s="1"/>
  <c r="J41" i="39" s="1"/>
  <c r="W45" i="23"/>
  <c r="W46" i="23"/>
  <c r="Y46" i="23" s="1"/>
  <c r="J43" i="39" s="1"/>
  <c r="W47" i="23"/>
  <c r="Y47" i="23" s="1"/>
  <c r="J44" i="39" s="1"/>
  <c r="W48" i="23"/>
  <c r="W49" i="23"/>
  <c r="W50"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M45" i="23"/>
  <c r="M46" i="23"/>
  <c r="M47" i="23"/>
  <c r="M48" i="23"/>
  <c r="M49" i="23"/>
  <c r="M50" i="23"/>
  <c r="AB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13" i="23"/>
  <c r="AB14" i="23"/>
  <c r="AD14" i="23" s="1"/>
  <c r="K11" i="39" s="1"/>
  <c r="AB15" i="23"/>
  <c r="AB16" i="23"/>
  <c r="AB17" i="23"/>
  <c r="AB18" i="23"/>
  <c r="AB19" i="23"/>
  <c r="AB20" i="23"/>
  <c r="AB21" i="23"/>
  <c r="AB22" i="23"/>
  <c r="AB23" i="23"/>
  <c r="AB24" i="23"/>
  <c r="AB25" i="23"/>
  <c r="AB26" i="23"/>
  <c r="AD26" i="23" s="1"/>
  <c r="K23" i="39" s="1"/>
  <c r="AB27" i="23"/>
  <c r="AB28" i="23"/>
  <c r="AB29" i="23"/>
  <c r="AB30" i="23"/>
  <c r="AB31" i="23"/>
  <c r="AB32" i="23"/>
  <c r="AB33" i="23"/>
  <c r="AD33" i="23" s="1"/>
  <c r="K30" i="39" s="1"/>
  <c r="AB34" i="23"/>
  <c r="AB35" i="23"/>
  <c r="AB36" i="23"/>
  <c r="AB37" i="23"/>
  <c r="AB38" i="23"/>
  <c r="AD38" i="23" s="1"/>
  <c r="K35" i="39" s="1"/>
  <c r="AB39" i="23"/>
  <c r="AB40" i="23"/>
  <c r="AB41" i="23"/>
  <c r="AB42" i="23"/>
  <c r="AB43" i="23"/>
  <c r="AB44" i="23"/>
  <c r="AB45" i="23"/>
  <c r="AD45" i="23" s="1"/>
  <c r="K42" i="39" s="1"/>
  <c r="AB46" i="23"/>
  <c r="AB47" i="23"/>
  <c r="AB48" i="23"/>
  <c r="AB49" i="23"/>
  <c r="AB50" i="23"/>
  <c r="AD50" i="23" s="1"/>
  <c r="K47" i="39" s="1"/>
  <c r="X13" i="23"/>
  <c r="W13" i="23"/>
  <c r="Y13" i="23" s="1"/>
  <c r="J10" i="39" s="1"/>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N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13" i="23"/>
  <c r="M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E5" i="23"/>
  <c r="E6" i="23"/>
  <c r="E7" i="23"/>
  <c r="E8" i="23"/>
  <c r="E4" i="23"/>
  <c r="O44" i="23" l="1"/>
  <c r="H41" i="39" s="1"/>
  <c r="AA49" i="26"/>
  <c r="AL46" i="39" s="1"/>
  <c r="AA37" i="26"/>
  <c r="AL34" i="39" s="1"/>
  <c r="AA25" i="26"/>
  <c r="AL22" i="39" s="1"/>
  <c r="O41" i="23"/>
  <c r="H38" i="39" s="1"/>
  <c r="O29" i="23"/>
  <c r="H26" i="39" s="1"/>
  <c r="O17" i="23"/>
  <c r="H14" i="39" s="1"/>
  <c r="O42" i="23"/>
  <c r="H39" i="39" s="1"/>
  <c r="O30" i="23"/>
  <c r="H27" i="39" s="1"/>
  <c r="O18" i="23"/>
  <c r="H15" i="39" s="1"/>
  <c r="L17" i="26"/>
  <c r="AI14" i="39" s="1"/>
  <c r="Q43" i="26"/>
  <c r="AJ40" i="39" s="1"/>
  <c r="Q31" i="26"/>
  <c r="AJ28" i="39" s="1"/>
  <c r="Q19" i="26"/>
  <c r="AJ16" i="39" s="1"/>
  <c r="Q30" i="26"/>
  <c r="AJ27" i="39" s="1"/>
  <c r="Q42" i="26"/>
  <c r="AJ39" i="39" s="1"/>
  <c r="Q18" i="26"/>
  <c r="AJ15" i="39" s="1"/>
  <c r="Q25" i="26"/>
  <c r="AJ22" i="39" s="1"/>
  <c r="L45" i="26"/>
  <c r="AI42" i="39" s="1"/>
  <c r="L33" i="26"/>
  <c r="AI30" i="39" s="1"/>
  <c r="L21" i="26"/>
  <c r="AI18" i="39" s="1"/>
  <c r="G41" i="26"/>
  <c r="AH38" i="39" s="1"/>
  <c r="G29" i="26"/>
  <c r="AH26" i="39" s="1"/>
  <c r="L44" i="26"/>
  <c r="AI41" i="39" s="1"/>
  <c r="L32" i="26"/>
  <c r="AI29" i="39" s="1"/>
  <c r="L20" i="26"/>
  <c r="AI17" i="39" s="1"/>
  <c r="Q40" i="26"/>
  <c r="AJ37" i="39" s="1"/>
  <c r="Q16" i="26"/>
  <c r="AJ13" i="39" s="1"/>
  <c r="Q37" i="26"/>
  <c r="AJ34" i="39" s="1"/>
  <c r="G38" i="26"/>
  <c r="AH35" i="39" s="1"/>
  <c r="L41" i="26"/>
  <c r="AI38" i="39" s="1"/>
  <c r="V50" i="26"/>
  <c r="AK47" i="39" s="1"/>
  <c r="AA44" i="26"/>
  <c r="AL41" i="39" s="1"/>
  <c r="AA32" i="26"/>
  <c r="AL29" i="39" s="1"/>
  <c r="AA20" i="26"/>
  <c r="AL17" i="39" s="1"/>
  <c r="Q28" i="26"/>
  <c r="AJ25" i="39" s="1"/>
  <c r="G50" i="26"/>
  <c r="AH47" i="39" s="1"/>
  <c r="G26" i="26"/>
  <c r="AH23" i="39" s="1"/>
  <c r="L29" i="26"/>
  <c r="AI26" i="39" s="1"/>
  <c r="AA15" i="26"/>
  <c r="AL12" i="39" s="1"/>
  <c r="Q38" i="26"/>
  <c r="AJ35" i="39" s="1"/>
  <c r="Q49" i="26"/>
  <c r="AJ46" i="39" s="1"/>
  <c r="Q48" i="26"/>
  <c r="AJ45" i="39" s="1"/>
  <c r="Q36" i="26"/>
  <c r="AJ33" i="39" s="1"/>
  <c r="Q24" i="26"/>
  <c r="AJ21" i="39" s="1"/>
  <c r="AA46" i="26"/>
  <c r="AL43" i="39" s="1"/>
  <c r="AA34" i="26"/>
  <c r="AL31" i="39" s="1"/>
  <c r="AA22" i="26"/>
  <c r="AL19" i="39" s="1"/>
  <c r="Q26" i="26"/>
  <c r="AJ23" i="39" s="1"/>
  <c r="Q50" i="26"/>
  <c r="AJ47" i="39" s="1"/>
  <c r="Q14" i="26"/>
  <c r="AJ11" i="39" s="1"/>
  <c r="V32" i="26"/>
  <c r="AK29" i="39" s="1"/>
  <c r="AA14" i="26"/>
  <c r="AL11" i="39" s="1"/>
  <c r="Q39" i="26"/>
  <c r="AJ36" i="39" s="1"/>
  <c r="Q47" i="26"/>
  <c r="AJ44" i="39" s="1"/>
  <c r="Q35" i="26"/>
  <c r="AJ32" i="39" s="1"/>
  <c r="Q23" i="26"/>
  <c r="AJ20" i="39" s="1"/>
  <c r="AA45" i="26"/>
  <c r="AL42" i="39" s="1"/>
  <c r="AA33" i="26"/>
  <c r="AL30" i="39" s="1"/>
  <c r="AA21" i="26"/>
  <c r="AL18" i="39" s="1"/>
  <c r="Q27" i="26"/>
  <c r="AJ24" i="39" s="1"/>
  <c r="G48" i="26"/>
  <c r="AH45" i="39" s="1"/>
  <c r="Q46" i="26"/>
  <c r="AJ43" i="39" s="1"/>
  <c r="Q34" i="26"/>
  <c r="AJ31" i="39" s="1"/>
  <c r="Q22" i="26"/>
  <c r="AJ19" i="39" s="1"/>
  <c r="Q13" i="26"/>
  <c r="AJ10" i="39" s="1"/>
  <c r="Q15" i="26"/>
  <c r="AJ12" i="39" s="1"/>
  <c r="Q45" i="26"/>
  <c r="AJ42" i="39" s="1"/>
  <c r="Q33" i="26"/>
  <c r="AJ30" i="39" s="1"/>
  <c r="Q21" i="26"/>
  <c r="AJ18" i="39" s="1"/>
  <c r="Q41" i="26"/>
  <c r="AJ38" i="39" s="1"/>
  <c r="Q29" i="26"/>
  <c r="AJ26" i="39" s="1"/>
  <c r="Q17" i="26"/>
  <c r="AJ14" i="39" s="1"/>
  <c r="G22" i="26"/>
  <c r="AH19" i="39" s="1"/>
  <c r="Q44" i="26"/>
  <c r="AJ41" i="39" s="1"/>
  <c r="Q32" i="26"/>
  <c r="AJ29" i="39" s="1"/>
  <c r="Q20" i="26"/>
  <c r="AJ17" i="39" s="1"/>
  <c r="G14" i="26"/>
  <c r="L43" i="26"/>
  <c r="AI40" i="39" s="1"/>
  <c r="L31" i="26"/>
  <c r="AI28" i="39" s="1"/>
  <c r="L19" i="26"/>
  <c r="AI16" i="39" s="1"/>
  <c r="AA48" i="26"/>
  <c r="AL45" i="39" s="1"/>
  <c r="AA36" i="26"/>
  <c r="AL33" i="39" s="1"/>
  <c r="AA24" i="26"/>
  <c r="AL21" i="39" s="1"/>
  <c r="G17" i="26"/>
  <c r="AH14" i="39" s="1"/>
  <c r="L42" i="26"/>
  <c r="AI39" i="39" s="1"/>
  <c r="L30" i="26"/>
  <c r="AI27" i="39" s="1"/>
  <c r="L18" i="26"/>
  <c r="AI15" i="39" s="1"/>
  <c r="G47" i="26"/>
  <c r="AH44" i="39" s="1"/>
  <c r="L48" i="26"/>
  <c r="AI45" i="39" s="1"/>
  <c r="L36" i="26"/>
  <c r="AI33" i="39" s="1"/>
  <c r="L24" i="26"/>
  <c r="AI21" i="39" s="1"/>
  <c r="AA41" i="26"/>
  <c r="AL38" i="39" s="1"/>
  <c r="AA29" i="26"/>
  <c r="AL26" i="39" s="1"/>
  <c r="AA17" i="26"/>
  <c r="AL14" i="39" s="1"/>
  <c r="G46" i="26"/>
  <c r="AH43" i="39" s="1"/>
  <c r="G34" i="26"/>
  <c r="AH31" i="39" s="1"/>
  <c r="AA40" i="26"/>
  <c r="AL37" i="39" s="1"/>
  <c r="AA28" i="26"/>
  <c r="AL25" i="39" s="1"/>
  <c r="AA16" i="26"/>
  <c r="AL13" i="39" s="1"/>
  <c r="L46" i="26"/>
  <c r="AI43" i="39" s="1"/>
  <c r="L34" i="26"/>
  <c r="AI31" i="39" s="1"/>
  <c r="L22" i="26"/>
  <c r="AI19" i="39" s="1"/>
  <c r="AA13" i="26"/>
  <c r="AL10" i="39" s="1"/>
  <c r="AA39" i="26"/>
  <c r="AL36" i="39" s="1"/>
  <c r="AA27" i="26"/>
  <c r="AL24" i="39" s="1"/>
  <c r="AD49" i="23"/>
  <c r="K46" i="39" s="1"/>
  <c r="AD37" i="23"/>
  <c r="K34" i="39" s="1"/>
  <c r="AD25" i="23"/>
  <c r="K22" i="39" s="1"/>
  <c r="O40" i="23"/>
  <c r="H37" i="39" s="1"/>
  <c r="O28" i="23"/>
  <c r="H25" i="39" s="1"/>
  <c r="O16" i="23"/>
  <c r="H13" i="39" s="1"/>
  <c r="AD21" i="23"/>
  <c r="K18" i="39" s="1"/>
  <c r="J34" i="23"/>
  <c r="G31" i="39" s="1"/>
  <c r="O49" i="23"/>
  <c r="H46" i="39" s="1"/>
  <c r="O37" i="23"/>
  <c r="H34" i="39" s="1"/>
  <c r="O25" i="23"/>
  <c r="H22" i="39" s="1"/>
  <c r="Y39" i="23"/>
  <c r="J36" i="39" s="1"/>
  <c r="Y27" i="23"/>
  <c r="J24" i="39" s="1"/>
  <c r="Y15" i="23"/>
  <c r="J12" i="39" s="1"/>
  <c r="T36" i="23"/>
  <c r="I33" i="39" s="1"/>
  <c r="AD27" i="23"/>
  <c r="K24" i="39" s="1"/>
  <c r="AD15" i="23"/>
  <c r="K12" i="39" s="1"/>
  <c r="O43" i="23"/>
  <c r="H40" i="39" s="1"/>
  <c r="Y45" i="23"/>
  <c r="J42" i="39" s="1"/>
  <c r="Y33" i="23"/>
  <c r="J30" i="39" s="1"/>
  <c r="Y21" i="23"/>
  <c r="J18" i="39" s="1"/>
  <c r="Y40" i="23"/>
  <c r="J37" i="39" s="1"/>
  <c r="Y28" i="23"/>
  <c r="J25" i="39" s="1"/>
  <c r="Y16" i="23"/>
  <c r="J13" i="39" s="1"/>
  <c r="AD48" i="23"/>
  <c r="K45" i="39" s="1"/>
  <c r="AD36" i="23"/>
  <c r="K33" i="39" s="1"/>
  <c r="O39" i="23"/>
  <c r="H36" i="39" s="1"/>
  <c r="O27" i="23"/>
  <c r="H24" i="39" s="1"/>
  <c r="O15" i="23"/>
  <c r="H12" i="39" s="1"/>
  <c r="O48" i="23"/>
  <c r="H45" i="39" s="1"/>
  <c r="O36" i="23"/>
  <c r="H33" i="39" s="1"/>
  <c r="O24" i="23"/>
  <c r="H21" i="39" s="1"/>
  <c r="Y50" i="23"/>
  <c r="J47" i="39" s="1"/>
  <c r="Y38" i="23"/>
  <c r="J35" i="39" s="1"/>
  <c r="Y26" i="23"/>
  <c r="J23" i="39" s="1"/>
  <c r="Y14" i="23"/>
  <c r="J11" i="39" s="1"/>
  <c r="T35" i="23"/>
  <c r="I32" i="39" s="1"/>
  <c r="O46" i="23"/>
  <c r="H43" i="39" s="1"/>
  <c r="O34" i="23"/>
  <c r="H31" i="39" s="1"/>
  <c r="O22" i="23"/>
  <c r="H19" i="39" s="1"/>
  <c r="T50" i="23"/>
  <c r="I47" i="39" s="1"/>
  <c r="T38" i="23"/>
  <c r="I35" i="39" s="1"/>
  <c r="T26" i="23"/>
  <c r="I23" i="39" s="1"/>
  <c r="T14" i="23"/>
  <c r="I11" i="39" s="1"/>
  <c r="AD42" i="23"/>
  <c r="K39" i="39" s="1"/>
  <c r="AD30" i="23"/>
  <c r="K27" i="39" s="1"/>
  <c r="AD18" i="23"/>
  <c r="K15" i="39" s="1"/>
  <c r="T47" i="23"/>
  <c r="I44" i="39" s="1"/>
  <c r="T49" i="23"/>
  <c r="I46" i="39" s="1"/>
  <c r="T37" i="23"/>
  <c r="I34" i="39" s="1"/>
  <c r="T25" i="23"/>
  <c r="I22" i="39" s="1"/>
  <c r="T13" i="23"/>
  <c r="I10" i="39" s="1"/>
  <c r="AD41" i="23"/>
  <c r="K38" i="39" s="1"/>
  <c r="AD29" i="23"/>
  <c r="K26" i="39" s="1"/>
  <c r="AD17" i="23"/>
  <c r="K14" i="39" s="1"/>
  <c r="O45" i="23"/>
  <c r="H42" i="39" s="1"/>
  <c r="O33" i="23"/>
  <c r="H30" i="39" s="1"/>
  <c r="O21" i="23"/>
  <c r="H18" i="39" s="1"/>
  <c r="T48" i="23"/>
  <c r="I45" i="39" s="1"/>
  <c r="O19" i="23"/>
  <c r="H16" i="39" s="1"/>
  <c r="Y49" i="23"/>
  <c r="J46" i="39" s="1"/>
  <c r="Y37" i="23"/>
  <c r="J34" i="39" s="1"/>
  <c r="Y25" i="23"/>
  <c r="J22" i="39" s="1"/>
  <c r="T45" i="23"/>
  <c r="I42" i="39" s="1"/>
  <c r="T33" i="23"/>
  <c r="I30" i="39" s="1"/>
  <c r="T21" i="23"/>
  <c r="I18" i="39" s="1"/>
  <c r="AD39" i="23"/>
  <c r="K36" i="39" s="1"/>
  <c r="AD13" i="23"/>
  <c r="K10" i="39" s="1"/>
  <c r="T29" i="23"/>
  <c r="I26" i="39" s="1"/>
  <c r="T40" i="23"/>
  <c r="I37" i="39" s="1"/>
  <c r="T28" i="23"/>
  <c r="I25" i="39" s="1"/>
  <c r="AD44" i="23"/>
  <c r="K41" i="39" s="1"/>
  <c r="AD32" i="23"/>
  <c r="K29" i="39" s="1"/>
  <c r="AD20" i="23"/>
  <c r="K17" i="39" s="1"/>
  <c r="T24" i="23"/>
  <c r="I21" i="39" s="1"/>
  <c r="T23" i="23"/>
  <c r="I20" i="39" s="1"/>
  <c r="T41" i="23"/>
  <c r="I38" i="39" s="1"/>
  <c r="T39" i="23"/>
  <c r="I36" i="39" s="1"/>
  <c r="T27" i="23"/>
  <c r="I24" i="39" s="1"/>
  <c r="T15" i="23"/>
  <c r="I12" i="39" s="1"/>
  <c r="AD43" i="23"/>
  <c r="K40" i="39" s="1"/>
  <c r="AD31" i="23"/>
  <c r="K28" i="39" s="1"/>
  <c r="AD19" i="23"/>
  <c r="K16" i="39" s="1"/>
  <c r="O47" i="23"/>
  <c r="H44" i="39" s="1"/>
  <c r="O35" i="23"/>
  <c r="H32" i="39" s="1"/>
  <c r="O23" i="23"/>
  <c r="H20" i="39" s="1"/>
  <c r="Y41" i="23"/>
  <c r="J38" i="39" s="1"/>
  <c r="Y29" i="23"/>
  <c r="J26" i="39" s="1"/>
  <c r="Y17" i="23"/>
  <c r="J14" i="39" s="1"/>
  <c r="AD40" i="23"/>
  <c r="K37" i="39" s="1"/>
  <c r="AD28" i="23"/>
  <c r="K25" i="39" s="1"/>
  <c r="AD16" i="23"/>
  <c r="K13" i="39" s="1"/>
  <c r="O31" i="23"/>
  <c r="H28" i="39" s="1"/>
  <c r="O32" i="23"/>
  <c r="H29" i="39" s="1"/>
  <c r="O20" i="23"/>
  <c r="H17" i="39" s="1"/>
  <c r="Y42" i="23"/>
  <c r="J39" i="39" s="1"/>
  <c r="Y30" i="23"/>
  <c r="J27" i="39" s="1"/>
  <c r="Y18" i="23"/>
  <c r="J15" i="39" s="1"/>
  <c r="Y24" i="23"/>
  <c r="J21" i="39" s="1"/>
  <c r="T46" i="23"/>
  <c r="I43" i="39" s="1"/>
  <c r="T22" i="23"/>
  <c r="I19" i="39" s="1"/>
  <c r="T17" i="23"/>
  <c r="I14" i="39" s="1"/>
  <c r="AD47" i="23"/>
  <c r="K44" i="39" s="1"/>
  <c r="AD35" i="23"/>
  <c r="K32" i="39" s="1"/>
  <c r="AD23" i="23"/>
  <c r="K20" i="39" s="1"/>
  <c r="Y48" i="23"/>
  <c r="J45" i="39" s="1"/>
  <c r="Y36" i="23"/>
  <c r="J33" i="39" s="1"/>
  <c r="T34" i="23"/>
  <c r="I31" i="39" s="1"/>
  <c r="O13" i="23"/>
  <c r="H10" i="39" s="1"/>
  <c r="T16" i="23"/>
  <c r="AD46" i="23"/>
  <c r="K43" i="39" s="1"/>
  <c r="AD34" i="23"/>
  <c r="K31" i="39" s="1"/>
  <c r="AD22" i="23"/>
  <c r="K19" i="39" s="1"/>
  <c r="O50" i="23"/>
  <c r="H47" i="39" s="1"/>
  <c r="O38" i="23"/>
  <c r="H35" i="39" s="1"/>
  <c r="O26" i="23"/>
  <c r="H23" i="39" s="1"/>
  <c r="O14" i="23"/>
  <c r="H11" i="39" s="1"/>
  <c r="I9" i="24"/>
  <c r="I7" i="24"/>
  <c r="I8" i="24"/>
  <c r="I11" i="24"/>
  <c r="K7" i="24"/>
  <c r="B15" i="24" s="1"/>
  <c r="G35" i="26"/>
  <c r="AH32" i="39" s="1"/>
  <c r="G23" i="26"/>
  <c r="AH20" i="39" s="1"/>
  <c r="L47" i="26"/>
  <c r="AI44" i="39" s="1"/>
  <c r="L35" i="26"/>
  <c r="AI32" i="39" s="1"/>
  <c r="L23" i="26"/>
  <c r="AI20" i="39" s="1"/>
  <c r="AA50" i="26"/>
  <c r="AL47" i="39" s="1"/>
  <c r="AA38" i="26"/>
  <c r="AL35" i="39" s="1"/>
  <c r="AA26" i="26"/>
  <c r="AL23" i="39" s="1"/>
  <c r="G44" i="26"/>
  <c r="AH41" i="39" s="1"/>
  <c r="G32" i="26"/>
  <c r="AH29" i="39" s="1"/>
  <c r="G20" i="26"/>
  <c r="AH17" i="39" s="1"/>
  <c r="G43" i="26"/>
  <c r="AH40" i="39" s="1"/>
  <c r="G31" i="26"/>
  <c r="AH28" i="39" s="1"/>
  <c r="G19" i="26"/>
  <c r="AH16" i="39" s="1"/>
  <c r="G42" i="26"/>
  <c r="AH39" i="39" s="1"/>
  <c r="G30" i="26"/>
  <c r="AH27" i="39" s="1"/>
  <c r="G18" i="26"/>
  <c r="AH15" i="39" s="1"/>
  <c r="AA47" i="26"/>
  <c r="AL44" i="39" s="1"/>
  <c r="AA35" i="26"/>
  <c r="AL32" i="39" s="1"/>
  <c r="AA23" i="26"/>
  <c r="AL20" i="39" s="1"/>
  <c r="G49" i="26"/>
  <c r="AH46" i="39" s="1"/>
  <c r="G37" i="26"/>
  <c r="AH34" i="39" s="1"/>
  <c r="G25" i="26"/>
  <c r="AH22" i="39" s="1"/>
  <c r="L50" i="26"/>
  <c r="AI47" i="39" s="1"/>
  <c r="L38" i="26"/>
  <c r="AI35" i="39" s="1"/>
  <c r="L26" i="26"/>
  <c r="AI23" i="39" s="1"/>
  <c r="L14" i="26"/>
  <c r="AI11" i="39" s="1"/>
  <c r="L40" i="26"/>
  <c r="AI37" i="39" s="1"/>
  <c r="L28" i="26"/>
  <c r="AI25" i="39" s="1"/>
  <c r="L16" i="26"/>
  <c r="AI13" i="39" s="1"/>
  <c r="AA43" i="26"/>
  <c r="AL40" i="39" s="1"/>
  <c r="AA31" i="26"/>
  <c r="AL28" i="39" s="1"/>
  <c r="AA19" i="26"/>
  <c r="AL16" i="39" s="1"/>
  <c r="G13" i="26"/>
  <c r="AH10" i="39" s="1"/>
  <c r="G15" i="26"/>
  <c r="AH12" i="39" s="1"/>
  <c r="G36" i="26"/>
  <c r="AH33" i="39" s="1"/>
  <c r="G24" i="26"/>
  <c r="AH21" i="39" s="1"/>
  <c r="L49" i="26"/>
  <c r="AI46" i="39" s="1"/>
  <c r="L37" i="26"/>
  <c r="AI34" i="39" s="1"/>
  <c r="L25" i="26"/>
  <c r="AI22" i="39" s="1"/>
  <c r="L39" i="26"/>
  <c r="AI36" i="39" s="1"/>
  <c r="L27" i="26"/>
  <c r="AI24" i="39" s="1"/>
  <c r="L15" i="26"/>
  <c r="AI12" i="39" s="1"/>
  <c r="AA42" i="26"/>
  <c r="AL39" i="39" s="1"/>
  <c r="AA30" i="26"/>
  <c r="AL27" i="39" s="1"/>
  <c r="AA18" i="26"/>
  <c r="AL15" i="39" s="1"/>
  <c r="G45" i="26"/>
  <c r="AH42" i="39" s="1"/>
  <c r="G33" i="26"/>
  <c r="AH30" i="39" s="1"/>
  <c r="G21" i="26"/>
  <c r="AH18" i="39" s="1"/>
  <c r="G40" i="26"/>
  <c r="AH37" i="39" s="1"/>
  <c r="G28" i="26"/>
  <c r="AH25" i="39" s="1"/>
  <c r="G16" i="26"/>
  <c r="AH13" i="39" s="1"/>
  <c r="G39" i="26"/>
  <c r="AH36" i="39" s="1"/>
  <c r="G27" i="26"/>
  <c r="AH24" i="39" s="1"/>
  <c r="V38" i="26"/>
  <c r="AK35" i="39" s="1"/>
  <c r="V26" i="26"/>
  <c r="AK23" i="39" s="1"/>
  <c r="V14" i="26"/>
  <c r="AK11" i="39" s="1"/>
  <c r="V22" i="26"/>
  <c r="AK19" i="39" s="1"/>
  <c r="V35" i="26"/>
  <c r="AK32" i="39" s="1"/>
  <c r="V34" i="26"/>
  <c r="AK31" i="39" s="1"/>
  <c r="V23" i="26"/>
  <c r="AK20" i="39" s="1"/>
  <c r="V49" i="26"/>
  <c r="AK46" i="39" s="1"/>
  <c r="V47" i="26"/>
  <c r="AK44" i="39" s="1"/>
  <c r="V46" i="26"/>
  <c r="AK43" i="39" s="1"/>
  <c r="V48" i="26"/>
  <c r="AK45" i="39" s="1"/>
  <c r="V28" i="26"/>
  <c r="AK25" i="39" s="1"/>
  <c r="V40" i="26"/>
  <c r="AK37" i="39" s="1"/>
  <c r="V31" i="26"/>
  <c r="AK28" i="39" s="1"/>
  <c r="V20" i="26"/>
  <c r="AK17" i="39" s="1"/>
  <c r="V43" i="26"/>
  <c r="AK40" i="39" s="1"/>
  <c r="V42" i="26"/>
  <c r="AK39" i="39" s="1"/>
  <c r="V41" i="26"/>
  <c r="AK38" i="39" s="1"/>
  <c r="V29" i="26"/>
  <c r="AK26" i="39" s="1"/>
  <c r="V44" i="26"/>
  <c r="AK41" i="39" s="1"/>
  <c r="V30" i="26"/>
  <c r="AK27" i="39" s="1"/>
  <c r="V45" i="26"/>
  <c r="AK42" i="39" s="1"/>
  <c r="V33" i="26"/>
  <c r="AK30" i="39" s="1"/>
  <c r="V21" i="26"/>
  <c r="AK18" i="39" s="1"/>
  <c r="V19" i="26"/>
  <c r="AK16" i="39" s="1"/>
  <c r="V17" i="26"/>
  <c r="AK14" i="39" s="1"/>
  <c r="V39" i="26"/>
  <c r="AK36" i="39" s="1"/>
  <c r="V27" i="26"/>
  <c r="AK24" i="39" s="1"/>
  <c r="V37" i="26"/>
  <c r="AK34" i="39" s="1"/>
  <c r="V25" i="26"/>
  <c r="AK22" i="39" s="1"/>
  <c r="V36" i="26"/>
  <c r="AK33" i="39" s="1"/>
  <c r="V24" i="26"/>
  <c r="AK21" i="39" s="1"/>
  <c r="V18" i="26"/>
  <c r="AK15" i="39" s="1"/>
  <c r="V16" i="26"/>
  <c r="AK13" i="39" s="1"/>
  <c r="V15" i="26"/>
  <c r="AK12" i="39" s="1"/>
  <c r="J22" i="23"/>
  <c r="G19" i="39" s="1"/>
  <c r="J27" i="23"/>
  <c r="G24" i="39" s="1"/>
  <c r="J15" i="23"/>
  <c r="G12" i="39" s="1"/>
  <c r="J50" i="23"/>
  <c r="G47" i="39" s="1"/>
  <c r="J38" i="23"/>
  <c r="G35" i="39" s="1"/>
  <c r="J26" i="23"/>
  <c r="G23" i="39" s="1"/>
  <c r="J14" i="23"/>
  <c r="G11" i="39" s="1"/>
  <c r="T44" i="23"/>
  <c r="I41" i="39" s="1"/>
  <c r="T32" i="23"/>
  <c r="I29" i="39" s="1"/>
  <c r="T20" i="23"/>
  <c r="I17" i="39" s="1"/>
  <c r="T43" i="23"/>
  <c r="I40" i="39" s="1"/>
  <c r="T31" i="23"/>
  <c r="I28" i="39" s="1"/>
  <c r="T19" i="23"/>
  <c r="I16" i="39" s="1"/>
  <c r="T42" i="23"/>
  <c r="I39" i="39" s="1"/>
  <c r="T30" i="23"/>
  <c r="I27" i="39" s="1"/>
  <c r="T18" i="23"/>
  <c r="I15" i="39" s="1"/>
  <c r="J28" i="23"/>
  <c r="G25" i="39" s="1"/>
  <c r="J29" i="23"/>
  <c r="G26" i="39" s="1"/>
  <c r="J35" i="23"/>
  <c r="G32" i="39" s="1"/>
  <c r="J23" i="23"/>
  <c r="G20" i="39" s="1"/>
  <c r="J41" i="23"/>
  <c r="G38" i="39" s="1"/>
  <c r="J17" i="23"/>
  <c r="G14" i="39" s="1"/>
  <c r="J33" i="23"/>
  <c r="G30" i="39" s="1"/>
  <c r="J44" i="23"/>
  <c r="G41" i="39" s="1"/>
  <c r="J32" i="23"/>
  <c r="G29" i="39" s="1"/>
  <c r="J45" i="23"/>
  <c r="G42" i="39" s="1"/>
  <c r="J40" i="23"/>
  <c r="G37" i="39" s="1"/>
  <c r="J16" i="23"/>
  <c r="G13" i="39" s="1"/>
  <c r="J13" i="23"/>
  <c r="G10" i="39" s="1"/>
  <c r="J39" i="23"/>
  <c r="G36" i="39" s="1"/>
  <c r="J21" i="23"/>
  <c r="G18" i="39" s="1"/>
  <c r="J20" i="23"/>
  <c r="G17" i="39" s="1"/>
  <c r="J48" i="23"/>
  <c r="G45" i="39" s="1"/>
  <c r="J47" i="23"/>
  <c r="G44" i="39" s="1"/>
  <c r="J46" i="23"/>
  <c r="G43" i="39" s="1"/>
  <c r="J49" i="23"/>
  <c r="G46" i="39" s="1"/>
  <c r="J37" i="23"/>
  <c r="G34" i="39" s="1"/>
  <c r="J25" i="23"/>
  <c r="G22" i="39" s="1"/>
  <c r="J36" i="23"/>
  <c r="G33" i="39" s="1"/>
  <c r="J24" i="23"/>
  <c r="G21" i="39" s="1"/>
  <c r="J43" i="23"/>
  <c r="G40" i="39" s="1"/>
  <c r="J19" i="23"/>
  <c r="G16" i="39" s="1"/>
  <c r="J18" i="23"/>
  <c r="G15" i="39" s="1"/>
  <c r="J31" i="23"/>
  <c r="G28" i="39" s="1"/>
  <c r="J42" i="23"/>
  <c r="G39" i="39" s="1"/>
  <c r="J30" i="23"/>
  <c r="G27" i="39" s="1"/>
  <c r="AF23" i="17"/>
  <c r="AH23" i="17" s="1"/>
  <c r="B9" i="19"/>
  <c r="B8" i="19"/>
  <c r="AF24" i="17"/>
  <c r="AH24" i="17" s="1"/>
  <c r="AF25" i="17"/>
  <c r="AH25" i="17" s="1"/>
  <c r="AF26" i="17"/>
  <c r="AH26" i="17" s="1"/>
  <c r="AF27" i="17"/>
  <c r="AG27" i="17" s="1"/>
  <c r="AF16" i="17"/>
  <c r="AH16" i="17" s="1"/>
  <c r="AF17" i="17"/>
  <c r="AH17" i="17" s="1"/>
  <c r="AF18" i="17"/>
  <c r="AG18" i="17" s="1"/>
  <c r="AF19" i="17"/>
  <c r="AH19" i="17" s="1"/>
  <c r="AF15" i="17"/>
  <c r="AH15" i="17" s="1"/>
  <c r="O16" i="17"/>
  <c r="BC8" i="17"/>
  <c r="BC7" i="17"/>
  <c r="BC6" i="17"/>
  <c r="AV36" i="17"/>
  <c r="AV35" i="17"/>
  <c r="AV33" i="17"/>
  <c r="AV32" i="17"/>
  <c r="AV31" i="17"/>
  <c r="AV30" i="17"/>
  <c r="AV29" i="17"/>
  <c r="AV27" i="17"/>
  <c r="AV26" i="17"/>
  <c r="AV25" i="17"/>
  <c r="AV24" i="17"/>
  <c r="AV23" i="17"/>
  <c r="AV22" i="17"/>
  <c r="AV21" i="17"/>
  <c r="AV20" i="17"/>
  <c r="AV18" i="17"/>
  <c r="AV17" i="17"/>
  <c r="AV16" i="17"/>
  <c r="AV15" i="17"/>
  <c r="AV14" i="17"/>
  <c r="O18" i="17"/>
  <c r="O17" i="17"/>
  <c r="O20" i="17"/>
  <c r="P20" i="17" s="1"/>
  <c r="O19" i="17"/>
  <c r="Q19" i="17" s="1"/>
  <c r="AO10" i="17"/>
  <c r="AO9" i="17"/>
  <c r="AO8" i="17"/>
  <c r="AO7" i="17"/>
  <c r="AE7" i="17"/>
  <c r="AO6" i="17"/>
  <c r="P9" i="31" l="1"/>
  <c r="P5" i="31"/>
  <c r="AI10" i="39"/>
  <c r="V13" i="26"/>
  <c r="AH11" i="39"/>
  <c r="P13" i="31"/>
  <c r="P22" i="31"/>
  <c r="P15" i="31"/>
  <c r="P12" i="31"/>
  <c r="P21" i="31"/>
  <c r="P24" i="31"/>
  <c r="P11" i="31"/>
  <c r="P17" i="31"/>
  <c r="P20" i="31"/>
  <c r="P18" i="31"/>
  <c r="AV37" i="17"/>
  <c r="BE7" i="17"/>
  <c r="BF7" i="17" s="1"/>
  <c r="BG7" i="17" s="1"/>
  <c r="BE8" i="17"/>
  <c r="BF8" i="17" s="1"/>
  <c r="BG8" i="17" s="1"/>
  <c r="BE6" i="17"/>
  <c r="BF6" i="17" s="1"/>
  <c r="BG6" i="17" s="1"/>
  <c r="AI7" i="17"/>
  <c r="AN7" i="17"/>
  <c r="E22" i="31" s="1"/>
  <c r="AG23" i="17"/>
  <c r="AG26" i="17"/>
  <c r="AG25" i="17"/>
  <c r="AG24" i="17"/>
  <c r="AH27" i="17"/>
  <c r="AH18" i="17"/>
  <c r="AG15" i="17"/>
  <c r="AG19" i="17"/>
  <c r="AG17" i="17"/>
  <c r="AG16" i="17"/>
  <c r="Q20" i="17"/>
  <c r="P19" i="17"/>
  <c r="D37" i="16" l="1"/>
  <c r="AK10" i="39"/>
  <c r="P14" i="31"/>
  <c r="R14" i="31" s="1"/>
  <c r="P19" i="31"/>
  <c r="R19" i="31" s="1"/>
  <c r="P10" i="31"/>
  <c r="R10" i="31" s="1"/>
  <c r="P23" i="31"/>
  <c r="R23" i="31" s="1"/>
  <c r="G13" i="31"/>
  <c r="G22" i="31"/>
  <c r="D26" i="16"/>
  <c r="E13" i="31"/>
  <c r="G9" i="31"/>
  <c r="E9" i="31"/>
  <c r="D20" i="16"/>
  <c r="E18" i="31"/>
  <c r="R7" i="17"/>
  <c r="S7" i="17"/>
  <c r="T7" i="17"/>
  <c r="R8" i="17"/>
  <c r="S8" i="17"/>
  <c r="T8" i="17"/>
  <c r="M9" i="17"/>
  <c r="N7" i="17" s="1"/>
  <c r="E26" i="31" l="1"/>
  <c r="G26" i="31"/>
  <c r="U18" i="31" s="1"/>
  <c r="U5" i="31"/>
  <c r="R9" i="31"/>
  <c r="R9" i="17"/>
  <c r="R22" i="31"/>
  <c r="R18" i="31"/>
  <c r="R13" i="31"/>
  <c r="N8" i="17"/>
  <c r="P9" i="39" l="1"/>
  <c r="P10" i="39" s="1"/>
  <c r="Z9" i="39"/>
  <c r="N9" i="17"/>
  <c r="S9" i="17"/>
  <c r="Q9" i="17"/>
  <c r="P9" i="17"/>
  <c r="T9" i="17"/>
  <c r="O9" i="17"/>
  <c r="BL10" i="39" l="1"/>
  <c r="CT10" i="39"/>
  <c r="I18" i="40" l="1"/>
  <c r="J18" i="40" l="1"/>
  <c r="D23" i="40" l="1"/>
  <c r="F38" i="40"/>
  <c r="E38" i="39"/>
  <c r="E10" i="39"/>
  <c r="E15" i="39"/>
  <c r="E46" i="39"/>
  <c r="E27" i="39"/>
  <c r="E25" i="39"/>
  <c r="E16" i="39"/>
  <c r="E43" i="39"/>
  <c r="E40" i="39"/>
  <c r="E17" i="39"/>
  <c r="E29" i="39"/>
  <c r="E34" i="39"/>
  <c r="E23" i="39"/>
  <c r="E35" i="39"/>
  <c r="E47" i="39"/>
  <c r="E12" i="39"/>
  <c r="E19" i="39"/>
  <c r="E28" i="39"/>
  <c r="E20" i="39"/>
  <c r="E44" i="39"/>
  <c r="E11" i="39"/>
  <c r="E24" i="39"/>
  <c r="E18" i="39"/>
  <c r="E32" i="39"/>
  <c r="E39" i="39"/>
  <c r="E36" i="39"/>
  <c r="E48" i="39"/>
  <c r="E37" i="39"/>
  <c r="E45" i="39"/>
  <c r="E33" i="39"/>
  <c r="E26" i="39"/>
  <c r="E22" i="39"/>
  <c r="E13" i="39"/>
  <c r="E41" i="39"/>
  <c r="E42" i="39"/>
  <c r="E31" i="39"/>
  <c r="E14" i="39"/>
  <c r="E21" i="39"/>
  <c r="E30" i="39"/>
  <c r="I38" i="40" l="1"/>
  <c r="D38" i="40"/>
  <c r="D16" i="40"/>
  <c r="J37" i="40"/>
  <c r="D18" i="40"/>
  <c r="J38" i="40" l="1"/>
  <c r="D17" i="40"/>
  <c r="R8" i="31"/>
  <c r="I20" i="31" l="1"/>
  <c r="I10" i="31"/>
  <c r="I18" i="31"/>
  <c r="I11" i="31"/>
  <c r="I9" i="31"/>
  <c r="I19" i="31"/>
  <c r="I17" i="31"/>
  <c r="D77" i="16"/>
  <c r="I8" i="31"/>
  <c r="E7" i="31" l="1"/>
  <c r="G7" i="31"/>
  <c r="AD6" i="17"/>
  <c r="AE6" i="17" s="1"/>
  <c r="AI6" i="17" l="1"/>
  <c r="AN6" i="17"/>
  <c r="G15" i="31" l="1"/>
  <c r="E21" i="31"/>
  <c r="E12" i="31"/>
  <c r="D25" i="16"/>
  <c r="G24" i="31"/>
  <c r="G12" i="31"/>
  <c r="E15" i="31"/>
  <c r="E24" i="31"/>
  <c r="G21" i="31"/>
  <c r="G33" i="31" s="1"/>
  <c r="G11" i="31"/>
  <c r="E20" i="31"/>
  <c r="E11" i="31"/>
  <c r="E17" i="31"/>
  <c r="E8" i="31"/>
  <c r="D19" i="16"/>
  <c r="R11" i="31" l="1"/>
  <c r="U7" i="31"/>
  <c r="R12" i="31"/>
  <c r="R21" i="31"/>
  <c r="R24" i="31"/>
  <c r="R20" i="31"/>
  <c r="R17" i="31"/>
  <c r="E28" i="31"/>
  <c r="G28" i="31"/>
  <c r="U20" i="31" s="1"/>
  <c r="R15" i="31"/>
  <c r="AC9" i="39" l="1"/>
  <c r="S9" i="39"/>
  <c r="E6" i="31"/>
  <c r="E4" i="31"/>
  <c r="G6" i="31"/>
  <c r="U6" i="31" s="1"/>
  <c r="G4" i="31"/>
  <c r="U4" i="31" s="1"/>
  <c r="D38" i="16"/>
  <c r="G25" i="31"/>
  <c r="U17" i="31" s="1"/>
  <c r="R9" i="39" l="1"/>
  <c r="R10" i="39" s="1"/>
  <c r="CV10" i="39" s="1"/>
  <c r="AB9" i="39"/>
  <c r="X9" i="39"/>
  <c r="N9" i="39"/>
  <c r="E27" i="31"/>
  <c r="E25" i="31"/>
  <c r="G27" i="31"/>
  <c r="U9" i="39" l="1"/>
  <c r="AE9" i="39"/>
  <c r="O10" i="39"/>
  <c r="P11" i="39" s="1"/>
  <c r="BN10" i="39"/>
  <c r="T9" i="39"/>
  <c r="S10" i="39"/>
  <c r="BO10" i="39" s="1"/>
  <c r="Q10" i="39"/>
  <c r="CR10" i="39"/>
  <c r="O11" i="39"/>
  <c r="CS11" i="39" s="1"/>
  <c r="Q11" i="39"/>
  <c r="AD9" i="39"/>
  <c r="BM10" i="39"/>
  <c r="CU10" i="39"/>
  <c r="R11" i="39"/>
  <c r="U19" i="31"/>
  <c r="N11" i="39" l="1"/>
  <c r="BM11" i="39"/>
  <c r="BK10" i="39"/>
  <c r="BP10" i="39" s="1"/>
  <c r="CS10" i="39"/>
  <c r="S11" i="39"/>
  <c r="AC10" i="39" s="1"/>
  <c r="T10" i="39"/>
  <c r="U10" i="39"/>
  <c r="Y10" i="39"/>
  <c r="BS10" i="39" s="1"/>
  <c r="AA10" i="39"/>
  <c r="BU10" i="39" s="1"/>
  <c r="CU11" i="39"/>
  <c r="BK11" i="39"/>
  <c r="CX10" i="39"/>
  <c r="T11" i="39"/>
  <c r="P12" i="39"/>
  <c r="Z11" i="39" s="1"/>
  <c r="CV11" i="39"/>
  <c r="BN11" i="39"/>
  <c r="AB10" i="39"/>
  <c r="BL11" i="39"/>
  <c r="CT11" i="39"/>
  <c r="Z10" i="39"/>
  <c r="U11" i="39"/>
  <c r="R12" i="39"/>
  <c r="AB11" i="39" s="1"/>
  <c r="U21" i="31"/>
  <c r="W19" i="31" s="1"/>
  <c r="Q12" i="39" l="1"/>
  <c r="X10" i="39"/>
  <c r="O12" i="39"/>
  <c r="BJ11" i="39"/>
  <c r="BP11" i="39" s="1"/>
  <c r="N12" i="39"/>
  <c r="T12" i="39" s="1"/>
  <c r="CR11" i="39"/>
  <c r="CX11" i="39" s="1"/>
  <c r="BW10" i="39"/>
  <c r="DB10" i="39"/>
  <c r="S12" i="39"/>
  <c r="AC11" i="39" s="1"/>
  <c r="BO11" i="39"/>
  <c r="DD10" i="39"/>
  <c r="AT9" i="39"/>
  <c r="BC9" i="39"/>
  <c r="BV11" i="39"/>
  <c r="DE11" i="39"/>
  <c r="BL12" i="39"/>
  <c r="CT12" i="39"/>
  <c r="P13" i="39"/>
  <c r="Z12" i="39" s="1"/>
  <c r="BT10" i="39"/>
  <c r="DC10" i="39"/>
  <c r="DE10" i="39"/>
  <c r="BV10" i="39"/>
  <c r="W20" i="31"/>
  <c r="W18" i="31"/>
  <c r="W17" i="31"/>
  <c r="DC11" i="39"/>
  <c r="BT11" i="39"/>
  <c r="BN12" i="39"/>
  <c r="CV12" i="39"/>
  <c r="R13" i="39"/>
  <c r="AD10" i="39"/>
  <c r="S13" i="39" l="1"/>
  <c r="AC12" i="39" s="1"/>
  <c r="CS12" i="39"/>
  <c r="BK12" i="39"/>
  <c r="Y11" i="39"/>
  <c r="X11" i="39"/>
  <c r="N13" i="39"/>
  <c r="Q13" i="39"/>
  <c r="CR12" i="39"/>
  <c r="CX12" i="39" s="1"/>
  <c r="O13" i="39"/>
  <c r="P14" i="39" s="1"/>
  <c r="BJ12" i="39"/>
  <c r="BW11" i="39"/>
  <c r="U12" i="39"/>
  <c r="DA10" i="39"/>
  <c r="BR10" i="39"/>
  <c r="AE10" i="39"/>
  <c r="BO12" i="39"/>
  <c r="CU12" i="39"/>
  <c r="BM12" i="39"/>
  <c r="BP12" i="39" s="1"/>
  <c r="AA11" i="39"/>
  <c r="BX10" i="39"/>
  <c r="BW12" i="39"/>
  <c r="AT10" i="39"/>
  <c r="BN13" i="39"/>
  <c r="CV13" i="39"/>
  <c r="AY9" i="39"/>
  <c r="W21" i="31"/>
  <c r="AP9" i="39"/>
  <c r="DC12" i="39"/>
  <c r="BT12" i="39"/>
  <c r="BA9" i="39"/>
  <c r="AR9" i="39"/>
  <c r="DG10" i="39"/>
  <c r="AB12" i="39"/>
  <c r="BD9" i="39"/>
  <c r="AU9" i="39"/>
  <c r="BO13" i="39"/>
  <c r="BL13" i="39"/>
  <c r="CT13" i="39"/>
  <c r="BU11" i="39" l="1"/>
  <c r="DD11" i="39"/>
  <c r="AA12" i="39"/>
  <c r="CU13" i="39"/>
  <c r="BM13" i="39"/>
  <c r="S14" i="39"/>
  <c r="AC13" i="39" s="1"/>
  <c r="BW13" i="39" s="1"/>
  <c r="R14" i="39"/>
  <c r="CV14" i="39" s="1"/>
  <c r="T13" i="39"/>
  <c r="AE11" i="39"/>
  <c r="BR11" i="39"/>
  <c r="DA11" i="39"/>
  <c r="AD11" i="39"/>
  <c r="Y12" i="39"/>
  <c r="CS13" i="39"/>
  <c r="BK13" i="39"/>
  <c r="BS11" i="39"/>
  <c r="DB11" i="39"/>
  <c r="U13" i="39"/>
  <c r="Q14" i="39"/>
  <c r="AA13" i="39" s="1"/>
  <c r="X12" i="39"/>
  <c r="AD12" i="39" s="1"/>
  <c r="O14" i="39"/>
  <c r="N14" i="39"/>
  <c r="BJ13" i="39"/>
  <c r="BP13" i="39" s="1"/>
  <c r="CR13" i="39"/>
  <c r="CX13" i="39"/>
  <c r="AU10" i="39"/>
  <c r="BF9" i="39"/>
  <c r="BE9" i="39"/>
  <c r="AV9" i="39"/>
  <c r="AW9" i="39"/>
  <c r="AS10" i="39"/>
  <c r="AP10" i="39"/>
  <c r="AQ10" i="39"/>
  <c r="CT14" i="39"/>
  <c r="BL14" i="39"/>
  <c r="T14" i="39"/>
  <c r="U14" i="39"/>
  <c r="P15" i="39"/>
  <c r="CE10" i="39"/>
  <c r="DN10" i="39"/>
  <c r="BO14" i="39"/>
  <c r="S15" i="39"/>
  <c r="AC14" i="39" s="1"/>
  <c r="BV12" i="39"/>
  <c r="DE12" i="39"/>
  <c r="Z13" i="39"/>
  <c r="AR10" i="39"/>
  <c r="BU13" i="39" l="1"/>
  <c r="DD13" i="39"/>
  <c r="R15" i="39"/>
  <c r="AB14" i="39" s="1"/>
  <c r="BV14" i="39" s="1"/>
  <c r="DB12" i="39"/>
  <c r="BS12" i="39"/>
  <c r="BU12" i="39"/>
  <c r="DD12" i="39"/>
  <c r="BR12" i="39"/>
  <c r="BX12" i="39" s="1"/>
  <c r="AE12" i="39"/>
  <c r="DA12" i="39"/>
  <c r="BN14" i="39"/>
  <c r="BP14" i="39" s="1"/>
  <c r="DG11" i="39"/>
  <c r="BM14" i="39"/>
  <c r="CU14" i="39"/>
  <c r="AB13" i="39"/>
  <c r="DE13" i="39" s="1"/>
  <c r="O15" i="39"/>
  <c r="BJ14" i="39"/>
  <c r="Q15" i="39"/>
  <c r="CR14" i="39"/>
  <c r="CX14" i="39" s="1"/>
  <c r="N15" i="39"/>
  <c r="T15" i="39" s="1"/>
  <c r="DG12" i="39"/>
  <c r="Y13" i="39"/>
  <c r="BK14" i="39"/>
  <c r="CS14" i="39"/>
  <c r="BX11" i="39"/>
  <c r="X13" i="39"/>
  <c r="BL15" i="39"/>
  <c r="CT15" i="39"/>
  <c r="P16" i="39"/>
  <c r="DO10" i="39"/>
  <c r="AU11" i="39"/>
  <c r="CF10" i="39"/>
  <c r="BT13" i="39"/>
  <c r="DC13" i="39"/>
  <c r="CB10" i="39"/>
  <c r="DK10" i="39"/>
  <c r="AR11" i="39"/>
  <c r="BA10" i="39" s="1"/>
  <c r="BV13" i="39"/>
  <c r="CC10" i="39"/>
  <c r="DL10" i="39"/>
  <c r="AD13" i="39"/>
  <c r="Z14" i="39"/>
  <c r="BW14" i="39"/>
  <c r="BO15" i="39"/>
  <c r="AW10" i="39"/>
  <c r="DJ10" i="39"/>
  <c r="AS11" i="39"/>
  <c r="BB10" i="39" s="1"/>
  <c r="AP11" i="39"/>
  <c r="AQ11" i="39"/>
  <c r="AV10" i="39"/>
  <c r="CV15" i="39"/>
  <c r="BN15" i="39"/>
  <c r="R16" i="39"/>
  <c r="AT11" i="39"/>
  <c r="CD10" i="39"/>
  <c r="DM10" i="39"/>
  <c r="U15" i="39" l="1"/>
  <c r="AA14" i="39"/>
  <c r="CU15" i="39"/>
  <c r="BM15" i="39"/>
  <c r="CS15" i="39"/>
  <c r="BK15" i="39"/>
  <c r="BP15" i="39" s="1"/>
  <c r="Y14" i="39"/>
  <c r="DE14" i="39"/>
  <c r="X14" i="39"/>
  <c r="CR15" i="39"/>
  <c r="CX15" i="39" s="1"/>
  <c r="Q16" i="39"/>
  <c r="T16" i="39" s="1"/>
  <c r="O16" i="39"/>
  <c r="BJ15" i="39"/>
  <c r="N16" i="39"/>
  <c r="BR13" i="39"/>
  <c r="AE13" i="39"/>
  <c r="DA13" i="39"/>
  <c r="S16" i="39"/>
  <c r="AC15" i="39" s="1"/>
  <c r="BW15" i="39" s="1"/>
  <c r="DB13" i="39"/>
  <c r="BS13" i="39"/>
  <c r="BX13" i="39" s="1"/>
  <c r="DG13" i="39"/>
  <c r="CG10" i="39"/>
  <c r="CV16" i="39"/>
  <c r="BN16" i="39"/>
  <c r="DO11" i="39"/>
  <c r="CF11" i="39"/>
  <c r="AU12" i="39"/>
  <c r="BD10" i="39"/>
  <c r="CL10" i="39"/>
  <c r="DU10" i="39"/>
  <c r="CE11" i="39"/>
  <c r="DN11" i="39"/>
  <c r="BC10" i="39"/>
  <c r="AB15" i="39"/>
  <c r="BL16" i="39"/>
  <c r="CT16" i="39"/>
  <c r="P17" i="39"/>
  <c r="AR12" i="39"/>
  <c r="CB11" i="39"/>
  <c r="DK11" i="39"/>
  <c r="BT14" i="39"/>
  <c r="DC14" i="39"/>
  <c r="DJ11" i="39"/>
  <c r="AW11" i="39"/>
  <c r="AV11" i="39"/>
  <c r="AS12" i="39"/>
  <c r="AP12" i="39"/>
  <c r="AY11" i="39" s="1"/>
  <c r="CA11" i="39"/>
  <c r="AQ12" i="39"/>
  <c r="AZ11" i="39" s="1"/>
  <c r="AY10" i="39"/>
  <c r="DV10" i="39"/>
  <c r="CM10" i="39"/>
  <c r="CD11" i="39"/>
  <c r="DM11" i="39"/>
  <c r="AT12" i="39"/>
  <c r="BC11" i="39" s="1"/>
  <c r="DL11" i="39"/>
  <c r="DP10" i="39"/>
  <c r="AZ10" i="39"/>
  <c r="Z15" i="39"/>
  <c r="AE14" i="39" l="1"/>
  <c r="BR14" i="39"/>
  <c r="DA14" i="39"/>
  <c r="U16" i="39"/>
  <c r="DB14" i="39"/>
  <c r="BS14" i="39"/>
  <c r="BX14" i="39" s="1"/>
  <c r="AD14" i="39"/>
  <c r="DG14" i="39"/>
  <c r="X15" i="39"/>
  <c r="N17" i="39"/>
  <c r="O17" i="39"/>
  <c r="Q17" i="39"/>
  <c r="BJ16" i="39"/>
  <c r="CR16" i="39"/>
  <c r="DD14" i="39"/>
  <c r="BU14" i="39"/>
  <c r="AA15" i="39"/>
  <c r="CU16" i="39"/>
  <c r="CX16" i="39" s="1"/>
  <c r="BM16" i="39"/>
  <c r="BP16" i="39" s="1"/>
  <c r="BO16" i="39"/>
  <c r="S17" i="39"/>
  <c r="S18" i="39" s="1"/>
  <c r="R17" i="39"/>
  <c r="AB16" i="39" s="1"/>
  <c r="Y15" i="39"/>
  <c r="BK16" i="39"/>
  <c r="CS16" i="39"/>
  <c r="CG11" i="39"/>
  <c r="DT11" i="39"/>
  <c r="BV16" i="39"/>
  <c r="DE16" i="39"/>
  <c r="CK10" i="39"/>
  <c r="DT10" i="39"/>
  <c r="DS11" i="39"/>
  <c r="DJ12" i="39"/>
  <c r="CA12" i="39"/>
  <c r="AP13" i="39"/>
  <c r="AW12" i="39"/>
  <c r="AS13" i="39"/>
  <c r="BB12" i="39" s="1"/>
  <c r="AV12" i="39"/>
  <c r="AQ13" i="39"/>
  <c r="DW11" i="39"/>
  <c r="DK12" i="39"/>
  <c r="CB12" i="39"/>
  <c r="AR13" i="39"/>
  <c r="BA12" i="39" s="1"/>
  <c r="DC15" i="39"/>
  <c r="BT15" i="39"/>
  <c r="CN10" i="39"/>
  <c r="DW10" i="39"/>
  <c r="DL12" i="39"/>
  <c r="CT17" i="39"/>
  <c r="BL17" i="39"/>
  <c r="CD12" i="39"/>
  <c r="DM12" i="39"/>
  <c r="AT13" i="39"/>
  <c r="BC12" i="39" s="1"/>
  <c r="CJ10" i="39"/>
  <c r="DS10" i="39"/>
  <c r="BE10" i="39"/>
  <c r="BF10" i="39"/>
  <c r="CV17" i="39"/>
  <c r="BN17" i="39"/>
  <c r="R18" i="39"/>
  <c r="BA11" i="39"/>
  <c r="DP11" i="39"/>
  <c r="BB11" i="39"/>
  <c r="CE12" i="39"/>
  <c r="DN12" i="39"/>
  <c r="Z16" i="39"/>
  <c r="CO10" i="39"/>
  <c r="DX10" i="39"/>
  <c r="AD15" i="39"/>
  <c r="DE15" i="39"/>
  <c r="BV15" i="39"/>
  <c r="AU13" i="39"/>
  <c r="CF12" i="39"/>
  <c r="DO12" i="39"/>
  <c r="BD11" i="39"/>
  <c r="Y16" i="39" l="1"/>
  <c r="BK17" i="39"/>
  <c r="CS17" i="39"/>
  <c r="BO17" i="39"/>
  <c r="DD15" i="39"/>
  <c r="BU15" i="39"/>
  <c r="X16" i="39"/>
  <c r="BJ17" i="39"/>
  <c r="BP17" i="39" s="1"/>
  <c r="CR17" i="39"/>
  <c r="CX17" i="39" s="1"/>
  <c r="O18" i="39"/>
  <c r="N18" i="39"/>
  <c r="Q18" i="39"/>
  <c r="AC16" i="39"/>
  <c r="AD16" i="39" s="1"/>
  <c r="T17" i="39"/>
  <c r="DB15" i="39"/>
  <c r="BS15" i="39"/>
  <c r="AE15" i="39"/>
  <c r="BR15" i="39"/>
  <c r="BX15" i="39" s="1"/>
  <c r="DA15" i="39"/>
  <c r="U17" i="39"/>
  <c r="P18" i="39"/>
  <c r="CT18" i="39" s="1"/>
  <c r="AA16" i="39"/>
  <c r="BM17" i="39"/>
  <c r="CU17" i="39"/>
  <c r="AA17" i="39"/>
  <c r="DY10" i="39"/>
  <c r="CP10" i="39"/>
  <c r="BF11" i="39"/>
  <c r="BE11" i="39"/>
  <c r="DP12" i="39"/>
  <c r="BL18" i="39"/>
  <c r="DU11" i="39"/>
  <c r="DV12" i="39"/>
  <c r="AR14" i="39"/>
  <c r="BA13" i="39" s="1"/>
  <c r="DK13" i="39"/>
  <c r="CB13" i="39"/>
  <c r="BN18" i="39"/>
  <c r="CV18" i="39"/>
  <c r="R19" i="39"/>
  <c r="AB18" i="39" s="1"/>
  <c r="DG15" i="39"/>
  <c r="AZ12" i="39"/>
  <c r="AB17" i="39"/>
  <c r="DL13" i="39"/>
  <c r="CD13" i="39"/>
  <c r="DM13" i="39"/>
  <c r="AT14" i="39"/>
  <c r="BC13" i="39" s="1"/>
  <c r="DW12" i="39"/>
  <c r="DV11" i="39"/>
  <c r="BO18" i="39"/>
  <c r="CE13" i="39"/>
  <c r="DN13" i="39"/>
  <c r="DJ13" i="39"/>
  <c r="AQ14" i="39"/>
  <c r="AZ13" i="39" s="1"/>
  <c r="AW13" i="39"/>
  <c r="AV13" i="39"/>
  <c r="AP14" i="39"/>
  <c r="AY13" i="39" s="1"/>
  <c r="CA13" i="39"/>
  <c r="AS14" i="39"/>
  <c r="BB13" i="39" s="1"/>
  <c r="CF13" i="39"/>
  <c r="DO13" i="39"/>
  <c r="AU14" i="39"/>
  <c r="BD13" i="39"/>
  <c r="AC17" i="39"/>
  <c r="BW16" i="39"/>
  <c r="DX11" i="39"/>
  <c r="DU12" i="39"/>
  <c r="BT16" i="39"/>
  <c r="DC16" i="39"/>
  <c r="AY12" i="39"/>
  <c r="BD12" i="39"/>
  <c r="CG12" i="39"/>
  <c r="CS18" i="39" l="1"/>
  <c r="BK18" i="39"/>
  <c r="AE16" i="39"/>
  <c r="BR16" i="39"/>
  <c r="BX16" i="39" s="1"/>
  <c r="DA16" i="39"/>
  <c r="DG16" i="39" s="1"/>
  <c r="Z17" i="39"/>
  <c r="BT17" i="39" s="1"/>
  <c r="BU17" i="39"/>
  <c r="DD17" i="39"/>
  <c r="Y17" i="39"/>
  <c r="S19" i="39"/>
  <c r="AC18" i="39" s="1"/>
  <c r="T18" i="39"/>
  <c r="P19" i="39"/>
  <c r="U18" i="39"/>
  <c r="CU18" i="39"/>
  <c r="BM18" i="39"/>
  <c r="DD16" i="39"/>
  <c r="BU16" i="39"/>
  <c r="X17" i="39"/>
  <c r="N19" i="39"/>
  <c r="T19" i="39" s="1"/>
  <c r="O19" i="39"/>
  <c r="U19" i="39" s="1"/>
  <c r="Q19" i="39"/>
  <c r="R20" i="39" s="1"/>
  <c r="BJ18" i="39"/>
  <c r="CR18" i="39"/>
  <c r="BS16" i="39"/>
  <c r="DB16" i="39"/>
  <c r="DY11" i="39"/>
  <c r="DT13" i="39"/>
  <c r="DW13" i="39"/>
  <c r="DX12" i="39"/>
  <c r="BW17" i="39"/>
  <c r="AD17" i="39"/>
  <c r="DX13" i="39"/>
  <c r="CT19" i="39"/>
  <c r="BL19" i="39"/>
  <c r="P20" i="39"/>
  <c r="Z19" i="39" s="1"/>
  <c r="DU13" i="39"/>
  <c r="CD14" i="39"/>
  <c r="AT15" i="39"/>
  <c r="BC14" i="39" s="1"/>
  <c r="DM14" i="39"/>
  <c r="BV17" i="39"/>
  <c r="DE17" i="39"/>
  <c r="DL14" i="39"/>
  <c r="CX18" i="39"/>
  <c r="DS12" i="39"/>
  <c r="BF12" i="39"/>
  <c r="BE12" i="39"/>
  <c r="CG13" i="39"/>
  <c r="DT12" i="39"/>
  <c r="Z18" i="39"/>
  <c r="CE14" i="39"/>
  <c r="DN14" i="39"/>
  <c r="AR15" i="39"/>
  <c r="BA14" i="39" s="1"/>
  <c r="DK14" i="39"/>
  <c r="CB14" i="39"/>
  <c r="DV13" i="39"/>
  <c r="CF14" i="39"/>
  <c r="DO14" i="39"/>
  <c r="AU15" i="39"/>
  <c r="BP18" i="39"/>
  <c r="DS13" i="39"/>
  <c r="BE13" i="39"/>
  <c r="BF13" i="39"/>
  <c r="CA14" i="39"/>
  <c r="AP15" i="39"/>
  <c r="DJ14" i="39"/>
  <c r="AQ15" i="39"/>
  <c r="AZ14" i="39" s="1"/>
  <c r="AV14" i="39"/>
  <c r="AW14" i="39"/>
  <c r="AS15" i="39"/>
  <c r="BB14" i="39" s="1"/>
  <c r="BN19" i="39"/>
  <c r="CV19" i="39"/>
  <c r="DP13" i="39"/>
  <c r="BV18" i="39"/>
  <c r="DE18" i="39"/>
  <c r="S20" i="39" l="1"/>
  <c r="AC19" i="39" s="1"/>
  <c r="DC17" i="39"/>
  <c r="Y18" i="39"/>
  <c r="BK19" i="39"/>
  <c r="CS19" i="39"/>
  <c r="CX19" i="39" s="1"/>
  <c r="AA18" i="39"/>
  <c r="BM19" i="39"/>
  <c r="BP19" i="39" s="1"/>
  <c r="CU19" i="39"/>
  <c r="BS17" i="39"/>
  <c r="DB17" i="39"/>
  <c r="X18" i="39"/>
  <c r="AD18" i="39" s="1"/>
  <c r="BJ19" i="39"/>
  <c r="CR19" i="39"/>
  <c r="O20" i="39"/>
  <c r="N20" i="39"/>
  <c r="Q20" i="39"/>
  <c r="X19" i="39"/>
  <c r="BO19" i="39"/>
  <c r="AE17" i="39"/>
  <c r="DA17" i="39"/>
  <c r="DG17" i="39" s="1"/>
  <c r="BR17" i="39"/>
  <c r="BX17" i="39" s="1"/>
  <c r="DY13" i="39"/>
  <c r="DY12" i="39"/>
  <c r="DT14" i="39"/>
  <c r="DC19" i="39"/>
  <c r="BT19" i="39"/>
  <c r="BW18" i="39"/>
  <c r="CF15" i="39"/>
  <c r="DO15" i="39"/>
  <c r="AU16" i="39"/>
  <c r="BD15" i="39" s="1"/>
  <c r="DW14" i="39"/>
  <c r="BT18" i="39"/>
  <c r="DC18" i="39"/>
  <c r="DU14" i="39"/>
  <c r="CA15" i="39"/>
  <c r="AQ16" i="39"/>
  <c r="AZ15" i="39" s="1"/>
  <c r="AP16" i="39"/>
  <c r="AY15" i="39" s="1"/>
  <c r="DJ15" i="39"/>
  <c r="AS16" i="39"/>
  <c r="AW15" i="39"/>
  <c r="AV15" i="39"/>
  <c r="CG14" i="39"/>
  <c r="DM15" i="39"/>
  <c r="CD15" i="39"/>
  <c r="AT16" i="39"/>
  <c r="BC15" i="39" s="1"/>
  <c r="BW19" i="39"/>
  <c r="BD14" i="39"/>
  <c r="BN20" i="39"/>
  <c r="CV20" i="39"/>
  <c r="R21" i="39"/>
  <c r="AB20" i="39" s="1"/>
  <c r="DP14" i="39"/>
  <c r="DN15" i="39"/>
  <c r="CE15" i="39"/>
  <c r="DV14" i="39"/>
  <c r="BL20" i="39"/>
  <c r="CT20" i="39"/>
  <c r="P21" i="39"/>
  <c r="T20" i="39"/>
  <c r="CB15" i="39"/>
  <c r="DK15" i="39"/>
  <c r="AR16" i="39"/>
  <c r="BA15" i="39" s="1"/>
  <c r="AY14" i="39"/>
  <c r="AB19" i="39"/>
  <c r="BO20" i="39"/>
  <c r="DL15" i="39"/>
  <c r="N21" i="39" l="1"/>
  <c r="CR20" i="39"/>
  <c r="O21" i="39"/>
  <c r="Q21" i="39"/>
  <c r="BJ20" i="39"/>
  <c r="BP20" i="39" s="1"/>
  <c r="Y19" i="39"/>
  <c r="BK20" i="39"/>
  <c r="CS20" i="39"/>
  <c r="CX20" i="39" s="1"/>
  <c r="DB18" i="39"/>
  <c r="BS18" i="39"/>
  <c r="BX18" i="39" s="1"/>
  <c r="DA19" i="39"/>
  <c r="BR19" i="39"/>
  <c r="AE18" i="39"/>
  <c r="DA18" i="39"/>
  <c r="DG18" i="39" s="1"/>
  <c r="BR18" i="39"/>
  <c r="BU18" i="39"/>
  <c r="DD18" i="39"/>
  <c r="AA19" i="39"/>
  <c r="AD19" i="39" s="1"/>
  <c r="CU20" i="39"/>
  <c r="BM20" i="39"/>
  <c r="U20" i="39"/>
  <c r="S21" i="39"/>
  <c r="CG15" i="39"/>
  <c r="DU15" i="39"/>
  <c r="DX15" i="39"/>
  <c r="DX14" i="39"/>
  <c r="BO21" i="39"/>
  <c r="S22" i="39"/>
  <c r="BL21" i="39"/>
  <c r="CT21" i="39"/>
  <c r="U21" i="39"/>
  <c r="T21" i="39"/>
  <c r="P22" i="39"/>
  <c r="CE16" i="39"/>
  <c r="DN16" i="39"/>
  <c r="DL16" i="39"/>
  <c r="CF16" i="39"/>
  <c r="DO16" i="39"/>
  <c r="AU17" i="39"/>
  <c r="BD16" i="39" s="1"/>
  <c r="Z20" i="39"/>
  <c r="CD16" i="39"/>
  <c r="AT17" i="39"/>
  <c r="BC16" i="39" s="1"/>
  <c r="DM16" i="39"/>
  <c r="BV20" i="39"/>
  <c r="DE20" i="39"/>
  <c r="DT15" i="39"/>
  <c r="DP15" i="39"/>
  <c r="DS15" i="39"/>
  <c r="DW15" i="39"/>
  <c r="AC20" i="39"/>
  <c r="DE19" i="39"/>
  <c r="BV19" i="39"/>
  <c r="CV21" i="39"/>
  <c r="BN21" i="39"/>
  <c r="R22" i="39"/>
  <c r="BB15" i="39"/>
  <c r="BE15" i="39" s="1"/>
  <c r="DJ16" i="39"/>
  <c r="AS17" i="39"/>
  <c r="AV16" i="39"/>
  <c r="AW16" i="39"/>
  <c r="AQ17" i="39"/>
  <c r="AZ16" i="39" s="1"/>
  <c r="AP17" i="39"/>
  <c r="AY16" i="39" s="1"/>
  <c r="CA16" i="39"/>
  <c r="DS14" i="39"/>
  <c r="BF14" i="39"/>
  <c r="BE14" i="39"/>
  <c r="AR17" i="39"/>
  <c r="BA16" i="39" s="1"/>
  <c r="DK16" i="39"/>
  <c r="CB16" i="39"/>
  <c r="Y20" i="39" l="1"/>
  <c r="BK21" i="39"/>
  <c r="CS21" i="39"/>
  <c r="CU21" i="39"/>
  <c r="BM21" i="39"/>
  <c r="X20" i="39"/>
  <c r="CR21" i="39"/>
  <c r="CX21" i="39" s="1"/>
  <c r="Q22" i="39"/>
  <c r="O22" i="39"/>
  <c r="U22" i="39" s="1"/>
  <c r="N22" i="39"/>
  <c r="BJ21" i="39"/>
  <c r="X21" i="39"/>
  <c r="DD19" i="39"/>
  <c r="BU19" i="39"/>
  <c r="DB19" i="39"/>
  <c r="DG19" i="39" s="1"/>
  <c r="BS19" i="39"/>
  <c r="BX19" i="39"/>
  <c r="AA20" i="39"/>
  <c r="AE19" i="39"/>
  <c r="DY14" i="39"/>
  <c r="DW16" i="39"/>
  <c r="DT16" i="39"/>
  <c r="CD17" i="39"/>
  <c r="DM17" i="39"/>
  <c r="AT18" i="39"/>
  <c r="BO22" i="39"/>
  <c r="DU16" i="39"/>
  <c r="AC21" i="39"/>
  <c r="CV22" i="39"/>
  <c r="BN22" i="39"/>
  <c r="CG16" i="39"/>
  <c r="BF15" i="39"/>
  <c r="BT20" i="39"/>
  <c r="DC20" i="39"/>
  <c r="BL22" i="39"/>
  <c r="CT22" i="39"/>
  <c r="CA17" i="39"/>
  <c r="AQ18" i="39"/>
  <c r="AZ17" i="39" s="1"/>
  <c r="AV17" i="39"/>
  <c r="AW17" i="39"/>
  <c r="DJ17" i="39"/>
  <c r="AS18" i="39"/>
  <c r="BB17" i="39" s="1"/>
  <c r="AP18" i="39"/>
  <c r="AY17" i="39" s="1"/>
  <c r="DO17" i="39"/>
  <c r="CF17" i="39"/>
  <c r="AU18" i="39"/>
  <c r="AB21" i="39"/>
  <c r="DX16" i="39"/>
  <c r="DP16" i="39"/>
  <c r="DV15" i="39"/>
  <c r="DY15" i="39" s="1"/>
  <c r="BB16" i="39"/>
  <c r="AR18" i="39"/>
  <c r="BA17" i="39" s="1"/>
  <c r="CB17" i="39"/>
  <c r="DK17" i="39"/>
  <c r="DS16" i="39"/>
  <c r="DN17" i="39"/>
  <c r="CE17" i="39"/>
  <c r="BP21" i="39"/>
  <c r="DL17" i="39"/>
  <c r="BW20" i="39"/>
  <c r="Z21" i="39"/>
  <c r="CU22" i="39" l="1"/>
  <c r="BM22" i="39"/>
  <c r="R23" i="39"/>
  <c r="AB22" i="39" s="1"/>
  <c r="T22" i="39"/>
  <c r="DA21" i="39"/>
  <c r="BR21" i="39"/>
  <c r="AE20" i="39"/>
  <c r="DA20" i="39"/>
  <c r="DG20" i="39" s="1"/>
  <c r="BR20" i="39"/>
  <c r="BX20" i="39" s="1"/>
  <c r="AA21" i="39"/>
  <c r="AE21" i="39" s="1"/>
  <c r="Y21" i="39"/>
  <c r="BK22" i="39"/>
  <c r="CS22" i="39"/>
  <c r="BU20" i="39"/>
  <c r="DD20" i="39"/>
  <c r="P23" i="39"/>
  <c r="CT23" i="39" s="1"/>
  <c r="AD20" i="39"/>
  <c r="S23" i="39"/>
  <c r="AC22" i="39" s="1"/>
  <c r="BW22" i="39" s="1"/>
  <c r="Q23" i="39"/>
  <c r="R24" i="39" s="1"/>
  <c r="AB23" i="39" s="1"/>
  <c r="O23" i="39"/>
  <c r="N23" i="39"/>
  <c r="CR22" i="39"/>
  <c r="BJ22" i="39"/>
  <c r="BS20" i="39"/>
  <c r="DB20" i="39"/>
  <c r="CG17" i="39"/>
  <c r="BV22" i="39"/>
  <c r="DE22" i="39"/>
  <c r="DS17" i="39"/>
  <c r="DV16" i="39"/>
  <c r="DY16" i="39" s="1"/>
  <c r="BV21" i="39"/>
  <c r="DE21" i="39"/>
  <c r="CE18" i="39"/>
  <c r="DN18" i="39"/>
  <c r="DU17" i="39"/>
  <c r="AT19" i="39"/>
  <c r="DM18" i="39"/>
  <c r="CD18" i="39"/>
  <c r="CX22" i="39"/>
  <c r="BP22" i="39"/>
  <c r="DV17" i="39"/>
  <c r="DP17" i="39"/>
  <c r="BW21" i="39"/>
  <c r="BN23" i="39"/>
  <c r="CV23" i="39"/>
  <c r="BF16" i="39"/>
  <c r="BE16" i="39"/>
  <c r="BL23" i="39"/>
  <c r="CF18" i="39"/>
  <c r="DO18" i="39"/>
  <c r="AU19" i="39"/>
  <c r="DJ18" i="39"/>
  <c r="AV18" i="39"/>
  <c r="AQ19" i="39"/>
  <c r="AZ18" i="39" s="1"/>
  <c r="AW18" i="39"/>
  <c r="CA18" i="39"/>
  <c r="AS19" i="39"/>
  <c r="BB18" i="39" s="1"/>
  <c r="AP19" i="39"/>
  <c r="DT17" i="39"/>
  <c r="DL18" i="39"/>
  <c r="BD17" i="39"/>
  <c r="BT21" i="39"/>
  <c r="DC21" i="39"/>
  <c r="BC17" i="39"/>
  <c r="DK18" i="39"/>
  <c r="CB18" i="39"/>
  <c r="AR19" i="39"/>
  <c r="Y22" i="39" l="1"/>
  <c r="CS23" i="39"/>
  <c r="BK23" i="39"/>
  <c r="Z22" i="39"/>
  <c r="BO23" i="39"/>
  <c r="P24" i="39"/>
  <c r="Z23" i="39" s="1"/>
  <c r="BT23" i="39" s="1"/>
  <c r="AA22" i="39"/>
  <c r="BM23" i="39"/>
  <c r="BP23" i="39" s="1"/>
  <c r="CU23" i="39"/>
  <c r="S24" i="39"/>
  <c r="S25" i="39" s="1"/>
  <c r="T23" i="39"/>
  <c r="U23" i="39"/>
  <c r="BS21" i="39"/>
  <c r="DB21" i="39"/>
  <c r="BU21" i="39"/>
  <c r="DD21" i="39"/>
  <c r="DG21" i="39" s="1"/>
  <c r="AD21" i="39"/>
  <c r="X22" i="39"/>
  <c r="CR23" i="39"/>
  <c r="CX23" i="39" s="1"/>
  <c r="N24" i="39"/>
  <c r="Q24" i="39"/>
  <c r="O24" i="39"/>
  <c r="BJ23" i="39"/>
  <c r="DV18" i="39"/>
  <c r="DL19" i="39"/>
  <c r="BT22" i="39"/>
  <c r="DC22" i="39"/>
  <c r="AV19" i="39"/>
  <c r="CA19" i="39"/>
  <c r="DJ19" i="39"/>
  <c r="AW19" i="39"/>
  <c r="AQ20" i="39"/>
  <c r="AZ19" i="39" s="1"/>
  <c r="AS20" i="39"/>
  <c r="BB19" i="39" s="1"/>
  <c r="AP20" i="39"/>
  <c r="AY19" i="39" s="1"/>
  <c r="AY18" i="39"/>
  <c r="DW17" i="39"/>
  <c r="CG18" i="39"/>
  <c r="BF17" i="39"/>
  <c r="BE17" i="39"/>
  <c r="BX21" i="39"/>
  <c r="AR20" i="39"/>
  <c r="BA19" i="39" s="1"/>
  <c r="DK19" i="39"/>
  <c r="CB19" i="39"/>
  <c r="DT18" i="39"/>
  <c r="DX17" i="39"/>
  <c r="DP18" i="39"/>
  <c r="AU20" i="39"/>
  <c r="BD19" i="39" s="1"/>
  <c r="CF19" i="39"/>
  <c r="DO19" i="39"/>
  <c r="BA18" i="39"/>
  <c r="DE23" i="39"/>
  <c r="BV23" i="39"/>
  <c r="DM19" i="39"/>
  <c r="AT20" i="39"/>
  <c r="BC19" i="39" s="1"/>
  <c r="CD19" i="39"/>
  <c r="BO24" i="39"/>
  <c r="DN19" i="39"/>
  <c r="CE19" i="39"/>
  <c r="BD18" i="39"/>
  <c r="BN24" i="39"/>
  <c r="CV24" i="39"/>
  <c r="BC18" i="39"/>
  <c r="Y23" i="39" l="1"/>
  <c r="BK24" i="39"/>
  <c r="CS24" i="39"/>
  <c r="AA23" i="39"/>
  <c r="BM24" i="39"/>
  <c r="CU24" i="39"/>
  <c r="CR24" i="39"/>
  <c r="CX24" i="39" s="1"/>
  <c r="O25" i="39"/>
  <c r="BJ24" i="39"/>
  <c r="BP24" i="39" s="1"/>
  <c r="Q25" i="39"/>
  <c r="N25" i="39"/>
  <c r="X24" i="39"/>
  <c r="R25" i="39"/>
  <c r="AB24" i="39" s="1"/>
  <c r="AE22" i="39"/>
  <c r="BR22" i="39"/>
  <c r="DA22" i="39"/>
  <c r="U24" i="39"/>
  <c r="AC23" i="39"/>
  <c r="AD23" i="39" s="1"/>
  <c r="DC23" i="39"/>
  <c r="CT24" i="39"/>
  <c r="P25" i="39"/>
  <c r="BU22" i="39"/>
  <c r="DD22" i="39"/>
  <c r="T24" i="39"/>
  <c r="AD22" i="39"/>
  <c r="X23" i="39"/>
  <c r="BL24" i="39"/>
  <c r="BS22" i="39"/>
  <c r="BX22" i="39" s="1"/>
  <c r="DB22" i="39"/>
  <c r="DG22" i="39" s="1"/>
  <c r="DY17" i="39"/>
  <c r="CT25" i="39"/>
  <c r="BL25" i="39"/>
  <c r="U25" i="39"/>
  <c r="AW20" i="39"/>
  <c r="AV20" i="39"/>
  <c r="CA20" i="39"/>
  <c r="DJ20" i="39"/>
  <c r="AQ21" i="39"/>
  <c r="AZ20" i="39" s="1"/>
  <c r="AS21" i="39"/>
  <c r="AP21" i="39"/>
  <c r="BO25" i="39"/>
  <c r="S26" i="39"/>
  <c r="AC25" i="39" s="1"/>
  <c r="DL20" i="39"/>
  <c r="AR21" i="39"/>
  <c r="DK20" i="39"/>
  <c r="CB20" i="39"/>
  <c r="DV19" i="39"/>
  <c r="DX18" i="39"/>
  <c r="DM20" i="39"/>
  <c r="CD20" i="39"/>
  <c r="AT21" i="39"/>
  <c r="DX19" i="39"/>
  <c r="DT19" i="39"/>
  <c r="BF19" i="39"/>
  <c r="DS19" i="39"/>
  <c r="BE19" i="39"/>
  <c r="DU19" i="39"/>
  <c r="Z24" i="39"/>
  <c r="DP19" i="39"/>
  <c r="DW19" i="39"/>
  <c r="AC24" i="39"/>
  <c r="DW18" i="39"/>
  <c r="BN25" i="39"/>
  <c r="CV25" i="39"/>
  <c r="R26" i="39"/>
  <c r="DE24" i="39"/>
  <c r="BV24" i="39"/>
  <c r="BF18" i="39"/>
  <c r="BE18" i="39"/>
  <c r="DS18" i="39"/>
  <c r="DU18" i="39"/>
  <c r="DO20" i="39"/>
  <c r="AU21" i="39"/>
  <c r="CF20" i="39"/>
  <c r="CG19" i="39"/>
  <c r="CE20" i="39"/>
  <c r="DN20" i="39"/>
  <c r="AE23" i="39" l="1"/>
  <c r="DA23" i="39"/>
  <c r="BR23" i="39"/>
  <c r="Y24" i="39"/>
  <c r="BK25" i="39"/>
  <c r="CS25" i="39"/>
  <c r="BW23" i="39"/>
  <c r="BX23" i="39" s="1"/>
  <c r="DA24" i="39"/>
  <c r="BR24" i="39"/>
  <c r="P26" i="39"/>
  <c r="Z25" i="39" s="1"/>
  <c r="T25" i="39"/>
  <c r="DD23" i="39"/>
  <c r="BU23" i="39"/>
  <c r="N26" i="39"/>
  <c r="CR25" i="39"/>
  <c r="CX25" i="39" s="1"/>
  <c r="X25" i="39"/>
  <c r="BJ25" i="39"/>
  <c r="BP25" i="39" s="1"/>
  <c r="Q26" i="39"/>
  <c r="O26" i="39"/>
  <c r="U26" i="39" s="1"/>
  <c r="AA24" i="39"/>
  <c r="CU25" i="39"/>
  <c r="BM25" i="39"/>
  <c r="BS23" i="39"/>
  <c r="DB23" i="39"/>
  <c r="CG20" i="39"/>
  <c r="DC25" i="39"/>
  <c r="BT25" i="39"/>
  <c r="AS22" i="39"/>
  <c r="BB21" i="39" s="1"/>
  <c r="DJ21" i="39"/>
  <c r="AQ22" i="39"/>
  <c r="CA21" i="39"/>
  <c r="AP22" i="39"/>
  <c r="AV21" i="39"/>
  <c r="AW21" i="39"/>
  <c r="DP20" i="39"/>
  <c r="DN21" i="39"/>
  <c r="CE21" i="39"/>
  <c r="DY18" i="39"/>
  <c r="BW24" i="39"/>
  <c r="DL21" i="39"/>
  <c r="AY20" i="39"/>
  <c r="CD21" i="39"/>
  <c r="DM21" i="39"/>
  <c r="AT22" i="39"/>
  <c r="DT20" i="39"/>
  <c r="BB20" i="39"/>
  <c r="BN26" i="39"/>
  <c r="CV26" i="39"/>
  <c r="BW25" i="39"/>
  <c r="CF21" i="39"/>
  <c r="DO21" i="39"/>
  <c r="AU22" i="39"/>
  <c r="CT26" i="39"/>
  <c r="BL26" i="39"/>
  <c r="AB25" i="39"/>
  <c r="AR22" i="39"/>
  <c r="DK21" i="39"/>
  <c r="CB21" i="39"/>
  <c r="BT24" i="39"/>
  <c r="DC24" i="39"/>
  <c r="BC20" i="39"/>
  <c r="BA20" i="39"/>
  <c r="BD20" i="39"/>
  <c r="DY19" i="39"/>
  <c r="BO26" i="39"/>
  <c r="BM26" i="39" l="1"/>
  <c r="CU26" i="39"/>
  <c r="P27" i="39"/>
  <c r="Z26" i="39" s="1"/>
  <c r="DD24" i="39"/>
  <c r="BU24" i="39"/>
  <c r="AE25" i="39"/>
  <c r="DA25" i="39"/>
  <c r="BR25" i="39"/>
  <c r="T26" i="39"/>
  <c r="N27" i="39"/>
  <c r="CR26" i="39"/>
  <c r="O27" i="39"/>
  <c r="BJ26" i="39"/>
  <c r="Q27" i="39"/>
  <c r="AD24" i="39"/>
  <c r="AA25" i="39"/>
  <c r="AD25" i="39" s="1"/>
  <c r="R27" i="39"/>
  <c r="CV27" i="39" s="1"/>
  <c r="S27" i="39"/>
  <c r="BO27" i="39" s="1"/>
  <c r="DG24" i="39"/>
  <c r="DG23" i="39"/>
  <c r="CS26" i="39"/>
  <c r="CX26" i="39" s="1"/>
  <c r="BK26" i="39"/>
  <c r="AE24" i="39"/>
  <c r="Y25" i="39"/>
  <c r="BS24" i="39"/>
  <c r="DB24" i="39"/>
  <c r="BP26" i="39"/>
  <c r="DW20" i="39"/>
  <c r="AS23" i="39"/>
  <c r="BB22" i="39" s="1"/>
  <c r="CA22" i="39"/>
  <c r="DJ22" i="39"/>
  <c r="AQ23" i="39"/>
  <c r="AZ22" i="39" s="1"/>
  <c r="AW22" i="39"/>
  <c r="AV22" i="39"/>
  <c r="AP23" i="39"/>
  <c r="CE22" i="39"/>
  <c r="DN22" i="39"/>
  <c r="AY21" i="39"/>
  <c r="BC21" i="39"/>
  <c r="DP21" i="39"/>
  <c r="DV21" i="39"/>
  <c r="BX24" i="39"/>
  <c r="AB26" i="39"/>
  <c r="DS20" i="39"/>
  <c r="BE20" i="39"/>
  <c r="BF20" i="39"/>
  <c r="DO22" i="39"/>
  <c r="CF22" i="39"/>
  <c r="AU23" i="39"/>
  <c r="BD22" i="39" s="1"/>
  <c r="CG21" i="39"/>
  <c r="DC26" i="39"/>
  <c r="BT26" i="39"/>
  <c r="CB22" i="39"/>
  <c r="AR23" i="39"/>
  <c r="DK22" i="39"/>
  <c r="AT23" i="39"/>
  <c r="DM22" i="39"/>
  <c r="CD22" i="39"/>
  <c r="DL22" i="39"/>
  <c r="DX20" i="39"/>
  <c r="AZ21" i="39"/>
  <c r="DV20" i="39"/>
  <c r="BA21" i="39"/>
  <c r="BV25" i="39"/>
  <c r="DE25" i="39"/>
  <c r="DU20" i="39"/>
  <c r="BL27" i="39"/>
  <c r="CT27" i="39"/>
  <c r="P28" i="39"/>
  <c r="Z27" i="39" s="1"/>
  <c r="BD21" i="39"/>
  <c r="X26" i="39" l="1"/>
  <c r="O28" i="39"/>
  <c r="BJ27" i="39"/>
  <c r="CR27" i="39"/>
  <c r="CX27" i="39" s="1"/>
  <c r="Q28" i="39"/>
  <c r="N28" i="39"/>
  <c r="U27" i="39"/>
  <c r="R28" i="39"/>
  <c r="BN28" i="39" s="1"/>
  <c r="BX25" i="39"/>
  <c r="DG25" i="39"/>
  <c r="BN27" i="39"/>
  <c r="S28" i="39"/>
  <c r="Y26" i="39"/>
  <c r="BK27" i="39"/>
  <c r="CS27" i="39"/>
  <c r="BU25" i="39"/>
  <c r="DD25" i="39"/>
  <c r="AC26" i="39"/>
  <c r="AA26" i="39"/>
  <c r="BM27" i="39"/>
  <c r="BP27" i="39" s="1"/>
  <c r="CU27" i="39"/>
  <c r="AC27" i="39"/>
  <c r="BW27" i="39" s="1"/>
  <c r="DB25" i="39"/>
  <c r="BS25" i="39"/>
  <c r="T27" i="39"/>
  <c r="DY20" i="39"/>
  <c r="DX22" i="39"/>
  <c r="DT22" i="39"/>
  <c r="DC27" i="39"/>
  <c r="BT27" i="39"/>
  <c r="AV23" i="39"/>
  <c r="AW23" i="39"/>
  <c r="AS24" i="39"/>
  <c r="CA23" i="39"/>
  <c r="AP24" i="39"/>
  <c r="AQ24" i="39"/>
  <c r="AZ23" i="39" s="1"/>
  <c r="DJ23" i="39"/>
  <c r="BO28" i="39"/>
  <c r="CG22" i="39"/>
  <c r="AY22" i="39"/>
  <c r="DX21" i="39"/>
  <c r="CT28" i="39"/>
  <c r="BL28" i="39"/>
  <c r="P29" i="39"/>
  <c r="Z28" i="39" s="1"/>
  <c r="DT21" i="39"/>
  <c r="DO23" i="39"/>
  <c r="AU24" i="39"/>
  <c r="CF23" i="39"/>
  <c r="DU21" i="39"/>
  <c r="DE26" i="39"/>
  <c r="BV26" i="39"/>
  <c r="DP22" i="39"/>
  <c r="CE23" i="39"/>
  <c r="DN23" i="39"/>
  <c r="DV22" i="39"/>
  <c r="CB23" i="39"/>
  <c r="DK23" i="39"/>
  <c r="AR24" i="39"/>
  <c r="BA23" i="39" s="1"/>
  <c r="DW21" i="39"/>
  <c r="DL23" i="39"/>
  <c r="AT24" i="39"/>
  <c r="BC23" i="39" s="1"/>
  <c r="CD23" i="39"/>
  <c r="DM23" i="39"/>
  <c r="BA22" i="39"/>
  <c r="AD26" i="39"/>
  <c r="BW26" i="39"/>
  <c r="BF21" i="39"/>
  <c r="DS21" i="39"/>
  <c r="BE21" i="39"/>
  <c r="BC22" i="39"/>
  <c r="AB27" i="39"/>
  <c r="DD26" i="39" l="1"/>
  <c r="BU26" i="39"/>
  <c r="CV28" i="39"/>
  <c r="T28" i="39"/>
  <c r="X27" i="39"/>
  <c r="O29" i="39"/>
  <c r="BJ28" i="39"/>
  <c r="BP28" i="39" s="1"/>
  <c r="N29" i="39"/>
  <c r="Q29" i="39"/>
  <c r="AA28" i="39" s="1"/>
  <c r="CR28" i="39"/>
  <c r="AA27" i="39"/>
  <c r="BM28" i="39"/>
  <c r="CU28" i="39"/>
  <c r="S29" i="39"/>
  <c r="AC28" i="39" s="1"/>
  <c r="DB26" i="39"/>
  <c r="BS26" i="39"/>
  <c r="BX26" i="39" s="1"/>
  <c r="Y27" i="39"/>
  <c r="BK28" i="39"/>
  <c r="CS28" i="39"/>
  <c r="CX28" i="39" s="1"/>
  <c r="R29" i="39"/>
  <c r="U28" i="39"/>
  <c r="AE26" i="39"/>
  <c r="BR26" i="39"/>
  <c r="DA26" i="39"/>
  <c r="DG26" i="39" s="1"/>
  <c r="DC28" i="39"/>
  <c r="BT28" i="39"/>
  <c r="CD24" i="39"/>
  <c r="DM24" i="39"/>
  <c r="AT25" i="39"/>
  <c r="DW22" i="39"/>
  <c r="DU22" i="39"/>
  <c r="DT23" i="39"/>
  <c r="CF24" i="39"/>
  <c r="DO24" i="39"/>
  <c r="AU25" i="39"/>
  <c r="BD24" i="39" s="1"/>
  <c r="BB23" i="39"/>
  <c r="BD23" i="39"/>
  <c r="DP23" i="39"/>
  <c r="CV29" i="39"/>
  <c r="BN29" i="39"/>
  <c r="AB28" i="39"/>
  <c r="DW23" i="39"/>
  <c r="DL24" i="39"/>
  <c r="AR25" i="39"/>
  <c r="DK24" i="39"/>
  <c r="CB24" i="39"/>
  <c r="DY21" i="39"/>
  <c r="DJ24" i="39"/>
  <c r="AQ25" i="39"/>
  <c r="AZ24" i="39" s="1"/>
  <c r="AW24" i="39"/>
  <c r="AV24" i="39"/>
  <c r="CA24" i="39"/>
  <c r="AP25" i="39"/>
  <c r="AY24" i="39" s="1"/>
  <c r="AS25" i="39"/>
  <c r="BB24" i="39" s="1"/>
  <c r="DU23" i="39"/>
  <c r="BW28" i="39"/>
  <c r="CT29" i="39"/>
  <c r="BL29" i="39"/>
  <c r="U29" i="39"/>
  <c r="DN24" i="39"/>
  <c r="CE24" i="39"/>
  <c r="AY23" i="39"/>
  <c r="DE27" i="39"/>
  <c r="BV27" i="39"/>
  <c r="BF22" i="39"/>
  <c r="DS22" i="39"/>
  <c r="BE22" i="39"/>
  <c r="CG23" i="39"/>
  <c r="DD28" i="39" l="1"/>
  <c r="BU28" i="39"/>
  <c r="X28" i="39"/>
  <c r="O30" i="39"/>
  <c r="N30" i="39"/>
  <c r="BJ29" i="39"/>
  <c r="BP29" i="39" s="1"/>
  <c r="CR29" i="39"/>
  <c r="CX29" i="39" s="1"/>
  <c r="Q30" i="39"/>
  <c r="AE27" i="39"/>
  <c r="DA27" i="39"/>
  <c r="BR27" i="39"/>
  <c r="S30" i="39"/>
  <c r="BO29" i="39"/>
  <c r="BM29" i="39"/>
  <c r="CU29" i="39"/>
  <c r="R30" i="39"/>
  <c r="AB29" i="39" s="1"/>
  <c r="DE29" i="39" s="1"/>
  <c r="BK29" i="39"/>
  <c r="CS29" i="39"/>
  <c r="DD27" i="39"/>
  <c r="DG27" i="39" s="1"/>
  <c r="BU27" i="39"/>
  <c r="AD27" i="39"/>
  <c r="BS27" i="39"/>
  <c r="BX27" i="39" s="1"/>
  <c r="DB27" i="39"/>
  <c r="P30" i="39"/>
  <c r="Z29" i="39" s="1"/>
  <c r="BT29" i="39" s="1"/>
  <c r="T29" i="39"/>
  <c r="Y28" i="39"/>
  <c r="AD28" i="39"/>
  <c r="DX24" i="39"/>
  <c r="DT24" i="39"/>
  <c r="DK25" i="39"/>
  <c r="CB25" i="39"/>
  <c r="AR26" i="39"/>
  <c r="BO30" i="39"/>
  <c r="DX23" i="39"/>
  <c r="DL25" i="39"/>
  <c r="DV24" i="39"/>
  <c r="DP24" i="39"/>
  <c r="DS23" i="39"/>
  <c r="BF23" i="39"/>
  <c r="BE23" i="39"/>
  <c r="CD25" i="39"/>
  <c r="AT26" i="39"/>
  <c r="DM25" i="39"/>
  <c r="CE25" i="39"/>
  <c r="DN25" i="39"/>
  <c r="DS24" i="39"/>
  <c r="BL30" i="39"/>
  <c r="CT30" i="39"/>
  <c r="P31" i="39"/>
  <c r="DO25" i="39"/>
  <c r="CF25" i="39"/>
  <c r="AU26" i="39"/>
  <c r="BD25" i="39" s="1"/>
  <c r="BC24" i="39"/>
  <c r="DV23" i="39"/>
  <c r="AC29" i="39"/>
  <c r="DY22" i="39"/>
  <c r="CA25" i="39"/>
  <c r="AQ26" i="39"/>
  <c r="AZ25" i="39" s="1"/>
  <c r="AW25" i="39"/>
  <c r="AS26" i="39"/>
  <c r="DJ25" i="39"/>
  <c r="AP26" i="39"/>
  <c r="AV25" i="39"/>
  <c r="BV28" i="39"/>
  <c r="DE28" i="39"/>
  <c r="CG24" i="39"/>
  <c r="BA24" i="39"/>
  <c r="CU30" i="39" l="1"/>
  <c r="BM30" i="39"/>
  <c r="AA29" i="39"/>
  <c r="S31" i="39"/>
  <c r="AC30" i="39" s="1"/>
  <c r="R31" i="39"/>
  <c r="AB30" i="39" s="1"/>
  <c r="BV30" i="39" s="1"/>
  <c r="BV29" i="39"/>
  <c r="Y29" i="39"/>
  <c r="BK30" i="39"/>
  <c r="CS30" i="39"/>
  <c r="DC29" i="39"/>
  <c r="BS28" i="39"/>
  <c r="DB28" i="39"/>
  <c r="X29" i="39"/>
  <c r="BJ30" i="39"/>
  <c r="CR30" i="39"/>
  <c r="CX30" i="39" s="1"/>
  <c r="Q31" i="39"/>
  <c r="N31" i="39"/>
  <c r="O31" i="39"/>
  <c r="AE28" i="39"/>
  <c r="DA28" i="39"/>
  <c r="DG28" i="39" s="1"/>
  <c r="BR28" i="39"/>
  <c r="BX28" i="39" s="1"/>
  <c r="T30" i="39"/>
  <c r="BN30" i="39"/>
  <c r="CV30" i="39"/>
  <c r="U30" i="39"/>
  <c r="BE24" i="39"/>
  <c r="DY23" i="39"/>
  <c r="BF24" i="39"/>
  <c r="DX25" i="39"/>
  <c r="DT25" i="39"/>
  <c r="CD26" i="39"/>
  <c r="DM26" i="39"/>
  <c r="AT27" i="39"/>
  <c r="BO31" i="39"/>
  <c r="BB25" i="39"/>
  <c r="CG25" i="39"/>
  <c r="BW29" i="39"/>
  <c r="AD29" i="39"/>
  <c r="DN26" i="39"/>
  <c r="CE26" i="39"/>
  <c r="DL26" i="39"/>
  <c r="CF26" i="39"/>
  <c r="AU27" i="39"/>
  <c r="BD26" i="39" s="1"/>
  <c r="DO26" i="39"/>
  <c r="BA25" i="39"/>
  <c r="DU24" i="39"/>
  <c r="BP30" i="39"/>
  <c r="CB26" i="39"/>
  <c r="AR27" i="39"/>
  <c r="BA26" i="39" s="1"/>
  <c r="DK26" i="39"/>
  <c r="CT31" i="39"/>
  <c r="BL31" i="39"/>
  <c r="U31" i="39"/>
  <c r="T31" i="39"/>
  <c r="Z30" i="39"/>
  <c r="DJ26" i="39"/>
  <c r="AS27" i="39"/>
  <c r="BB26" i="39" s="1"/>
  <c r="AW26" i="39"/>
  <c r="AV26" i="39"/>
  <c r="AQ27" i="39"/>
  <c r="CA26" i="39"/>
  <c r="AP27" i="39"/>
  <c r="AY26" i="39" s="1"/>
  <c r="DW24" i="39"/>
  <c r="BC25" i="39"/>
  <c r="AY25" i="39"/>
  <c r="BN31" i="39"/>
  <c r="CV31" i="39"/>
  <c r="R32" i="39"/>
  <c r="AB31" i="39" s="1"/>
  <c r="DP25" i="39"/>
  <c r="Y30" i="39" l="1"/>
  <c r="BK31" i="39"/>
  <c r="CS31" i="39"/>
  <c r="P32" i="39"/>
  <c r="CT32" i="39" s="1"/>
  <c r="X30" i="39"/>
  <c r="Q32" i="39"/>
  <c r="O32" i="39"/>
  <c r="Y31" i="39" s="1"/>
  <c r="N32" i="39"/>
  <c r="BJ31" i="39"/>
  <c r="BP31" i="39" s="1"/>
  <c r="CR31" i="39"/>
  <c r="BS29" i="39"/>
  <c r="DB29" i="39"/>
  <c r="S32" i="39"/>
  <c r="AC31" i="39" s="1"/>
  <c r="BW31" i="39" s="1"/>
  <c r="DD29" i="39"/>
  <c r="BU29" i="39"/>
  <c r="DE30" i="39"/>
  <c r="AA30" i="39"/>
  <c r="BM31" i="39"/>
  <c r="CU31" i="39"/>
  <c r="CX31" i="39" s="1"/>
  <c r="AE29" i="39"/>
  <c r="DA29" i="39"/>
  <c r="BR29" i="39"/>
  <c r="BX29" i="39" s="1"/>
  <c r="DY24" i="39"/>
  <c r="CG26" i="39"/>
  <c r="DS26" i="39"/>
  <c r="DV25" i="39"/>
  <c r="BV31" i="39"/>
  <c r="DE31" i="39"/>
  <c r="DX26" i="39"/>
  <c r="CE27" i="39"/>
  <c r="DN27" i="39"/>
  <c r="DV26" i="39"/>
  <c r="DC30" i="39"/>
  <c r="BT30" i="39"/>
  <c r="DU25" i="39"/>
  <c r="DP26" i="39"/>
  <c r="DJ27" i="39"/>
  <c r="AW27" i="39"/>
  <c r="AS28" i="39"/>
  <c r="BB27" i="39" s="1"/>
  <c r="CA27" i="39"/>
  <c r="AQ28" i="39"/>
  <c r="AZ27" i="39" s="1"/>
  <c r="AP28" i="39"/>
  <c r="AY27" i="39" s="1"/>
  <c r="AV27" i="39"/>
  <c r="Z31" i="39"/>
  <c r="AR28" i="39"/>
  <c r="BA27" i="39" s="1"/>
  <c r="CB27" i="39"/>
  <c r="DK27" i="39"/>
  <c r="DU26" i="39"/>
  <c r="BC26" i="39"/>
  <c r="AT28" i="39"/>
  <c r="BC27" i="39" s="1"/>
  <c r="DM27" i="39"/>
  <c r="CD27" i="39"/>
  <c r="DL27" i="39"/>
  <c r="DS25" i="39"/>
  <c r="BF25" i="39"/>
  <c r="BE25" i="39"/>
  <c r="DW25" i="39"/>
  <c r="AZ26" i="39"/>
  <c r="BW30" i="39"/>
  <c r="CV32" i="39"/>
  <c r="BN32" i="39"/>
  <c r="CF27" i="39"/>
  <c r="DO27" i="39"/>
  <c r="AU28" i="39"/>
  <c r="BD27" i="39" s="1"/>
  <c r="DB31" i="39" l="1"/>
  <c r="BS31" i="39"/>
  <c r="BJ32" i="39"/>
  <c r="BP32" i="39" s="1"/>
  <c r="N33" i="39"/>
  <c r="CR32" i="39"/>
  <c r="O33" i="39"/>
  <c r="Q33" i="39"/>
  <c r="X32" i="39"/>
  <c r="DD30" i="39"/>
  <c r="BU30" i="39"/>
  <c r="AD30" i="39"/>
  <c r="S33" i="39"/>
  <c r="AC32" i="39" s="1"/>
  <c r="BL32" i="39"/>
  <c r="BO32" i="39"/>
  <c r="CS32" i="39"/>
  <c r="BK32" i="39"/>
  <c r="P33" i="39"/>
  <c r="BL33" i="39" s="1"/>
  <c r="DG29" i="39"/>
  <c r="X31" i="39"/>
  <c r="AD31" i="39" s="1"/>
  <c r="DB30" i="39"/>
  <c r="BS30" i="39"/>
  <c r="AA31" i="39"/>
  <c r="CU32" i="39"/>
  <c r="BM32" i="39"/>
  <c r="T32" i="39"/>
  <c r="AE30" i="39"/>
  <c r="BR30" i="39"/>
  <c r="DA30" i="39"/>
  <c r="DG30" i="39" s="1"/>
  <c r="U32" i="39"/>
  <c r="R33" i="39"/>
  <c r="AB32" i="39" s="1"/>
  <c r="DE32" i="39" s="1"/>
  <c r="CX32" i="39"/>
  <c r="BF26" i="39"/>
  <c r="DY25" i="39"/>
  <c r="DP27" i="39"/>
  <c r="DX27" i="39"/>
  <c r="BW32" i="39"/>
  <c r="DT27" i="39"/>
  <c r="BE27" i="39"/>
  <c r="DS27" i="39"/>
  <c r="BF27" i="39"/>
  <c r="DL28" i="39"/>
  <c r="DW26" i="39"/>
  <c r="BO33" i="39"/>
  <c r="Z32" i="39"/>
  <c r="BX30" i="39"/>
  <c r="DW27" i="39"/>
  <c r="DU27" i="39"/>
  <c r="CF28" i="39"/>
  <c r="DO28" i="39"/>
  <c r="AU29" i="39"/>
  <c r="DJ28" i="39"/>
  <c r="AS29" i="39"/>
  <c r="BB28" i="39" s="1"/>
  <c r="AP29" i="39"/>
  <c r="AW28" i="39"/>
  <c r="AV28" i="39"/>
  <c r="CA28" i="39"/>
  <c r="AQ29" i="39"/>
  <c r="AZ28" i="39" s="1"/>
  <c r="AR29" i="39"/>
  <c r="DK28" i="39"/>
  <c r="CB28" i="39"/>
  <c r="CG27" i="39"/>
  <c r="DT26" i="39"/>
  <c r="DV27" i="39"/>
  <c r="DC31" i="39"/>
  <c r="BT31" i="39"/>
  <c r="CD28" i="39"/>
  <c r="DM28" i="39"/>
  <c r="AT29" i="39"/>
  <c r="BE26" i="39"/>
  <c r="DN28" i="39"/>
  <c r="CE28" i="39"/>
  <c r="BV32" i="39" l="1"/>
  <c r="BN33" i="39"/>
  <c r="AA32" i="39"/>
  <c r="BM33" i="39"/>
  <c r="CU33" i="39"/>
  <c r="CV33" i="39"/>
  <c r="Y32" i="39"/>
  <c r="CS33" i="39"/>
  <c r="BK33" i="39"/>
  <c r="BP33" i="39" s="1"/>
  <c r="P34" i="39"/>
  <c r="R34" i="39"/>
  <c r="Q34" i="39"/>
  <c r="BJ33" i="39"/>
  <c r="O34" i="39"/>
  <c r="CR33" i="39"/>
  <c r="CX33" i="39" s="1"/>
  <c r="N34" i="39"/>
  <c r="T34" i="39" s="1"/>
  <c r="X33" i="39"/>
  <c r="CT33" i="39"/>
  <c r="DD31" i="39"/>
  <c r="DG31" i="39" s="1"/>
  <c r="BU31" i="39"/>
  <c r="BX31" i="39" s="1"/>
  <c r="AE31" i="39"/>
  <c r="DA31" i="39"/>
  <c r="BR31" i="39"/>
  <c r="BR32" i="39"/>
  <c r="DA32" i="39"/>
  <c r="S34" i="39"/>
  <c r="BO34" i="39" s="1"/>
  <c r="U33" i="39"/>
  <c r="T33" i="39"/>
  <c r="DY26" i="39"/>
  <c r="DV28" i="39"/>
  <c r="DJ29" i="39"/>
  <c r="AP30" i="39"/>
  <c r="CA29" i="39"/>
  <c r="AQ30" i="39"/>
  <c r="AY29" i="39"/>
  <c r="AS30" i="39"/>
  <c r="AW29" i="39"/>
  <c r="AV29" i="39"/>
  <c r="DN29" i="39"/>
  <c r="CE29" i="39"/>
  <c r="DY27" i="39"/>
  <c r="AC33" i="39"/>
  <c r="BL34" i="39"/>
  <c r="CT34" i="39"/>
  <c r="P35" i="39"/>
  <c r="U34" i="39"/>
  <c r="DK29" i="39"/>
  <c r="CB29" i="39"/>
  <c r="AR30" i="39"/>
  <c r="AY28" i="39"/>
  <c r="BT32" i="39"/>
  <c r="DC32" i="39"/>
  <c r="Z33" i="39"/>
  <c r="AT30" i="39"/>
  <c r="BC29" i="39" s="1"/>
  <c r="CD29" i="39"/>
  <c r="DM29" i="39"/>
  <c r="DP28" i="39"/>
  <c r="DO29" i="39"/>
  <c r="CF29" i="39"/>
  <c r="AU30" i="39"/>
  <c r="DT28" i="39"/>
  <c r="DL29" i="39"/>
  <c r="BD28" i="39"/>
  <c r="BA28" i="39"/>
  <c r="BC28" i="39"/>
  <c r="CG28" i="39"/>
  <c r="CV34" i="39"/>
  <c r="BN34" i="39"/>
  <c r="R35" i="39"/>
  <c r="AB33" i="39"/>
  <c r="BS32" i="39" l="1"/>
  <c r="DB32" i="39"/>
  <c r="Y33" i="39"/>
  <c r="BK34" i="39"/>
  <c r="BP34" i="39" s="1"/>
  <c r="CS34" i="39"/>
  <c r="CX34" i="39" s="1"/>
  <c r="S35" i="39"/>
  <c r="AC34" i="39" s="1"/>
  <c r="AA33" i="39"/>
  <c r="CU34" i="39"/>
  <c r="BM34" i="39"/>
  <c r="Q35" i="39"/>
  <c r="O35" i="39"/>
  <c r="BJ34" i="39"/>
  <c r="CR34" i="39"/>
  <c r="N35" i="39"/>
  <c r="X34" i="39"/>
  <c r="AE32" i="39"/>
  <c r="BU32" i="39"/>
  <c r="BX32" i="39" s="1"/>
  <c r="DD32" i="39"/>
  <c r="AE33" i="39"/>
  <c r="DA33" i="39"/>
  <c r="BR33" i="39"/>
  <c r="DG32" i="39"/>
  <c r="AD32" i="39"/>
  <c r="DW29" i="39"/>
  <c r="BW34" i="39"/>
  <c r="DW28" i="39"/>
  <c r="CT35" i="39"/>
  <c r="BL35" i="39"/>
  <c r="CF30" i="39"/>
  <c r="DO30" i="39"/>
  <c r="AU31" i="39"/>
  <c r="CB30" i="39"/>
  <c r="DK30" i="39"/>
  <c r="AR31" i="39"/>
  <c r="BA30" i="39" s="1"/>
  <c r="DC33" i="39"/>
  <c r="BT33" i="39"/>
  <c r="CG29" i="39"/>
  <c r="BD29" i="39"/>
  <c r="DJ30" i="39"/>
  <c r="AQ31" i="39"/>
  <c r="AZ30" i="39" s="1"/>
  <c r="CA30" i="39"/>
  <c r="AW30" i="39"/>
  <c r="AV30" i="39"/>
  <c r="AP31" i="39"/>
  <c r="AY30" i="39" s="1"/>
  <c r="AS31" i="39"/>
  <c r="DN30" i="39"/>
  <c r="CE30" i="39"/>
  <c r="Z34" i="39"/>
  <c r="DM30" i="39"/>
  <c r="CD30" i="39"/>
  <c r="AT31" i="39"/>
  <c r="BC30" i="39" s="1"/>
  <c r="DS29" i="39"/>
  <c r="DU28" i="39"/>
  <c r="BE28" i="39"/>
  <c r="DS28" i="39"/>
  <c r="BF28" i="39"/>
  <c r="CV35" i="39"/>
  <c r="BN35" i="39"/>
  <c r="R36" i="39"/>
  <c r="AB35" i="39" s="1"/>
  <c r="DL30" i="39"/>
  <c r="DP29" i="39"/>
  <c r="DX28" i="39"/>
  <c r="BW33" i="39"/>
  <c r="AD33" i="39"/>
  <c r="DE33" i="39"/>
  <c r="BV33" i="39"/>
  <c r="AB34" i="39"/>
  <c r="BA29" i="39"/>
  <c r="BB29" i="39"/>
  <c r="AZ29" i="39"/>
  <c r="Y34" i="39" l="1"/>
  <c r="CS35" i="39"/>
  <c r="BK35" i="39"/>
  <c r="AA34" i="39"/>
  <c r="BM35" i="39"/>
  <c r="BP35" i="39" s="1"/>
  <c r="CU35" i="39"/>
  <c r="P36" i="39"/>
  <c r="Z35" i="39" s="1"/>
  <c r="AE34" i="39"/>
  <c r="BR34" i="39"/>
  <c r="DA34" i="39"/>
  <c r="BO35" i="39"/>
  <c r="U35" i="39"/>
  <c r="BJ35" i="39"/>
  <c r="Q36" i="39"/>
  <c r="CR35" i="39"/>
  <c r="CX35" i="39" s="1"/>
  <c r="N36" i="39"/>
  <c r="O36" i="39"/>
  <c r="DB33" i="39"/>
  <c r="DG33" i="39" s="1"/>
  <c r="BS33" i="39"/>
  <c r="BX33" i="39" s="1"/>
  <c r="DD33" i="39"/>
  <c r="BU33" i="39"/>
  <c r="T35" i="39"/>
  <c r="S36" i="39"/>
  <c r="BE29" i="39"/>
  <c r="CG30" i="39"/>
  <c r="BV35" i="39"/>
  <c r="DE35" i="39"/>
  <c r="DL31" i="39"/>
  <c r="CF31" i="39"/>
  <c r="AU32" i="39"/>
  <c r="BD31" i="39" s="1"/>
  <c r="DO31" i="39"/>
  <c r="DC34" i="39"/>
  <c r="BT34" i="39"/>
  <c r="DW30" i="39"/>
  <c r="AD34" i="39"/>
  <c r="DU30" i="39"/>
  <c r="DC35" i="39"/>
  <c r="BT35" i="39"/>
  <c r="DS30" i="39"/>
  <c r="DP30" i="39"/>
  <c r="DT29" i="39"/>
  <c r="BN36" i="39"/>
  <c r="CV36" i="39"/>
  <c r="R37" i="39"/>
  <c r="DX29" i="39"/>
  <c r="DU29" i="39"/>
  <c r="DN31" i="39"/>
  <c r="CE31" i="39"/>
  <c r="DT30" i="39"/>
  <c r="CB31" i="39"/>
  <c r="AR32" i="39"/>
  <c r="BA31" i="39" s="1"/>
  <c r="DK31" i="39"/>
  <c r="BF29" i="39"/>
  <c r="DV29" i="39"/>
  <c r="BO36" i="39"/>
  <c r="DY28" i="39"/>
  <c r="BD30" i="39"/>
  <c r="BV34" i="39"/>
  <c r="DE34" i="39"/>
  <c r="AC35" i="39"/>
  <c r="DM31" i="39"/>
  <c r="CD31" i="39"/>
  <c r="AT32" i="39"/>
  <c r="BB30" i="39"/>
  <c r="BF30" i="39" s="1"/>
  <c r="DJ31" i="39"/>
  <c r="AS32" i="39"/>
  <c r="AW31" i="39"/>
  <c r="AQ32" i="39"/>
  <c r="AZ31" i="39" s="1"/>
  <c r="CA31" i="39"/>
  <c r="AP32" i="39"/>
  <c r="AV31" i="39"/>
  <c r="P37" i="39"/>
  <c r="CS36" i="39" l="1"/>
  <c r="BK36" i="39"/>
  <c r="U36" i="39"/>
  <c r="X35" i="39"/>
  <c r="BJ36" i="39"/>
  <c r="Q37" i="39"/>
  <c r="O37" i="39"/>
  <c r="CR36" i="39"/>
  <c r="CX36" i="39" s="1"/>
  <c r="N37" i="39"/>
  <c r="X36" i="39"/>
  <c r="T36" i="39"/>
  <c r="BL36" i="39"/>
  <c r="S37" i="39"/>
  <c r="AC36" i="39" s="1"/>
  <c r="DD34" i="39"/>
  <c r="BU34" i="39"/>
  <c r="AA35" i="39"/>
  <c r="BM36" i="39"/>
  <c r="CU36" i="39"/>
  <c r="CT36" i="39"/>
  <c r="Y35" i="39"/>
  <c r="AD35" i="39" s="1"/>
  <c r="BS34" i="39"/>
  <c r="BX34" i="39" s="1"/>
  <c r="DB34" i="39"/>
  <c r="DG34" i="39" s="1"/>
  <c r="DY29" i="39"/>
  <c r="CG31" i="39"/>
  <c r="DU31" i="39"/>
  <c r="CT37" i="39"/>
  <c r="BL37" i="39"/>
  <c r="DX30" i="39"/>
  <c r="DP31" i="39"/>
  <c r="CB32" i="39"/>
  <c r="DK32" i="39"/>
  <c r="AR33" i="39"/>
  <c r="BA32" i="39" s="1"/>
  <c r="BW36" i="39"/>
  <c r="BW35" i="39"/>
  <c r="BP36" i="39"/>
  <c r="DJ32" i="39"/>
  <c r="AQ33" i="39"/>
  <c r="CA32" i="39"/>
  <c r="AW32" i="39"/>
  <c r="AP33" i="39"/>
  <c r="AV32" i="39"/>
  <c r="AS33" i="39"/>
  <c r="BB32" i="39" s="1"/>
  <c r="DT31" i="39"/>
  <c r="CV37" i="39"/>
  <c r="BN37" i="39"/>
  <c r="AB36" i="39"/>
  <c r="AY31" i="39"/>
  <c r="DL32" i="39"/>
  <c r="DX31" i="39"/>
  <c r="AU33" i="39"/>
  <c r="BD32" i="39" s="1"/>
  <c r="CF32" i="39"/>
  <c r="DO32" i="39"/>
  <c r="AT33" i="39"/>
  <c r="BC32" i="39" s="1"/>
  <c r="DM32" i="39"/>
  <c r="CD32" i="39"/>
  <c r="DV30" i="39"/>
  <c r="Z36" i="39"/>
  <c r="CE32" i="39"/>
  <c r="DN32" i="39"/>
  <c r="BB31" i="39"/>
  <c r="BO37" i="39"/>
  <c r="BC31" i="39"/>
  <c r="BE30" i="39"/>
  <c r="BR36" i="39" l="1"/>
  <c r="DA36" i="39"/>
  <c r="N38" i="39"/>
  <c r="BJ37" i="39"/>
  <c r="Q38" i="39"/>
  <c r="O38" i="39"/>
  <c r="Y37" i="39" s="1"/>
  <c r="CR37" i="39"/>
  <c r="CX37" i="39" s="1"/>
  <c r="X37" i="39"/>
  <c r="T37" i="39"/>
  <c r="AA36" i="39"/>
  <c r="CU37" i="39"/>
  <c r="BM37" i="39"/>
  <c r="U37" i="39"/>
  <c r="DD35" i="39"/>
  <c r="BU35" i="39"/>
  <c r="S38" i="39"/>
  <c r="BO38" i="39" s="1"/>
  <c r="R38" i="39"/>
  <c r="CV38" i="39" s="1"/>
  <c r="BS35" i="39"/>
  <c r="DB35" i="39"/>
  <c r="BX35" i="39"/>
  <c r="Y36" i="39"/>
  <c r="BK37" i="39"/>
  <c r="CS37" i="39"/>
  <c r="P38" i="39"/>
  <c r="Z37" i="39" s="1"/>
  <c r="AE35" i="39"/>
  <c r="BR35" i="39"/>
  <c r="DA35" i="39"/>
  <c r="DY30" i="39"/>
  <c r="DV32" i="39"/>
  <c r="CT38" i="39"/>
  <c r="BL38" i="39"/>
  <c r="T38" i="39"/>
  <c r="P39" i="39"/>
  <c r="Z38" i="39" s="1"/>
  <c r="U38" i="39"/>
  <c r="DU32" i="39"/>
  <c r="DJ33" i="39"/>
  <c r="AQ34" i="39"/>
  <c r="AZ33" i="39" s="1"/>
  <c r="AW33" i="39"/>
  <c r="AV33" i="39"/>
  <c r="AS34" i="39"/>
  <c r="CA33" i="39"/>
  <c r="AP34" i="39"/>
  <c r="AY33" i="39" s="1"/>
  <c r="CE33" i="39"/>
  <c r="DN33" i="39"/>
  <c r="BV36" i="39"/>
  <c r="DE36" i="39"/>
  <c r="CG32" i="39"/>
  <c r="DV31" i="39"/>
  <c r="DX32" i="39"/>
  <c r="DW31" i="39"/>
  <c r="BF31" i="39"/>
  <c r="DS31" i="39"/>
  <c r="BE31" i="39"/>
  <c r="BN38" i="39"/>
  <c r="DP32" i="39"/>
  <c r="CD33" i="39"/>
  <c r="DM33" i="39"/>
  <c r="AT34" i="39"/>
  <c r="BP37" i="39"/>
  <c r="DW32" i="39"/>
  <c r="AY32" i="39"/>
  <c r="DC36" i="39"/>
  <c r="BT36" i="39"/>
  <c r="CB33" i="39"/>
  <c r="AR34" i="39"/>
  <c r="DK33" i="39"/>
  <c r="DL33" i="39"/>
  <c r="CF33" i="39"/>
  <c r="DO33" i="39"/>
  <c r="AU34" i="39"/>
  <c r="AZ32" i="39"/>
  <c r="AC37" i="39"/>
  <c r="BS37" i="39" l="1"/>
  <c r="DB37" i="39"/>
  <c r="DB36" i="39"/>
  <c r="BS36" i="39"/>
  <c r="AB37" i="39"/>
  <c r="DE37" i="39" s="1"/>
  <c r="BU36" i="39"/>
  <c r="BX36" i="39" s="1"/>
  <c r="DD36" i="39"/>
  <c r="DG36" i="39" s="1"/>
  <c r="AD36" i="39"/>
  <c r="S39" i="39"/>
  <c r="AC38" i="39" s="1"/>
  <c r="AE37" i="39"/>
  <c r="DA37" i="39"/>
  <c r="BR37" i="39"/>
  <c r="BK38" i="39"/>
  <c r="CS38" i="39"/>
  <c r="AA37" i="39"/>
  <c r="BM38" i="39"/>
  <c r="CU38" i="39"/>
  <c r="CX38" i="39" s="1"/>
  <c r="R39" i="39"/>
  <c r="AB38" i="39" s="1"/>
  <c r="DG35" i="39"/>
  <c r="O39" i="39"/>
  <c r="P40" i="39" s="1"/>
  <c r="Z39" i="39" s="1"/>
  <c r="BJ38" i="39"/>
  <c r="BP38" i="39" s="1"/>
  <c r="CR38" i="39"/>
  <c r="Q39" i="39"/>
  <c r="N39" i="39"/>
  <c r="AE36" i="39"/>
  <c r="CG33" i="39"/>
  <c r="DL34" i="39"/>
  <c r="DE38" i="39"/>
  <c r="BV38" i="39"/>
  <c r="DT32" i="39"/>
  <c r="AR35" i="39"/>
  <c r="DK34" i="39"/>
  <c r="CB34" i="39"/>
  <c r="DN34" i="39"/>
  <c r="CE34" i="39"/>
  <c r="DP33" i="39"/>
  <c r="BO39" i="39"/>
  <c r="DS32" i="39"/>
  <c r="BE32" i="39"/>
  <c r="BF32" i="39"/>
  <c r="AT35" i="39"/>
  <c r="CD34" i="39"/>
  <c r="DM34" i="39"/>
  <c r="DO34" i="39"/>
  <c r="CF34" i="39"/>
  <c r="AU35" i="39"/>
  <c r="BD34" i="39" s="1"/>
  <c r="DS33" i="39"/>
  <c r="BB33" i="39"/>
  <c r="DT33" i="39"/>
  <c r="DC38" i="39"/>
  <c r="BT38" i="39"/>
  <c r="DY31" i="39"/>
  <c r="BT37" i="39"/>
  <c r="DC37" i="39"/>
  <c r="BD33" i="39"/>
  <c r="BA33" i="39"/>
  <c r="BC33" i="39"/>
  <c r="BW37" i="39"/>
  <c r="R40" i="39"/>
  <c r="AV34" i="39"/>
  <c r="AW34" i="39"/>
  <c r="AS35" i="39"/>
  <c r="BB34" i="39" s="1"/>
  <c r="AQ35" i="39"/>
  <c r="AZ34" i="39" s="1"/>
  <c r="DJ34" i="39"/>
  <c r="AP35" i="39"/>
  <c r="CA34" i="39"/>
  <c r="BL39" i="39"/>
  <c r="CT39" i="39"/>
  <c r="S40" i="39" l="1"/>
  <c r="AC39" i="39" s="1"/>
  <c r="X38" i="39"/>
  <c r="CR39" i="39"/>
  <c r="N40" i="39"/>
  <c r="O40" i="39"/>
  <c r="S41" i="39" s="1"/>
  <c r="Q40" i="39"/>
  <c r="BJ39" i="39"/>
  <c r="BP39" i="39" s="1"/>
  <c r="CS39" i="39"/>
  <c r="CX39" i="39" s="1"/>
  <c r="BK39" i="39"/>
  <c r="DD37" i="39"/>
  <c r="DG37" i="39" s="1"/>
  <c r="BU37" i="39"/>
  <c r="BX37" i="39" s="1"/>
  <c r="BV37" i="39"/>
  <c r="AA38" i="39"/>
  <c r="BM39" i="39"/>
  <c r="CU39" i="39"/>
  <c r="BN39" i="39"/>
  <c r="CV39" i="39"/>
  <c r="Y38" i="39"/>
  <c r="AD37" i="39"/>
  <c r="T39" i="39"/>
  <c r="U39" i="39"/>
  <c r="CG34" i="39"/>
  <c r="DY32" i="39"/>
  <c r="DV34" i="39"/>
  <c r="AR36" i="39"/>
  <c r="BA35" i="39" s="1"/>
  <c r="CB35" i="39"/>
  <c r="DK35" i="39"/>
  <c r="CV40" i="39"/>
  <c r="BN40" i="39"/>
  <c r="R41" i="39"/>
  <c r="DV33" i="39"/>
  <c r="DW33" i="39"/>
  <c r="AW35" i="39"/>
  <c r="AV35" i="39"/>
  <c r="CA35" i="39"/>
  <c r="DJ35" i="39"/>
  <c r="AS36" i="39"/>
  <c r="BB35" i="39" s="1"/>
  <c r="AQ36" i="39"/>
  <c r="AP36" i="39"/>
  <c r="AY35" i="39" s="1"/>
  <c r="DX34" i="39"/>
  <c r="CT40" i="39"/>
  <c r="BL40" i="39"/>
  <c r="T40" i="39"/>
  <c r="U40" i="39"/>
  <c r="P41" i="39"/>
  <c r="DC39" i="39"/>
  <c r="BT39" i="39"/>
  <c r="AD38" i="39"/>
  <c r="BW38" i="39"/>
  <c r="DL35" i="39"/>
  <c r="DT34" i="39"/>
  <c r="AT36" i="39"/>
  <c r="BC35" i="39" s="1"/>
  <c r="DM35" i="39"/>
  <c r="CD35" i="39"/>
  <c r="DU33" i="39"/>
  <c r="BA34" i="39"/>
  <c r="DP34" i="39"/>
  <c r="DX33" i="39"/>
  <c r="BW39" i="39"/>
  <c r="BO40" i="39"/>
  <c r="AB39" i="39"/>
  <c r="AY34" i="39"/>
  <c r="CE35" i="39"/>
  <c r="DN35" i="39"/>
  <c r="BF33" i="39"/>
  <c r="BC34" i="39"/>
  <c r="BE33" i="39"/>
  <c r="CF35" i="39"/>
  <c r="DO35" i="39"/>
  <c r="AU36" i="39"/>
  <c r="X39" i="39" l="1"/>
  <c r="BJ40" i="39"/>
  <c r="Q41" i="39"/>
  <c r="O41" i="39"/>
  <c r="N41" i="39"/>
  <c r="CR40" i="39"/>
  <c r="DD38" i="39"/>
  <c r="BU38" i="39"/>
  <c r="AE38" i="39"/>
  <c r="DA38" i="39"/>
  <c r="DG38" i="39" s="1"/>
  <c r="BR38" i="39"/>
  <c r="BS38" i="39"/>
  <c r="BX38" i="39" s="1"/>
  <c r="DB38" i="39"/>
  <c r="AA39" i="39"/>
  <c r="CU40" i="39"/>
  <c r="BM40" i="39"/>
  <c r="AA40" i="39"/>
  <c r="Y39" i="39"/>
  <c r="BK40" i="39"/>
  <c r="BP40" i="39" s="1"/>
  <c r="CS40" i="39"/>
  <c r="CX40" i="39" s="1"/>
  <c r="Y40" i="39"/>
  <c r="DY33" i="39"/>
  <c r="DW35" i="39"/>
  <c r="CV41" i="39"/>
  <c r="BN41" i="39"/>
  <c r="AR37" i="39"/>
  <c r="BA36" i="39" s="1"/>
  <c r="CB36" i="39"/>
  <c r="DK36" i="39"/>
  <c r="DO36" i="39"/>
  <c r="CF36" i="39"/>
  <c r="AU37" i="39"/>
  <c r="BD36" i="39" s="1"/>
  <c r="BL41" i="39"/>
  <c r="CT41" i="39"/>
  <c r="P42" i="39"/>
  <c r="Z41" i="39" s="1"/>
  <c r="U41" i="39"/>
  <c r="AB40" i="39"/>
  <c r="BO41" i="39"/>
  <c r="AZ35" i="39"/>
  <c r="DU34" i="39"/>
  <c r="DU35" i="39"/>
  <c r="DL36" i="39"/>
  <c r="DM36" i="39"/>
  <c r="CD36" i="39"/>
  <c r="AT37" i="39"/>
  <c r="BC36" i="39" s="1"/>
  <c r="CE36" i="39"/>
  <c r="DN36" i="39"/>
  <c r="Z40" i="39"/>
  <c r="DS35" i="39"/>
  <c r="AC40" i="39"/>
  <c r="DJ36" i="39"/>
  <c r="AP37" i="39"/>
  <c r="AQ37" i="39"/>
  <c r="AZ36" i="39" s="1"/>
  <c r="AV36" i="39"/>
  <c r="CA36" i="39"/>
  <c r="AS37" i="39"/>
  <c r="AW36" i="39"/>
  <c r="DV35" i="39"/>
  <c r="BD35" i="39"/>
  <c r="DP35" i="39"/>
  <c r="CG35" i="39"/>
  <c r="BE34" i="39"/>
  <c r="DS34" i="39"/>
  <c r="BF34" i="39"/>
  <c r="DW34" i="39"/>
  <c r="BV39" i="39"/>
  <c r="DE39" i="39"/>
  <c r="BS40" i="39" l="1"/>
  <c r="DB40" i="39"/>
  <c r="BS39" i="39"/>
  <c r="DB39" i="39"/>
  <c r="DD40" i="39"/>
  <c r="BU40" i="39"/>
  <c r="X40" i="39"/>
  <c r="N42" i="39"/>
  <c r="U42" i="39" s="1"/>
  <c r="O42" i="39"/>
  <c r="Q42" i="39"/>
  <c r="BJ41" i="39"/>
  <c r="CR41" i="39"/>
  <c r="BM41" i="39"/>
  <c r="CU41" i="39"/>
  <c r="AE39" i="39"/>
  <c r="BR39" i="39"/>
  <c r="BX39" i="39" s="1"/>
  <c r="DA39" i="39"/>
  <c r="DG39" i="39" s="1"/>
  <c r="CS41" i="39"/>
  <c r="CX41" i="39" s="1"/>
  <c r="BK41" i="39"/>
  <c r="BP41" i="39" s="1"/>
  <c r="S42" i="39"/>
  <c r="AC41" i="39" s="1"/>
  <c r="DD39" i="39"/>
  <c r="BU39" i="39"/>
  <c r="T41" i="39"/>
  <c r="R42" i="39"/>
  <c r="AB41" i="39" s="1"/>
  <c r="DE41" i="39" s="1"/>
  <c r="AD39" i="39"/>
  <c r="BE35" i="39"/>
  <c r="BF35" i="39"/>
  <c r="DY34" i="39"/>
  <c r="DT36" i="39"/>
  <c r="DX36" i="39"/>
  <c r="AU38" i="39"/>
  <c r="BD37" i="39" s="1"/>
  <c r="DO37" i="39"/>
  <c r="CF37" i="39"/>
  <c r="BT40" i="39"/>
  <c r="DC40" i="39"/>
  <c r="CG36" i="39"/>
  <c r="DW36" i="39"/>
  <c r="BO42" i="39"/>
  <c r="DC41" i="39"/>
  <c r="BT41" i="39"/>
  <c r="DU36" i="39"/>
  <c r="DX35" i="39"/>
  <c r="BV40" i="39"/>
  <c r="DE40" i="39"/>
  <c r="DL37" i="39"/>
  <c r="BW40" i="39"/>
  <c r="AT38" i="39"/>
  <c r="BC37" i="39" s="1"/>
  <c r="DM37" i="39"/>
  <c r="CD37" i="39"/>
  <c r="BW41" i="39"/>
  <c r="CB37" i="39"/>
  <c r="DK37" i="39"/>
  <c r="AR38" i="39"/>
  <c r="BA37" i="39" s="1"/>
  <c r="CA37" i="39"/>
  <c r="AW37" i="39"/>
  <c r="AV37" i="39"/>
  <c r="AS38" i="39"/>
  <c r="BB37" i="39" s="1"/>
  <c r="AQ38" i="39"/>
  <c r="AZ37" i="39" s="1"/>
  <c r="AP38" i="39"/>
  <c r="AY37" i="39" s="1"/>
  <c r="DJ37" i="39"/>
  <c r="BB36" i="39"/>
  <c r="AY36" i="39"/>
  <c r="DN37" i="39"/>
  <c r="CE37" i="39"/>
  <c r="DT35" i="39"/>
  <c r="DP36" i="39"/>
  <c r="CT42" i="39"/>
  <c r="BL42" i="39"/>
  <c r="CV42" i="39"/>
  <c r="BN42" i="39"/>
  <c r="R43" i="39"/>
  <c r="CU42" i="39" l="1"/>
  <c r="BM42" i="39"/>
  <c r="AA42" i="39"/>
  <c r="T42" i="39"/>
  <c r="Y41" i="39"/>
  <c r="BK42" i="39"/>
  <c r="CS42" i="39"/>
  <c r="Y42" i="39"/>
  <c r="BV41" i="39"/>
  <c r="X41" i="39"/>
  <c r="BJ42" i="39"/>
  <c r="BP42" i="39" s="1"/>
  <c r="N43" i="39"/>
  <c r="Q43" i="39"/>
  <c r="CR42" i="39"/>
  <c r="CX42" i="39" s="1"/>
  <c r="O43" i="39"/>
  <c r="AE40" i="39"/>
  <c r="BR40" i="39"/>
  <c r="BX40" i="39" s="1"/>
  <c r="DA40" i="39"/>
  <c r="DG40" i="39" s="1"/>
  <c r="P43" i="39"/>
  <c r="Z42" i="39" s="1"/>
  <c r="AD40" i="39"/>
  <c r="S43" i="39"/>
  <c r="AC42" i="39" s="1"/>
  <c r="AA41" i="39"/>
  <c r="DY35" i="39"/>
  <c r="DX37" i="39"/>
  <c r="CT43" i="39"/>
  <c r="BL43" i="39"/>
  <c r="U43" i="39"/>
  <c r="DL38" i="39"/>
  <c r="DV36" i="39"/>
  <c r="DS36" i="39"/>
  <c r="BF36" i="39"/>
  <c r="BE36" i="39"/>
  <c r="DN38" i="39"/>
  <c r="CE38" i="39"/>
  <c r="CA38" i="39"/>
  <c r="AQ39" i="39"/>
  <c r="AZ38" i="39" s="1"/>
  <c r="AV38" i="39"/>
  <c r="AW38" i="39"/>
  <c r="DJ38" i="39"/>
  <c r="AS39" i="39"/>
  <c r="BB38" i="39" s="1"/>
  <c r="AP39" i="39"/>
  <c r="AY38" i="39" s="1"/>
  <c r="DW37" i="39"/>
  <c r="DV37" i="39"/>
  <c r="CG37" i="39"/>
  <c r="DU37" i="39"/>
  <c r="BN43" i="39"/>
  <c r="CV43" i="39"/>
  <c r="R44" i="39"/>
  <c r="AB43" i="39" s="1"/>
  <c r="AB42" i="39"/>
  <c r="DS37" i="39"/>
  <c r="BF37" i="39"/>
  <c r="BE37" i="39"/>
  <c r="DP37" i="39"/>
  <c r="DT37" i="39"/>
  <c r="AU39" i="39"/>
  <c r="BD38" i="39" s="1"/>
  <c r="CF38" i="39"/>
  <c r="DO38" i="39"/>
  <c r="DK38" i="39"/>
  <c r="AR39" i="39"/>
  <c r="BA38" i="39" s="1"/>
  <c r="CB38" i="39"/>
  <c r="CD38" i="39"/>
  <c r="DM38" i="39"/>
  <c r="AT39" i="39"/>
  <c r="AE41" i="39" l="1"/>
  <c r="BR41" i="39"/>
  <c r="DA41" i="39"/>
  <c r="S44" i="39"/>
  <c r="DB41" i="39"/>
  <c r="BS41" i="39"/>
  <c r="DD41" i="39"/>
  <c r="BU41" i="39"/>
  <c r="AD41" i="39"/>
  <c r="BO43" i="39"/>
  <c r="BP43" i="39" s="1"/>
  <c r="DB42" i="39"/>
  <c r="BS42" i="39"/>
  <c r="CS43" i="39"/>
  <c r="BK43" i="39"/>
  <c r="DD42" i="39"/>
  <c r="BU42" i="39"/>
  <c r="P44" i="39"/>
  <c r="Z43" i="39" s="1"/>
  <c r="BM43" i="39"/>
  <c r="CU43" i="39"/>
  <c r="CX43" i="39" s="1"/>
  <c r="T43" i="39"/>
  <c r="X42" i="39"/>
  <c r="O44" i="39"/>
  <c r="Q44" i="39"/>
  <c r="CR43" i="39"/>
  <c r="BJ43" i="39"/>
  <c r="N44" i="39"/>
  <c r="X43" i="39"/>
  <c r="DY37" i="39"/>
  <c r="DY36" i="39"/>
  <c r="CG38" i="39"/>
  <c r="BT43" i="39"/>
  <c r="DC43" i="39"/>
  <c r="BV43" i="39"/>
  <c r="DE43" i="39"/>
  <c r="BO44" i="39"/>
  <c r="DT38" i="39"/>
  <c r="CA39" i="39"/>
  <c r="AQ40" i="39"/>
  <c r="AW39" i="39"/>
  <c r="AS40" i="39"/>
  <c r="AP40" i="39"/>
  <c r="DJ39" i="39"/>
  <c r="AV39" i="39"/>
  <c r="BW42" i="39"/>
  <c r="AD42" i="39"/>
  <c r="CE39" i="39"/>
  <c r="DN39" i="39"/>
  <c r="BC38" i="39"/>
  <c r="BF38" i="39" s="1"/>
  <c r="DC42" i="39"/>
  <c r="BT42" i="39"/>
  <c r="DE42" i="39"/>
  <c r="BV42" i="39"/>
  <c r="DX38" i="39"/>
  <c r="DO39" i="39"/>
  <c r="CF39" i="39"/>
  <c r="AU40" i="39"/>
  <c r="BD39" i="39" s="1"/>
  <c r="DU38" i="39"/>
  <c r="BN44" i="39"/>
  <c r="CV44" i="39"/>
  <c r="R45" i="39"/>
  <c r="AB44" i="39" s="1"/>
  <c r="DV38" i="39"/>
  <c r="DL39" i="39"/>
  <c r="DS38" i="39"/>
  <c r="CD39" i="39"/>
  <c r="DM39" i="39"/>
  <c r="AT40" i="39"/>
  <c r="BC39" i="39" s="1"/>
  <c r="DP38" i="39"/>
  <c r="AC43" i="39"/>
  <c r="AR40" i="39"/>
  <c r="DK39" i="39"/>
  <c r="CB39" i="39"/>
  <c r="Y43" i="39" l="1"/>
  <c r="BK44" i="39"/>
  <c r="CS44" i="39"/>
  <c r="CX44" i="39" s="1"/>
  <c r="Y44" i="39"/>
  <c r="AE42" i="39"/>
  <c r="BR42" i="39"/>
  <c r="BV54" i="39" s="1"/>
  <c r="DA42" i="39"/>
  <c r="DG42" i="39" s="1"/>
  <c r="S45" i="39"/>
  <c r="AC44" i="39" s="1"/>
  <c r="P45" i="39"/>
  <c r="Z44" i="39" s="1"/>
  <c r="U44" i="39"/>
  <c r="BV55" i="39"/>
  <c r="BX41" i="39"/>
  <c r="T44" i="39"/>
  <c r="BL44" i="39"/>
  <c r="AE43" i="39"/>
  <c r="DA43" i="39"/>
  <c r="BR43" i="39"/>
  <c r="CT44" i="39"/>
  <c r="N45" i="39"/>
  <c r="T45" i="39" s="1"/>
  <c r="BJ44" i="39"/>
  <c r="Q45" i="39"/>
  <c r="CR44" i="39"/>
  <c r="O45" i="39"/>
  <c r="DG41" i="39"/>
  <c r="AA43" i="39"/>
  <c r="AD43" i="39" s="1"/>
  <c r="BM44" i="39"/>
  <c r="CU44" i="39"/>
  <c r="BE38" i="39"/>
  <c r="CG39" i="39"/>
  <c r="BV44" i="39"/>
  <c r="DE44" i="39"/>
  <c r="DX39" i="39"/>
  <c r="DL40" i="39"/>
  <c r="BP44" i="39"/>
  <c r="CD40" i="39"/>
  <c r="DM40" i="39"/>
  <c r="AT41" i="39"/>
  <c r="CV45" i="39"/>
  <c r="BN45" i="39"/>
  <c r="CE40" i="39"/>
  <c r="DN40" i="39"/>
  <c r="BW44" i="39"/>
  <c r="BW43" i="39"/>
  <c r="AR41" i="39"/>
  <c r="BA40" i="39" s="1"/>
  <c r="DK40" i="39"/>
  <c r="CB40" i="39"/>
  <c r="DW39" i="39"/>
  <c r="BX42" i="39"/>
  <c r="CF40" i="39"/>
  <c r="DO40" i="39"/>
  <c r="AU41" i="39"/>
  <c r="BD40" i="39" s="1"/>
  <c r="AV40" i="39"/>
  <c r="AW40" i="39"/>
  <c r="CA40" i="39"/>
  <c r="DJ40" i="39"/>
  <c r="AS41" i="39"/>
  <c r="AQ41" i="39"/>
  <c r="AP41" i="39"/>
  <c r="AY40" i="39" s="1"/>
  <c r="BB39" i="39"/>
  <c r="BA39" i="39"/>
  <c r="DW38" i="39"/>
  <c r="DY38" i="39" s="1"/>
  <c r="AY39" i="39"/>
  <c r="AZ39" i="39"/>
  <c r="DP39" i="39"/>
  <c r="BO45" i="39"/>
  <c r="AA44" i="39" l="1"/>
  <c r="CU45" i="39"/>
  <c r="BM45" i="39"/>
  <c r="AA45" i="39"/>
  <c r="P46" i="39"/>
  <c r="Z45" i="39" s="1"/>
  <c r="S46" i="39"/>
  <c r="S47" i="39" s="1"/>
  <c r="U45" i="39"/>
  <c r="BL45" i="39"/>
  <c r="BP45" i="39" s="1"/>
  <c r="CT45" i="39"/>
  <c r="X44" i="39"/>
  <c r="BJ45" i="39"/>
  <c r="CR45" i="39"/>
  <c r="Q46" i="39"/>
  <c r="O46" i="39"/>
  <c r="N46" i="39"/>
  <c r="R46" i="39"/>
  <c r="BN46" i="39" s="1"/>
  <c r="DD43" i="39"/>
  <c r="BU43" i="39"/>
  <c r="BS44" i="39"/>
  <c r="DB44" i="39"/>
  <c r="CS45" i="39"/>
  <c r="CX45" i="39" s="1"/>
  <c r="BK45" i="39"/>
  <c r="DB43" i="39"/>
  <c r="BS43" i="39"/>
  <c r="BX43" i="39" s="1"/>
  <c r="DS40" i="39"/>
  <c r="DX40" i="39"/>
  <c r="DU40" i="39"/>
  <c r="DP40" i="39"/>
  <c r="BO46" i="39"/>
  <c r="CF41" i="39"/>
  <c r="AU42" i="39"/>
  <c r="BD41" i="39" s="1"/>
  <c r="DO41" i="39"/>
  <c r="CE41" i="39"/>
  <c r="DN41" i="39"/>
  <c r="BT45" i="39"/>
  <c r="DC45" i="39"/>
  <c r="AQ42" i="39"/>
  <c r="AZ41" i="39" s="1"/>
  <c r="CA41" i="39"/>
  <c r="AS42" i="39"/>
  <c r="BB41" i="39" s="1"/>
  <c r="AV41" i="39"/>
  <c r="AW41" i="39"/>
  <c r="DJ41" i="39"/>
  <c r="AP42" i="39"/>
  <c r="AY41" i="39" s="1"/>
  <c r="DS39" i="39"/>
  <c r="BF39" i="39"/>
  <c r="BE39" i="39"/>
  <c r="BC40" i="39"/>
  <c r="DU39" i="39"/>
  <c r="CT46" i="39"/>
  <c r="BL46" i="39"/>
  <c r="T46" i="39"/>
  <c r="U46" i="39"/>
  <c r="P47" i="39"/>
  <c r="Z46" i="39" s="1"/>
  <c r="DC44" i="39"/>
  <c r="BT44" i="39"/>
  <c r="CB41" i="39"/>
  <c r="DK41" i="39"/>
  <c r="AR42" i="39"/>
  <c r="BA41" i="39" s="1"/>
  <c r="AC45" i="39"/>
  <c r="CD41" i="39"/>
  <c r="AT42" i="39"/>
  <c r="DM41" i="39"/>
  <c r="BB40" i="39"/>
  <c r="CG40" i="39"/>
  <c r="AZ40" i="39"/>
  <c r="DT39" i="39"/>
  <c r="DV39" i="39"/>
  <c r="DL41" i="39"/>
  <c r="AB45" i="39"/>
  <c r="AE44" i="39" l="1"/>
  <c r="DA44" i="39"/>
  <c r="BR44" i="39"/>
  <c r="X45" i="39"/>
  <c r="O47" i="39"/>
  <c r="Q47" i="39"/>
  <c r="CR46" i="39"/>
  <c r="CX46" i="39" s="1"/>
  <c r="BJ46" i="39"/>
  <c r="BP46" i="39" s="1"/>
  <c r="N47" i="39"/>
  <c r="S48" i="39" s="1"/>
  <c r="AC47" i="39" s="1"/>
  <c r="DG44" i="39"/>
  <c r="BU45" i="39"/>
  <c r="DD45" i="39"/>
  <c r="Y45" i="39"/>
  <c r="CS46" i="39"/>
  <c r="BK46" i="39"/>
  <c r="Y46" i="39"/>
  <c r="DG43" i="39"/>
  <c r="DD44" i="39"/>
  <c r="BU44" i="39"/>
  <c r="BX44" i="39"/>
  <c r="R47" i="39"/>
  <c r="AB46" i="39" s="1"/>
  <c r="BM46" i="39"/>
  <c r="CU46" i="39"/>
  <c r="CV46" i="39"/>
  <c r="AD44" i="39"/>
  <c r="DS41" i="39"/>
  <c r="BT46" i="39"/>
  <c r="DC46" i="39"/>
  <c r="DT40" i="39"/>
  <c r="BO47" i="39"/>
  <c r="AC46" i="39"/>
  <c r="DX41" i="39"/>
  <c r="DV40" i="39"/>
  <c r="DP41" i="39"/>
  <c r="CT47" i="39"/>
  <c r="BL47" i="39"/>
  <c r="AS43" i="39"/>
  <c r="BB42" i="39" s="1"/>
  <c r="AQ43" i="39"/>
  <c r="DJ42" i="39"/>
  <c r="CA42" i="39"/>
  <c r="AP43" i="39"/>
  <c r="AY42" i="39" s="1"/>
  <c r="AV42" i="39"/>
  <c r="AW42" i="39"/>
  <c r="DT41" i="39"/>
  <c r="DY39" i="39"/>
  <c r="DE45" i="39"/>
  <c r="BV45" i="39"/>
  <c r="CV47" i="39"/>
  <c r="R48" i="39"/>
  <c r="AB47" i="39" s="1"/>
  <c r="DU41" i="39"/>
  <c r="DN42" i="39"/>
  <c r="CE42" i="39"/>
  <c r="BC41" i="39"/>
  <c r="BF41" i="39" s="1"/>
  <c r="DV41" i="39"/>
  <c r="AT43" i="39"/>
  <c r="BC42" i="39" s="1"/>
  <c r="CD42" i="39"/>
  <c r="DM42" i="39"/>
  <c r="BF40" i="39"/>
  <c r="BW45" i="39"/>
  <c r="AD45" i="39"/>
  <c r="CG41" i="39"/>
  <c r="CF42" i="39"/>
  <c r="DO42" i="39"/>
  <c r="AU43" i="39"/>
  <c r="BE40" i="39"/>
  <c r="DL42" i="39"/>
  <c r="DW40" i="39"/>
  <c r="DK42" i="39"/>
  <c r="CB42" i="39"/>
  <c r="AR43" i="39"/>
  <c r="BA42" i="39" s="1"/>
  <c r="CS47" i="39" l="1"/>
  <c r="BK47" i="39"/>
  <c r="U47" i="39"/>
  <c r="BN47" i="39"/>
  <c r="AA46" i="39"/>
  <c r="BM47" i="39"/>
  <c r="CU47" i="39"/>
  <c r="AA47" i="39"/>
  <c r="DB46" i="39"/>
  <c r="BS46" i="39"/>
  <c r="P48" i="39"/>
  <c r="CT48" i="39" s="1"/>
  <c r="DB45" i="39"/>
  <c r="BS45" i="39"/>
  <c r="X46" i="39"/>
  <c r="Q48" i="39"/>
  <c r="N48" i="39"/>
  <c r="BJ47" i="39"/>
  <c r="BP47" i="39" s="1"/>
  <c r="O48" i="39"/>
  <c r="CR47" i="39"/>
  <c r="CX47" i="39" s="1"/>
  <c r="X47" i="39"/>
  <c r="DG45" i="39"/>
  <c r="AE45" i="39"/>
  <c r="DA45" i="39"/>
  <c r="BR45" i="39"/>
  <c r="T47" i="39"/>
  <c r="DY40" i="39"/>
  <c r="BX45" i="39"/>
  <c r="BV47" i="39"/>
  <c r="DE47" i="39"/>
  <c r="DS42" i="39"/>
  <c r="DP42" i="39"/>
  <c r="DN43" i="39"/>
  <c r="CE43" i="39"/>
  <c r="DV42" i="39"/>
  <c r="AR44" i="39"/>
  <c r="BA43" i="39" s="1"/>
  <c r="CB43" i="39"/>
  <c r="DK43" i="39"/>
  <c r="CF43" i="39"/>
  <c r="DO43" i="39"/>
  <c r="AU44" i="39"/>
  <c r="BD43" i="39" s="1"/>
  <c r="DM43" i="39"/>
  <c r="CD43" i="39"/>
  <c r="AT44" i="39"/>
  <c r="BC43" i="39" s="1"/>
  <c r="BD42" i="39"/>
  <c r="DE46" i="39"/>
  <c r="BV46" i="39"/>
  <c r="CG42" i="39"/>
  <c r="DW42" i="39"/>
  <c r="BW46" i="39"/>
  <c r="DW41" i="39"/>
  <c r="DY41" i="39" s="1"/>
  <c r="BW47" i="39"/>
  <c r="DJ43" i="39"/>
  <c r="AV43" i="39"/>
  <c r="AW43" i="39"/>
  <c r="CA43" i="39"/>
  <c r="AS44" i="39"/>
  <c r="AQ44" i="39"/>
  <c r="AP44" i="39"/>
  <c r="DU42" i="39"/>
  <c r="DL43" i="39"/>
  <c r="BN48" i="39"/>
  <c r="CV48" i="39"/>
  <c r="AB48" i="39"/>
  <c r="U48" i="39"/>
  <c r="U49" i="39" s="1"/>
  <c r="AE52" i="39" s="1"/>
  <c r="BE41" i="39"/>
  <c r="AC48" i="39"/>
  <c r="AE51" i="39" s="1" a="1"/>
  <c r="AE51" i="39" s="1"/>
  <c r="BO48" i="39"/>
  <c r="AZ42" i="39"/>
  <c r="BF42" i="39" s="1"/>
  <c r="BL48" i="39" l="1"/>
  <c r="Z48" i="39"/>
  <c r="Y47" i="39"/>
  <c r="Y48" i="39"/>
  <c r="CS48" i="39"/>
  <c r="BK48" i="39"/>
  <c r="Z47" i="39"/>
  <c r="AD47" i="39" s="1"/>
  <c r="BU47" i="39"/>
  <c r="DD47" i="39"/>
  <c r="DD46" i="39"/>
  <c r="DG46" i="39" s="1"/>
  <c r="BU46" i="39"/>
  <c r="CU48" i="39"/>
  <c r="BM48" i="39"/>
  <c r="AA48" i="39"/>
  <c r="AE46" i="39"/>
  <c r="DA46" i="39"/>
  <c r="BR46" i="39"/>
  <c r="BX46" i="39" s="1"/>
  <c r="DA47" i="39"/>
  <c r="BR47" i="39"/>
  <c r="CR48" i="39"/>
  <c r="CX48" i="39" s="1"/>
  <c r="X48" i="39"/>
  <c r="BJ48" i="39"/>
  <c r="T48" i="39"/>
  <c r="AD46" i="39"/>
  <c r="BP48" i="39"/>
  <c r="AR45" i="39"/>
  <c r="BA44" i="39" s="1"/>
  <c r="DK44" i="39"/>
  <c r="CB44" i="39"/>
  <c r="DW43" i="39"/>
  <c r="DT42" i="39"/>
  <c r="BW48" i="39"/>
  <c r="AD48" i="39"/>
  <c r="DC48" i="39"/>
  <c r="BT48" i="39"/>
  <c r="CA44" i="39"/>
  <c r="DJ44" i="39"/>
  <c r="AS45" i="39"/>
  <c r="BB44" i="39" s="1"/>
  <c r="AQ45" i="39"/>
  <c r="AW44" i="39"/>
  <c r="AP45" i="39"/>
  <c r="AY44" i="39" s="1"/>
  <c r="AV44" i="39"/>
  <c r="CG43" i="39"/>
  <c r="DX42" i="39"/>
  <c r="DX43" i="39"/>
  <c r="BV48" i="39"/>
  <c r="DE48" i="39"/>
  <c r="DO44" i="39"/>
  <c r="CF44" i="39"/>
  <c r="AU45" i="39"/>
  <c r="BD44" i="39" s="1"/>
  <c r="AY43" i="39"/>
  <c r="DM44" i="39"/>
  <c r="AT45" i="39"/>
  <c r="CD44" i="39"/>
  <c r="DU43" i="39"/>
  <c r="BE42" i="39"/>
  <c r="AZ43" i="39"/>
  <c r="DP43" i="39"/>
  <c r="BB43" i="39"/>
  <c r="CE44" i="39"/>
  <c r="DN44" i="39"/>
  <c r="DL44" i="39"/>
  <c r="BS47" i="39" l="1"/>
  <c r="DB47" i="39"/>
  <c r="AE47" i="39"/>
  <c r="DB48" i="39"/>
  <c r="BS48" i="39"/>
  <c r="BX48" i="39" s="1"/>
  <c r="DC47" i="39"/>
  <c r="DG47" i="39" s="1"/>
  <c r="BT47" i="39"/>
  <c r="BX47" i="39" s="1"/>
  <c r="BU48" i="39"/>
  <c r="DD48" i="39"/>
  <c r="AE48" i="39"/>
  <c r="DA48" i="39"/>
  <c r="DG48" i="39" s="1"/>
  <c r="BR48" i="39"/>
  <c r="DY42" i="39"/>
  <c r="DV44" i="39"/>
  <c r="DX44" i="39"/>
  <c r="AR46" i="39"/>
  <c r="CB45" i="39"/>
  <c r="DK45" i="39"/>
  <c r="AU46" i="39"/>
  <c r="BD45" i="39" s="1"/>
  <c r="DO45" i="39"/>
  <c r="CF45" i="39"/>
  <c r="DT43" i="39"/>
  <c r="DU44" i="39"/>
  <c r="DS44" i="39"/>
  <c r="CA45" i="39"/>
  <c r="DJ45" i="39"/>
  <c r="AQ46" i="39"/>
  <c r="AV45" i="39"/>
  <c r="AP46" i="39"/>
  <c r="AY45" i="39" s="1"/>
  <c r="AW45" i="39"/>
  <c r="AS46" i="39"/>
  <c r="BB45" i="39" s="1"/>
  <c r="CE45" i="39"/>
  <c r="DN45" i="39"/>
  <c r="CD45" i="39"/>
  <c r="DM45" i="39"/>
  <c r="AT46" i="39"/>
  <c r="AZ44" i="39"/>
  <c r="BC44" i="39"/>
  <c r="DP44" i="39"/>
  <c r="CG44" i="39"/>
  <c r="DV43" i="39"/>
  <c r="DS43" i="39"/>
  <c r="BF43" i="39"/>
  <c r="BE43" i="39"/>
  <c r="AE49" i="39"/>
  <c r="I4" i="36" s="1"/>
  <c r="DL45" i="39"/>
  <c r="DY43" i="39" l="1"/>
  <c r="CG45" i="39"/>
  <c r="DT44" i="39"/>
  <c r="DX45" i="39"/>
  <c r="DP45" i="39"/>
  <c r="DV45" i="39"/>
  <c r="DK46" i="39"/>
  <c r="AR47" i="39"/>
  <c r="CB46" i="39"/>
  <c r="DN46" i="39"/>
  <c r="CE46" i="39"/>
  <c r="DO46" i="39"/>
  <c r="AU47" i="39"/>
  <c r="CF46" i="39"/>
  <c r="BC45" i="39"/>
  <c r="BE44" i="39"/>
  <c r="AZ45" i="39"/>
  <c r="BF44" i="39"/>
  <c r="DL46" i="39"/>
  <c r="DS45" i="39"/>
  <c r="AT47" i="39"/>
  <c r="DM46" i="39"/>
  <c r="CD46" i="39"/>
  <c r="BA45" i="39"/>
  <c r="DW44" i="39"/>
  <c r="CA46" i="39"/>
  <c r="AV46" i="39"/>
  <c r="DJ46" i="39"/>
  <c r="AW46" i="39"/>
  <c r="AQ47" i="39"/>
  <c r="AZ46" i="39" s="1"/>
  <c r="AP47" i="39"/>
  <c r="AY46" i="39" s="1"/>
  <c r="AS47" i="39"/>
  <c r="BB46" i="39" s="1"/>
  <c r="DY44" i="39" l="1"/>
  <c r="DV46" i="39"/>
  <c r="DT45" i="39"/>
  <c r="CE47" i="39"/>
  <c r="DN47" i="39"/>
  <c r="DT46" i="39"/>
  <c r="DK47" i="39"/>
  <c r="CB47" i="39"/>
  <c r="AR48" i="39"/>
  <c r="DO47" i="39"/>
  <c r="AU48" i="39"/>
  <c r="BD47" i="39" s="1"/>
  <c r="CF47" i="39"/>
  <c r="DL47" i="39"/>
  <c r="DS46" i="39"/>
  <c r="DM47" i="39"/>
  <c r="CD47" i="39"/>
  <c r="AT48" i="39"/>
  <c r="BC47" i="39" s="1"/>
  <c r="DW45" i="39"/>
  <c r="AQ48" i="39"/>
  <c r="AP48" i="39"/>
  <c r="AS48" i="39"/>
  <c r="DJ47" i="39"/>
  <c r="AW47" i="39"/>
  <c r="AV47" i="39"/>
  <c r="CA47" i="39"/>
  <c r="BF45" i="39"/>
  <c r="DP46" i="39"/>
  <c r="BE45" i="39"/>
  <c r="BD46" i="39"/>
  <c r="CG46" i="39"/>
  <c r="BA46" i="39"/>
  <c r="BC46" i="39"/>
  <c r="DU45" i="39"/>
  <c r="BE46" i="39" l="1"/>
  <c r="BF46" i="39"/>
  <c r="DY45" i="39"/>
  <c r="DP47" i="39"/>
  <c r="DL48" i="39"/>
  <c r="BA48" i="39"/>
  <c r="DX46" i="39"/>
  <c r="DU46" i="39"/>
  <c r="BB48" i="39"/>
  <c r="DM48" i="39"/>
  <c r="CD48" i="39"/>
  <c r="DJ48" i="39"/>
  <c r="CA48" i="39"/>
  <c r="AY48" i="39"/>
  <c r="AW48" i="39"/>
  <c r="AW49" i="39" s="1"/>
  <c r="AV48" i="39"/>
  <c r="BB47" i="39"/>
  <c r="DW46" i="39"/>
  <c r="AZ48" i="39"/>
  <c r="CB48" i="39"/>
  <c r="DK48" i="39"/>
  <c r="BA47" i="39"/>
  <c r="DW47" i="39"/>
  <c r="DX47" i="39"/>
  <c r="CE48" i="39"/>
  <c r="DN48" i="39"/>
  <c r="BC48" i="39"/>
  <c r="DO48" i="39"/>
  <c r="CF48" i="39"/>
  <c r="BD48" i="39"/>
  <c r="AY47" i="39"/>
  <c r="CG47" i="39"/>
  <c r="AZ47" i="39"/>
  <c r="DY46" i="39" l="1"/>
  <c r="DP48" i="39"/>
  <c r="DT48" i="39"/>
  <c r="DU47" i="39"/>
  <c r="DX48" i="39"/>
  <c r="BE47" i="39"/>
  <c r="BF47" i="39"/>
  <c r="DS47" i="39"/>
  <c r="DV48" i="39"/>
  <c r="DW48" i="39"/>
  <c r="DV47" i="39"/>
  <c r="DU48" i="39"/>
  <c r="DS48" i="39"/>
  <c r="BE48" i="39"/>
  <c r="BF48" i="39"/>
  <c r="DT47" i="39"/>
  <c r="CG48" i="39"/>
  <c r="BF49" i="39" l="1"/>
  <c r="K4" i="36" s="1"/>
  <c r="DY47" i="39"/>
  <c r="DY48" i="39"/>
  <c r="D40" i="16"/>
  <c r="D54" i="16" s="1"/>
  <c r="P6" i="31"/>
  <c r="R6" i="31" s="1"/>
  <c r="D86" i="16"/>
  <c r="D51" i="16"/>
  <c r="P28" i="31" s="1"/>
  <c r="R28" i="31" s="1"/>
  <c r="CP54" i="39" l="1"/>
  <c r="P7" i="31"/>
  <c r="R7" i="31" s="1"/>
  <c r="R5" i="31"/>
  <c r="P26" i="31"/>
  <c r="P25" i="31"/>
  <c r="R25" i="31" s="1"/>
  <c r="P27" i="31"/>
  <c r="R27" i="31" s="1"/>
  <c r="P4" i="31"/>
  <c r="R4" i="31" s="1"/>
  <c r="R35" i="31" l="1"/>
  <c r="R26" i="31"/>
  <c r="R37" i="31" s="1"/>
  <c r="AA4" i="31"/>
  <c r="DA9" i="39" s="1"/>
  <c r="CS9" i="39" l="1"/>
  <c r="P30" i="31"/>
  <c r="R30" i="31" s="1"/>
  <c r="P29" i="31"/>
  <c r="R29" i="31" s="1"/>
  <c r="CU9" i="39"/>
  <c r="CR9" i="39"/>
  <c r="DF9" i="39"/>
  <c r="DD9" i="39"/>
  <c r="DB9" i="39"/>
  <c r="CW9" i="39"/>
  <c r="DG9" i="39" l="1"/>
  <c r="DG49" i="39" s="1"/>
  <c r="S4" i="36" s="1"/>
  <c r="AC4" i="31"/>
  <c r="DJ9" i="39" s="1"/>
  <c r="CX9" i="39"/>
  <c r="CX49" i="39" s="1"/>
  <c r="DO9" i="39" l="1"/>
  <c r="DT9" i="39"/>
  <c r="DM9" i="39"/>
  <c r="AG4" i="31"/>
  <c r="DK9" i="39"/>
  <c r="DX9" i="39"/>
  <c r="DU9" i="39"/>
  <c r="DW9" i="39"/>
  <c r="DS9" i="39"/>
  <c r="DY9" i="39" l="1"/>
  <c r="DY49" i="39" s="1"/>
  <c r="DY50" i="39" s="1"/>
  <c r="DY51" i="39" s="1"/>
  <c r="U4" i="36" s="1"/>
  <c r="W4" i="36" s="1"/>
  <c r="DP9" i="39"/>
  <c r="DP49" i="39" s="1"/>
  <c r="DP50" i="39" s="1"/>
  <c r="DP51" i="39" s="1"/>
  <c r="K19" i="31"/>
  <c r="N19" i="31" s="1"/>
  <c r="K15" i="31"/>
  <c r="N15" i="31" s="1"/>
  <c r="K27" i="31"/>
  <c r="N27" i="31" s="1"/>
  <c r="K11" i="31"/>
  <c r="N11" i="31" s="1"/>
  <c r="K24" i="31"/>
  <c r="N24" i="31" s="1"/>
  <c r="K22" i="31"/>
  <c r="N22" i="31" s="1"/>
  <c r="K8" i="31"/>
  <c r="N8" i="31" s="1"/>
  <c r="K14" i="31"/>
  <c r="N14" i="31" s="1"/>
  <c r="N18" i="31"/>
  <c r="K5" i="31"/>
  <c r="N5" i="31" s="1"/>
  <c r="K7" i="31"/>
  <c r="N7" i="31" s="1"/>
  <c r="K23" i="31"/>
  <c r="N23" i="31" s="1"/>
  <c r="K12" i="31"/>
  <c r="N12" i="31" s="1"/>
  <c r="K21" i="31"/>
  <c r="N21" i="31" s="1"/>
  <c r="K26" i="31"/>
  <c r="N26" i="31" s="1"/>
  <c r="K28" i="31"/>
  <c r="N28" i="31" s="1"/>
  <c r="K20" i="31"/>
  <c r="N20" i="31" s="1"/>
  <c r="K10" i="31"/>
  <c r="N10" i="31" s="1"/>
  <c r="K9" i="31"/>
  <c r="N9" i="31" s="1"/>
  <c r="K13" i="31"/>
  <c r="N13" i="31" s="1"/>
  <c r="K6" i="31"/>
  <c r="N6" i="31" s="1"/>
  <c r="K4" i="31"/>
  <c r="N4" i="31" s="1"/>
  <c r="N17" i="31"/>
  <c r="K25" i="31"/>
  <c r="N25" i="31" s="1"/>
  <c r="W4" i="31" l="1"/>
  <c r="BM9" i="39" l="1"/>
  <c r="BT9" i="39"/>
  <c r="K30" i="31"/>
  <c r="N30" i="31" s="1"/>
  <c r="BK9" i="39"/>
  <c r="BV9" i="39"/>
  <c r="BS9" i="39"/>
  <c r="BR9" i="39"/>
  <c r="BO9" i="39"/>
  <c r="K29" i="31"/>
  <c r="N29" i="31" s="1"/>
  <c r="BJ9" i="39"/>
  <c r="BU9" i="39"/>
  <c r="BW9" i="39"/>
  <c r="Y4" i="31" l="1"/>
  <c r="CD9" i="39" s="1"/>
  <c r="BP9" i="39"/>
  <c r="BP49" i="39" s="1"/>
  <c r="CC9" i="39"/>
  <c r="CJ9" i="39"/>
  <c r="CA9" i="39"/>
  <c r="CE9" i="39"/>
  <c r="BX9" i="39"/>
  <c r="BX49" i="39" s="1"/>
  <c r="M4" i="36" s="1"/>
  <c r="AE4" i="31" l="1"/>
  <c r="AI4" i="31" s="1"/>
  <c r="CB9" i="39"/>
  <c r="CF9" i="39"/>
  <c r="CG9" i="39" s="1"/>
  <c r="CG49" i="39" s="1"/>
  <c r="CG50" i="39" s="1"/>
  <c r="CG51" i="39" s="1"/>
  <c r="CP9" i="39" l="1"/>
  <c r="CP49" i="39" l="1"/>
  <c r="CP50" i="39" s="1"/>
  <c r="CP51" i="39" s="1"/>
  <c r="O4" i="36" s="1"/>
  <c r="Q4" i="36" l="1"/>
  <c r="Y4" i="36" s="1"/>
  <c r="AA4" i="36"/>
  <c r="A1" i="1" l="1"/>
  <c r="A1"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tc={603C2F11-5E66-4814-B67F-DFFF8E080187}</author>
    <author>tc={B532BF4A-7683-4B8F-BAB7-FAEDACCA9E7C}</author>
    <author>tc={B2D14A82-65CA-441E-9357-BF1B4A84C412}</author>
  </authors>
  <commentList>
    <comment ref="AC4" authorId="0" shapeId="0" xr:uid="{603C2F11-5E66-4814-B67F-DFFF8E080187}">
      <text>
        <t xml:space="preserve">[Threaded comment]
Your version of Excel allows you to read this threaded comment; however, any edits to it will get removed if the file is opened in a newer version of Excel. Learn more: https://go.microsoft.com/fwlink/?linkid=870924
Comment:
    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
      </text>
    </comment>
    <comment ref="AQ5" authorId="1" shapeId="0" xr:uid="{B532BF4A-7683-4B8F-BAB7-FAEDACCA9E7C}">
      <text>
        <t xml:space="preserve">[Threaded comment]
Your version of Excel allows you to read this threaded comment; however, any edits to it will get removed if the file is opened in a newer version of Excel. Learn more: https://go.microsoft.com/fwlink/?linkid=870924
Comment:
    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
      </text>
    </comment>
    <comment ref="BN5" authorId="2" shapeId="0" xr:uid="{B2D14A82-65CA-441E-9357-BF1B4A84C412}">
      <text>
        <t xml:space="preserve">[Threaded comment]
Your version of Excel allows you to read this threaded comment; however, any edits to it will get removed if the file is opened in a newer version of Excel. Learn more: https://go.microsoft.com/fwlink/?linkid=870924
Comment:
    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tc={0B6DD241-C2BC-4CA7-B00F-DE0F258AE474}</author>
    <author>tc={15A76C50-EE4A-4237-B7E9-57C087DC5DF5}</author>
    <author>tc={2927ABDB-8929-4FF9-B1DC-4F9B233510B8}</author>
  </authors>
  <commentList>
    <comment ref="M3" authorId="0" shapeId="0" xr:uid="{0B6DD241-C2BC-4CA7-B00F-DE0F258AE474}">
      <text>
        <t xml:space="preserve">[Threaded comment]
Your version of Excel allows you to read this threaded comment; however, any edits to it will get removed if the file is opened in a newer version of Excel. Learn more: https://go.microsoft.com/fwlink/?linkid=870924
Comment:
    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
      </text>
    </comment>
    <comment ref="A4" authorId="1" shapeId="0" xr:uid="{15A76C50-EE4A-4237-B7E9-57C087DC5DF5}">
      <text>
        <t xml:space="preserve">[Threaded comment]
Your version of Excel allows you to read this threaded comment; however, any edits to it will get removed if the file is opened in a newer version of Excel. Learn more: https://go.microsoft.com/fwlink/?linkid=870924
Comment:
    The same as NG 185 method, assumptions. </t>
      </text>
    </comment>
    <comment ref="G4" authorId="2" shapeId="0" xr:uid="{2927ABDB-8929-4FF9-B1DC-4F9B233510B8}">
      <text>
        <t xml:space="preserve">[Threaded comment]
Your version of Excel allows you to read this threaded comment; however, any edits to it will get removed if the file is opened in a newer version of Excel. Learn more: https://go.microsoft.com/fwlink/?linkid=870924
Comment:
    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tc={C1A7B186-5DD2-4B8F-8F96-1A6B58B951BD}</author>
  </authors>
  <commentList>
    <comment ref="A2" authorId="0" shapeId="0" xr:uid="{C1A7B186-5DD2-4B8F-8F96-1A6B58B951BD}">
      <text>
        <t xml:space="preserve">[Threaded comment]
Your version of Excel allows you to read this threaded comment; however, any edits to it will get removed if the file is opened in a newer version of Excel. Learn more: https://go.microsoft.com/fwlink/?linkid=870924
Comment:
    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tc={77662616-55B5-4DAB-9456-243F05F042AB}</author>
  </authors>
  <commentList>
    <comment ref="C4" authorId="0" shapeId="0" xr:uid="{77662616-55B5-4DAB-9456-243F05F042AB}">
      <text>
        <t xml:space="preserve">[Threaded comment]
Your version of Excel allows you to read this threaded comment; however, any edits to it will get removed if the file is opened in a newer version of Excel. Learn more: https://go.microsoft.com/fwlink/?linkid=870924
Comment:
    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futureMetadata name="XLDAPR" count="1">
    <bk>
      <extLst>
        <ext uri="{bdbb8cdc-fa1e-496e-a857-3c3f30c029c3}">
          <xda:dynamicArrayProperties fDynamic="1" fCollapsed="0"/>
        </ext>
      </extLst>
    </bk>
  </futureMetadata>
  <cellMetadata count="1">
    <bk>
      <rc t="2" v="0"/>
    </bk>
  </cell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<sst xmlns="http://schemas.openxmlformats.org/spreadsheetml/2006/main" count="2594" uniqueCount="1316">
  <si>
    <t>Time</t>
  </si>
  <si>
    <t xml:space="preserve">October </t>
  </si>
  <si>
    <t xml:space="preserve">November </t>
  </si>
  <si>
    <t>December</t>
  </si>
  <si>
    <t xml:space="preserve">activity </t>
  </si>
  <si>
    <t>week 1</t>
  </si>
  <si>
    <t>week 2</t>
  </si>
  <si>
    <t>week 3</t>
  </si>
  <si>
    <t>week 4</t>
  </si>
  <si>
    <t xml:space="preserve">extraction Data </t>
  </si>
  <si>
    <t xml:space="preserve">develop decision problem table </t>
  </si>
  <si>
    <t xml:space="preserve">develop decision model structure </t>
  </si>
  <si>
    <t xml:space="preserve">validate model (peer validation, KP, SU) </t>
  </si>
  <si>
    <t xml:space="preserve">develop list of parameter </t>
  </si>
  <si>
    <t xml:space="preserve">build table of parameters  </t>
  </si>
  <si>
    <t xml:space="preserve">code model </t>
  </si>
  <si>
    <t xml:space="preserve">run analysis </t>
  </si>
  <si>
    <t xml:space="preserve">present results </t>
  </si>
  <si>
    <t xml:space="preserve">write report </t>
  </si>
  <si>
    <t xml:space="preserve">title </t>
  </si>
  <si>
    <t xml:space="preserve">Year </t>
  </si>
  <si>
    <t xml:space="preserve">Author </t>
  </si>
  <si>
    <t xml:space="preserve">country </t>
  </si>
  <si>
    <t xml:space="preserve">Study population / Age </t>
  </si>
  <si>
    <t xml:space="preserve">gene of interest </t>
  </si>
  <si>
    <t>Intervention</t>
  </si>
  <si>
    <t>Comparator</t>
  </si>
  <si>
    <t xml:space="preserve">Time horizon </t>
  </si>
  <si>
    <t>Study perspective</t>
  </si>
  <si>
    <t xml:space="preserve">model type </t>
  </si>
  <si>
    <t>Data sources</t>
  </si>
  <si>
    <t>Resource and costs</t>
  </si>
  <si>
    <t>Consequences</t>
  </si>
  <si>
    <t xml:space="preserve">Health states included in the Markov </t>
  </si>
  <si>
    <t xml:space="preserve">length of Markov stages </t>
  </si>
  <si>
    <t>Uncertainty (variables - analysis)</t>
  </si>
  <si>
    <t>cost-effectiveness conclusion</t>
  </si>
  <si>
    <t xml:space="preserve">Study DOI / URL </t>
  </si>
  <si>
    <t>key assumptions of the model or any note useful for modelling</t>
  </si>
  <si>
    <t>Primary outcomes</t>
  </si>
  <si>
    <t>Model inputs (1)</t>
  </si>
  <si>
    <t>Model inputs (2)</t>
  </si>
  <si>
    <t>Ali</t>
  </si>
  <si>
    <t>Short- and long-term cost-effectiveness analysis of CYP2C19 genotype-guided therapy, universal clopidogrel, versus universal ticagrelor in post-percutaneous coronary intervention patients in Qatar</t>
  </si>
  <si>
    <t>AlMukdad</t>
  </si>
  <si>
    <t xml:space="preserve">QATAR - </t>
  </si>
  <si>
    <t xml:space="preserve">post-PCI patients with ACS.  
</t>
  </si>
  <si>
    <t xml:space="preserve">CYP2C19 </t>
  </si>
  <si>
    <t>genetic testing to guide antiplatelet selection, so that CYP2C19*2 or *3 LOF allele carriers will receive ticagrelor and CYP2C19*2 or *3 LOF allele non-carriers will receive clopidogrel. 
 For all treatment strate_x0002_gies, patients received DAPT over a 12-month duration. In the genotype-guided arm, the LOF allele was considered regardless of whether patients were intermediate metabolizers, i.e. intermediate enzyme activity such as *1/*2, *1/*3, *2/*17, or poor metabolizers, i.e. re_x0002_duced or deficient enzyme activity such as *2/*2, *2/*3, *3/*3.</t>
  </si>
  <si>
    <t>universal administration of clopidogrel 75 mg oral tablet once daily to all patients; (ii) universal administration of ticagrelor 90 mg oral tablet twice daily to all patients; and</t>
  </si>
  <si>
    <t xml:space="preserve"> 1 year decision tree and 20 year Markov</t>
  </si>
  <si>
    <t xml:space="preserve"> hospital perspective</t>
  </si>
  <si>
    <t xml:space="preserve">Decision tree + Markov </t>
  </si>
  <si>
    <t>PLATO trial , Meta Analysis.
The probabilities of the clinical outcomes in the genotype-guided therapy arm were obtained from the PLATO genetic substudy [21]. 
The calculations of the transition probabilities for the health states in the Markov model were based on the PLATO health economic substudy, in which the probability of death is multiplied by a constant value that represents the ‘hazard ratio over standard mortality’ (Appendix 1) [24, 29].</t>
  </si>
  <si>
    <t>only the costs of direct medical resources in patient management were taken into consideration. Resources and how they are used were based on published clinical practice guidelines, adapted to the local perspective according to the available clinical guidelines at HMC [
]. The cost per patient in the different model pathways (health states) was calculated as the initial therapy cost added to the cost of hospitalization, resources consumed for monitoring, and screening tests throughout the duration therapy, including follow up.</t>
  </si>
  <si>
    <t xml:space="preserve">Patients were exclusively differentiated into a ‘success’ or a ‘failure’ outcome health state. Success was defined as survival with no event (i.e. without MI, stroke, cardiovascular death, or stent thrombosis), with/without ADRs (no premature discontinuation due to ADRs); i.e. MI, stroke, cardiovascular death, and stent thrombosis were successfully prevented. Failure was defined as the occurrence of MI, stroke, cardiovascular death, or stent thrombosis (with/without ADRs), or the discontinuation of the medication due to ADRs; i.e. MI, stroke, cardiovascular death, or stent thrombosis were not prevented, or the medication was prematurely discontinued.  Since only 1.5% of the patients included in the PLATO trial had multiple cardiovascular events [8], it was assumed that during the one year, patients could not have MI, stroke, or stent thrombosis concurrently. The
major bleeding and dyspnea were the ADRs of interest in the current model, including those causing therapy discontinuation, and they could occur regardless of the patient's cardiovascular event state. Major bleeding was defined as non-coronary artery bypass
grafting (CABG) Thrombolysis in Myocardial Infarction (TIMI) related to major bleeding
[23]. Discontinuation was defined as premature discontinuation of therapy because of
ADRs after which patients stopped DAPT and continued on aspirin monotherapy lifelong. </t>
  </si>
  <si>
    <t>‘no event’, ‘post MI’, ‘post stroke’,  ‘death’ , "non-fatal MI", "non-fatal stroke". 
Key assumptions in the Markov model structure were that, first, there was no treatment effect after the one-year short-term model as ticagrelor and clopidogrel were both stopped, and patients continued on aspirin monotherapy only . Second, ADRs (i.e. major bleeding and dyspnea) are not explicitly modeled in the Markov model structure because ADRs are not prognostic in terms of long-term effects (beyond the one-year model follow up) on survival, quality of life, and costs  Finally, it was assumed that patients, who had stent thrombosis by the end of the one-year non-Markov model, only made transition to the ‘no event’ and ‘dead’ states in the Markov follow-up.</t>
  </si>
  <si>
    <t xml:space="preserve">1 year </t>
  </si>
  <si>
    <t>Accounting for variability in acquisition costs with the availability of cheaper generics, a one-way sensitivity analysis was conducted for the costs of antiplatelets acquisition. 
To account for real-life interactions among different concurrent inherent uncertainties in key input data, the analysis of clinical and utility input values in the study's two-component model was based on a multivariate analysis, using Monte Carlo simulation via @Risk-7.6® (Palisade Corporation, NY, US). Based on 10,000 iterations, a multivariate sensitivity analysis that included variations in all clinical probabilities, utility values, and mutation probability. This was based on 95% CI uncertainty range and a trigen type of distribution for the probabilities. For the utility values, where CI was not available, ±10% variation with a triangular distribution was used. Trigen and Triangular distributions were, therefore, respectively used as relevant.</t>
  </si>
  <si>
    <t>based on the study perspective and assumptions, and regardless of the acquisition costs of clopidogrel and ticagrelor, CYP2C19 genotype-guided therapy remained at least a cost-effective antiplatelet strategy compared to either universal use of clopidogrel or ticagrelor over the short-term and long-term evaluations, and the universal clopidogrel was dominant and cost-effective compared to universal ticagrelor in the short-term and long-term analyses, respectively.</t>
  </si>
  <si>
    <t>https://doi.org/10.1016/j.ijcard.2021.01.044</t>
  </si>
  <si>
    <t>first, there was no treatment effect after the one-year short-term model as ticagrelor and clopidogrel were both stopped, and patients continued on aspirin monotherapy only [24]. Second, ADRs (i.e. major bleeding and dyspnea) are not explicitly modeled in the Markov model structure because ADRs are not prognostic in terms of long-term effects (beyond the one-year model follow up) on survival, quality of life, and costs [24]. Finally, it was assumed that patients, who had stent thrombosis by the end of the one-year non-Markov model, only made transition to the ‘no event’ and ‘dead’ states in the Markov follow-up.</t>
  </si>
  <si>
    <t>CYP2C19-guided antiplatelet therapy: a cost-effectiveness analysis of 30-day and 1-year outcomes following percutaneous coronary intervention</t>
  </si>
  <si>
    <t>Borse</t>
  </si>
  <si>
    <t>USA</t>
  </si>
  <si>
    <r>
      <t xml:space="preserve">CAD patients undergoing PCI and treated with aspirin and a P2Y12 inhibitor for atleast 12 months. 
</t>
    </r>
    <r>
      <rPr>
        <sz val="12"/>
        <color rgb="FFFF0000"/>
        <rFont val="Calibri"/>
        <family val="2"/>
        <scheme val="minor"/>
      </rPr>
      <t>They are not ACS and should be excluded.</t>
    </r>
  </si>
  <si>
    <t>genotype-guided therapy (CYP2C19 genotypingwith subsequent use of prasugrel for individuals carry-ing 1 or 2 LOF alleles and clopidogrel for individualswith 0 LOF alleles). For patients undergoing CYP2C19 genetic testing, we assumed that all LOF allele carri-ers would receive prasugrel instead of clopidogrel,as recommended by the Clinical Pharmacogenetics Implementation Consortium guidelines</t>
  </si>
  <si>
    <t>universal clopidogrel (clopidogrel for allindividuals without genotyping); universal prasugrel(prasugrel for all individuals without genotyping)</t>
  </si>
  <si>
    <t>Two time horizons wereinvestigated with the same decision tree model: 
30 days to evaluate early outcomes (primary analysis) and one year to evaluate total outcomes (secondary analysis).</t>
  </si>
  <si>
    <t>US healthcare payer’s perspective</t>
  </si>
  <si>
    <t xml:space="preserve">decision tree </t>
  </si>
  <si>
    <t>Publicly available data sources and published studies wereused for all model inputs.  meta-analysis by Mega and colleagues, which included ninestudies of CAD patients undergoing PCI, with enrich-ment from the TRITON TIMI-38 clinical trial thatcompared clinical outcomes following randomization toeither clopidogrel or prasugrel in ACS patients under-going PCI. The cost estimates used in the analysisare reported in 2014 US dollars ($) and are based onMedicare reimbursement rates.</t>
  </si>
  <si>
    <t xml:space="preserve">cost of drugs, genetic test. Managing MACE , bleeding , and ST event. </t>
  </si>
  <si>
    <t>MACE (defined as composite of cardiovascular death, myocardial infarction or ischemic stroke events), ST(defined as definite or probable ST events according to the Academic Research Consortium criteria) and major bleeding (defined as major bleeding events unrelated to coronary artery bypass graft surgery according to the Thrombolysis in Myocardial Infarction [TIMI] crite-ria) at 30 days and 1 year.  
Model outcomes were calculated as the number of MACE, ST and major bleed-ing events avoided in the genotype-guided treatment arm compared with use of either universal clopidogrelor universal prasugrel per 10,000 patients treated.
The expected event costs per treated patient and The incremental cost–effectiveness ratio value represents the cost to avoid a major cardiovascular or bleeding event.</t>
  </si>
  <si>
    <t xml:space="preserve">not applicable </t>
  </si>
  <si>
    <t xml:space="preserve">Probabilistic sensitivity analyses were performed using 10,000 Monte Carlo simulations to investigate the impact of parameter uncertainty on the early outcome and total outcome cost–effectiveness results. 
All model inputs were parameterized using a triangular distribution with the base-case value representing the peak value and reported 95% confidence intervals or ranges, when available, or ± 20% of the base-case value representing the minimum and maximum values for individual inputparameters. </t>
  </si>
  <si>
    <t xml:space="preserve">In the current investigation of a hypothetical US cohort of CAD patients undergoing PCI, selecting antiplatelet therapy based on a CYP2C19 genetic test result was projected to avoid major cardiovascular or bleeding adverse events at reasonable costs over the course of 30 days and 1 year following PCI when compared with universal clopidogrel and universal prasugrel. Taken together, these results suggest that implementing agenotype-guided approach to optimize P2Y12 inhibitor selection in clinical practice could help health systems achieve lower readmission rates within the first 30 daysfollowing PCI. </t>
  </si>
  <si>
    <t>DOI: 10.2217/pgs-2017-0075</t>
  </si>
  <si>
    <t xml:space="preserve">It was also assumed that information on CYP2C19 genotype would be available either pre-emptively or with prompt turnaround to sufficiently guide drug selection duringthe index PCI hospitalization, as described by institutions that have implemented CYP2C19 genotypinginto clinical practice. 
NOTE: sensitivity and specificity of 0.9999 are assumed and changed in snsitivity analysis between 0.95 - 1. </t>
  </si>
  <si>
    <t>Cost Effectiveness of a CYP2C19 Genotype-Guided Strategy in Patients with Acute Myocardial Infarction: Results from the POPular Genetics Trial</t>
  </si>
  <si>
    <t xml:space="preserve">Claassens </t>
  </si>
  <si>
    <t>Netherlands</t>
  </si>
  <si>
    <t xml:space="preserve">patients with STEMI undergoing primary PCI.
Mean age of the trial was 61 year. </t>
  </si>
  <si>
    <t>CYP2C19 genotype-guided strategy, where patients without CYP2C19*2 or *3 loss-of-function alleles were prescribed clopidogrel 75 mg once daily and ticagrelor or prasugrel (dosage identical to standard treatment) if they were carriers of such a loss-of-function allele. All patients also received guideline-recommended ASA.</t>
  </si>
  <si>
    <t xml:space="preserve">standard treatment with the P2Y12 inhibitors ticagrelor 90 mg twice daily or prasugrel 5 or 10 mg once daily based on the summary of product characteris_x0002_tics approved by the European Medicines Agency. </t>
  </si>
  <si>
    <t xml:space="preserve"> 1-year decision tree. lifelong Markov model</t>
  </si>
  <si>
    <t xml:space="preserve">health care </t>
  </si>
  <si>
    <t>POPular Genetics Trial</t>
  </si>
  <si>
    <t xml:space="preserve">only medical costs were included. Cost categories were treatment costs (genetic test and diferent antiplatelet drugs) and costs associated with the 
diferent events: minor bleeding, major bleeding, nonfatal MI, nonfatal stroke, post-MI, post-stroke, and death. The costs associated with the use of ASA and other medication 
were excluded from the analysis, since we assumed this would afect both treatment strategies equally. </t>
  </si>
  <si>
    <t xml:space="preserve">Bleeding(minor - major) , strok , miocardial infarctin and death. 
Health utilities, measured in quality-adjusted life-years (QALYs), were dependent on the events experienced by patients (Table  2). Health utility estimates were either derived from the POPular Genetics trial (using the EQ_x0002_5D-5L questionnaire) or, if data were not available from the trial, derived from literature focused on the Dutch health_x0002_care system with similar populations. </t>
  </si>
  <si>
    <t>The Markov model structure is identical to previously published mdels. States are included : Four disease transient states were included to refect the lifetime pro_x0002_gression of individuals after STEMI, including MI, post-MI, 
stroke, and post-stroke. Additionally, the model comprised two absorbing states, defned as cardiovascular death and noncardiovascular death.</t>
  </si>
  <si>
    <t>yearly cycles</t>
  </si>
  <si>
    <t>Four additional scenarios were conducted to capture the efect of the time horizon (1, 5, 10, and 25 years in the Markov model; sce_x0002_nario 1); adjustment of the discount rates to both costs and utilities at 4% (scenario 2); equal drug prices for all three drugs at €0.05/day, to mimic the availability of generic variants in the future (scenario 3); and equal distribution of the cohort over post-MI, post-stroke, and death (both cardiovascular death and  noncardiovascular death) at the start of the Markov model for both strategies to account for the uncertainty that a genotype-guided strategy does not result in numerically less stroke and MI as seen in the POPular Genetics trial (scenario 4).  For the sensitiv_x0002_ity analyses, the estimated range of each parameter was based on the 95% confdence interval (CI) in the studies. If the 95% CI was not available, ranges were calculated with a standard error of the mean of 25%. For univariate deterministic sensitivity analyses, each of the parameters was varied one by one over the 95% CI to examine the infuence of individual parameters on the ICER.</t>
  </si>
  <si>
    <t>In patients with STEMI undergoing primary PCI, a CYP2C19 genotype-guided strategy compared with stand_x0002_ard treatment with ticagrelor or prasugrel resulted in QALYs 
gained and cost savings.</t>
  </si>
  <si>
    <t>DO=10.1007%2fs40256-021-00496-4</t>
  </si>
  <si>
    <t>One of the assumptions underpinning the model was that 
patients in both groups were treated with ASA monotherapy after the 1-year trial period was fnished. Therefore, no dif_x0002_ference in bleeding rates was expected in the Markov model. 
Furthermore, bleeding usually decreases quality of life for 
only a short period. Hence, bleeding was not included as a 
separate health state in the Markov model. We assumed that patients could not develop multiple events during the 1-year The CYP2C19*2 and *3 alleles are the most common loss-of-function alleles, and  almost one-third of people in western populations carry one or two of these alleles [4]. 
In addition, we assumed that recurrent stroke or 
MI could only happen with a minimum interval of 1 year.</t>
  </si>
  <si>
    <t>Cost-effectiveness of CYP2C19-guided P2Y12 inhibitors in Veterans undergoing percutaneous coronary intervention for acute coronary syndromes</t>
  </si>
  <si>
    <t>Dong</t>
  </si>
  <si>
    <t xml:space="preserve">Veterans post-ACS/PCI. Type of ACS not specified. </t>
  </si>
  <si>
    <t>CYP2C19</t>
  </si>
  <si>
    <t xml:space="preserve">test results indicated CYP2C19
status (i.e. functional or LOF) and were available when P2Y12 in_x0002_hibitors were prescribed. Original ticagrelor or prasugrel assign_x0002_ments were de-escalated to clopidogrel if CYP2C19 was functional. The original clopidogrel assignment was escalated to prasugrel or ticagrelor if CYP2C19 LOF status was present. Otherwise, baseline assignment continued for 12 months. </t>
  </si>
  <si>
    <t>routine treatment with Clopidogrel , Prasugrel and Ticagrelor. Baseline P2Y12 inhibitor assignment
was 74.4% clopidogrel, 5.4% prasugrel, and 20.2% ticagrelor.</t>
  </si>
  <si>
    <t>12-month</t>
  </si>
  <si>
    <t xml:space="preserve"> Veterans Health Adminis_x0002_tration (VHA) of the U</t>
  </si>
  <si>
    <t xml:space="preserve"> decision tree</t>
  </si>
  <si>
    <t xml:space="preserve">TAILOR-PCI. 
The POPular Genetics RCT. 
The cohort size and baseline P2Y12 inhibitor assignment were based on VA data (Supplementary material online, Supplemental Methods 1, Table S1). 
CYP2C19 LOF prevalence was based on published data (Supplementary
material online, Supplemental Methods 2).9–11. RCTs and meta-analysis. </t>
  </si>
  <si>
    <t xml:space="preserve">Direct medical payments from VHA’s perspective that are relevant for
patient care included CYP2C19 testing, medication, and event costs and were abstracted from the fiscal year 2020 VHA administrative data. 
</t>
  </si>
  <si>
    <t xml:space="preserve">escalation, de-escalation, MI, stroke, bleeds, CV-related death, life years, deaths, QALYs, and
cost. The primary outcome, cost/QALY gained or the incremental cost_x0002_effectiveness ratio (ICER), was calculated by dividing.
the incremental cost by the incremental gain in QALYs for CYP2C19 testing relative to no CYP2C19 testing.
</t>
  </si>
  <si>
    <t xml:space="preserve">this is a decision tree which captured short term outcomes. </t>
  </si>
  <si>
    <t>not relevant</t>
  </si>
  <si>
    <t xml:space="preserve">For the one_x0002_way SA, the minimum and maximum values were individually tested for 27/62 model inputs (i.e. CYP2C19 LOF carrier prevalence, HSUVs, event probabilities and costs of drugs, CYP2C19 testing, events). For the PSA, 1000 Monte Carlo simulations were completed using triangular distribu_x0002_tions for CYP2C19 LOF carrier prevalence, costs, and event probabilities; and beta distributions for HSUVs. </t>
  </si>
  <si>
    <t xml:space="preserve"> In comparison to no CYP2C19 testing, CYP2C19 testing was dominant (health gains of 0.0027 QALYs and cost savings of $527 per person) and thus a cost-effective and high-value strategy.</t>
  </si>
  <si>
    <t>https://doi.org/10.1093/ehjqcco/qcac031</t>
  </si>
  <si>
    <r>
      <t xml:space="preserve">Implementation scenarios investigated implementation factors to identify the minimum values needed to ensure CYP2C19 testing re_x0002_mained cost-effective and high-value. 
Adherence to CYP2C19 test results was 90% for de-escalation and 85% for escalation per RCTs.2,3 For the no CYP2C19 testing strategy, CYP2C19 testing was not completed, and original P2Y12 inhibitor assignments were not changed.
Note:    </t>
    </r>
    <r>
      <rPr>
        <b/>
        <sz val="12"/>
        <color theme="1"/>
        <rFont val="Calibri"/>
        <family val="2"/>
        <scheme val="minor"/>
      </rPr>
      <t>TAILOR-PCI</t>
    </r>
    <r>
      <rPr>
        <sz val="12"/>
        <color theme="1"/>
        <rFont val="Calibri"/>
        <family val="2"/>
        <scheme val="minor"/>
      </rPr>
      <t xml:space="preserve"> enrolled 82% with ACS and was the first
RCT to estimate treatment effects of CYP2C19-guided ‘escala_x0002_tion’.2 CYP2C19 LOF carriers were randomized to prasugrel or ticagrelor vs. clopidogrel and resulted in a 34% improvement in CV events among CYP2C19 LOF carriers.2 The </t>
    </r>
    <r>
      <rPr>
        <b/>
        <sz val="12"/>
        <color theme="1"/>
        <rFont val="Calibri"/>
        <family val="2"/>
        <scheme val="minor"/>
      </rPr>
      <t>POPular Genetics</t>
    </r>
    <r>
      <rPr>
        <sz val="12"/>
        <color theme="1"/>
        <rFont val="Calibri"/>
        <family val="2"/>
        <scheme val="minor"/>
      </rPr>
      <t xml:space="preserve"> RCT tested CYP2C19-guided ‘de-escalation’ in patients with STEMI treated with PCI. CYP2C19 LOF carriers were randomized to ticagrelor vs. CYP2C19-guided therapy, and functional CYP2C19 carriers were preferentially prescribed. </t>
    </r>
  </si>
  <si>
    <t>Cost-effectiveness analysis of pharmacogenomics-guided clopidogrel treatment in Spanish patients undergoing percutaneous coronary intervention</t>
  </si>
  <si>
    <t xml:space="preserve">Fragoulakis </t>
  </si>
  <si>
    <t>Spain</t>
  </si>
  <si>
    <t>18 years of age, were diagnosed with CAD and underwent PCI with stent implantation</t>
  </si>
  <si>
    <r>
      <t>CYP2C19*2</t>
    </r>
    <r>
      <rPr>
        <sz val="9"/>
        <color rgb="FF222222"/>
        <rFont val="Segoe UI"/>
        <family val="2"/>
      </rPr>
      <t>, </t>
    </r>
    <r>
      <rPr>
        <i/>
        <sz val="9"/>
        <color rgb="FF222222"/>
        <rFont val="Segoe UI"/>
        <family val="2"/>
      </rPr>
      <t>CYP2C19*3</t>
    </r>
    <r>
      <rPr>
        <sz val="9"/>
        <color rgb="FF222222"/>
        <rFont val="Segoe UI"/>
        <family val="2"/>
      </rPr>
      <t> and </t>
    </r>
    <r>
      <rPr>
        <i/>
        <sz val="9"/>
        <color rgb="FF222222"/>
        <rFont val="Segoe UI"/>
        <family val="2"/>
      </rPr>
      <t>CYP2C19*17</t>
    </r>
  </si>
  <si>
    <t>patients belonging to the Prospective group (P group; n = 317) followed a genotype-guided treatment strategy according to their CYP2C19 genotyping.</t>
  </si>
  <si>
    <t>Patients belonging to the Retrospective group (R group; n = 402) followed a non-tailored strategy</t>
  </si>
  <si>
    <t xml:space="preserve">12 month </t>
  </si>
  <si>
    <t xml:space="preserve">healthcare </t>
  </si>
  <si>
    <t>decision tree based on trial results</t>
  </si>
  <si>
    <t>A total of 549 patients diagnosed with coronary artery disease followed by PCI were recruited. Dual antiplatelet therapy was administrated to all patients from 1 to 12 months after PCI. health related quality of life taken from the literature.</t>
  </si>
  <si>
    <t>Only direct healthcare costs reimbursed by the payers were considered, such as any cost related to the management of patients including the expenses for the delivery of the treatment, the cost of the genetic test and the management of any adverse drug reaction.</t>
  </si>
  <si>
    <t>(a) myocardial infraction, (b) major bleeding and minor bleeding, (c) stroke, (d) the number of hospitalization days, and (e) the number of days patients spent in Intensive Care Unit. Our primary outcome measure for the cost-effectiveness analysis was Quality Adjusted Life Years (QALYs).</t>
  </si>
  <si>
    <t>Given that data are generally not normally distributed, but skewed to the right, bootstrapping was used to create confidence intervals using the percentile method. Mean values of the parameters of interest were obtained from each dataset and were used to construct a new matrix with 5000 observations.</t>
  </si>
  <si>
    <t xml:space="preserve"> The majority of the simulation experiments fell into the South-East quadrant indicating with once again that the Prospective group was less expensive but also more effective than the Retrospective group. In accordance with the deterministic results, the ICER for the Retrospective group was negative indicating that the intervention strategy in the Prospective group represents a dominant option. </t>
  </si>
  <si>
    <t>Cost-effectiveness analysis of pharmacogenomics-guided clopidogrel treatment in Spanish patients undergoing percutaneous coronary intervention | The Pharmacogenomics Journal (nature.com)</t>
  </si>
  <si>
    <t>Cost-effectiveness of CYP2C19 LOF-guided antiplatelet therapy in Chinese patients with acute coronary syndrome</t>
  </si>
  <si>
    <t>Fu</t>
  </si>
  <si>
    <t xml:space="preserve">China </t>
  </si>
  <si>
    <t>Chinese ACS patients aged 60who underwent PCI.</t>
  </si>
  <si>
    <t>CYP2C19*2</t>
  </si>
  <si>
    <t>CYP2C19 LOF allele carriers receiving ticagrelor 90 mg twice daily and LOF allele noncarriers receiving clopidogrel 75 mg daily. Patients in all three groups would receive a loading dose of clopidogrel 300 mg or ticagrelor 180 mg prior to PCI and 1-year DAPT (aspirin 100 mg plus clopidogrel 75 mg daily or ticagrelor90 mg twice daily)</t>
  </si>
  <si>
    <t xml:space="preserve">universal use of clopidogrel75 mg daily for all patients; universal use of ticagrelor 90 mg twice daily for all patients. </t>
  </si>
  <si>
    <t xml:space="preserve">25 years </t>
  </si>
  <si>
    <t>healthcare provider</t>
  </si>
  <si>
    <t xml:space="preserve">decision tree and Markov </t>
  </si>
  <si>
    <t xml:space="preserve">literature review . 
East-Asian sub-study of the PLATO and the PHILO studies [15]. </t>
  </si>
  <si>
    <t xml:space="preserve">cost of CYP2C19 test, Daily costs of clopidogrel and ticagrelor, average costs health states included in decision models. 
‘China Health and Family Planning Statistics Yearbook 2016 , literature was data sources.  </t>
  </si>
  <si>
    <t xml:space="preserve">Death from cardiovascular cause or  bleeding,   non-fatal stroke, non-fatal myocardial infarction(non-fatal MI) or non-fatal major bleeding. health utility scores. quality-adjusted life years (QALYs) and incremental cost–effectiveness ratios (ICERs). </t>
  </si>
  <si>
    <t>event free/post bleeding, non-fatal MI, non-fatal Stroke, post-MI, post-stroke, cardiovascular death</t>
  </si>
  <si>
    <t xml:space="preserve">yearly </t>
  </si>
  <si>
    <t>one-way sensitivity analysis for each variable in the model. A tornado graph, presented by net benefits, illustrated the top 12 influential parameters. For the majority of the inputs, the 95% CIs were not available. We varied the input values by ± 20%. Since we took into account the cost of genetic testing to be more volatile, we varied its value by ± 50%. 
probabilistic sensitivity analysis for 10,000 Monte Carlo simulations. We used triangle distributions for all parameters and assigned 80 and 120% of the point estimates to their minimum and maximum values, respectively.</t>
  </si>
  <si>
    <t>Base-case analysis showed that universal clopidogrel treatment resulted in the lowest effectiveness (1.6932 QALYs) and the lowest life-long cost (2450 yuan). Universal ticagrelor treatment had an effectiveness of 1.6967 QALYs at a cost of 2567 yuan, for an ICER of 33875 yuan per QALY gained relative to universal clopidogrel treatment. CYP2C19 LOF-guided treatment had an effectiveness of 1.6975 QALYs at a cost of 2812 yuan, for an ICER of 84118 yuan per QALY gained relative to universal clopidogrel treatment. 
the universal ticagrelor treatment was cost–effective compared with universal clopidogrel treatment.</t>
  </si>
  <si>
    <t>https://doi.org/10.2217/pgs-2019-0050</t>
  </si>
  <si>
    <t>In the platelet inhibition and patient outcomes (PLATO) trial, only 1.5% of patients had multiple cardiovascular events [Citation13]; thus, we assumed that patients could not experience MI and stroke simultaneously in the first year. 
Bleeding events were not taken into account from the second year as bleeding events are rare during this time.
We considered that patients could not enter the new MI state from the post-stroke state because this would allow stroke patients to transition to a health state characterized by an improved quality of life and lower associated costs [26].  
The Markov model also assumed the post-1-year event rates under aspirin monotherapy to be equal regardless of their initial (first year) treatment strategies [17].</t>
  </si>
  <si>
    <t>Projected Cost-Effectiveness for 2 Gene-Drug Pairs Using a Multigene Panel for Patients Undergoing Percutaneous Coronary Intervention</t>
  </si>
  <si>
    <t>Hart</t>
  </si>
  <si>
    <t xml:space="preserve"> hypothetical cohort of 55-year-old patients presenting with CD. Specifically, the base case was pa_x0002_tients with NSTE-ACS undergoing PCI under consideration for
antiplatelet therapy, who then were prescribed treatment for mild to moderate pain management.</t>
  </si>
  <si>
    <t>CYP2C19 and CYP2D6</t>
  </si>
  <si>
    <t xml:space="preserve"> an array-based multigene panel that preemptively provided genetic information for CYP2C19 (testing for at least 1 of the following reduced-function alleles: *2, *3, *4, and *8) and CYP2D6 (testing for at least 1 of the following reduced-function alleles: *7, *9, *20, *27, *33, *35, and *41). Prasugrel was given to LOF CYP2C19. </t>
  </si>
  <si>
    <t xml:space="preserve">a single gene test that provided the same CYP2C19 genetic information; and universal clopidogrel.  </t>
  </si>
  <si>
    <t>15 months</t>
  </si>
  <si>
    <t>US payer</t>
  </si>
  <si>
    <t xml:space="preserve">Probabilities and costs data were obtained from the published literature. 
Given known ethnic differences in allele frequencies for vari_x0002_ation within CYP2C19 and CYP2D6, the estimate for population allele frequencies was derived by calculating the average among loss-of-function allele frequencies across African American, Caucasian, and Asian population  estimates.  The proportion of
the population with a CYP2D6 reduced-function allele is 7%. </t>
  </si>
  <si>
    <t>mean cost of the multigene test (MPGx) strategy was the sum of the cost of a multigene test, the cost of treatment selected (antiplatelet therapy and pain medication), and the added costs of an ADE or death.
The mean cost of the no test strategy was the sum of the cost of clopidogrel treatment, the cost of treatment of the randomly assigned pain medication, and the added costs of an ADE or death. A composite cost for MACE was used.27 Costs for
tramadol-related ADEs (drug A) were obtained from a 3-month
average28; subsequently, a 1-month average was calculated and
used in the model. Direct costs associated with gastrointestinal
(GI) toxicity monitoring were ascertained for acetamophen_x0002_related ADEs (drug B), and the average was calculated among all types of inpatient and outpatient surgical and medical manage_x0002_ment associated with the ADEs.</t>
  </si>
  <si>
    <t xml:space="preserve">MACE , non cardio-vascular death. QALY , Net Marginal Benefit.  </t>
  </si>
  <si>
    <t>For the parameter inputs, beta distributions for probabilities and utilities, gamma distributions for costs, and log-normal distribu_x0002_tions for hazard ratios were used for the sensitivity analyses.  In 2-way sensitivity analyses, we calculated the cost-effectiveness ratios while varying the risks of ADE on acetaminophen and tramadol, respectively, costs of multigene and single gene tests, and costs of acetamino_x0002_phen ADE. We assessed uncertainty within the model inputs using probabilistic sensitivity analysis with 1000 Monte Carlo simulations. Unless otherwise stated, high and low estimates derived from the bounds of the 95% confidence intervals (CIs) were used in the analysis. If the bounds of the 95% CIs were unavailable, ranges of 625% for probabilities and utilities and of 650% for costs were used. Net health benefit
assessments were performed using a $100,000/QALY WTP
threshold, and we examined alternative threshold values.</t>
  </si>
  <si>
    <t xml:space="preserve">Over 15 months, the multigene testing strategy was least costly
and yielded more QALYs compared to both the single gene strat_x0002_egy and the no test strategy. Total incremental costs were $1646
lower with incremental gains of 0.04 QALYs for multigene testing compared to single gene testing, and incremental costs were $11
368 lower with incremental gains of 0.17 QALY for multigene testing compared to no testing. The NMB for multigene testing
based on a $100 000/QALY WTP threshold was $5656 compared with single gene testing and $28 391 compared with no testing.
The MPGx strategy dominated both comparator strategies. </t>
  </si>
  <si>
    <t>DOI: 10.1016/j.jval.2019.05.015</t>
  </si>
  <si>
    <t xml:space="preserve">Based on previous evidence that patients on either clopidogrel or prasugrel experience the same probability of having a myocardial infarction event that will be symptomatic after 30 days. </t>
  </si>
  <si>
    <t>CYP2C19 genotype plus platelet reactivity-guided antiplatelet therapy in acute coronary syndrome patients: a decision analysis</t>
  </si>
  <si>
    <t>Jiang</t>
  </si>
  <si>
    <t xml:space="preserve"> a hypothetical
cohort of 60-year-old patients with acute coronary syndrome after a percutaneous coronary intervention. </t>
  </si>
  <si>
    <t>CYP2C19*1 and CYP2C19*17 were a wild-type allele and a gain-of-function (GOF) allele, respectively. CYP2C19*2, CYP2C19*3, CYP2C19*4, CYP2C19*5, CYP2C19*6, CYP2C19*7, and CYP2C19*8 alleles were LOF alleles</t>
  </si>
  <si>
    <t xml:space="preserve">CYP2C19 genotype plus platelet reactivity-guided antiplatelet therapy (PG-PRT). CYP2C19 LOF allele(s) carriers who were poor 
metabolizers received prasugrel or ticagrelor. CYP2C19 LOF allele(s) carriers who were intermediate metabolizers (IM) received high-dose clopidogrel (225 mg daily) and were tested for high on-treatment platelet reactivity (HTPR). IM
patients with HTPR were switched to prasugrel or ticagrelor. </t>
  </si>
  <si>
    <t>(a) universal clopidogrel (75 mg daily), (b) universal alternative antiplatelet therapy (prasugrel or ticagrelor).</t>
  </si>
  <si>
    <t xml:space="preserve">1 year decision tree and 40 year Markov </t>
  </si>
  <si>
    <t xml:space="preserve">UK health provider </t>
  </si>
  <si>
    <t xml:space="preserve">decision-tree Markov </t>
  </si>
  <si>
    <t xml:space="preserve">The model inputs were derived from the published literature. </t>
  </si>
  <si>
    <t xml:space="preserve">The one-time costs of clinical events (ST, MI, stroke, major bleeding,
cardiovascular death) and the monthly cost of stroke sur_x0002_vivor were retrieved from the inpatient diagnosis-related group data [26]. The cost of IHD event was derived from a cost-analysis on 1-year costs of IHD among ACS patients using the claims database [27]. The monthly costs of generic clopidogrel and alternative agents were obtained
from drug retail pricing [28]. The costs of genetic testing and platelet function testing were estimated from recent studies on genotype-guided antiplatelet therapy. </t>
  </si>
  <si>
    <t xml:space="preserve">ST (if a stent was placed), nonfatal stroke, nonfatal MI, major bleeding,  cardio_x0002_vascular death.  QALYs , ICER. </t>
  </si>
  <si>
    <t xml:space="preserve">Patients who had either no event or experienced nonfatal stroke, or survivors of major bleeding during the short_x0002_term period would enter the long-term model in the
health state of ischemic heart disease (IHD). In each year, IHD patients might experience acute MI. Those who had experienced and survived acute MI (during either short-term or long-term period) would be in the ‘MI’ state for 1 year for higher odds of 12-month mortality post-acute MI. Patients who survived acute MI after the
first year would transit to the ‘post-MI’ state and remain in this state until they died. </t>
  </si>
  <si>
    <t xml:space="preserve">One-way sensitivity analysis was carried out on all the model inputs. Ranges of sensitivity analysis were 95% CIs if available or ± 20% of base-case values. Probabilistic sensitivity analysis was carried out to determine the outcomes of each study arm 10 000 times by randomly sampling the value of all inputs simultaneously from a triangular probability distribution using Monte Carlo simulation. Mean differences in the costs and QALYs between study arms were presented with 95% CI. </t>
  </si>
  <si>
    <t>In the base-case analysis , PG-PRT was the least costly strategy (USD 71 887), with the highest QALYs gained (7.886 QALYs), and it therefore dominated both the universal clopidogrel and universal alter_x0002_native antiplatelet arms. On comparing the two universal treatment strategies, universal alternative antiplatelet therapy was more costly (USD 74 692 vs. USD 72 319) and effective (7.872 QALYs vs. 7.855 QALYs), with an ICER of 139 588 USD/QALY (exceeding WTP of 50 000 USD/QALY).</t>
  </si>
  <si>
    <t>10.1097/FPC.0000000000000177</t>
  </si>
  <si>
    <t xml:space="preserve">this study granulated the universal antiplatelet therapy (current care) by specifing different risks in patients with LOF and not-LOF. </t>
  </si>
  <si>
    <t>Maria</t>
  </si>
  <si>
    <t>Cost-effectiveness analysis of personalized antiplatelet therapy in patients with acute coronary syndrome</t>
  </si>
  <si>
    <t>hypothetical cohort of 60-year-old ACS patients undergoing PCI: Universal clopidogrel 75mg daily, universal alternative P2Y12 inhibitor (prasugrel 10 mg daily or ticagrelor 90 mg twice daily), PG-guided anti_x0002_platelet therapy and PRT-guided antiplatelet therapy</t>
  </si>
  <si>
    <t>four antiplatelet strategies: universal clopidogrel 75 mg daily, universal alternative P2Y12 inhibitor (prasugrel or ticagrelor), PG-guided therapy, and platelet reactivity testing-guided therapy.</t>
  </si>
  <si>
    <t>universal
antiplatelet therapies for ACS patients with PCI</t>
  </si>
  <si>
    <t xml:space="preserve">All patients would receive P2Y12 antiplatelet treat_x0002_ment for one year in a short-term decision tree model, 
and survivors would enter a life-long Markov model 
for maximum of 30 years with yearly cycle. </t>
  </si>
  <si>
    <t>US healthcare provider</t>
  </si>
  <si>
    <t>A simulated decision-analytic model</t>
  </si>
  <si>
    <t>Model inputs were derived from published literature and government website. US Medical Expenditure Panel Survey for utility scores</t>
  </si>
  <si>
    <t>Direct medical costs and quality-adjusted life years
(QALYs) gained were primary outcomes simulated
in the model from the perspective of US healthcare
provider.</t>
  </si>
  <si>
    <t>During the first year (short-term model), a patient might experience one of the clinical outcomes: no event, nonfatal myocardial infarction (MI), nonfatal stroke, major bleeding (nonfatal or fatal bleeding), stent thrombosis or cardiovascular death. Patients experienced stent
thrombosis would receive a repeated PCI. Patients who experienced no event, nonfatal stroke or survivors of major bleeding would start at the health state of ischemic heart disease (IHD) when they entered the longterm model. IHD patients would either stay at this state or experience acute MI in the following years. Survivors of acute MI (either in the short-term or longterm model) would stay at this state for 1 year before they transited to ‘post-MI’ state. Patients who entered the ‘post-MI’ state would remain in the same state until they died.</t>
  </si>
  <si>
    <t>All patients would receive P2Y12 antiplatelet treatment
for one year in a short-term decision tree model,
and survivors would enter a life-long Markov model
for maximum of 30 years with yearly cycle</t>
  </si>
  <si>
    <t>One-way sensitivity analysis showed the base-case results
to be robust that PG-guided therapy was the preferred
strategy throughout variation of all model inputs and
no threshold value was identified. The most influential
parameters were the transition probabilities from IHD
to death and post-MI state to death, followed by cost
of PCI and the utility value of IHD. extended the cost
range from US$50–350 to US$350–5000 and found
that PRT-guided therapy would become a preferred
therapy when genotyping cost higher than US$3121.
Universal alternative P2Y12 inhibitor would become the
cost-effective option when both the genetic and platelet
reactivity testing costs were extremely high (&gt;US$4635
and &gt;US$1537, respectively)</t>
  </si>
  <si>
    <t xml:space="preserve">PG-guided
therapy was the most effective arm (7.6249 QALYs)
with the lowest cost (US$75,208), and all three other options were therefore dominated by PGguided therapy. PRT-guided therapy also dominated (less costly by US$421 and more effective by 0.0258 QALYs) the universal clopidogrel arm. Universal alternative P2Y12 inhibitor gained higher QALYs than PRT-guided therapy (by 0.0057 QALYs) with ICER of US$315,263/QALY (over WTP threshold US$50,000/QALY) and PRT-guided therapy was therefore preferred over universal alternative agent. Comparing the two universal treatment arms, universal
alternative P2Y12 inhibitor was more effective and costly than universal clopidogrel (by 0.0315 QALYs and US$1376; ICER US$43,683/QALY). With the ICER
below WTP threshold, universal alternative P2Y12 inhibitor was preferred over universal clopidogrel. </t>
  </si>
  <si>
    <t>https://pubmed.ncbi.nlm.nih.gov/27167099/</t>
  </si>
  <si>
    <t>all patients received clopidogrel loading-dose 600 mg prior to PCI. Patients in universal treatment arms would receive maintenance dose of clopidogrel (75 mg daily) or an alternative P2Y12 inhibitor (prasugrel 10 mg daily or ticagrelor 90 mg
twice daily) without genetic or platelet reactivity testing. In the PG-guided arm, patients would be tested on CYP2C19 genotype before PCI. Noncarriers of
CYP2C19 LOF allele would be treated with clopidogrel 75 mg daily, whereas carriers of CYP2C19 LOF allele(s) would receive an alternative P2Y12 inhibitor. In the PRT-guided arm, platelet reactivity testing would be performed with VerifyNow P2Y12 assay (Accumetrics, CA, USA) in 6–12 h after clopidogrel
loading-dose [21]. Low responders, defined as P2Y12 reaction units (PRU) &gt; 208, would be switched to an alternative P2Y12 inhibitor (prasugrel 10 mg daily or
ticagrelor 90 mg twice daily) for maintenance therapy. Normal responders (PRU ≤ 208) would receive clopidogrel 75 mg daily. Patients in all four arms also received daily aspirin at a dose of 75–162 mg.The disutility of stent thrombosis was assumed to be similar to the disutility of nonfatal MI</t>
  </si>
  <si>
    <t>Direct medical costs, quality-adjusted life years (QALYs) gained, and incremental cost–effectiveness ratio simulated from perspective of US healthcare provider</t>
  </si>
  <si>
    <t>CYP2C19 LOF and GOF-Guided Antiplatelet Therapy in Patients with Acute Coronary Syndrome: A Cost-Effectiveness Analysis</t>
  </si>
  <si>
    <t>Hypothetical cohort of 60-year-old patients
with ACS undergoing PCI, managed by three antiplatelet
strategies</t>
  </si>
  <si>
    <t>simulate outcomes of three strategies: universal clopidogrel
(75 mg daily), universal alternative P2Y12 inhibitor (prasugrel
10 mg daily or ticagrelor 90 mg twice daily), and LOF/GOFguided
therapy (LOF/GOF allele carriers receiving alternative
P2Y12 inhibitor, wild-type patients receiving clopidogrel). Patients in all three
groups would receive a loading dose of clopidogrel 600 mg
prior to PCI and one-year DAPT (aspirin 75-162 mg plus a
P2Y12 inhibitor). In the universal clopidogrel and LOF/GOFguided
groups, patients were categorized by CYP2C19 genotype as carriers and non carriers of LOF allele(s). Non-carriers of LOF allele were further divided into two subgroups: GOF allele carriers (*17/*1, *17/*17) and wild-type patients (*1/ *1). In the universal clopidogrel arm, patients would not be genotyped and all patients would receive clopidogrel 75 mg daily. The probabilities of MACE, stent thrombosis and major bleeding in the universal clopidogrel group would be estimated according to the risk of events for different CYP2C19 genotypes. In the LOF/GOF-guided arm, patients would receive CYP2C19 genotype testing.Wild-type patients would receive standard dosing clopidogrel 75 mg daily, while GOF allele carriers and LOF allele carriers would receive alternative P2Y12 inhibitor (prasugrel 10 mg daily or ticagrelor 90 mg twice daily). In the universal alternative P2Y12 inhibitor group, all patients would receive prasugrel 10 mg daily or ticagrelor 90 mg twice daily.</t>
  </si>
  <si>
    <t>universal clopidogrel</t>
  </si>
  <si>
    <t>one year Dual antiplatelet therapy (DAPT), followed by a life-long Markov model for
maximum of 30 years with yearly cycle</t>
  </si>
  <si>
    <t>perspective of
US healthcare provider</t>
  </si>
  <si>
    <t>life-long decision-analytic model</t>
  </si>
  <si>
    <t>US
Medical Expenditure Panel Survey. One-time costs of nonfatal stroke,
nonfatal myocardial infarction, cardiovascular death, major
bleeding, and PCI were derived from the diagnosis-related
group data. The cost of ischemic heart disease treatment
was retrieved from a cost-analysis on one-year cost of ischemic
heart disease in patients with ACS using claims database</t>
  </si>
  <si>
    <t>The CYP2C19 genotype testing cost (USD 200; range
USD 50–350) was estimated from a recent economic evaluation
of genotype-guided antiplatelet therapy . The monthly
cost of generic clopidogrel (USD 12; range USD 6–18) and
alternative P2Y12 inhibitor (prasugrel or ticagrelor, USD 141;
range USD 120–171) were estimated from US retail price
. All costs and QALYs were discounted to year 2016 with
an annual rate of 3%.</t>
  </si>
  <si>
    <t>Base-case analysis found nonfatal myocardial infarction (5.62%) and stent thrombosis (1.2%) to be the lowest in universal alternative P2Y12 inhibitor arm, whereas nonfatal stroke (0.72%), cardiovascular death (2.42%), and major bleeding (2.73%) were lowest in LOF/GOF-guided group. LOF/GOF-guided arm gained the highest QALYs (7.5301 QALYs) at lowest life-long cost (USD 76,450). One-way sensitivity analysis showed base-case results were subject to the hazard ratio of cardiovascular death in carriers versus noncarriers of LOF allele and hazard ratio of cardiovascular death in non-carriers of LOF allele versus general patients. In probabilistic sensitivity analysis of 10,000 Monte Carlo simulations, LOF/GOF-guided therapy, universal alternative P2Y12 inhibitor, and universal clopidogrel were the preferred strategy (willingness-to-pay threshold = 50,000 USD/QALY) in 99.07%, 0.04%, and 0.89% of time, respectively.</t>
  </si>
  <si>
    <t>Health state transitions in the Markov model were adapted
from a model of antiplatelet therapy previously developed by
Main et al. Survivors (except patients with nonfatal myocardial
infarction) entered the Markov model in the state of
ischemic heart disease. In each yearly cycle, patients might
either experience no event (remain ischemic heart disease),
acute myocardial infarction or death. Survivors of acute myocardial
infarction had a high one-year mortality rate, and those
who survived during the first year post-acute myocardial infarction
would enter Bpost myocardial infarction^ state until
they died from all causes.</t>
  </si>
  <si>
    <t>In an extended one-way sensitivity analysis, explored the influence of genotype testing cost, the cost of the alternative P2Y12 inhibitor, and the prevalence of LOF
allele or GOF allele with extended ranges. The universal alternative
P2Y12 inhibitor would become the preferred strategy
over LOF/GOF-guided therapy when the prevalence of LOF
allele carriers or GOF allele carriers was extremely high (over
96.6% and 97.2%, respectively).</t>
  </si>
  <si>
    <t>The base-case
analysis found LOF/GOF-guided therapy to be the preferred
strategy with highest QALYs gained at lowest cost when compared
to universal clopidogrel and universal alternative P2Y12
inhibitor. Probabilistic sensitivity analysis further supported
LOF/GOF-guided therapy to be the preferred option in
99.07% of the time atWTP threshold of 50,000 USD/QALYs.</t>
  </si>
  <si>
    <t>https://ovidsp.ovid.com/ovidweb.cgi?T=JS&amp;CSC=Y&amp;NEWS=N&amp;PAGE=fulltext&amp;D=med14&amp;DO=10.1007%2fs10557-016-6705-y</t>
  </si>
  <si>
    <t>clinical event rates, qualityadjusted
life-years (QALYs) gained and direct medical costs
from perspective of US healthcare provider.</t>
  </si>
  <si>
    <t>Cost-effectiveness of genotype-guided and dual antiplatelet therapies in acute coronary syndrome</t>
  </si>
  <si>
    <t>Kazi</t>
  </si>
  <si>
    <t>Patients having percutaneous coronary intervention
for ACS.</t>
  </si>
  <si>
    <t>5 strategies of dual antiplatelet therapy. Five strategies were examined: generic clopidogrel,
prasugrel, ticagrelor, and genotyping for polymorphisms of
CYP2C19 with carriers of loss-of-function alleles receiving either
ticagrelor (genotyping with ticagrelor) or prasugrel (genotyping
with prasugrel) and noncarriers receiving clopidogrel.</t>
  </si>
  <si>
    <t>compared the drug-only strategies (to distinguish
the drug effect from the effect of genetic testing),
then we examined the effect of genotyping on prasugrel
and ticagrelor separately; finally, we did a global comparison
across all 5 strategies</t>
  </si>
  <si>
    <t>lifetime</t>
  </si>
  <si>
    <t>Societal.</t>
  </si>
  <si>
    <t>discrete-state Markov model, decision analytic model</t>
  </si>
  <si>
    <t>Published literature, Medicare claims, and life tables.</t>
  </si>
  <si>
    <t>reported results in 2011 U.S. dollars, qualityadjusted
life-years (QALYs), and incremental costeffectiveness
ratios (ICERs). assumed a base-case cost of $30 per month for
generic clopidogrel and included the current average
wholesale price of the proprietary formulation ($218 per
month) in the sensitivity analyses (82). We assumed the
costs of prasugrel and ticagrelor to equal their average
wholesale price ($220 and $261 per month for prasugrel
and ticagrelor, respectively) (82). We estimated the cost of
genotyping from a survey of retail prices of commercially
available tests but included the estimated unit cost of
point-of-care tests in the range tested in sensitivity analyses</t>
  </si>
  <si>
    <t>After the initial PCI, patients were at risk for stent
thrombosis, nonfatal MI (unrelated to stent thrombosis),
percutaneous or surgical revascularization, intracranial and
extracranial bleeding, and death of cardiovascular and noncardiovascular
causes. Three
additional states were modeled: Post-MI (patients who had
an MI after entering the model had an increased risk for
future MIs and cardiovascular death); intracranial bleed;
and a “steady state,” into which all patients entered after a
coronary artery bypass graft or 4 years after their initial
PCI, whichever was sooner. The steady state accounted for
age-specific medical costs and QALYs without tracking individual
clinical events</t>
  </si>
  <si>
    <t>Stronger associations between
genotype and thrombotic outcomes rendered ticagrelor substantially
less cost-effective ($104 800 per QALY). Genotyping with
prasugrel was the preferred therapy among patients who could not
tolerate ticagrelor. Conducted probabilistic and deterministic sensivity analysis</t>
  </si>
  <si>
    <t>The clopidogrel strategy produced
$179 301 in costs and 9.428 QALYs. Genotyping with prasugrel
was superior to prasugrel alone, with an ICER of $35 800 per
QALY relative to clopidogrel. Genotyping with ticagrelor was more
effective than genotyping with prasugrel ($30 200 per QALY relative
to clopidogrel). Ticagrelor was the most effective strategy
($52 600 per QALY relative to genotyping with ticagrelor).</t>
  </si>
  <si>
    <t>https://ovidsp.ovid.com/ovidweb.cgi?T=JS&amp;CSC=Y&amp;NEWS=N&amp;PAGE=fulltext&amp;D=med11&amp;DO=10.7326%2fM13-1999</t>
  </si>
  <si>
    <t>Direct medical costs, quality-adjusted lifeyears
(QALYs), and incremental cost-effectiveness ratios (ICERs).</t>
  </si>
  <si>
    <t>Cost-effectiveness of CYP2C19-guided antiplatelet therapy for acute coronary syndromes in Singapore</t>
  </si>
  <si>
    <t>Kim</t>
  </si>
  <si>
    <t>Singapore</t>
  </si>
  <si>
    <t>hypothetical cohort of Singaporean patients aged 62
years old at the time of ACS onset as this resembled the
demographic of patients enrolled in clinical trials</t>
  </si>
  <si>
    <t>Three dual antiplatelet
strategies were considered: universal clopidogrel, genotype-guided, and universal ticagrelor.</t>
  </si>
  <si>
    <t>1 year</t>
  </si>
  <si>
    <t>Singapore
healthcare payer’s perspective over a 1-year time horizon
for ACS patients undergoing PCI</t>
  </si>
  <si>
    <t>decision-tree model</t>
  </si>
  <si>
    <t>Genotyping and direct medical costs were
obtained from local sources, in-house pharmacy
database.</t>
  </si>
  <si>
    <t>na</t>
  </si>
  <si>
    <t>Probabilistic sensitivity analysis revealed that genotype-guided was the
most cost-effective strategy when the WTP threshold was between SGD 70,000 to 100,000.</t>
  </si>
  <si>
    <t>Both genotype-guided (72,158
SGD/QALY) and universal ticagrelor (82,269 SGD/QALY) were considered cost-effective based on a willingness-to-pay
(WTP) threshold of SGD 88,991. In our secondary analysis, the ICER for universal ticagrelor was 114,998 SGD/QALY
when genotype-guided was taken as a reference</t>
  </si>
  <si>
    <t>https://ovidsp.ovid.com/ovidweb.cgi?T=JS&amp;CSC=Y&amp;NEWS=N&amp;PAGE=fulltext&amp;D=med19&amp;DO=10.1038%2fs41397-020-00204-6</t>
  </si>
  <si>
    <t>incremental cost-effectiveness ratio (ICER) compared to universal clopidogrel.</t>
  </si>
  <si>
    <t>Cost-Effectiveness of Strategies to Personalize the Selection of P2Y&lt;sub&gt;12&lt;/sub&gt; Inhibitors in Patients with Acute Coronary Syndrome</t>
  </si>
  <si>
    <t>a hypothetical cohort of patients
aged 62 years with ACS requiring DAPT similar to clinical trial data . assumed that 72% of patients had
a planned invasive treatment strategy and 64% would
have PCI performed.</t>
  </si>
  <si>
    <t>six selection strategies for P2Y12 inhibitors in patients with
ACS: (1) clopidogrel for all patients (universal clopidogrel);
(2) clopidogrel for all patients followed by PRA testing and
switching clopidogrel non-responders to ticagrelor
(clopidogrel + phenotype); (3) selection based on CYP2C19
genotype where ticagrelor is reserved for poor metabolizers
(two LOF alleles) and clopidogrel for all other genotypes (genotype + conservative ticagrelor); (4) selection based on
CYP2C19 genotype where ticagrelor is used for both intermediate (one LOF allele) and poor metabolizers and clopidogrel
for all other genotypes (genotype + liberal ticagrelor use); (5)
based on both genotype and phenotype in which ticagrelor is
used in CYP2C19 poor metabolizers, a phenotype-driven approach is used for intermediate metabolizers (to identify intermediate metabolizers with HTPR), and clopidogrel used for
all other genotypes (genotype + phenotype); and (6) ticagrelor
for all patients (universal ticagrelor).</t>
  </si>
  <si>
    <t>the US health care sector’s perspective and includes formal health care sector costs paid by
third-party payers</t>
  </si>
  <si>
    <t>Decision tree and markov model</t>
  </si>
  <si>
    <t xml:space="preserve">a targeted review of the
literature and the opinion of senior authors, Bleeding risk was estimated
using the Thrombolysis in Myocardial Infarction criteria and
clinical trial data, For effectiveness inputs (MI, ischemic stroke), 12-
month risk ratios were obtained from clinical trial data and
included in the model. </t>
  </si>
  <si>
    <t>Daily cost of antiplatelet agents was calculated from the
average wholesale price available from RedBook® [39]. The
cost of acute care for the index hospitalization was extracted
from Healthcare Cost and Utilization Project (HCUP) national
statistics [54]. Costs for the short-term (initial hospitalization)
and long-term (years 1–3 or later) complications (recurrent
MI, ischemic stroke, ICH, or non-ICH major bleeding) were
derived from HCUP national statistics and previous reports in
the literature [40, 42, 54, 55]. The expected cost of PRA and
genotyping were extracted from the Clinical Laboratory Fee
Schedule data [43]. All cost inputs were converted to 2017 US
dollars using the Consumer Price Index for Medical Care</t>
  </si>
  <si>
    <t>two Markov states, life and death</t>
  </si>
  <si>
    <t>1 year cycles using agedependent mortality rates, adjusted for survival post-ACS,
until the annual mortality for each strategy was greater than
90%</t>
  </si>
  <si>
    <t>. Sensitivity analyses were performed on all model inputs to assess
their influence on the incremental cost-effectiveness</t>
  </si>
  <si>
    <t>n the base case analysis, incremental cost-effectiveness ratios (ICER) for the clopidogrel + phenotype, genotype + liberal
ticagrelor, and universal ticagrelor strategies were $12,119/QALY, $29,412/QALY, and $142,456/QALY, respectively. Genotype
+ conservative ticagrelor and genotype + phenotype were not cost-effective due to second-order dominance. Genotype + liberal
ticagrelor compared to clopidogrel + phenotype demonstrated the highest acceptance (97%) at a willingness to pay (WTP)
threshold of $100,000/QALY.</t>
  </si>
  <si>
    <t>https://ovidsp.ovid.com/ovidweb.cgi?T=JS&amp;CSC=Y&amp;NEWS=N&amp;PAGE=fulltext&amp;D=med16&amp;DO=10.1007%2fs10557-019-06896-8</t>
  </si>
  <si>
    <t xml:space="preserve"> Lifetime costs were adjusted to 2017 US dollars; quality-adjusted lifeyears (QALYs) were projected using a Markov model. The primary endpoint was the incremental cost-effectiveness compared to
the next best option along the cost-effectiveness continuum.</t>
  </si>
  <si>
    <t>Cost-effectiveness of CYP2C19-guided antiplatelet therapy in patients with acute coronary syndrome and percutaneous coronary intervention informed by real-world data</t>
  </si>
  <si>
    <t>Limdi</t>
  </si>
  <si>
    <t>high-risk patients with ACS
who underwent PCI</t>
  </si>
  <si>
    <t>The primary strategies  compared were universal
empiric clopidogrel (base case), universal ticagrelor, and
CYP2C19 genotype-guided escalation. The secondary strategies included strategies commonly
implemented in practice, wherein all patients are prescribed
ticagrelor for the first 30 days post PCI, followed by universal
de-escalation to clopidogrel (without genotyping) or
genotype-guided de-escalation to clopidogrel only in
patients without an LOF allele for the remaining 11 months</t>
  </si>
  <si>
    <t>universal empiric clopidogrel (base case), universal ticagrelor, and genotype-guided escalation also explore
secondary strategies commonly implemented in practice, wherein all patients are prescribed ticagrelor for 30 days post PCI. After
30 days, all patients are switched to clopidogrel irrespective of genotype (nonguided de-escalation) or to clopidogrel only if
patients do not harbor an LOF allele (genotype-guided de-escalation).</t>
  </si>
  <si>
    <t>1 year time horizon</t>
  </si>
  <si>
    <t>simulate costs
and outcomes across treatment strategies using the payer
perspective. present results in 2016 U.S. dollars, quality-adjusted
life years (QALYs), and incremental cost-effectiveness
ratios (ICERs). ICERs were calculated using the difference
in cost divided by the difference in their effect. Strategies
are considered cost-effective if the associated ICER is
below the willingness-to-pay (WTP) threshold of $100,000
per QALY</t>
  </si>
  <si>
    <t>Decision-analytic model
simulating outcomes of five
strategies over a 1-year
horizon</t>
  </si>
  <si>
    <t>Using these real-world effectiveness data, we conducted
a CEA of genotype-guided DAPT versus empiric DAPT
following ACS and PCI. Unlike prior efforts, which conducted
CEA using data from clinical trials, our analysis is
based on event rates observed in routine clinical practice. clinical trials, observational
data, U.S. life tables, Medicare claims, guidelines, and other
publications.</t>
  </si>
  <si>
    <t>included
direct medical costs (such as admissions, procedures, clinical
visits, and drugs) and induced costs (such as cost of
procedural complications) but not indirect costs (such as
lost wages and caregiver costs). Cost estimates were derived
from Medicare reimbursement rates, the Nationwide Inpatient
Sample, and key publications in the health economics literature. estimated age-specific costs from the
Agency for Healthcare Research and Quality’s Medical
Expenditure Panel Survey</t>
  </si>
  <si>
    <t>assumed current monthly prescription costs (goodrx.
com) for generic clopidogrel (base case $10/month; range
$5–60/month), and ticagrelor (base case $360/month; range
$20–460/month) in the sensitivity analyses. The 6-month
average costs were used as the reference. We estimated cost
of genotyping (base case $100/test) from a survey of retail
process of commercially available tests but included a range
($50–250/test). Sensitivity analysis also revealed our primary and secondary
findings were robust to assumptions made about
bleeding risk among ticagrelor versus clopidogrel users. Probabilistic sensitivity analysis showed that results
were most sensitive to assumptions about the risk of post-
PCI myocardial infarction. genotype-guided escalation
had the highest probability of being cost-effective when
compared with universal clopidogrel or universal ticagrelor
across all conventional WTP thresholds.</t>
  </si>
  <si>
    <t>Compared with universal clopidogrel, both universal
ticagrelor and genotype-guided escalation were superior with improvement in quality-adjusted life years (QALY’s). Only
genotype-guided escalation was cost-effective ($42,365/QALY) and demonstrated the highest probability of being cost-effective
across conventional willingness-to-pay thresholds. In the secondary analysis, compared with the nonguided de-escalation
strategy, although genotype-guided de-escalation and universal ticagrelor were more effective, with ICER of $188,680/QALY
and $678,215/QALY, respectively, they were not cost-effective. CYP2C19 genotype-guided antiplatelet prescribing is costeffective
compared with either universal clopidogrel or universal ticagrelor using real-world implementation data. The secondary
analysis suggests genotype-guided and nonguided de-escalation may be viable strategies, needing further evaluation.</t>
  </si>
  <si>
    <t>https://ovidsp.ovid.com/ovidweb.cgi?T=JS&amp;CSC=Y&amp;NEWS=N&amp;PAGE=fulltext&amp;D=med17&amp;DO=10.1038%2fs41397-020-0162-5</t>
  </si>
  <si>
    <t>For each strategy, we simulated
the expected outcomes for 2,000,000 ACS patients
(Table 1) following PCI over a 1-year time horizon</t>
  </si>
  <si>
    <t>Cost-utility analysis of genotype-guided antiplatelet therapy in patients with moderate-to- high risk acute coronary syndrome and planned percutaneous coronary intervention</t>
  </si>
  <si>
    <t>Patel</t>
  </si>
  <si>
    <t>The model was designed to compare
prasugrel plus aspirin, clopidogrel plus aspirin, and
genotype-guided therapy for patients receiving
bare-metal stent or drug-eluting stent. In the
genotype-guided therapy arm, patients with
CYP2C19 reduced-function polymorphism (at least
one of the following reduced-function alleles: *1A,
*2A, *3, *4, *5A, *6, *7, *8, *9, *10, *12, *13, *14,
*17) were given prasugrel plus aspirin whereas
patients without the polymorphism were given
clopidogrel plus aspirin.</t>
  </si>
  <si>
    <t>prasugrel or generic clopidogrel treatment without genotyping,</t>
  </si>
  <si>
    <t xml:space="preserve"> US healthcare provider’s perspective. </t>
  </si>
  <si>
    <t>decision-analysis mode</t>
  </si>
  <si>
    <t xml:space="preserve"> Clopidogrel cost USD19,147 and provided 10.03
QALYs versus prasugrel (USD21,425, 10.04 QALYs) and
genotype-guided therapy (USD19,231, 10.05 QALYs). The
ICUR of genotype-guided therapy compared with
clopidogrel was USD4,200. Genotype-guided therapy
provided more QALYs at lower costs compared with
prasugrel. Results were sensitive to the cost of clopidogrel
and relative risk of myocardial infarction and stroke
between CYP2C19 variant vs. non-variant. Net monetary
benefit curves showed that genotype-guided therapy had
at least 70% likelihood of being the most cost-effective alternative at a willingness-to-pay of USD100,000/QALY.
In comparison with clopidogrel, prasugrel therapy was
more cost-effective with &lt;21% certainty at willingness-topay of &gt;USD170,000/QALY. Our modeling analyses suggest that
genotype-guided therapy is a cost-effective strategy in
patients with acute coronary syndrome undergoing
planned percutaneous coronary intervention.</t>
  </si>
  <si>
    <t>https://pubmed.ncbi.nlm.nih.gov/25243032/</t>
  </si>
  <si>
    <t>Outcomes modeled were divided into two periods,
immediate hospitalization (first 30 days) and longterm (2nd to 15th month), based on the time frames
that most clinical trials reported results.</t>
  </si>
  <si>
    <t>Both
costs and quality-adjusted life years (QALYs)
associated with clinical outcomes were evaluated
and extrapolated to the patients' life expectancy</t>
  </si>
  <si>
    <t>Cost-effectiveness of cytochrome P450 2C19 2 genotype-guided selection of clopidogrel or ticagrelor in Chinese patients with acute coronary syndrome</t>
  </si>
  <si>
    <t>Wang</t>
  </si>
  <si>
    <t>Hong Kong</t>
  </si>
  <si>
    <t xml:space="preserve"> hypothetical cohort of North Asian ACS
patients aged 60 who underwent PCI after ACS.</t>
  </si>
  <si>
    <t>CYP2C19 *2</t>
  </si>
  <si>
    <t>: (i) to universally treat
all patients with clopidogrel without performing genetic testing; (ii) to
universally treat all patients with ticagrelor without performing genetic
testing; and (iii) to perform genetic testing to select CYP2C19*2 allele
carriers for ticagrelor treatment and wild-type patients for clopidogrel
treatment. For all three strategies, patients received dual antiplatelet
treatment (either ticagrelor or clopidogrel in combination with aspirin)
during the first year, followed by aspirin monotherapy in subsequent years.
Ticagrelor was given in a loading dose of 180 mg followed by a 90 mg
dose twice a day. Clopidogrel was given in a loading dose of 300 mg
followed by a 75 mg dose daily.</t>
  </si>
  <si>
    <t>lifetime (until 85 years old</t>
  </si>
  <si>
    <t>the Hong Kong health-care provider’s perspective</t>
  </si>
  <si>
    <t>two-part decision-analytic model, comprising a 1-year decision tree18
(Figure 1) and a life-long Markov model. 1-year decision tree and post-1-year
Markov model were used to estimate the mean lifetime costs and qualityadjusted life years (QALYs) associated with three treatment strategies.</t>
  </si>
  <si>
    <t>m published clinical
trials25,26 and published decision-analytic models.21,</t>
  </si>
  <si>
    <t>All costs were estimated in Hong Kong dollars (HKDs), and converted to US
dollars (USDs) using the conversion rate USD1 = HKD7.8 as at 16 April
2016. The cost of CYP2C19*2 allele testing was assumed to be USD200 (with a
range of USD15–USD400) based on international experience,13,38 including
the costs for obtaining a sample and laboratory service. The 1-year costs of nonfatal MI (HKD72 719, USD9323) and nonfatal
stroke (HKD24 452, USD3135) were derived from published local data.4</t>
  </si>
  <si>
    <t>e allocated to one of the three health states: ‘No-event’, ‘PostMI’ or ‘Post-stroke’ in the long-term Markov model. All
patients entered one of the initial three health states of Markov model
corresponding to the clinical end points in the decision tree: ‘No-event’
(including patients who experienced ST or bleeding but survived), ‘Post-MI’
(patients surviving an MI and having an increased risk for future MI, strokes
or cardiovascular death) or ‘Post-stroke’ (patients surviving a stroke and
having an increased risk for future strokes or cardiovascular death). Patients in any health state could experience acute MI, acute stroke or
cardiovascular/non-cardiovascular death in any year. Compared with
patients in the ‘No-event’ health state, those in the ‘Post-MI’ and ‘Poststroke’ states carried a higher risk of (recurrent) acute events.</t>
  </si>
  <si>
    <t>yearly</t>
  </si>
  <si>
    <t>Sensitivity analysis demonstrated that with the cost of genotype testing up to USD400, CYP2C19*2
genotype-guided antiplatelet treatment remained a cost-effective strategy compared with either universal use of generic
clopidogrel or ticagrelor in post-PCI ACS patients in Hong Kong.</t>
  </si>
  <si>
    <t xml:space="preserve"> genotype-guided treatment and universal ticagrelor
produce greater QALYs than universal clopidogrel at higher costs. Compared with universal clopidogrel, genotype-guided
treatment yielded an ICER of USD2560 per QALY saved. Compared with universal clopidogrel, universal ticagrelor yielded an
ICER of USD7254 per QALY saved. However, universal ticagrelor
cost more, but generated fewer QALYs than the genotyping
strategy, meaning that it was ‘dominated’ by the genotyping
strategy. </t>
  </si>
  <si>
    <t>https://ovidsp.ovid.com/ovidweb.cgi?T=JS&amp;CSC=Y&amp;NEWS=N&amp;PAGE=fulltext&amp;D=med15&amp;DO=10.1038%2ftpj.2016.94</t>
  </si>
  <si>
    <t>Costs and health outcomes were discounted at 3% annually. The
treatment strategy was considered as cost-effective if it was associated
with an ICER less than the USD42 423/QALY (1 per capita gross domestic
product (GDP) of Hong Kong in the year 2015,49 as recommended by the
World Health Organization. a two-part model consisting of a 1-year
decision tree and a lifetime Markov model was built to simulate the progress of a typical cohort of 60-year-old Chinese patients
until age 85 years and compare three treatment strategies. The 1-year decision tree included the following events: nonfatal
MI, nonfatal stroke, stent thrombosis (ST), fatal bleeding, and death from
vascular or nonvascular causes.</t>
  </si>
  <si>
    <t>costs (in 2016 USD), QALYs
and incremental cost-effectiveness ratios (ICERs)</t>
  </si>
  <si>
    <t>Cost analysis of CYP2C19 genetic testing in percutaneous coronary intervention patients</t>
  </si>
  <si>
    <t>Huxley</t>
  </si>
  <si>
    <t>Cost-Effectiveness of Multigene Pharmacogenetic Testing in Patients With Acute Coronary Syndrome After Percutaneous Coronary Intervention</t>
  </si>
  <si>
    <t xml:space="preserve">Dong </t>
  </si>
  <si>
    <t>https://doi.org/10.1016/j.jval.2019.08.002</t>
  </si>
  <si>
    <t>hybrid decision tree/Markov model</t>
  </si>
  <si>
    <t>multigene testing (CYP2C19, SLCO1B1, CYP2C9, VKORC1) compared with singlegene
testing (CYP2C19)</t>
  </si>
  <si>
    <t>cost (2016 US dollar) per quality-adjusted life years (QALYs) gained. Costs and QALYs
were discounted at 3% per year.</t>
  </si>
  <si>
    <t>Probabilistic sensitivity analysis (PSA) varied input parameters (event probabilities,
prescription costs, event costs, health-state utilities) to estimate changes in the cost per QALY gained.</t>
  </si>
  <si>
    <t>Base-case–discounted results indicated that the cost per QALY gained was $59 876, $33 512, and $3780 at 12 months,
24 months, and lifetime, respectively, for multigene testing compared with standard of care. Single-gene testing was
dominated by multigene testing at all time horizons. PSA-discounted results indicated that, at the $50 000/QALY gained
willingness-to-pay threshold, multigene testing had the highest probability of cost-effectiveness in the majority of
simulations at 24 months (61%) and over the lifetime (81%). On the basis of projected simulations, multigene testing for Medicare patients post-PCI for ACS has a higher
probability of being cost-effective over 24 months and the lifetime compared with single-gene testing and standard of
care and could help optimize medication prescribing to improve patient outcomes.</t>
  </si>
  <si>
    <t>Three time horizons were
investigated: 12 months, 24 months, and lifetime</t>
  </si>
  <si>
    <t>simulate patients post-PCI for ACS requiring antiplatelet
therapy (CYP2C19 to guide antiplatelet selection), statin therapy (SLCO1B1 to guide statin selection), and anticoagulant
therapy in those that develop atrial fibrillation (CYP2C9/VKORC1 to guide warfarin dose) over 12 months, 24 months, and
lifetime. 3 genotyping strategies for Medicare patients
post-PCI for ACS from the perspective of Medicare: (1) standard of
care (no genotyping), (2) single-gene testing (CYP2C19 for antiplatelet
therapy selection), and (3) multigene testing (CYP2C19 for antiplatelet therapy selection, SLCO1B1 for statin selection, and
CYP2C9/VKORC1 for warfarin dosing). Patients
entered one of the 3 interventions and remained on an antiplatelet
therapy for 12 months.</t>
  </si>
  <si>
    <t>closed cohort of 300 000 Medicare beneficiaries 65 years old
post-PCI for ACS</t>
  </si>
  <si>
    <t>Medicare’s perspective.</t>
  </si>
  <si>
    <t>standard of care.</t>
  </si>
  <si>
    <t>CYP2C19 single-gene testing cost was approximated using the
Centers for Medicare and Medicaid Services 2016 Clinical Diagnostic
Laboratory Fee Schedule.31 Multigene testing cost was
approximated from peer-reviewed studies and expert opinion.6,14
Medication costs were estimated by averaging 6 months of
recently reported monthly costs in the GoodRx database. Event
costs associated with MI, stroke, and major bleed were derived
from the Centers for Medicare and Medicaid Services 2015 Inpatient
Charge Data.34 Costs for events that were not available in the
Medicare Inpatient Charge Data were derived from published
cost-effectiveness analyses.33,35,36 The medical care expenditure
component of the consumer price index (CPI) from the US Bureau
of Labor Statistics47 was used to convert prices from various base
years to 2016 US dollars, the last full year of available CPI data.47
Costs were discounted at 3% per year</t>
  </si>
  <si>
    <t>United States Department of Labor Bureau of Labor Statistics. Consumer Price
Index (CPI) Database, GoodRx database, Centers for Medicare and Medicaid Services 2015 Inpatient
Charge Data</t>
  </si>
  <si>
    <t>12 MONTHS OvER LIFETIME.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</si>
  <si>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Cardiovascular
outcomes based on statin adherence were reported at 24
months, which included no event, stroke, MI, cardiovascularrelated
death, and non-cardiovascular-related death.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</si>
  <si>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January</t>
  </si>
  <si>
    <t xml:space="preserve">Clop: build table of parameters  </t>
  </si>
  <si>
    <t xml:space="preserve">Clop: code model </t>
  </si>
  <si>
    <t xml:space="preserve">Clop: run analysis </t>
  </si>
  <si>
    <t xml:space="preserve">Clop: present results </t>
  </si>
  <si>
    <t xml:space="preserve">Clop: write report </t>
  </si>
  <si>
    <t>MSR: Adr V Cost:</t>
  </si>
  <si>
    <t xml:space="preserve">Clop: develop list of parameter </t>
  </si>
  <si>
    <t xml:space="preserve">parmeter list </t>
  </si>
  <si>
    <t xml:space="preserve">mean </t>
  </si>
  <si>
    <t xml:space="preserve">CI </t>
  </si>
  <si>
    <t xml:space="preserve">start age </t>
  </si>
  <si>
    <t xml:space="preserve">Hulme </t>
  </si>
  <si>
    <t xml:space="preserve">male </t>
  </si>
  <si>
    <t xml:space="preserve">female </t>
  </si>
  <si>
    <t xml:space="preserve">total </t>
  </si>
  <si>
    <t xml:space="preserve">crude survival </t>
  </si>
  <si>
    <t>CI-L</t>
  </si>
  <si>
    <t>CI-H</t>
  </si>
  <si>
    <t>N</t>
  </si>
  <si>
    <t>Proportion</t>
  </si>
  <si>
    <t>proportion of clopidogrel in standard care</t>
  </si>
  <si>
    <t>proportion of ticagrelor in standard care</t>
  </si>
  <si>
    <t xml:space="preserve">proportion of prasugrel in standard care </t>
  </si>
  <si>
    <t>AP</t>
  </si>
  <si>
    <t>Clopidogrel</t>
  </si>
  <si>
    <t>Prasugrel</t>
  </si>
  <si>
    <t>Ticagrelor</t>
  </si>
  <si>
    <t>Pufulete</t>
  </si>
  <si>
    <t>NICE NG185</t>
  </si>
  <si>
    <t xml:space="preserve">Pufulete </t>
  </si>
  <si>
    <t>NR</t>
  </si>
  <si>
    <t>MI</t>
  </si>
  <si>
    <t>Stroke</t>
  </si>
  <si>
    <t>.</t>
  </si>
  <si>
    <t>all cause mortality</t>
  </si>
  <si>
    <t xml:space="preserve">NICE(Hulme) </t>
  </si>
  <si>
    <t>Krishnamurthy</t>
  </si>
  <si>
    <t>Outcome</t>
  </si>
  <si>
    <t>CI_L</t>
  </si>
  <si>
    <t>CI_H</t>
  </si>
  <si>
    <t>event rate for AP</t>
  </si>
  <si>
    <t>event rate for AT</t>
  </si>
  <si>
    <t xml:space="preserve">total event </t>
  </si>
  <si>
    <t>Major Bleeding</t>
  </si>
  <si>
    <t xml:space="preserve">Minor Bleeding </t>
  </si>
  <si>
    <t xml:space="preserve">All-cause Mortality </t>
  </si>
  <si>
    <t xml:space="preserve">cardiovascular mortality </t>
  </si>
  <si>
    <t>HR_AP_vs_AC</t>
  </si>
  <si>
    <t>HR_AT_vs_AC</t>
  </si>
  <si>
    <t>NICE-NG185</t>
  </si>
  <si>
    <t>All-cause mortality</t>
  </si>
  <si>
    <t>Reinfarction</t>
  </si>
  <si>
    <t>Major bleed</t>
  </si>
  <si>
    <t>Minor bleed</t>
  </si>
  <si>
    <t>All-cause mortality with prasugrel</t>
  </si>
  <si>
    <t>Reinfarction with prasugrel</t>
  </si>
  <si>
    <t xml:space="preserve">Stroke with prasugrel </t>
  </si>
  <si>
    <t>All-cause mortality with ticagrelor</t>
  </si>
  <si>
    <t>Reinfarction with ticagrelor</t>
  </si>
  <si>
    <t>Stroke with ticagrelor</t>
  </si>
  <si>
    <t>SE</t>
  </si>
  <si>
    <t>Lower CI</t>
  </si>
  <si>
    <t>Upper CI</t>
  </si>
  <si>
    <t>All-cause mortality with clopidogrel</t>
  </si>
  <si>
    <t>Reinfarction with clopidogrel</t>
  </si>
  <si>
    <t>Stroke with clopidogrel</t>
  </si>
  <si>
    <t xml:space="preserve">source </t>
  </si>
  <si>
    <t>Swedeheart</t>
  </si>
  <si>
    <t>major bleeding</t>
  </si>
  <si>
    <t xml:space="preserve">minor bleeding </t>
  </si>
  <si>
    <t xml:space="preserve">sample size </t>
  </si>
  <si>
    <t>NICE-NG186</t>
  </si>
  <si>
    <t>NICE-NG187</t>
  </si>
  <si>
    <t>NICE-NG188</t>
  </si>
  <si>
    <t>NICE-NG189</t>
  </si>
  <si>
    <t>NICE-NG190</t>
  </si>
  <si>
    <t>NICE-NG191</t>
  </si>
  <si>
    <t>NICE-NG192</t>
  </si>
  <si>
    <t>NICE-NG193</t>
  </si>
  <si>
    <t>Major bleeding with clopidogrel</t>
  </si>
  <si>
    <t>Minor bleeding with clopidogrel</t>
  </si>
  <si>
    <t>Major bleeding with ticagrelor</t>
  </si>
  <si>
    <t>Minor bleeding with ticagrelor</t>
  </si>
  <si>
    <t>Major bleeding with prasugrel</t>
  </si>
  <si>
    <t xml:space="preserve">Minor bleeding with prasugrel </t>
  </si>
  <si>
    <t xml:space="preserve">Ionova , Wang </t>
  </si>
  <si>
    <t>prevalance of Loss of Function allele in Eu ethniciy</t>
  </si>
  <si>
    <t xml:space="preserve">prevalance of Loss of Function allele in Asian ethnicity </t>
  </si>
  <si>
    <t>All-cause mortality with clopidogrel in no-LOF</t>
  </si>
  <si>
    <t>Reinfarction with clopidogrel no-LOF</t>
  </si>
  <si>
    <t>Stroke with clopidogrel no-LOF</t>
  </si>
  <si>
    <t>Major bleeding with clopidogrel no-LOF</t>
  </si>
  <si>
    <t>Minor bleeding with clopidogrel no-LOF</t>
  </si>
  <si>
    <t xml:space="preserve">prevalance of at least one LOF in European-ancestry </t>
  </si>
  <si>
    <t>Wang et al</t>
  </si>
  <si>
    <t>prevalance of  LOF in African Americans</t>
  </si>
  <si>
    <t>White</t>
  </si>
  <si>
    <t xml:space="preserve">frequency of CYP2C19 LOF </t>
  </si>
  <si>
    <t xml:space="preserve">prevalance of  LOF in East Asian in a trial  </t>
  </si>
  <si>
    <t xml:space="preserve">prevalence of LOF in Asian-British </t>
  </si>
  <si>
    <t>Ethnicity</t>
  </si>
  <si>
    <t>%</t>
  </si>
  <si>
    <t>Number</t>
  </si>
  <si>
    <t>Equivalent in Iova</t>
  </si>
  <si>
    <t xml:space="preserve">frequency </t>
  </si>
  <si>
    <t>Asian</t>
  </si>
  <si>
    <t>Bangladeshi</t>
  </si>
  <si>
    <t>SAS</t>
  </si>
  <si>
    <t>Chinese</t>
  </si>
  <si>
    <t>EAS</t>
  </si>
  <si>
    <t>Indian</t>
  </si>
  <si>
    <t>Pakistani</t>
  </si>
  <si>
    <t>Asian other</t>
  </si>
  <si>
    <t>Black</t>
  </si>
  <si>
    <t>Black African</t>
  </si>
  <si>
    <t>AA</t>
  </si>
  <si>
    <t>Black Caribbean</t>
  </si>
  <si>
    <t>Black other</t>
  </si>
  <si>
    <t>Mixed</t>
  </si>
  <si>
    <t>Mixed White/Asian</t>
  </si>
  <si>
    <t>Other</t>
  </si>
  <si>
    <t>Mixed White/Black African</t>
  </si>
  <si>
    <t>Mixed White/Black Caribbean</t>
  </si>
  <si>
    <t>Mixed other</t>
  </si>
  <si>
    <t>Gypsy Or Irish Traveller</t>
  </si>
  <si>
    <t>EUR</t>
  </si>
  <si>
    <t>Roma</t>
  </si>
  <si>
    <t>White British</t>
  </si>
  <si>
    <t>White Irish</t>
  </si>
  <si>
    <t>White other</t>
  </si>
  <si>
    <t>Arab</t>
  </si>
  <si>
    <t xml:space="preserve">other </t>
  </si>
  <si>
    <t>Prevalence of LOF UK-mixed ethnicity</t>
  </si>
  <si>
    <t>Event</t>
  </si>
  <si>
    <t>Mortality</t>
  </si>
  <si>
    <t xml:space="preserve">utility of no further event </t>
  </si>
  <si>
    <t>utility of MI</t>
  </si>
  <si>
    <t>utility of post-MI</t>
  </si>
  <si>
    <t xml:space="preserve">utility of Stroke </t>
  </si>
  <si>
    <t xml:space="preserve">utility of Post-Stroke </t>
  </si>
  <si>
    <t>PLATO - trial</t>
  </si>
  <si>
    <t>distribution</t>
  </si>
  <si>
    <t>beta</t>
  </si>
  <si>
    <t>risk rate</t>
  </si>
  <si>
    <t>sample size</t>
  </si>
  <si>
    <t>Higher CI</t>
  </si>
  <si>
    <t>STEMI</t>
  </si>
  <si>
    <t>AC</t>
  </si>
  <si>
    <t>AT</t>
  </si>
  <si>
    <t>weighted average</t>
  </si>
  <si>
    <t>MINAP data</t>
  </si>
  <si>
    <t>value</t>
  </si>
  <si>
    <t xml:space="preserve">outcomes reported by Pufulete et al 2021 </t>
  </si>
  <si>
    <t xml:space="preserve">Model assumptions </t>
  </si>
  <si>
    <t>PCI</t>
  </si>
  <si>
    <t xml:space="preserve">Discharge </t>
  </si>
  <si>
    <t>Diagnosis</t>
  </si>
  <si>
    <t>short-term follow up</t>
  </si>
  <si>
    <t>Discharge</t>
  </si>
  <si>
    <t>Post 1 Year</t>
  </si>
  <si>
    <t>Male : 65
Female : 70</t>
  </si>
  <si>
    <t xml:space="preserve">proportion of Male patients </t>
  </si>
  <si>
    <t>proportion of Male patients</t>
  </si>
  <si>
    <t>NICE NG186</t>
  </si>
  <si>
    <t>SMRs</t>
  </si>
  <si>
    <t>SMR_No further event</t>
  </si>
  <si>
    <t>SMR_Reinfarction</t>
  </si>
  <si>
    <t>SMR_Post-reinfarction</t>
  </si>
  <si>
    <t>SMR_Stroke</t>
  </si>
  <si>
    <t>SMR_Post-Stroke</t>
  </si>
  <si>
    <t>Male_prop_STEMI</t>
  </si>
  <si>
    <t>age_male</t>
  </si>
  <si>
    <t>Smolina et al</t>
  </si>
  <si>
    <t xml:space="preserve">Bronnum-Hansen </t>
  </si>
  <si>
    <t>mortality_male</t>
  </si>
  <si>
    <t xml:space="preserve">age_female </t>
  </si>
  <si>
    <t>mortality_female</t>
  </si>
  <si>
    <t>adjusted_mortality_male</t>
  </si>
  <si>
    <t>adjusted_mortality_female</t>
  </si>
  <si>
    <t>adjusted_mortality_mf</t>
  </si>
  <si>
    <t>Life Table 2021-2023</t>
  </si>
  <si>
    <t>utility_no further event</t>
  </si>
  <si>
    <t>female</t>
  </si>
  <si>
    <t xml:space="preserve">both </t>
  </si>
  <si>
    <t>utility_reinfarction</t>
  </si>
  <si>
    <t>both</t>
  </si>
  <si>
    <t>utility_stroke</t>
  </si>
  <si>
    <t>utility _post-reinfarction</t>
  </si>
  <si>
    <t xml:space="preserve">utility_nofurther_event </t>
  </si>
  <si>
    <t>utility_post_reinfarction</t>
  </si>
  <si>
    <t xml:space="preserve">utility_Stroke </t>
  </si>
  <si>
    <t xml:space="preserve">utility_ Post_Stroke </t>
  </si>
  <si>
    <t xml:space="preserve">utility decrements minor bleeding </t>
  </si>
  <si>
    <t xml:space="preserve">utility decrements major bleeding </t>
  </si>
  <si>
    <t xml:space="preserve">duration applied for minor bleeding </t>
  </si>
  <si>
    <t>Doble 2018</t>
  </si>
  <si>
    <t xml:space="preserve">duration applied for major bleeding </t>
  </si>
  <si>
    <t>Doble 2019</t>
  </si>
  <si>
    <t>Drug</t>
  </si>
  <si>
    <t>Tablet Size</t>
  </si>
  <si>
    <t>Tablets per Pack</t>
  </si>
  <si>
    <t>Cost per Pack (Feb 2025)</t>
  </si>
  <si>
    <t>Aspirin</t>
  </si>
  <si>
    <t>75mg</t>
  </si>
  <si>
    <t>5mg</t>
  </si>
  <si>
    <t>10mg</t>
  </si>
  <si>
    <t>90mg</t>
  </si>
  <si>
    <t>n/a</t>
  </si>
  <si>
    <t>300mg</t>
  </si>
  <si>
    <t>600mg</t>
  </si>
  <si>
    <t>60mg</t>
  </si>
  <si>
    <t>180mg</t>
  </si>
  <si>
    <t>loading dose cost</t>
  </si>
  <si>
    <t>DAPT unit cost(£)</t>
  </si>
  <si>
    <t xml:space="preserve">daily maintenance dose </t>
  </si>
  <si>
    <t xml:space="preserve">NHSBSA Tariffs - February 2025. </t>
  </si>
  <si>
    <t xml:space="preserve"> non-elective Long-stay </t>
  </si>
  <si>
    <t>EY40A</t>
  </si>
  <si>
    <t>Complex Percutaneous Transluminal Coronary Angioplasty with CC Score 12+</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</si>
  <si>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</si>
  <si>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</si>
  <si>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</si>
  <si>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</si>
  <si>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</si>
  <si>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</si>
  <si>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</si>
  <si>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</si>
  <si>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</si>
  <si>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</si>
  <si>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</si>
  <si>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</si>
  <si>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</si>
  <si>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</si>
  <si>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 xml:space="preserve">Non-elective Short-stay </t>
  </si>
  <si>
    <t>ERG Code</t>
  </si>
  <si>
    <t>ERG Description</t>
  </si>
  <si>
    <t>No of FCEs</t>
  </si>
  <si>
    <t>National average unit cost</t>
  </si>
  <si>
    <t xml:space="preserve">Abbreviations: FCE = finished consultant episode
Source: NHS Reference Costs, 2023/25; cost of non-elective long stay includes excess bed day cost. </t>
  </si>
  <si>
    <t>Cost of index PCI (£)</t>
  </si>
  <si>
    <t>loading 
dose</t>
  </si>
  <si>
    <t xml:space="preserve">cost 
per day </t>
  </si>
  <si>
    <t>cost 
per tablet</t>
  </si>
  <si>
    <t xml:space="preserve">NHSBSA Tariffs - February 2025 </t>
  </si>
  <si>
    <t>Clopidogrel_L300</t>
  </si>
  <si>
    <t>Clopidogrel_L600</t>
  </si>
  <si>
    <t>Prasugrel_5</t>
  </si>
  <si>
    <t>prasugrel_10</t>
  </si>
  <si>
    <t>day_cost_aspirin</t>
  </si>
  <si>
    <t>day_cost_ticagrelor</t>
  </si>
  <si>
    <t>cost_PCI</t>
  </si>
  <si>
    <t>The unit costs of health and social care_Final3.pdf</t>
  </si>
  <si>
    <t>NHSCII pay and prices</t>
  </si>
  <si>
    <t>2017/2018</t>
  </si>
  <si>
    <t>base year</t>
  </si>
  <si>
    <t>2018/2019</t>
  </si>
  <si>
    <t>2019/2020</t>
  </si>
  <si>
    <t>2020/2021</t>
  </si>
  <si>
    <t>2021/2022</t>
  </si>
  <si>
    <t>2022/2023*</t>
  </si>
  <si>
    <t>2023/2024</t>
  </si>
  <si>
    <t>2024/2025</t>
  </si>
  <si>
    <t>no-event</t>
  </si>
  <si>
    <t xml:space="preserve">stroke </t>
  </si>
  <si>
    <t xml:space="preserve">death </t>
  </si>
  <si>
    <t>stroke</t>
  </si>
  <si>
    <t xml:space="preserve"> post- stroke</t>
  </si>
  <si>
    <t>no further event</t>
  </si>
  <si>
    <t xml:space="preserve">reinfarction </t>
  </si>
  <si>
    <t>post- reinfarction</t>
  </si>
  <si>
    <t xml:space="preserve">Decision tree </t>
  </si>
  <si>
    <t>Markov</t>
  </si>
  <si>
    <t>minor bleeding</t>
  </si>
  <si>
    <t>Adverse events</t>
  </si>
  <si>
    <t>23-25NHSPS - amended Annex D Prices and cost adjusments</t>
  </si>
  <si>
    <t xml:space="preserve">Lognormal </t>
  </si>
  <si>
    <t>Normal</t>
  </si>
  <si>
    <t xml:space="preserve">Normal </t>
  </si>
  <si>
    <t>MI with AC</t>
  </si>
  <si>
    <t>Stroke with AC</t>
  </si>
  <si>
    <t>Major bleeding with AC</t>
  </si>
  <si>
    <t>Minor bleeding with AC</t>
  </si>
  <si>
    <t>All-cause mortality with AT</t>
  </si>
  <si>
    <t>proportion of AT in standard care</t>
  </si>
  <si>
    <t>proportion of AC in standard care</t>
  </si>
  <si>
    <t xml:space="preserve">proportion of AP in standard care </t>
  </si>
  <si>
    <t>All-cause mortality with AC</t>
  </si>
  <si>
    <t>MI with AT</t>
  </si>
  <si>
    <t>Major bleeding with AT</t>
  </si>
  <si>
    <t>Minor bleeding with AT</t>
  </si>
  <si>
    <t>All-cause mortality with AP</t>
  </si>
  <si>
    <t>Major bleeding with AP</t>
  </si>
  <si>
    <t>Minor bleeding with AP</t>
  </si>
  <si>
    <t>All-cause mortality with AC in no-LOF</t>
  </si>
  <si>
    <t>Major bleeding with AC no-LOF</t>
  </si>
  <si>
    <t>Minor bleeding with AC no-LOF</t>
  </si>
  <si>
    <t>MI with AP</t>
  </si>
  <si>
    <t>Year</t>
  </si>
  <si>
    <t>Total</t>
  </si>
  <si>
    <t xml:space="preserve">DAPT Proprtion </t>
  </si>
  <si>
    <t>NSTEMI_UA</t>
  </si>
  <si>
    <t>10.1161/JAHA.124.034414</t>
  </si>
  <si>
    <t>10.1161/JAHA.124.034415</t>
  </si>
  <si>
    <t>10.1161/JAHA.124.034416</t>
  </si>
  <si>
    <t xml:space="preserve">Mohamed et al </t>
  </si>
  <si>
    <t xml:space="preserve">link </t>
  </si>
  <si>
    <t>risk of mortality with AC</t>
  </si>
  <si>
    <t>10.1136/bmjopen-2018-024627</t>
  </si>
  <si>
    <t>risk_mortality</t>
  </si>
  <si>
    <t xml:space="preserve">Major 
Bleeding </t>
  </si>
  <si>
    <t xml:space="preserve">Minor
 bleeding </t>
  </si>
  <si>
    <t>10.1136/openhrt-2018-000951</t>
  </si>
  <si>
    <t>10.1136/openhrt-2022-001999</t>
  </si>
  <si>
    <t>Link</t>
  </si>
  <si>
    <t>Hulme</t>
  </si>
  <si>
    <t>risk of MI , stroke, bleeding AC</t>
  </si>
  <si>
    <t xml:space="preserve">probability of events with ticagrelor and prasugrel </t>
  </si>
  <si>
    <t>probability 
AC</t>
  </si>
  <si>
    <t>Odds
AC</t>
  </si>
  <si>
    <t>OR
ATvsAC</t>
  </si>
  <si>
    <t>OR
APvsAC</t>
  </si>
  <si>
    <t>OR
CI_L</t>
  </si>
  <si>
    <t>OR
CI_H</t>
  </si>
  <si>
    <t>probability 
AT</t>
  </si>
  <si>
    <t>SE_OR
AT</t>
  </si>
  <si>
    <t>SE, and CI for probabily of events with AT</t>
  </si>
  <si>
    <t>SE, and CI for probabily of events with AP</t>
  </si>
  <si>
    <t>SE, and CI for probabily of events with AC</t>
  </si>
  <si>
    <t>probability
AP</t>
  </si>
  <si>
    <t>SE_OR
AP</t>
  </si>
  <si>
    <t xml:space="preserve">Pilling et al </t>
  </si>
  <si>
    <t xml:space="preserve">Ionova et al </t>
  </si>
  <si>
    <t xml:space="preserve">Magavern et al </t>
  </si>
  <si>
    <t>10.1111/cts.12830</t>
  </si>
  <si>
    <t>10.1016/j.jacadv.2023.100573</t>
  </si>
  <si>
    <t>10.1016/j.jns.2016.08.025</t>
  </si>
  <si>
    <t xml:space="preserve"> 10.1136/bmjopen-2021-053905</t>
  </si>
  <si>
    <t xml:space="preserve"> Other</t>
  </si>
  <si>
    <t>event rates in non-lof carriers with AC</t>
  </si>
  <si>
    <t>HR
LOF</t>
  </si>
  <si>
    <t>Inflation rate</t>
  </si>
  <si>
    <t xml:space="preserve">NHS national tariff - 2023/24 </t>
  </si>
  <si>
    <t xml:space="preserve">Gendrive test price </t>
  </si>
  <si>
    <t xml:space="preserve">company </t>
  </si>
  <si>
    <t>utility of no further event_t</t>
  </si>
  <si>
    <t>utility of reinfarction_t</t>
  </si>
  <si>
    <t>day_cost_clopidogrel</t>
  </si>
  <si>
    <t>day_cost_prasugrel_5mg</t>
  </si>
  <si>
    <t>day_cost_prasugrel_10mg</t>
  </si>
  <si>
    <t>Prasugrel1</t>
  </si>
  <si>
    <t>loading_clopidogrel_300</t>
  </si>
  <si>
    <t>loading_prasugrel_60</t>
  </si>
  <si>
    <t>loading_ticagrelor_180</t>
  </si>
  <si>
    <t>Normal with SD=10% initial value</t>
  </si>
  <si>
    <t>Gamma with SD=10% initial value</t>
  </si>
  <si>
    <t>https://bnf.nice.org.uk/</t>
  </si>
  <si>
    <t>loading_clopidogrel_600</t>
  </si>
  <si>
    <t xml:space="preserve">cycle </t>
  </si>
  <si>
    <t>cycle</t>
  </si>
  <si>
    <t>adjusted_mortality
male</t>
  </si>
  <si>
    <t>adjusted_mortality
female</t>
  </si>
  <si>
    <t>adjusted_mortality
mf</t>
  </si>
  <si>
    <t>Mortality post_stroke</t>
  </si>
  <si>
    <t>mortality stroke</t>
  </si>
  <si>
    <t>mortality post-reinfarction</t>
  </si>
  <si>
    <t>mortality reinfarction</t>
  </si>
  <si>
    <t>mortality no_further event</t>
  </si>
  <si>
    <t xml:space="preserve">utility_ post_stroke </t>
  </si>
  <si>
    <t>cost_no_further_ event_markov</t>
  </si>
  <si>
    <t>cost_stroke_markov</t>
  </si>
  <si>
    <t xml:space="preserve"> cost_post- stroke_markov</t>
  </si>
  <si>
    <t>cost_reinfarction_markov</t>
  </si>
  <si>
    <t>cost_post- reinfarction_markov</t>
  </si>
  <si>
    <t>cost_MI_tree</t>
  </si>
  <si>
    <t>cost_stroke_tree</t>
  </si>
  <si>
    <t>cost_death_tree</t>
  </si>
  <si>
    <t>cost_no_further_event_tree</t>
  </si>
  <si>
    <t xml:space="preserve">Normal with SD=10% ofinitial value </t>
  </si>
  <si>
    <t>Normal with SD=10% of initial value</t>
  </si>
  <si>
    <t>Evidence review for dual antiplatelet therapy - NCBI Bookshelf</t>
  </si>
  <si>
    <t>10.1093/eurheartj/ehx515</t>
  </si>
  <si>
    <t>10.1056/NEJMoa0904327</t>
  </si>
  <si>
    <t>10.1056/NEJMoa0904326</t>
  </si>
  <si>
    <t>10.1056/NEJMoa0904329</t>
  </si>
  <si>
    <t>10.1186/s12955-018-1019-3</t>
  </si>
  <si>
    <t>10.1186/s12955-018-1019-4</t>
  </si>
  <si>
    <t>Doble 2016</t>
  </si>
  <si>
    <t>Doble 2017</t>
  </si>
  <si>
    <t>10.1161/CIRCOUTCOMES.111.964700</t>
  </si>
  <si>
    <t>10.1161/CIRCOUTCOMES.111.964701</t>
  </si>
  <si>
    <t>10.1191/135248506ms1280oa</t>
  </si>
  <si>
    <t xml:space="preserve">British National Formulary </t>
  </si>
  <si>
    <t xml:space="preserve">Base case </t>
  </si>
  <si>
    <t xml:space="preserve">patients who eventually died at the end of decision tree will absorb 6 months DAPT cost. </t>
  </si>
  <si>
    <t xml:space="preserve">utility decrements minor bleeding_tree </t>
  </si>
  <si>
    <t>utility decrements major bleeding_tree</t>
  </si>
  <si>
    <t>Doble 2020</t>
  </si>
  <si>
    <t>Doble 2021</t>
  </si>
  <si>
    <t xml:space="preserve">NICE PMG36-  2022 </t>
  </si>
  <si>
    <t>https://www.nice.org.uk/process/pmg36/chapter/economic-evaluation-2#discounting</t>
  </si>
  <si>
    <t>NICE PMG36-  2023</t>
  </si>
  <si>
    <t>Beta (Alpha = (number of people having event)
Beta = (Number of people) − (number of people having 
event)</t>
  </si>
  <si>
    <t>Alpha = (number of people having event) Beta = (Number of people) − (number of people having event)</t>
  </si>
  <si>
    <t>Gamma</t>
  </si>
  <si>
    <t xml:space="preserve">CE threshold </t>
  </si>
  <si>
    <t>NICE PMG36-  2024</t>
  </si>
  <si>
    <t>proportion of patients receiving clopidogrel in standard care</t>
  </si>
  <si>
    <t>proportion of patients receiving ticagrelor in standard care</t>
  </si>
  <si>
    <t xml:space="preserve">proportion of patients receiving prasugrel in standard care </t>
  </si>
  <si>
    <t>All patients were assumed to incur PCI-related costs</t>
  </si>
  <si>
    <t>male proportion in the cohort is 75%</t>
  </si>
  <si>
    <t>patients were assumed not to experience multiple events within the 1-year trial period, consistent with the cost-effectiveness analysis of the PLATO (Platelet Inhibition and Patient Outcomes) trial.</t>
  </si>
  <si>
    <t>patients who eventually died at the end of decision tree will absorb post acute treatment costs</t>
  </si>
  <si>
    <t>Duration of utility decrement applied for:
Minor bleeding : 7.6 days
Major bleeding  : 45.6 days</t>
  </si>
  <si>
    <t>Utility values in the model were adjusted for age and sex</t>
  </si>
  <si>
    <t>Probability of a test result being followed</t>
  </si>
  <si>
    <t>Differential treatment effects were assumed to apply only within the first year; thus, probabilities beyond one year remained constant across initial DAPT strategies.</t>
  </si>
  <si>
    <t xml:space="preserve">Loading dose for clopidogrel </t>
  </si>
  <si>
    <t>Patients in the decision tree who did not experience further events were assumed to incur post-acute costs</t>
  </si>
  <si>
    <t>The long-term model was parameterised with the same event rates between 30 days and one year</t>
  </si>
  <si>
    <t>Patients in both treatment groups were assumed to receive ASA (aspirin) monotherapy after 12 months; hence, no differences in bleeding rates were expected in the Markov model</t>
  </si>
  <si>
    <t>Test accuracy assumption</t>
  </si>
  <si>
    <t>Probability of a genetic test being ordered</t>
  </si>
  <si>
    <t>Bleeding events were incorporated as short-term adverse events, except for haemorrhagic stroke, which was captured under the stroke outcome</t>
  </si>
  <si>
    <t xml:space="preserve">Markov </t>
  </si>
  <si>
    <t xml:space="preserve"> Reinfarction and stroke were tunnel health states, meaning that people only remain in that health state for one 
cycle, at which point they must transition to dead or the post-reinfarction/post-stroke health states. </t>
  </si>
  <si>
    <t xml:space="preserve">risk of mortality is adjusted by age and sex according to the mortality risks in life table 2022. </t>
  </si>
  <si>
    <t>After one year, event risks were assumed to be independent of the initial DAPT treatment</t>
  </si>
  <si>
    <t>The probability of death, reinfarction, and stroke remained constant beyond one year, regardless of which DAPT was received initially​</t>
  </si>
  <si>
    <t>No event, reinfarction, stroke, death</t>
  </si>
  <si>
    <t>No Further Event</t>
  </si>
  <si>
    <t>Post-Reinfarction</t>
  </si>
  <si>
    <t>Post-Stroke</t>
  </si>
  <si>
    <t>Dead</t>
  </si>
  <si>
    <t>1-4.3% - 1.12% - Age-dependent</t>
  </si>
  <si>
    <t>from</t>
  </si>
  <si>
    <t xml:space="preserve">to </t>
  </si>
  <si>
    <t>1- age-dependant mortality</t>
  </si>
  <si>
    <t>Probability</t>
  </si>
  <si>
    <t>1-4.3%-1.12%-Age-dependent mortality</t>
  </si>
  <si>
    <t>Age-dependent mortality</t>
  </si>
  <si>
    <t>1-Age-dependent mortality</t>
  </si>
  <si>
    <t>No Further Event to No Further Event</t>
  </si>
  <si>
    <t>No Further Event to Reinfarction</t>
  </si>
  <si>
    <t>No Further Event to Stroke</t>
  </si>
  <si>
    <t>No Further Event to Dead</t>
  </si>
  <si>
    <t>Reinfarction to Post-Reinfarction</t>
  </si>
  <si>
    <t>Reinfarction to Dead</t>
  </si>
  <si>
    <t>Post-Reinfarction to Post-Reinfarction</t>
  </si>
  <si>
    <t>Post-Reinfarction to Dead</t>
  </si>
  <si>
    <t>Stroke to Post-Stroke</t>
  </si>
  <si>
    <t>Stroke to Dead</t>
  </si>
  <si>
    <t>Post-Stroke to Dead</t>
  </si>
  <si>
    <t>Dead to Dead</t>
  </si>
  <si>
    <t>No Further Event to Post-Reinfarction</t>
  </si>
  <si>
    <t>No Further Event to Post-Stroke</t>
  </si>
  <si>
    <t>Reinfarction to No Further Event</t>
  </si>
  <si>
    <t>Reinfarction to Reinfarction</t>
  </si>
  <si>
    <t>Reinfarction to Stroke</t>
  </si>
  <si>
    <t>Reinfarction to Post-Stroke</t>
  </si>
  <si>
    <t>Post-Reinfarction to No Further Event</t>
  </si>
  <si>
    <t>Post-Reinfarction to Reinfarction</t>
  </si>
  <si>
    <t>Post-Reinfarction to Stroke</t>
  </si>
  <si>
    <t>Post-Reinfarction to Post-Stroke</t>
  </si>
  <si>
    <t>Stroke to No Further Event</t>
  </si>
  <si>
    <t>Stroke to Reinfarction</t>
  </si>
  <si>
    <t>Stroke to Post-Reinfarction</t>
  </si>
  <si>
    <t>Stroke to Stroke</t>
  </si>
  <si>
    <t>Post-Stroke to No Further Event</t>
  </si>
  <si>
    <t>Post-Stroke to Reinfarction</t>
  </si>
  <si>
    <t>Post-Stroke to Post-Reinfarction</t>
  </si>
  <si>
    <t>Post-Stroke to Stroke</t>
  </si>
  <si>
    <t>Post-Stroke to Post-Stroke</t>
  </si>
  <si>
    <t>Dead to No Further Event</t>
  </si>
  <si>
    <t>Dead to Reinfarction</t>
  </si>
  <si>
    <t>Dead to Post-Reinfarction</t>
  </si>
  <si>
    <t>Dead to Stroke</t>
  </si>
  <si>
    <t>Dead to Post-Stroke</t>
  </si>
  <si>
    <t xml:space="preserve">transition from / to </t>
  </si>
  <si>
    <t xml:space="preserve">risk </t>
  </si>
  <si>
    <t xml:space="preserve">Odds Ratio_All-cause mortality_ ticagrelor vs clopidogrel </t>
  </si>
  <si>
    <t xml:space="preserve">Odds Ratio_MI_ ticagrelor vs clopidogrel </t>
  </si>
  <si>
    <t xml:space="preserve">Odds Ratio_stroke_ ticagrelor vs clopidogrel </t>
  </si>
  <si>
    <t xml:space="preserve">Odds Ratio_major bleeding_ ticagrelor vs clopidogrel </t>
  </si>
  <si>
    <t xml:space="preserve">Odds Ratio_minor bleeding_ ticagrelor vs clopidogrel </t>
  </si>
  <si>
    <t xml:space="preserve">NICE-NG185 / adjusted by NHSCII pay and prices </t>
  </si>
  <si>
    <t xml:space="preserve">Odds Ratio_All-cause mortality_ prasugrel vs clopidogrel </t>
  </si>
  <si>
    <t xml:space="preserve">Odds Ratio_MI_ prasugrel vs clopidogrel </t>
  </si>
  <si>
    <t xml:space="preserve">Odds Ratio_stroke_ prasugrel vs clopidogrel </t>
  </si>
  <si>
    <t xml:space="preserve">Odds Ratio_major bleeding_ prasugrel vs clopidogrel </t>
  </si>
  <si>
    <t xml:space="preserve">Odds Ratio_minor bleeding_ prasugrel vs clopidogrel </t>
  </si>
  <si>
    <t>stroke with AT</t>
  </si>
  <si>
    <t>stroke with AP</t>
  </si>
  <si>
    <t>stroke with AC no-LOF</t>
  </si>
  <si>
    <t>utility of stroke_t</t>
  </si>
  <si>
    <t>SMR_stroke</t>
  </si>
  <si>
    <t>all-cause mortality</t>
  </si>
  <si>
    <t>major bleed</t>
  </si>
  <si>
    <t>minor bleed</t>
  </si>
  <si>
    <t>daily cost of DAPT ( £)</t>
  </si>
  <si>
    <t>type</t>
  </si>
  <si>
    <t>proportion</t>
  </si>
  <si>
    <t>risk</t>
  </si>
  <si>
    <t>hazard rate</t>
  </si>
  <si>
    <t xml:space="preserve">utility </t>
  </si>
  <si>
    <t>ratio</t>
  </si>
  <si>
    <t>cost</t>
  </si>
  <si>
    <t>hazard_ratio_minor_bleeding_ AC_no-LOF</t>
  </si>
  <si>
    <t>cohort size</t>
  </si>
  <si>
    <t>standard_care &gt; clopidogrel_ASA  &gt; no_further_event</t>
  </si>
  <si>
    <t>standard_care &gt; clopidogrel_ASA &gt; stroke</t>
  </si>
  <si>
    <t>standard_care &gt; clopidogrel_ASA &gt; death</t>
  </si>
  <si>
    <t>PoC_test_ordered &gt; test_followed &gt; LOF &gt; ticagrelor_ASA &gt; stroke</t>
  </si>
  <si>
    <t>PoC_test_ordered &gt; test_followed &gt; LOF &gt; ticagrelor_ASA &gt; death</t>
  </si>
  <si>
    <t>PoC_test_ordered &gt; test_followed &gt; LOF &gt; prasugrel_ASA &gt; no_event</t>
  </si>
  <si>
    <t>PoC_test_ordered &gt; test_followed &gt; LOF &gt; prasugrel_ASA &gt; stroke</t>
  </si>
  <si>
    <t>PoC_test_ordered &gt; test_followed &gt; LOF &gt; prasugrel_ASA &gt; death</t>
  </si>
  <si>
    <t>PoC_test_ordered &gt; test_followed &gt; No_LOF &gt; clopidogrel_ASA &gt; no_event</t>
  </si>
  <si>
    <t>PoC_test_ordered &gt; test_followed &gt; No_LOF &gt; clopidogrel_ASA &gt; reinfarction</t>
  </si>
  <si>
    <t>PoC_test_ordered &gt; test_followed &gt; No_LOF &gt; clopidogrel_ASA &gt; stroke</t>
  </si>
  <si>
    <t>PoC_test_ordered &gt; test_followed &gt; No_LOF &gt; clopidogrel_ASA &gt; death</t>
  </si>
  <si>
    <t>standard_care &gt; ticagrelor_ASA  &gt; no_further_event</t>
  </si>
  <si>
    <t>standard_care &gt; ticagrelor_ASA &gt; stroke</t>
  </si>
  <si>
    <t>standard_care &gt; ticagrelor_ASA &gt; death</t>
  </si>
  <si>
    <t>standard_care &gt; prasugrel_ASA  &gt; no_further_event</t>
  </si>
  <si>
    <t>standard_care &gt; prasugrel_ASA &gt; stroke</t>
  </si>
  <si>
    <t>standard_care &gt; prasugrel_ASA &gt; death</t>
  </si>
  <si>
    <t>proportion AT in LoF cariers</t>
  </si>
  <si>
    <t>proportion AP in LoF cariers</t>
  </si>
  <si>
    <t>PoC_test_ordered &gt; test_followed &gt; LOF &gt; ticagrelor_ASA &gt; no_further_event</t>
  </si>
  <si>
    <t>PoC_test_ordered &gt; test_followed &gt; LOF &gt; ticagrelor_ASA &gt; MI</t>
  </si>
  <si>
    <t>standard_care &gt; prasugrel_ASA &gt; MI</t>
  </si>
  <si>
    <t>standard_care &gt; ticagrelor_ASA &gt; MI</t>
  </si>
  <si>
    <t>standard_care &gt; clopidogrel_ASA &gt; MI</t>
  </si>
  <si>
    <t xml:space="preserve">PoC_test_ordered &gt; test_not_followed &gt; standard_care </t>
  </si>
  <si>
    <t>PoC_test_ordered &gt; test_followed &gt; LOF &gt; prasugrel_ASA &gt; MI</t>
  </si>
  <si>
    <t>probability of ordering test</t>
  </si>
  <si>
    <t>probability of following test</t>
  </si>
  <si>
    <t>probability</t>
  </si>
  <si>
    <t>MI with AC no-LOF</t>
  </si>
  <si>
    <t>Maintenance period 365</t>
  </si>
  <si>
    <t>Maintenance period 360</t>
  </si>
  <si>
    <t>Maintenance period 328</t>
  </si>
  <si>
    <t>number</t>
  </si>
  <si>
    <t xml:space="preserve">Maintenance period half way </t>
  </si>
  <si>
    <t xml:space="preserve">
</t>
  </si>
  <si>
    <t>proportion of prasugrel 5mg</t>
  </si>
  <si>
    <t>All patients receiving standard care will take ASA along with a loading dose of AC, AT, or AP, based on their chosen treatment. The maintenance dose duration varies depending on the patient's outcome within the decision tree:
Patients with no further events receive a maintenance dose for 328 days.
Patients who experience stroke or myocardial infarction (MI) receive a maintenance dose for 365 days.
Patients who die receive half the maintenance dose assigned to the stroke or MI states.</t>
  </si>
  <si>
    <t xml:space="preserve">assumption </t>
  </si>
  <si>
    <t>Patients in the PoC arm who do not follow the test results will continue along the same pathway as those in the standard care arm, with the only difference being the additional cost incurred for taking the PoC test.</t>
  </si>
  <si>
    <r>
      <t xml:space="preserve">Patients in the PoC arm who undergo testing and follow the results do not receive a loading dose of the main antiplatelets (clopidogrel, ticagrelor, or prasugrel). Their maintenance dose is </t>
    </r>
    <r>
      <rPr>
        <b/>
        <sz val="11"/>
        <color theme="1"/>
        <rFont val="Calibri"/>
        <family val="2"/>
        <scheme val="minor"/>
      </rPr>
      <t>five days shorter</t>
    </r>
    <r>
      <rPr>
        <sz val="11"/>
        <color theme="1"/>
        <rFont val="Calibri"/>
        <family val="2"/>
        <scheme val="minor"/>
      </rPr>
      <t xml:space="preserve"> than that of their counterparts in the standard care arm.</t>
    </r>
  </si>
  <si>
    <t>Patients in the PoC arm who undergo testing and follow the results do not receive a loading dose of the main antiplatelets (clopidogrel, ticagrelor, or prasugrel). Their maintenance dose is five days shorter than that of their counterparts in the standard care arm.</t>
  </si>
  <si>
    <t>proportion_AC_standard</t>
  </si>
  <si>
    <t>proportion_AT_standard</t>
  </si>
  <si>
    <t>proportion_AP_standard</t>
  </si>
  <si>
    <t>prob_death_AC</t>
  </si>
  <si>
    <t>prob_MI_AC</t>
  </si>
  <si>
    <t>prob_stroke_AC</t>
  </si>
  <si>
    <t>prob_maj_bleed_AC</t>
  </si>
  <si>
    <t>prob_min_bleed_AC</t>
  </si>
  <si>
    <t>prob_death_AT</t>
  </si>
  <si>
    <t>prob_MI_AT</t>
  </si>
  <si>
    <t>prob_maj_bleed_AT</t>
  </si>
  <si>
    <t>prob_min_bleed_AT</t>
  </si>
  <si>
    <t>prob_death_AP</t>
  </si>
  <si>
    <t>prob_MI_AP</t>
  </si>
  <si>
    <t>prob_stroke_AP</t>
  </si>
  <si>
    <t>prob_maj_bleed_AP</t>
  </si>
  <si>
    <t>prob_min_bleed_AP</t>
  </si>
  <si>
    <t>proportion_AT_standard/(proportion_AT_standard+proportion_AP_standard)</t>
  </si>
  <si>
    <t>1-proportion_AT_lof</t>
  </si>
  <si>
    <t>utility_no_event_tree</t>
  </si>
  <si>
    <t>utility_reinfarction_tree</t>
  </si>
  <si>
    <t>utility_stroke_tree</t>
  </si>
  <si>
    <t>SMR_no_further_event</t>
  </si>
  <si>
    <t>SMR_reinfarction</t>
  </si>
  <si>
    <t>SMR_post_reinfarction</t>
  </si>
  <si>
    <t>SMR_post_stroke</t>
  </si>
  <si>
    <t>day_cost_ASA</t>
  </si>
  <si>
    <t>cost_no_event_tree</t>
  </si>
  <si>
    <t>cost_min_bleed</t>
  </si>
  <si>
    <t>cost_maj_bleed</t>
  </si>
  <si>
    <t>cost_no_event_markov</t>
  </si>
  <si>
    <t>cost_post_stroke_markov</t>
  </si>
  <si>
    <t>cost_post_reinfarction_markov</t>
  </si>
  <si>
    <t>OR_death_tica_vs_clop</t>
  </si>
  <si>
    <t>OR_MI_tica_vs_clop</t>
  </si>
  <si>
    <t>OR_stroke_tica_vs_clop</t>
  </si>
  <si>
    <t>OR_maj_bleed__tica_vs_clop</t>
  </si>
  <si>
    <t>OR_min_bleed__tica_vs_clop</t>
  </si>
  <si>
    <t>OR_death_pras_vs_clop</t>
  </si>
  <si>
    <t>OR_MI_pras_vs_clop</t>
  </si>
  <si>
    <t>OR_stroke_pras_vs_clop</t>
  </si>
  <si>
    <t>OR_maj_bleed_pras_vs_clop</t>
  </si>
  <si>
    <t>OR_min_bleed_pras_vs_clop</t>
  </si>
  <si>
    <t xml:space="preserve">variable name </t>
  </si>
  <si>
    <t>prob_test_order</t>
  </si>
  <si>
    <t>prob_test_followed</t>
  </si>
  <si>
    <t>prevalence_LOF_base_case</t>
  </si>
  <si>
    <t>prevalence_LOF_sensitivity</t>
  </si>
  <si>
    <t>prob_death_AC_noLOF</t>
  </si>
  <si>
    <t>prob_MI_AC_noLOF</t>
  </si>
  <si>
    <t>prob_stroke_AC_noLOF</t>
  </si>
  <si>
    <t>rate_maj_bleed_AC_noLOF</t>
  </si>
  <si>
    <t>rate_min_bleed_AC_noLOF</t>
  </si>
  <si>
    <t>rate</t>
  </si>
  <si>
    <t xml:space="preserve">rate </t>
  </si>
  <si>
    <t>duration_maj_bleed</t>
  </si>
  <si>
    <t>duration_min_bleed</t>
  </si>
  <si>
    <t>PoCT_cost</t>
  </si>
  <si>
    <t>md_365_day</t>
  </si>
  <si>
    <t>md_360_day</t>
  </si>
  <si>
    <t>md_328</t>
  </si>
  <si>
    <t>md_halfway</t>
  </si>
  <si>
    <t>ld_clop_300</t>
  </si>
  <si>
    <t>ld_clop_600</t>
  </si>
  <si>
    <t>ld_pras_60</t>
  </si>
  <si>
    <t>ld_tica_180</t>
  </si>
  <si>
    <t>prasugrel loading dose 60mg</t>
  </si>
  <si>
    <t>ticagrelor loading dose 180mg</t>
  </si>
  <si>
    <t>clopidogrel loading dose 300mg</t>
  </si>
  <si>
    <t>clopidogrel loading dose 600mg</t>
  </si>
  <si>
    <t>daily cost of ASA</t>
  </si>
  <si>
    <t>daily cost of clopidogrel</t>
  </si>
  <si>
    <t>day_cost_clop</t>
  </si>
  <si>
    <t>proportion_prasu_5mg</t>
  </si>
  <si>
    <t>day_cost_tica</t>
  </si>
  <si>
    <t>day_cost_pras</t>
  </si>
  <si>
    <t>daily cost of prasugrel</t>
  </si>
  <si>
    <t xml:space="preserve">daily cost of ticagrelor </t>
  </si>
  <si>
    <t>Gamma with SD=10% of cost</t>
  </si>
  <si>
    <t>cost_bleeding_AC</t>
  </si>
  <si>
    <t>cost of bleeding with AC</t>
  </si>
  <si>
    <t>cost of bleeding with AT</t>
  </si>
  <si>
    <t xml:space="preserve">cost of bleeding with AP </t>
  </si>
  <si>
    <t>cost_bleeding_AT</t>
  </si>
  <si>
    <t>cost_bleeding_AP</t>
  </si>
  <si>
    <t xml:space="preserve"> </t>
  </si>
  <si>
    <t>cohort break down</t>
  </si>
  <si>
    <t>cost_DAPT_st</t>
  </si>
  <si>
    <t xml:space="preserve">Maintenance period 4 day </t>
  </si>
  <si>
    <t>In the base case scenario, clopidogrel is administered with a loading dose of 600 mg. The patient continues dual antiplatelet therapy with clopidogrel and ASA for a duration of 328 days, based on  NICE NG185 model.</t>
  </si>
  <si>
    <t>In the base case scenario, clopidogrel is administered with a loading dose of 600 mg. The patient continues dual antiplatelet therapy with clopidogrel and ASA for a duration of 365 days, based on  NICE NG185 model.</t>
  </si>
  <si>
    <t>In the base case scenario, clopidogrel is administered with a loading dose of 600 mg. The patient continues dual antiplatelet therapy with clopidogrel and ASA for a duration of 365/2 days, based on  NICE NG185 model.</t>
  </si>
  <si>
    <t>In the base case scenario, ticagrelor is administered with a loading dose of 180 mg. The patient continues dual antiplatelet therapy with ticagrelor and ASA for a duration of 328 days, based on  NICE NG185 model.</t>
  </si>
  <si>
    <t>In the base case scenario, ticagrelor is administered with a loading dose of 180 mg. The patient continues dual antiplatelet therapy with ticagrelor and ASA for a duration of 365 days, based on  NICE NG185 model.</t>
  </si>
  <si>
    <t>In the base case scenario, ticagrelor is administered with a loading dose of 180 mg. The patient continues dual antiplatelet therapy with ticagrelor and ASA for a duration of 365/2 days, based on  NICE NG185 model.</t>
  </si>
  <si>
    <t>In the base case scenario, prasugrel is administered with a loading dose of 60 mg. The patient continues dual antiplatelet therapy with prasugrel and ASA for a duration of 365 days, based on  NICE NG185 model.</t>
  </si>
  <si>
    <t>In the base case scenario, prasugrel is administered with a loading dose of 60 mg. The patient continues dual antiplatelet therapy with prasugrel and ASA for a duration of 328 days, based on  NICE NG185 model.</t>
  </si>
  <si>
    <t>In the base case scenario, prasugrel is administered with a loading dose of 60 mg. The patient continues dual antiplatelet therapy with prasugrel and ASA for a duration of 365/2 days, based on  NICE NG185 model.</t>
  </si>
  <si>
    <t>In the base case scenario, ticagrelor is administered with a loading dose of 180 mg. The patient continues dual antiplatelet therapy with ticagrelor and ASA(because they carry LOF) for a duration of 328 days, based on  NICE NG185 model.</t>
  </si>
  <si>
    <t>In the base case scenario, ticagrelor is administered with a loading dose of 180 mg. The patient continues dual antiplatelet therapy with ticagrelor and ASA(because they carry LOF) for a duration of 365 days, based on  NICE NG185 model.</t>
  </si>
  <si>
    <t>In the base case scenario, ticagrelor is administered with a loading dose of 180 mg. The patient continues dual antiplatelet therapy with ticagrelor and ASA(because they carry LOF) for a duration of 365/2 days, based on  NICE NG185 model.</t>
  </si>
  <si>
    <t>In the base case scenario, prasugrel is administered with a loading dose of 60 mg. The patient continues dual antiplatelet therapy with prasugrel and ASA(because they carry LOF) for a duration of 365 days, based on  NICE NG185 model.</t>
  </si>
  <si>
    <t>In the base case scenario, prasugrel is administered with a loading dose of 60 mg. The patient continues dual antiplatelet therapy with prasugrel and ASA(because they carry LOF) for a duration of 328 days, based on  NICE NG185 model.</t>
  </si>
  <si>
    <t>In the base case scenario, prasugrel is administered with a loading dose of 60 mg. The patient continues dual antiplatelet therapy with prasugrel and ASA(because they carry LOF) for a duration of 365/2 days, based on  NICE NG185 model.</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</si>
  <si>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328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</si>
  <si>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360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</si>
  <si>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365/2 days(assumption NG185).</t>
  </si>
  <si>
    <t>md_5</t>
  </si>
  <si>
    <t xml:space="preserve">PoC_test_not_ordered &gt; standard_care </t>
  </si>
  <si>
    <t>cost_DAPT_poc</t>
  </si>
  <si>
    <t>QALY_DAPT_st</t>
  </si>
  <si>
    <t>QALY_DAPT_poc</t>
  </si>
  <si>
    <t>Reason/Source</t>
  </si>
  <si>
    <t>time horizon is assumed 40 years (12 month decision tree - 39 years markov with 1 year cycle length)</t>
  </si>
  <si>
    <t>To simplify long term projections when faced with limited evidence on how the effcets of different treatment diverge over time.</t>
  </si>
  <si>
    <t>Notes</t>
  </si>
  <si>
    <t>To estimate the impact of adverse events on patients overall QALY</t>
  </si>
  <si>
    <t>not statistically significant</t>
  </si>
  <si>
    <t>Population: Adults with STEMI undergoing PCI and Adults with UA/NSTEMI undergoing PCI</t>
  </si>
  <si>
    <t>Perspective: NHS UK</t>
  </si>
  <si>
    <t>Discount rate- Costs: 3.5%  and Outcomes: 3.5%</t>
  </si>
  <si>
    <t>utility decrement bleeding AC</t>
  </si>
  <si>
    <t>utility decrement bleeding AT</t>
  </si>
  <si>
    <t>utility decrement bleeding AP</t>
  </si>
  <si>
    <t>annual utility_dec_min_bleed</t>
  </si>
  <si>
    <t>annual utility_dec_maj_bleed</t>
  </si>
  <si>
    <t>total utility decrement of bleeding with AC</t>
  </si>
  <si>
    <t>total utility decrement of bleeding with AP</t>
  </si>
  <si>
    <t>total utility decrement of bleeding with AT</t>
  </si>
  <si>
    <t xml:space="preserve">QALY difference </t>
  </si>
  <si>
    <t>NG185</t>
  </si>
  <si>
    <t>STEMI ONLY</t>
  </si>
  <si>
    <t xml:space="preserve">cohort size </t>
  </si>
  <si>
    <t xml:space="preserve">cost difference </t>
  </si>
  <si>
    <t>ICER</t>
  </si>
  <si>
    <t>decision tree states</t>
  </si>
  <si>
    <t>state probability</t>
  </si>
  <si>
    <t>drug_cost</t>
  </si>
  <si>
    <t>state_cost</t>
  </si>
  <si>
    <t>expected cost</t>
  </si>
  <si>
    <t>state_utility</t>
  </si>
  <si>
    <t>expected utility</t>
  </si>
  <si>
    <t>probability 
_No_LOF</t>
  </si>
  <si>
    <t>We assume equivalent clinical effectiveness for ticagrelor and prasugrel in both the standard care and pharmacogenomics (PGx) arms.</t>
  </si>
  <si>
    <t xml:space="preserve">Proportion of patients prescribed with prasugrel 5 mg </t>
  </si>
  <si>
    <t xml:space="preserve">Prevalence of loss-of-function (LOF) alleles included in the base analysis </t>
  </si>
  <si>
    <t xml:space="preserve">mid-point correction are applied for adjusting utility values in the decision tree phase. </t>
  </si>
  <si>
    <t xml:space="preserve">Scenarios </t>
  </si>
  <si>
    <t xml:space="preserve">probability of ordering PoC test </t>
  </si>
  <si>
    <t xml:space="preserve">probability of following the PoC test result </t>
  </si>
  <si>
    <t xml:space="preserve">Swen et al , multi-centre trial on 12 gene drug pairs </t>
  </si>
  <si>
    <t xml:space="preserve">Magavern et al, </t>
  </si>
  <si>
    <t>AC:26.06% - AT: 65.63%, AP:8.29%</t>
  </si>
  <si>
    <t xml:space="preserve">baseline risk of stroke </t>
  </si>
  <si>
    <t xml:space="preserve">PLATO trial </t>
  </si>
  <si>
    <t>NICE NG 185 , TG28</t>
  </si>
  <si>
    <t>Overview | Ticagrelor for the treatment of acute coronary syndromes | Guidance | NICE</t>
  </si>
  <si>
    <t>baseline risk of MI</t>
  </si>
  <si>
    <t>NICE NG 185 , TG29</t>
  </si>
  <si>
    <t xml:space="preserve">reduced by 18% </t>
  </si>
  <si>
    <t xml:space="preserve">reduced by 20% </t>
  </si>
  <si>
    <t xml:space="preserve">NG 185 </t>
  </si>
  <si>
    <t>Dyspnoea included in the analysis</t>
  </si>
  <si>
    <t>risk of dyspnoea with clopidogrel (decision tree)</t>
  </si>
  <si>
    <t>NG 185</t>
  </si>
  <si>
    <t>OR of dyspnoea with ticagrelor (decision tree)</t>
  </si>
  <si>
    <t>1.77 ( CI:1.62-1.93)</t>
  </si>
  <si>
    <t>utility decrement bleeding AC_no_LOF</t>
  </si>
  <si>
    <t xml:space="preserve">item </t>
  </si>
  <si>
    <t>Per surgery consultation lasting 10 minutes</t>
  </si>
  <si>
    <t xml:space="preserve">Nurse per hour with qualification </t>
  </si>
  <si>
    <t xml:space="preserve">dyspnoea </t>
  </si>
  <si>
    <t>proportion of patients visit GP</t>
  </si>
  <si>
    <t xml:space="preserve">proportion of patients visit nurse </t>
  </si>
  <si>
    <t>cos of nurse visit per 20 minute</t>
  </si>
  <si>
    <t>cost per patient GP</t>
  </si>
  <si>
    <t>cost per patient Nurse</t>
  </si>
  <si>
    <t xml:space="preserve">30 days </t>
  </si>
  <si>
    <t>annual utility decrement AC</t>
  </si>
  <si>
    <t>annual utility decrement AT</t>
  </si>
  <si>
    <t>annual utility decrement AP</t>
  </si>
  <si>
    <t>normal</t>
  </si>
  <si>
    <t xml:space="preserve"> dyspnoea </t>
  </si>
  <si>
    <t>risk of  dyspnoea AC</t>
  </si>
  <si>
    <t>risk of  dyspnoea AT</t>
  </si>
  <si>
    <t>risk of  dyspnoea AP</t>
  </si>
  <si>
    <t>Unit costs  dyspnoea per person</t>
  </si>
  <si>
    <t>utility decremnt  dyspnoea</t>
  </si>
  <si>
    <t xml:space="preserve"> dyspnoea duration</t>
  </si>
  <si>
    <t>probability of  dyspnoea with clopidogrel</t>
  </si>
  <si>
    <t xml:space="preserve">probability of  dyspnoea with ticagrelor </t>
  </si>
  <si>
    <t>probability of  dyspnoea with prasugrel</t>
  </si>
  <si>
    <t xml:space="preserve">odds ratio of  dyspnoea with ticagrelor </t>
  </si>
  <si>
    <t>cost  dyspnoea AC</t>
  </si>
  <si>
    <t>cost  dyspnoea AT</t>
  </si>
  <si>
    <t>cost  dyspnoea AP</t>
  </si>
  <si>
    <t xml:space="preserve">utility decrement apply for  dyspnoea </t>
  </si>
  <si>
    <t>duration   dyspnoea (days)</t>
  </si>
  <si>
    <t>prob_dyspnoea_AC</t>
  </si>
  <si>
    <t>prob_dyspnoea_AT</t>
  </si>
  <si>
    <t>prb_dyspnoea_AP</t>
  </si>
  <si>
    <t>OR_dyspnoea_AT</t>
  </si>
  <si>
    <t>cost_dyspnoea_pp</t>
  </si>
  <si>
    <t>cost_dysponea_AC</t>
  </si>
  <si>
    <t>cost_dyspnoea_AT</t>
  </si>
  <si>
    <t>cost_dyspnoea_AP</t>
  </si>
  <si>
    <t>u_dec_dyspnoea</t>
  </si>
  <si>
    <t>duration_dyspnoea</t>
  </si>
  <si>
    <t>u_dec_dyspnoea_AC</t>
  </si>
  <si>
    <t>u_dec_dyspnoea_AT</t>
  </si>
  <si>
    <t>u_dec_dyspnoea_AP</t>
  </si>
  <si>
    <t>description (STEMI)</t>
  </si>
  <si>
    <t>Doble 2022</t>
  </si>
  <si>
    <t>Doble 2023</t>
  </si>
  <si>
    <t>Doble 2024</t>
  </si>
  <si>
    <t>Doble 2025</t>
  </si>
  <si>
    <t xml:space="preserve">NICE NG185 </t>
  </si>
  <si>
    <t>10.1186/s12955-018-1019-5</t>
  </si>
  <si>
    <t>10.1186/s12955-018-1019-6</t>
  </si>
  <si>
    <t>10.1186/s12955-018-1019-7</t>
  </si>
  <si>
    <t>10.1186/s12955-018-1019-8</t>
  </si>
  <si>
    <t>10.1186/s12955-018-1019-9</t>
  </si>
  <si>
    <t>Swen et al</t>
  </si>
  <si>
    <t>scenario 1</t>
  </si>
  <si>
    <t xml:space="preserve">major bleeding </t>
  </si>
  <si>
    <t>SC1(10%)</t>
  </si>
  <si>
    <t>SC2(20%)</t>
  </si>
  <si>
    <t>SC3(30%)</t>
  </si>
  <si>
    <t>SC4(40%)</t>
  </si>
  <si>
    <t>SC0</t>
  </si>
  <si>
    <t xml:space="preserve">cost of minor bleeding </t>
  </si>
  <si>
    <t xml:space="preserve">cost of major bleeding </t>
  </si>
  <si>
    <t xml:space="preserve">cost of minor bleeding (added cost of gastrointestinal bleeding ). </t>
  </si>
  <si>
    <t>cost of major bleeding (varring proportion of gastrointestinal bleeding in patients)</t>
  </si>
  <si>
    <t>Sc1 , 10%</t>
  </si>
  <si>
    <t xml:space="preserve">Sc3, 30% </t>
  </si>
  <si>
    <t>Sc2, 20%</t>
  </si>
  <si>
    <t xml:space="preserve">Sc4, 40% </t>
  </si>
  <si>
    <t>Bc</t>
  </si>
  <si>
    <t>SA1</t>
  </si>
  <si>
    <t>SA2</t>
  </si>
  <si>
    <t>SA3</t>
  </si>
  <si>
    <t>SA4</t>
  </si>
  <si>
    <t>SA5</t>
  </si>
  <si>
    <t>SA6</t>
  </si>
  <si>
    <t>SA7</t>
  </si>
  <si>
    <t>SA8</t>
  </si>
  <si>
    <t xml:space="preserve">prevalance of CYP2C19 lof carrier </t>
  </si>
  <si>
    <t xml:space="preserve">proportion of antiplatelet prescription in Standard care arm </t>
  </si>
  <si>
    <t xml:space="preserve">Mohamed et al, before NICE NG185 issuance - year 2019 </t>
  </si>
  <si>
    <t xml:space="preserve">reducing SMRs for no-event, reinfarction and post-reinfarction by 20% </t>
  </si>
  <si>
    <t>SA9</t>
  </si>
  <si>
    <t>SA10</t>
  </si>
  <si>
    <t>SA11</t>
  </si>
  <si>
    <t>SA12</t>
  </si>
  <si>
    <t>SA13</t>
  </si>
  <si>
    <t>SA14</t>
  </si>
  <si>
    <t>SA15</t>
  </si>
  <si>
    <t xml:space="preserve">utilities not age-adjusted </t>
  </si>
  <si>
    <t>SA17</t>
  </si>
  <si>
    <t xml:space="preserve">discount rate decreased  </t>
  </si>
  <si>
    <t xml:space="preserve">cost of minor bleeding scenario analysis </t>
  </si>
  <si>
    <t xml:space="preserve">cost of major bleeding with 20% proportion of castronintestinal bleeding </t>
  </si>
  <si>
    <t xml:space="preserve">cost of major bleeding with 30% proportion of castronintestinal bleeding </t>
  </si>
  <si>
    <t xml:space="preserve">cost of major bleeding with 40% proportion of castronintestinal bleeding </t>
  </si>
  <si>
    <t>disc_cost_b</t>
  </si>
  <si>
    <t>disc_effect_b</t>
  </si>
  <si>
    <t xml:space="preserve">discount rate costs base scenario </t>
  </si>
  <si>
    <t xml:space="preserve">discount rate QALYs base scenario </t>
  </si>
  <si>
    <t>ce_tresh</t>
  </si>
  <si>
    <t>disc_effect_sa</t>
  </si>
  <si>
    <t>disc_cost_sa</t>
  </si>
  <si>
    <t>cost_maj_bleed_sa_40</t>
  </si>
  <si>
    <t>cost_maj_bleed_sa_30</t>
  </si>
  <si>
    <t>cost_maj_bleed_sa_20</t>
  </si>
  <si>
    <t>cost_maj_bleed_sa_10</t>
  </si>
  <si>
    <t>cost_min_bleed_sa</t>
  </si>
  <si>
    <t xml:space="preserve">proportion of AC in standard care sensitivity analysis </t>
  </si>
  <si>
    <t xml:space="preserve">proportion of AT in standard care sensitivity analysis </t>
  </si>
  <si>
    <t xml:space="preserve">proportion of AP in standard care sensitivity analysis </t>
  </si>
  <si>
    <t xml:space="preserve">probability of ordering test sensitivity analysis </t>
  </si>
  <si>
    <t xml:space="preserve">probability of following test sensitivity analysis </t>
  </si>
  <si>
    <t>Mohamed et al</t>
  </si>
  <si>
    <t>proportion_AC_standard_sa</t>
  </si>
  <si>
    <t>proportion_AT_standard_sa</t>
  </si>
  <si>
    <t>proportion_AP_standard_sa</t>
  </si>
  <si>
    <t>prob_test_order_sa</t>
  </si>
  <si>
    <t>prob_test_followed_sa</t>
  </si>
  <si>
    <t>prev_LOF_sa</t>
  </si>
  <si>
    <t>prevalance of Loss of Function allele used for sensitivity analysis</t>
  </si>
  <si>
    <t xml:space="preserve">discount rate of costs used for sensitivity analysis </t>
  </si>
  <si>
    <t xml:space="preserve">discount rate of QALYs used for sensitivity analysis </t>
  </si>
  <si>
    <t>prob_MI_AC_sa</t>
  </si>
  <si>
    <t>prob_stroke_AC_sa1</t>
  </si>
  <si>
    <t xml:space="preserve">SMR_No further event used in sensitivity analysis </t>
  </si>
  <si>
    <t>SMR_reinfarction_sa</t>
  </si>
  <si>
    <t>SMR_no_further_event_sa</t>
  </si>
  <si>
    <t xml:space="preserve">SMR_Reinfarction used in sensitivity analysis </t>
  </si>
  <si>
    <t>SMR_post_reinfarction_sa</t>
  </si>
  <si>
    <t xml:space="preserve">SMR_Post-reinfarction used in sensitivity analysis </t>
  </si>
  <si>
    <t xml:space="preserve">utility used in sensitivity analysis </t>
  </si>
  <si>
    <t>u_no_event_sa</t>
  </si>
  <si>
    <t>u_reinfarction_sa</t>
  </si>
  <si>
    <t>u_post_reinfarction_sa</t>
  </si>
  <si>
    <t>u_ post_stroke_sa</t>
  </si>
  <si>
    <t>u_stroke _sa</t>
  </si>
  <si>
    <t>utility</t>
  </si>
  <si>
    <t>base</t>
  </si>
  <si>
    <t xml:space="preserve">cost standard </t>
  </si>
  <si>
    <t>QALY standard</t>
  </si>
  <si>
    <t xml:space="preserve">base </t>
  </si>
  <si>
    <t>SA2 : probability of test followed</t>
  </si>
  <si>
    <t>SA1: probability of test ordered</t>
  </si>
  <si>
    <t>SA3: proportion of DAPT in standard care</t>
  </si>
  <si>
    <t xml:space="preserve">SA4: prevalance of LOF carrier </t>
  </si>
  <si>
    <t>scenario</t>
  </si>
  <si>
    <t xml:space="preserve">scenario </t>
  </si>
  <si>
    <t xml:space="preserve">SA5: baseline risk of stroke </t>
  </si>
  <si>
    <t>SA6: baseline risk of MI</t>
  </si>
  <si>
    <t>SMR no event</t>
  </si>
  <si>
    <t>SMR reinfarction</t>
  </si>
  <si>
    <t>SMR post-reinfarction</t>
  </si>
  <si>
    <t>SA7: reducing SMRs</t>
  </si>
  <si>
    <t xml:space="preserve">SA8 : cost of minor bleeding </t>
  </si>
  <si>
    <t>prob_stroke_AT</t>
  </si>
  <si>
    <t>scenario1</t>
  </si>
  <si>
    <t>universal ticagrelor</t>
  </si>
  <si>
    <t xml:space="preserve">cohort age assumed 62 for male and 69 female. </t>
  </si>
  <si>
    <t xml:space="preserve">no event </t>
  </si>
  <si>
    <t>age</t>
  </si>
  <si>
    <t>reinfarction</t>
  </si>
  <si>
    <t>post-reinfarction</t>
  </si>
  <si>
    <t>post-stroke</t>
  </si>
  <si>
    <t>tunnel</t>
  </si>
  <si>
    <t>noevent_stk</t>
  </si>
  <si>
    <t>noevent_rinfarct</t>
  </si>
  <si>
    <t>noevent_death</t>
  </si>
  <si>
    <t>dead</t>
  </si>
  <si>
    <t xml:space="preserve">check </t>
  </si>
  <si>
    <t>rinfarct_death</t>
  </si>
  <si>
    <t>pos_rinfarc_death</t>
  </si>
  <si>
    <t>stk_death</t>
  </si>
  <si>
    <t>post_stk_death</t>
  </si>
  <si>
    <t>dist_nevent_st_tree</t>
  </si>
  <si>
    <t>dist_rinfarc_st_tree</t>
  </si>
  <si>
    <t>dist_stk_st_tree</t>
  </si>
  <si>
    <t>dist_dead_st_tree</t>
  </si>
  <si>
    <t>dist_nevent_pc_tree</t>
  </si>
  <si>
    <t>dist_rinfarc_pc_tree</t>
  </si>
  <si>
    <t>dist_stk_pc_tree</t>
  </si>
  <si>
    <t>dist_dead_pc_tree</t>
  </si>
  <si>
    <t xml:space="preserve">cost of standard care </t>
  </si>
  <si>
    <t xml:space="preserve">long term  risks </t>
  </si>
  <si>
    <t xml:space="preserve">Health states distribution standard care </t>
  </si>
  <si>
    <t>Health states distribution point-of-care test</t>
  </si>
  <si>
    <t>check</t>
  </si>
  <si>
    <t>cost of point-of-care test</t>
  </si>
  <si>
    <t xml:space="preserve">utility of standard care </t>
  </si>
  <si>
    <t>utility of point-of-care test</t>
  </si>
  <si>
    <t xml:space="preserve">Age-Sex adjustedt utilities </t>
  </si>
  <si>
    <t>total</t>
  </si>
  <si>
    <t>zero</t>
  </si>
  <si>
    <t>sa</t>
  </si>
  <si>
    <t>effect</t>
  </si>
  <si>
    <t>SA9 : discount rate</t>
  </si>
  <si>
    <t>LYGs</t>
  </si>
  <si>
    <t>+</t>
  </si>
  <si>
    <t>QALY_difference</t>
  </si>
  <si>
    <t>cost_difference</t>
  </si>
  <si>
    <t xml:space="preserve">RR_major_bleeding_ AC_no-LOF vs AC standard </t>
  </si>
  <si>
    <t xml:space="preserve">RR_minor_bleeding_ AC_no-LOF vs AC standard </t>
  </si>
  <si>
    <t xml:space="preserve">RR_death_AC_no_LOF vs AT standard </t>
  </si>
  <si>
    <t xml:space="preserve">RR_MI_AC_no_LOF vs AT standard </t>
  </si>
  <si>
    <t xml:space="preserve">RR_stroke_AC_no_LOF vs AT standard </t>
  </si>
  <si>
    <t>relative_risk_all-cause mortality_ AC_no-LOF</t>
  </si>
  <si>
    <t>relative risk_MI_ AC_no-LOF</t>
  </si>
  <si>
    <t>relative risk_stroke_ AC_no-LOF</t>
  </si>
  <si>
    <t>relative risk_major_bleeding_ AC_no-LOF</t>
  </si>
  <si>
    <t xml:space="preserve">Pereira </t>
  </si>
  <si>
    <t>https://doi.org/10.1016/j.jcin.2021.01.024</t>
  </si>
  <si>
    <t>test_order switch</t>
  </si>
  <si>
    <t>test_follow switch</t>
  </si>
  <si>
    <t>100% uptake</t>
  </si>
  <si>
    <t xml:space="preserve">LYGs standard
</t>
  </si>
  <si>
    <t xml:space="preserve">LYGs poc
</t>
  </si>
  <si>
    <t>cost poc</t>
  </si>
  <si>
    <t>QALY poc</t>
  </si>
  <si>
    <t>NMBs</t>
  </si>
  <si>
    <t>cost of standard care (half cycle)</t>
  </si>
  <si>
    <t>cost of point-of-care test (half cycle)</t>
  </si>
  <si>
    <t>Health states distribution standard care (Half Cycle)</t>
  </si>
  <si>
    <t>utility of standard care (Half cycle)</t>
  </si>
  <si>
    <t>utility of point-of-care test (half cycle)</t>
  </si>
  <si>
    <t>Health states distribution point-of-care test(half cycle)</t>
  </si>
  <si>
    <t>SA10 : cost major bleeding</t>
  </si>
  <si>
    <t xml:space="preserve">cost of major bleeding with 10% proportion of gastronintestinal bleeding </t>
  </si>
  <si>
    <t>10% GI bleed</t>
  </si>
  <si>
    <t>20% GI bleed</t>
  </si>
  <si>
    <t>30% GI bleed</t>
  </si>
  <si>
    <t>40% GI bleed</t>
  </si>
  <si>
    <t>SA11 : cost poc test</t>
  </si>
  <si>
    <t xml:space="preserve">Base </t>
  </si>
  <si>
    <t xml:space="preserve">Value </t>
  </si>
  <si>
    <t xml:space="preserve">distribution </t>
  </si>
  <si>
    <t>Beta</t>
  </si>
  <si>
    <t>lognormal</t>
  </si>
  <si>
    <t>0.0791</t>
  </si>
  <si>
    <t>random value</t>
  </si>
  <si>
    <t>deterministic</t>
  </si>
  <si>
    <t>probabilistic</t>
  </si>
  <si>
    <t>mean</t>
  </si>
  <si>
    <t>SA1 : probability of ordering PGx test 50%</t>
  </si>
  <si>
    <t>SA2 : probability of following PGx test 50%</t>
  </si>
  <si>
    <t>QALY 
poc</t>
  </si>
  <si>
    <t>cost 
poc</t>
  </si>
  <si>
    <t xml:space="preserve">LYGs 
poc
</t>
  </si>
  <si>
    <t>Scenario description</t>
  </si>
  <si>
    <t>Base : 100% uptake, AC:22% , AT: 55%, AP:23%, LoF:29.7%</t>
  </si>
  <si>
    <t>SA3 : 100% uptake, AC:10% , AT: 45%, AP:45%</t>
  </si>
  <si>
    <t>SA4 : 100% uptake , AC:10% , AT: 40%, AP:50%</t>
  </si>
  <si>
    <t>SA5: 100% uptake, AC:22% , AT: 55%, AP:23%, LoF:56.8%</t>
  </si>
  <si>
    <t>SA6: 100% uptake, AC:22% , AT: 55%, AP:23%, cost PoC :£250</t>
  </si>
  <si>
    <t xml:space="preserve">Pereira et al </t>
  </si>
  <si>
    <t>https://doi.org/10.1016/j.jcin.2021.01.025</t>
  </si>
  <si>
    <t>https://doi.org/10.1016/j.jcin.2021.01.026</t>
  </si>
  <si>
    <t xml:space="preserve">annual_utility_dec_min_bleed </t>
  </si>
  <si>
    <t xml:space="preserve">annual_utility_dec_maj_bleed </t>
  </si>
  <si>
    <t>alpha/ natural mean</t>
  </si>
  <si>
    <t>beta/ natural SE</t>
  </si>
  <si>
    <t>iteration</t>
  </si>
  <si>
    <t xml:space="preserve">cost </t>
  </si>
  <si>
    <t>QALYs</t>
  </si>
  <si>
    <t xml:space="preserve">standard care </t>
  </si>
  <si>
    <t xml:space="preserve">poc </t>
  </si>
  <si>
    <t xml:space="preserve">incremental </t>
  </si>
  <si>
    <t>prob_nevent_to_dead</t>
  </si>
  <si>
    <t>prob_nevent_to_rinfarc</t>
  </si>
  <si>
    <t>prob_nevent_to_stk</t>
  </si>
  <si>
    <t>10.1038/s41397-024-00344-z</t>
  </si>
  <si>
    <t xml:space="preserve">McDermott et al </t>
  </si>
  <si>
    <t xml:space="preserve">Beta </t>
  </si>
  <si>
    <t>gamma</t>
  </si>
  <si>
    <t>proportion_male</t>
  </si>
  <si>
    <t>start_age_m</t>
  </si>
  <si>
    <t>start_age_f</t>
  </si>
  <si>
    <t>utility_dec_min_bleed</t>
  </si>
  <si>
    <t>utility_dec_maj_bleed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</si>
</sst>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quot;#,##0;[Red]\-&quot;£&quot;#,##0"/>
    <numFmt numFmtId="165" formatCode="&quot;£&quot;#,##0.00;[Red]\-&quot;£&quot;#,##0.00"/>
    <numFmt numFmtId="166" formatCode="0.000"/>
    <numFmt numFmtId="167" formatCode="0.0000"/>
    <numFmt numFmtId="168" formatCode="0.0"/>
    <numFmt numFmtId="169" formatCode="0.00000"/>
    <numFmt numFmtId="170" formatCode="0.000000"/>
    <numFmt numFmtId="171" formatCode="0.0%"/>
    <numFmt numFmtId="172" formatCode="&quot;£&quot;#,##0"/>
    <numFmt numFmtId="173" formatCode="#,##0_ ;[Red]\-#,##0\ "/>
    <numFmt numFmtId="174" formatCode="#,##0.000"/>
    <numFmt numFmtId="175" formatCode="&quot;£&quot;#,##0.00"/>
    <numFmt numFmtId="176" formatCode="0.000000000"/>
    <numFmt numFmtId="179" formatCode="0.0000000000000000E+00"/>
  </numFmts>
  <fonts count="25" x14ac:knownFonts="1">
    <font>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sz val="8"/>
      <name val="Calibri"/>
      <family val="2"/>
      <scheme val="minor"/>
    </font>
    <font>
      <sz val="12"/>
      <color theme="1"/>
      <name val="Calibri"/>
      <family val="2"/>
      <scheme val="minor"/>
    </font>
    <font>
      <sz val="12"/>
      <color rgb="FF000000"/>
      <name val="Calibri"/>
      <family val="2"/>
      <scheme val="minor"/>
    </font>
    <font>
      <sz val="12"/>
      <color theme="1"/>
      <name val="Times New Roman"/>
      <family val="1"/>
    </font>
    <font>
      <sz val="12"/>
      <color rgb="FF231F20"/>
      <name val="Arial"/>
      <family val="2"/>
    </font>
    <font>
      <b/>
      <sz val="12"/>
      <color theme="1"/>
      <name val="Calibri"/>
      <family val="2"/>
      <scheme val="minor"/>
    </font>
    <font>
      <sz val="9"/>
      <color rgb="FF222222"/>
      <name val="Segoe UI"/>
      <family val="2"/>
    </font>
    <font>
      <i/>
      <sz val="9"/>
      <color rgb="FF222222"/>
      <name val="Segoe UI"/>
      <family val="2"/>
    </font>
    <font>
      <sz val="12"/>
      <color rgb="FFFF0000"/>
      <name val="Calibri"/>
      <family val="2"/>
      <scheme val="minor"/>
    </font>
    <font>
      <sz val="18"/>
      <color rgb="FF0B0C0C"/>
      <name val="Arial"/>
      <family val="2"/>
    </font>
    <font>
      <b/>
      <sz val="11"/>
      <color theme="1"/>
      <name val="Calibri"/>
      <family val="2"/>
      <scheme val="minor"/>
    </font>
    <font>
      <sz val="8"/>
      <color theme="1"/>
      <name val="Calibri"/>
      <family val="2"/>
      <scheme val="minor"/>
    </font>
    <font>
      <sz val="9"/>
      <color theme="1"/>
      <name val="Calibri"/>
      <family val="2"/>
      <scheme val="minor"/>
    </font>
    <font>
      <sz val="14"/>
      <color theme="1"/>
      <name val="Calibri"/>
      <family val="2"/>
      <scheme val="minor"/>
    </font>
    <font>
      <sz val="16"/>
      <color theme="1"/>
      <name val="Calibri"/>
      <family val="2"/>
      <scheme val="minor"/>
    </font>
    <font>
      <sz val="10"/>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0"/>
      <color theme="1"/>
      <name val="Calibri"/>
      <family val="2"/>
      <scheme val="minor"/>
    </font>
    <font>
      <b/>
      <sz val="8"/>
      <color theme="1"/>
      <name val="Calibri"/>
      <family val="2"/>
      <scheme val="minor"/>
    </font>
  </fonts>
  <fills count="34">
    <fill>
      <patternFill patternType="none"/>
    </fill>
    <fill>
      <patternFill patternType="gray125"/>
    </fill>
    <fill>
      <patternFill patternType="solid">
        <fgColor theme="2" tint="-9.9978637043366805E-2"/>
        <bgColor indexed="64"/>
      </patternFill>
    </fill>
    <fill>
      <patternFill patternType="solid">
        <fgColor theme="4"/>
        <bgColor indexed="64"/>
      </patternFill>
    </fill>
    <fill>
      <patternFill patternType="solid">
        <fgColor theme="9"/>
        <bgColor indexed="64"/>
      </patternFill>
    </fill>
    <fill>
      <patternFill patternType="solid">
        <fgColor theme="7" tint="-0.249977111117893"/>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rgb="FF00B0F0"/>
        <bgColor indexed="64"/>
      </patternFill>
    </fill>
    <fill>
      <patternFill patternType="solid">
        <fgColor theme="9" tint="0.79998168889431442"/>
        <bgColor indexed="64"/>
      </patternFill>
    </fill>
    <fill>
      <patternFill patternType="solid">
        <fgColor theme="7"/>
        <bgColor indexed="64"/>
      </patternFill>
    </fill>
    <fill>
      <patternFill patternType="solid">
        <fgColor theme="4"/>
        <bgColor theme="4"/>
      </patternFill>
    </fill>
    <fill>
      <patternFill patternType="solid">
        <fgColor rgb="FFFFFF00"/>
        <bgColor indexed="64"/>
      </patternFill>
    </fill>
    <fill>
      <patternFill patternType="solid">
        <fgColor rgb="FF92D050"/>
        <bgColor indexed="64"/>
      </patternFill>
    </fill>
    <fill>
      <patternFill patternType="solid">
        <fgColor theme="4" tint="0.39997558519241921"/>
        <bgColor indexed="64"/>
      </patternFill>
    </fill>
    <fill>
      <patternFill patternType="solid">
        <fgColor rgb="FF00B050"/>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tint="0.39997558519241921"/>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theme="3" tint="0.79998168889431442"/>
      </top>
      <bottom/>
      <diagonal/>
    </border>
    <border>
      <left style="thin">
        <color theme="3" tint="0.79998168889431442"/>
      </left>
      <right style="thin">
        <color theme="3" tint="0.79998168889431442"/>
      </right>
      <top style="thin">
        <color theme="3" tint="0.79998168889431442"/>
      </top>
      <bottom style="thin">
        <color theme="3" tint="0.79998168889431442"/>
      </bottom>
      <diagonal/>
    </border>
  </borders>
  <cellStyleXfs count="2">
    <xf numFmtId="0" fontId="0" fillId="0" borderId="0"/>
    <xf numFmtId="0" fontId="3" fillId="0" borderId="0" applyNumberFormat="0" applyFill="0" applyBorder="0" applyAlignment="0" applyProtection="0"/>
  </cellStyleXfs>
  <cellXfs count="611">
    <xf numFmtId="0" fontId="0" fillId="0" borderId="0" xfId="0"/>
    <xf numFmtId="0" fontId="0" fillId="0" borderId="2" xfId="0" applyBorder="1" applyAlignment="1">
      <alignment horizontal="right"/>
    </xf>
    <xf numFmtId="0" fontId="0" fillId="0" borderId="5" xfId="0" applyBorder="1" applyAlignment="1">
      <alignment horizontal="left"/>
    </xf>
    <xf numFmtId="0" fontId="0" fillId="0" borderId="0" xfId="0" applyAlignment="1">
      <alignment horizontal="center"/>
    </xf>
    <xf numFmtId="0" fontId="0" fillId="0" borderId="6" xfId="0" applyBorder="1"/>
    <xf numFmtId="0" fontId="0" fillId="0" borderId="5" xfId="0" applyBorder="1"/>
    <xf numFmtId="14" fontId="0" fillId="3" borderId="0" xfId="0" applyNumberFormat="1" applyFill="1"/>
    <xf numFmtId="0" fontId="0" fillId="3" borderId="0" xfId="0" applyFill="1"/>
    <xf numFmtId="14" fontId="0" fillId="0" borderId="0" xfId="0" applyNumberFormat="1"/>
    <xf numFmtId="0" fontId="0" fillId="4" borderId="0" xfId="0" applyFill="1"/>
    <xf numFmtId="0" fontId="0" fillId="6" borderId="0" xfId="0" applyFill="1"/>
    <xf numFmtId="0" fontId="0" fillId="5" borderId="0" xfId="0" applyFill="1"/>
    <xf numFmtId="0" fontId="0" fillId="0" borderId="7" xfId="0" applyBorder="1"/>
    <xf numFmtId="0" fontId="0" fillId="0" borderId="8" xfId="0" applyBorder="1"/>
    <xf numFmtId="0" fontId="0" fillId="3" borderId="8" xfId="0" applyFill="1" applyBorder="1"/>
    <xf numFmtId="0" fontId="0" fillId="4" borderId="8" xfId="0" applyFill="1" applyBorder="1"/>
    <xf numFmtId="0" fontId="0" fillId="5" borderId="8" xfId="0" applyFill="1" applyBorder="1"/>
    <xf numFmtId="0" fontId="0" fillId="0" borderId="9" xfId="0" applyBorder="1"/>
    <xf numFmtId="0" fontId="5" fillId="0" borderId="1" xfId="0" applyFont="1" applyBorder="1" applyAlignment="1">
      <alignment vertical="top"/>
    </xf>
    <xf numFmtId="0" fontId="6" fillId="0" borderId="1" xfId="0" applyFont="1" applyBorder="1" applyAlignment="1">
      <alignment horizontal="center" vertical="top"/>
    </xf>
    <xf numFmtId="0" fontId="5" fillId="0" borderId="1" xfId="0" applyFont="1" applyBorder="1" applyAlignment="1">
      <alignment vertical="top" wrapText="1"/>
    </xf>
    <xf numFmtId="0" fontId="5" fillId="0" borderId="1" xfId="0" applyFont="1" applyBorder="1" applyAlignment="1">
      <alignment horizontal="center" vertical="top" wrapText="1"/>
    </xf>
    <xf numFmtId="0" fontId="5" fillId="0" borderId="0" xfId="0" applyFont="1" applyAlignment="1">
      <alignment vertical="top" wrapText="1"/>
    </xf>
    <xf numFmtId="0" fontId="5" fillId="7" borderId="1" xfId="0" applyFont="1" applyFill="1" applyBorder="1" applyAlignment="1">
      <alignment vertical="top" wrapText="1"/>
    </xf>
    <xf numFmtId="0" fontId="5" fillId="8" borderId="1" xfId="0" applyFont="1" applyFill="1" applyBorder="1" applyAlignment="1">
      <alignment vertical="top" wrapText="1"/>
    </xf>
    <xf numFmtId="0" fontId="5" fillId="8" borderId="1" xfId="0" applyFont="1" applyFill="1" applyBorder="1" applyAlignment="1">
      <alignment vertical="top"/>
    </xf>
    <xf numFmtId="0" fontId="6" fillId="8" borderId="1" xfId="0" applyFont="1" applyFill="1" applyBorder="1" applyAlignment="1">
      <alignment horizontal="center" vertical="top"/>
    </xf>
    <xf numFmtId="0" fontId="6" fillId="0" borderId="1" xfId="0" applyFont="1" applyBorder="1" applyAlignment="1">
      <alignment vertical="top" wrapText="1"/>
    </xf>
    <xf numFmtId="0" fontId="5" fillId="8" borderId="1" xfId="0" applyFont="1" applyFill="1" applyBorder="1" applyAlignment="1">
      <alignment horizontal="center" vertical="top" wrapText="1"/>
    </xf>
    <xf numFmtId="0" fontId="5" fillId="8" borderId="1" xfId="0" applyFont="1" applyFill="1" applyBorder="1" applyAlignment="1">
      <alignment horizontal="left" vertical="top" wrapText="1"/>
    </xf>
    <xf numFmtId="0" fontId="5" fillId="7" borderId="1" xfId="0" applyFont="1" applyFill="1" applyBorder="1" applyAlignment="1">
      <alignment horizontal="left" vertical="top"/>
    </xf>
    <xf numFmtId="0" fontId="5" fillId="7" borderId="1" xfId="0" applyFont="1" applyFill="1" applyBorder="1" applyAlignment="1">
      <alignment vertical="top"/>
    </xf>
    <xf numFmtId="0" fontId="6" fillId="7" borderId="1" xfId="0" applyFont="1" applyFill="1" applyBorder="1" applyAlignment="1">
      <alignment vertical="top" wrapText="1"/>
    </xf>
    <xf numFmtId="0" fontId="6" fillId="7" borderId="1" xfId="0" applyFont="1" applyFill="1" applyBorder="1" applyAlignment="1">
      <alignment horizontal="center" vertical="top"/>
    </xf>
    <xf numFmtId="0" fontId="0" fillId="7" borderId="1" xfId="0" applyFill="1" applyBorder="1" applyAlignment="1">
      <alignment vertical="top"/>
    </xf>
    <xf numFmtId="0" fontId="2" fillId="7" borderId="1" xfId="0" applyFont="1" applyFill="1" applyBorder="1" applyAlignment="1">
      <alignment vertical="top" wrapText="1"/>
    </xf>
    <xf numFmtId="0" fontId="2" fillId="7" borderId="1" xfId="0" applyFont="1" applyFill="1" applyBorder="1" applyAlignment="1">
      <alignment horizontal="center" vertical="top"/>
    </xf>
    <xf numFmtId="0" fontId="0" fillId="7" borderId="1" xfId="0" applyFill="1" applyBorder="1" applyAlignment="1">
      <alignment vertical="top" wrapText="1"/>
    </xf>
    <xf numFmtId="0" fontId="0" fillId="2" borderId="1" xfId="0" applyFill="1" applyBorder="1" applyAlignment="1">
      <alignment horizontal="center" vertical="top"/>
    </xf>
    <xf numFmtId="0" fontId="2" fillId="2" borderId="1" xfId="0" applyFont="1" applyFill="1" applyBorder="1" applyAlignment="1">
      <alignment horizontal="center" vertical="top" wrapText="1"/>
    </xf>
    <xf numFmtId="0" fontId="6" fillId="7" borderId="1" xfId="0" applyFont="1" applyFill="1" applyBorder="1" applyAlignment="1">
      <alignment vertical="top"/>
    </xf>
    <xf numFmtId="0" fontId="3" fillId="7" borderId="1" xfId="1" applyFill="1" applyBorder="1" applyAlignment="1">
      <alignment vertical="top" wrapText="1"/>
    </xf>
    <xf numFmtId="0" fontId="0" fillId="0" borderId="0" xfId="0"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3" fillId="0" borderId="1" xfId="1" applyBorder="1" applyAlignment="1">
      <alignment vertical="top" wrapText="1"/>
    </xf>
    <xf numFmtId="0" fontId="0" fillId="2" borderId="0" xfId="0" applyFill="1"/>
    <xf numFmtId="0" fontId="6" fillId="0" borderId="1" xfId="0" applyFont="1" applyBorder="1" applyAlignment="1">
      <alignment horizontal="center" vertical="top" wrapText="1"/>
    </xf>
    <xf numFmtId="0" fontId="0" fillId="9" borderId="0" xfId="0" applyFill="1"/>
    <xf numFmtId="0" fontId="13" fillId="0" borderId="0" xfId="0" applyFont="1" applyAlignment="1">
      <alignment vertical="center" wrapText="1"/>
    </xf>
    <xf numFmtId="0" fontId="0" fillId="0" borderId="1" xfId="0" applyBorder="1" applyAlignment="1">
      <alignment horizontal="center"/>
    </xf>
    <xf numFmtId="0" fontId="0" fillId="0" borderId="1" xfId="0" applyBorder="1"/>
    <xf numFmtId="166" fontId="0" fillId="0" borderId="1" xfId="0" applyNumberFormat="1" applyBorder="1" applyAlignment="1">
      <alignment horizontal="center"/>
    </xf>
    <xf numFmtId="167" fontId="0" fillId="0" borderId="1" xfId="0" applyNumberFormat="1" applyBorder="1" applyAlignment="1">
      <alignment horizontal="center"/>
    </xf>
    <xf numFmtId="0" fontId="0" fillId="10"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10" borderId="15" xfId="0" applyFill="1" applyBorder="1"/>
    <xf numFmtId="0" fontId="0" fillId="0" borderId="16" xfId="0" applyBorder="1"/>
    <xf numFmtId="166" fontId="0" fillId="0" borderId="1" xfId="0" applyNumberFormat="1" applyBorder="1"/>
    <xf numFmtId="0" fontId="0" fillId="2" borderId="1" xfId="0" applyFill="1" applyBorder="1"/>
    <xf numFmtId="2" fontId="0" fillId="0" borderId="1" xfId="0" applyNumberFormat="1" applyBorder="1" applyAlignment="1">
      <alignment wrapText="1"/>
    </xf>
    <xf numFmtId="0" fontId="0" fillId="2" borderId="1" xfId="0" applyFill="1" applyBorder="1" applyAlignment="1">
      <alignment horizontal="center" vertical="center"/>
    </xf>
    <xf numFmtId="2" fontId="0" fillId="0" borderId="1" xfId="0" applyNumberFormat="1" applyBorder="1"/>
    <xf numFmtId="168" fontId="0" fillId="0" borderId="1" xfId="0" applyNumberFormat="1" applyBorder="1" applyAlignment="1">
      <alignment horizontal="center"/>
    </xf>
    <xf numFmtId="0" fontId="0" fillId="2" borderId="1" xfId="0" applyFill="1" applyBorder="1" applyAlignment="1">
      <alignment horizontal="center"/>
    </xf>
    <xf numFmtId="0" fontId="0" fillId="0" borderId="18" xfId="0" applyBorder="1"/>
    <xf numFmtId="0" fontId="0" fillId="0" borderId="1" xfId="0" applyBorder="1" applyAlignment="1">
      <alignment horizontal="center" vertical="center"/>
    </xf>
    <xf numFmtId="0" fontId="0" fillId="0" borderId="1" xfId="0" applyBorder="1" applyAlignment="1">
      <alignment horizontal="left" vertical="center"/>
    </xf>
    <xf numFmtId="0" fontId="0" fillId="2" borderId="0" xfId="0" applyFill="1" applyAlignment="1">
      <alignment horizontal="center" vertical="center"/>
    </xf>
    <xf numFmtId="0" fontId="0" fillId="0" borderId="0" xfId="0" applyAlignment="1">
      <alignment horizontal="center" vertical="center"/>
    </xf>
    <xf numFmtId="2" fontId="0" fillId="0" borderId="0" xfId="0" applyNumberFormat="1"/>
    <xf numFmtId="166" fontId="0" fillId="2" borderId="0" xfId="0" applyNumberFormat="1" applyFill="1" applyAlignment="1">
      <alignment horizontal="center"/>
    </xf>
    <xf numFmtId="166"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vertical="center"/>
    </xf>
    <xf numFmtId="0" fontId="16" fillId="2" borderId="0" xfId="0" applyFont="1" applyFill="1" applyAlignment="1">
      <alignment horizontal="center"/>
    </xf>
    <xf numFmtId="0" fontId="0" fillId="11" borderId="0" xfId="0" applyFill="1"/>
    <xf numFmtId="0" fontId="0" fillId="12" borderId="0" xfId="0" applyFill="1"/>
    <xf numFmtId="0" fontId="17" fillId="0" borderId="0" xfId="0" applyFont="1"/>
    <xf numFmtId="0" fontId="0" fillId="13" borderId="0" xfId="0" applyFill="1"/>
    <xf numFmtId="0" fontId="0" fillId="14" borderId="0" xfId="0" applyFill="1"/>
    <xf numFmtId="0" fontId="2" fillId="2" borderId="18" xfId="0" applyFont="1" applyFill="1" applyBorder="1" applyAlignment="1">
      <alignment horizontal="center" vertical="top" wrapText="1"/>
    </xf>
    <xf numFmtId="0" fontId="5" fillId="8" borderId="18" xfId="0" applyFont="1" applyFill="1" applyBorder="1" applyAlignment="1">
      <alignment horizontal="left" vertical="top" wrapText="1"/>
    </xf>
    <xf numFmtId="0" fontId="5" fillId="0" borderId="18" xfId="0" applyFont="1" applyBorder="1" applyAlignment="1">
      <alignment vertical="top" wrapText="1"/>
    </xf>
    <xf numFmtId="0" fontId="5" fillId="8" borderId="18" xfId="0" applyFont="1" applyFill="1" applyBorder="1" applyAlignment="1">
      <alignment vertical="top" wrapText="1"/>
    </xf>
    <xf numFmtId="0" fontId="5" fillId="0" borderId="18" xfId="0" applyFont="1" applyBorder="1" applyAlignment="1">
      <alignment vertical="top"/>
    </xf>
    <xf numFmtId="0" fontId="6" fillId="7" borderId="18" xfId="0" applyFont="1" applyFill="1" applyBorder="1" applyAlignment="1">
      <alignment vertical="top" wrapText="1"/>
    </xf>
    <xf numFmtId="0" fontId="0" fillId="7" borderId="18" xfId="0" applyFill="1" applyBorder="1" applyAlignment="1">
      <alignment vertical="top"/>
    </xf>
    <xf numFmtId="0" fontId="5" fillId="7" borderId="18" xfId="0" applyFont="1" applyFill="1" applyBorder="1" applyAlignment="1">
      <alignment vertical="top"/>
    </xf>
    <xf numFmtId="0" fontId="5" fillId="7" borderId="18" xfId="0" applyFont="1" applyFill="1" applyBorder="1" applyAlignment="1">
      <alignment vertical="top" wrapText="1"/>
    </xf>
    <xf numFmtId="0" fontId="3" fillId="0" borderId="1" xfId="1" applyBorder="1" applyAlignment="1">
      <alignment horizontal="left" vertical="top" wrapText="1"/>
    </xf>
    <xf numFmtId="0" fontId="3" fillId="8" borderId="1" xfId="1" applyFill="1"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13" borderId="0" xfId="0" applyFill="1" applyAlignment="1">
      <alignment horizontal="center"/>
    </xf>
    <xf numFmtId="2" fontId="0" fillId="0" borderId="1" xfId="0" applyNumberFormat="1" applyBorder="1" applyAlignment="1">
      <alignment horizontal="center" wrapText="1"/>
    </xf>
    <xf numFmtId="170" fontId="0" fillId="0" borderId="0" xfId="0" applyNumberFormat="1" applyAlignment="1">
      <alignment horizontal="center"/>
    </xf>
    <xf numFmtId="0" fontId="0" fillId="0" borderId="0" xfId="0" applyAlignment="1">
      <alignment horizontal="left"/>
    </xf>
    <xf numFmtId="0" fontId="16" fillId="0" borderId="0" xfId="0" applyFont="1" applyAlignment="1">
      <alignment horizontal="center" wrapText="1"/>
    </xf>
    <xf numFmtId="0" fontId="16" fillId="11" borderId="0" xfId="0" applyFont="1" applyFill="1" applyAlignment="1">
      <alignment horizontal="center" wrapText="1"/>
    </xf>
    <xf numFmtId="0" fontId="0" fillId="11" borderId="0" xfId="0" applyFill="1" applyAlignment="1">
      <alignment horizontal="center"/>
    </xf>
    <xf numFmtId="170" fontId="0" fillId="11" borderId="0" xfId="0" applyNumberFormat="1" applyFill="1"/>
    <xf numFmtId="0" fontId="16" fillId="14" borderId="0" xfId="0" applyFont="1" applyFill="1" applyAlignment="1">
      <alignment horizontal="center" wrapText="1"/>
    </xf>
    <xf numFmtId="0" fontId="16" fillId="15" borderId="0" xfId="0" applyFont="1" applyFill="1" applyAlignment="1">
      <alignment horizontal="center" wrapText="1"/>
    </xf>
    <xf numFmtId="167" fontId="0" fillId="0" borderId="0" xfId="0" applyNumberFormat="1"/>
    <xf numFmtId="0" fontId="16" fillId="12" borderId="0" xfId="0" applyFont="1" applyFill="1" applyAlignment="1">
      <alignment horizontal="center" wrapText="1"/>
    </xf>
    <xf numFmtId="0" fontId="16" fillId="11" borderId="0" xfId="0" applyFont="1" applyFill="1" applyAlignment="1">
      <alignment horizontal="center" vertical="center"/>
    </xf>
    <xf numFmtId="0" fontId="19" fillId="0" borderId="0" xfId="0" applyFont="1" applyAlignment="1">
      <alignment vertical="center"/>
    </xf>
    <xf numFmtId="0" fontId="16" fillId="14" borderId="0" xfId="0" applyFont="1" applyFill="1" applyAlignment="1">
      <alignment horizontal="center" vertical="center"/>
    </xf>
    <xf numFmtId="167" fontId="0" fillId="14" borderId="0" xfId="0" applyNumberFormat="1" applyFill="1" applyAlignment="1">
      <alignment horizontal="center"/>
    </xf>
    <xf numFmtId="167" fontId="0" fillId="17" borderId="0" xfId="0" applyNumberFormat="1" applyFill="1" applyAlignment="1">
      <alignment horizontal="center"/>
    </xf>
    <xf numFmtId="166" fontId="0" fillId="3" borderId="0" xfId="0" applyNumberFormat="1" applyFill="1" applyAlignment="1">
      <alignment horizontal="center"/>
    </xf>
    <xf numFmtId="166" fontId="0" fillId="18" borderId="0" xfId="0" applyNumberFormat="1" applyFill="1" applyAlignment="1">
      <alignment horizontal="center"/>
    </xf>
    <xf numFmtId="166" fontId="0" fillId="17" borderId="0" xfId="0" applyNumberFormat="1" applyFill="1" applyAlignment="1">
      <alignment horizontal="center"/>
    </xf>
    <xf numFmtId="166"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5" xfId="0" applyBorder="1" applyAlignment="1">
      <alignment vertical="center"/>
    </xf>
    <xf numFmtId="2" fontId="0" fillId="0" borderId="26" xfId="0" applyNumberFormat="1" applyBorder="1" applyAlignment="1">
      <alignment horizontal="center" vertical="center"/>
    </xf>
    <xf numFmtId="0" fontId="0" fillId="0" borderId="17" xfId="0" applyBorder="1"/>
    <xf numFmtId="0" fontId="0" fillId="0" borderId="28" xfId="0" applyBorder="1"/>
    <xf numFmtId="0" fontId="0" fillId="0" borderId="27" xfId="0" applyBorder="1"/>
    <xf numFmtId="0" fontId="14" fillId="0" borderId="25" xfId="0" applyFont="1" applyBorder="1" applyAlignment="1">
      <alignment horizontal="center" vertical="center"/>
    </xf>
    <xf numFmtId="0" fontId="14" fillId="0" borderId="25" xfId="0" applyFont="1" applyBorder="1" applyAlignment="1">
      <alignment vertical="center"/>
    </xf>
    <xf numFmtId="0" fontId="0" fillId="0" borderId="0" xfId="0" applyAlignment="1">
      <alignment horizontal="center" vertical="center" wrapText="1"/>
    </xf>
    <xf numFmtId="1" fontId="0" fillId="0" borderId="26" xfId="0" applyNumberFormat="1" applyBorder="1" applyAlignment="1">
      <alignment horizontal="center"/>
    </xf>
    <xf numFmtId="0" fontId="0" fillId="0" borderId="25" xfId="0" applyBorder="1" applyAlignment="1">
      <alignment horizontal="center" vertical="center"/>
    </xf>
    <xf numFmtId="0" fontId="0" fillId="0" borderId="0" xfId="0" applyAlignment="1">
      <alignment horizontal="center" wrapText="1"/>
    </xf>
    <xf numFmtId="0" fontId="0" fillId="0" borderId="26" xfId="0" applyBorder="1" applyAlignment="1">
      <alignment horizontal="center" wrapText="1"/>
    </xf>
    <xf numFmtId="0" fontId="0" fillId="0" borderId="0" xfId="0" applyAlignment="1">
      <alignment horizontal="left" vertical="center"/>
    </xf>
    <xf numFmtId="0" fontId="0" fillId="0" borderId="25" xfId="0" applyBorder="1" applyAlignment="1">
      <alignment horizontal="center" wrapText="1"/>
    </xf>
    <xf numFmtId="0" fontId="3" fillId="0" borderId="0" xfId="1"/>
    <xf numFmtId="0" fontId="14" fillId="0" borderId="26" xfId="0" applyFont="1" applyBorder="1" applyAlignment="1">
      <alignment horizontal="center" vertical="center"/>
    </xf>
    <xf numFmtId="0" fontId="0" fillId="0" borderId="27" xfId="0" applyBorder="1" applyAlignment="1">
      <alignment wrapText="1"/>
    </xf>
    <xf numFmtId="164" fontId="0" fillId="0" borderId="0" xfId="0" applyNumberFormat="1" applyAlignment="1">
      <alignment horizontal="center"/>
    </xf>
    <xf numFmtId="1" fontId="0" fillId="0" borderId="0" xfId="0" applyNumberFormat="1" applyAlignment="1">
      <alignment horizontal="center"/>
    </xf>
    <xf numFmtId="10" fontId="0" fillId="0" borderId="0" xfId="0" applyNumberFormat="1" applyAlignment="1">
      <alignment horizontal="center"/>
    </xf>
    <xf numFmtId="0" fontId="19" fillId="0" borderId="0" xfId="0" applyFont="1" applyAlignment="1">
      <alignment horizontal="center" vertical="center" wrapText="1"/>
    </xf>
    <xf numFmtId="0" fontId="19" fillId="0" borderId="25" xfId="0" applyFont="1" applyBorder="1" applyAlignment="1">
      <alignment horizontal="center" vertical="center" wrapText="1"/>
    </xf>
    <xf numFmtId="0" fontId="19" fillId="0" borderId="26" xfId="0" applyFont="1" applyBorder="1" applyAlignment="1">
      <alignment horizontal="center" vertical="center" wrapText="1"/>
    </xf>
    <xf numFmtId="164" fontId="0" fillId="0" borderId="26" xfId="0" applyNumberFormat="1" applyBorder="1" applyAlignment="1">
      <alignment horizontal="center"/>
    </xf>
    <xf numFmtId="0" fontId="0" fillId="0" borderId="26" xfId="0" applyBorder="1" applyAlignment="1">
      <alignment horizontal="center" vertical="center" wrapText="1"/>
    </xf>
    <xf numFmtId="164" fontId="0" fillId="0" borderId="25" xfId="0" applyNumberFormat="1" applyBorder="1" applyAlignment="1">
      <alignment horizontal="center"/>
    </xf>
    <xf numFmtId="0" fontId="0" fillId="0" borderId="26" xfId="0" applyBorder="1" applyAlignment="1">
      <alignment horizontal="center" vertical="center"/>
    </xf>
    <xf numFmtId="10" fontId="0" fillId="0" borderId="26" xfId="0" applyNumberFormat="1" applyBorder="1" applyAlignment="1">
      <alignment horizontal="center"/>
    </xf>
    <xf numFmtId="0" fontId="0" fillId="0" borderId="25" xfId="0" applyBorder="1" applyAlignment="1">
      <alignment horizontal="center" vertical="center" wrapText="1"/>
    </xf>
    <xf numFmtId="0" fontId="14" fillId="3" borderId="22" xfId="0" applyFont="1" applyFill="1" applyBorder="1" applyAlignment="1">
      <alignment horizontal="center"/>
    </xf>
    <xf numFmtId="0" fontId="0" fillId="3" borderId="27" xfId="0" applyFill="1" applyBorder="1"/>
    <xf numFmtId="10" fontId="0" fillId="3" borderId="28" xfId="0" applyNumberFormat="1" applyFill="1" applyBorder="1" applyAlignment="1">
      <alignment horizontal="center"/>
    </xf>
    <xf numFmtId="1" fontId="0" fillId="3" borderId="0" xfId="0" applyNumberFormat="1" applyFill="1" applyAlignment="1">
      <alignment horizontal="center"/>
    </xf>
    <xf numFmtId="164" fontId="0" fillId="3" borderId="27" xfId="0" applyNumberFormat="1" applyFill="1" applyBorder="1" applyAlignment="1">
      <alignment horizontal="center"/>
    </xf>
    <xf numFmtId="164" fontId="0" fillId="3" borderId="28" xfId="0" applyNumberFormat="1" applyFill="1" applyBorder="1" applyAlignment="1">
      <alignment horizontal="center"/>
    </xf>
    <xf numFmtId="164" fontId="0" fillId="3" borderId="0" xfId="0" applyNumberFormat="1" applyFill="1" applyAlignment="1">
      <alignment horizontal="center"/>
    </xf>
    <xf numFmtId="164" fontId="0" fillId="3" borderId="17" xfId="0" applyNumberFormat="1" applyFill="1" applyBorder="1" applyAlignment="1">
      <alignment horizontal="center"/>
    </xf>
    <xf numFmtId="0" fontId="0" fillId="3" borderId="24" xfId="0" applyFill="1" applyBorder="1"/>
    <xf numFmtId="0" fontId="14" fillId="0" borderId="0" xfId="0" applyFont="1"/>
    <xf numFmtId="166" fontId="0" fillId="0" borderId="0" xfId="0" applyNumberFormat="1" applyAlignment="1">
      <alignment horizontal="center"/>
    </xf>
    <xf numFmtId="0" fontId="14" fillId="0" borderId="0" xfId="0" applyFont="1" applyAlignment="1">
      <alignment horizontal="center" vertical="center" wrapText="1"/>
    </xf>
    <xf numFmtId="2" fontId="0" fillId="0" borderId="0" xfId="0" applyNumberFormat="1" applyAlignment="1">
      <alignment horizontal="center"/>
    </xf>
    <xf numFmtId="0" fontId="15" fillId="0" borderId="0" xfId="0" applyFont="1" applyAlignment="1">
      <alignment horizontal="center" wrapText="1"/>
    </xf>
    <xf numFmtId="0" fontId="15" fillId="0" borderId="0" xfId="0" applyFont="1"/>
    <xf numFmtId="0" fontId="15" fillId="0" borderId="0" xfId="0" applyFont="1" applyAlignment="1">
      <alignment horizontal="center"/>
    </xf>
    <xf numFmtId="2" fontId="15" fillId="0" borderId="0" xfId="0" applyNumberFormat="1" applyFont="1" applyAlignment="1">
      <alignment horizontal="center"/>
    </xf>
    <xf numFmtId="0" fontId="15" fillId="0" borderId="0" xfId="0" applyFont="1" applyAlignment="1">
      <alignment wrapText="1"/>
    </xf>
    <xf numFmtId="9" fontId="0" fillId="0" borderId="0" xfId="0" applyNumberFormat="1" applyAlignment="1">
      <alignment horizontal="center"/>
    </xf>
    <xf numFmtId="0" fontId="14" fillId="0" borderId="0" xfId="0" applyFont="1" applyAlignment="1">
      <alignment horizontal="center" vertical="center"/>
    </xf>
    <xf numFmtId="0" fontId="14" fillId="0" borderId="25" xfId="0" applyFont="1" applyBorder="1"/>
    <xf numFmtId="0" fontId="0" fillId="0" borderId="26" xfId="0" applyBorder="1" applyAlignment="1">
      <alignment horizontal="center"/>
    </xf>
    <xf numFmtId="0" fontId="0" fillId="0" borderId="25" xfId="0" applyBorder="1" applyAlignment="1">
      <alignment horizontal="center"/>
    </xf>
    <xf numFmtId="9" fontId="0" fillId="0" borderId="26" xfId="0" applyNumberFormat="1" applyBorder="1" applyAlignment="1">
      <alignment horizontal="center"/>
    </xf>
    <xf numFmtId="0" fontId="0" fillId="0" borderId="27" xfId="0" applyBorder="1" applyAlignment="1">
      <alignment horizontal="center" vertical="center"/>
    </xf>
    <xf numFmtId="0" fontId="3" fillId="0" borderId="17" xfId="1" applyBorder="1" applyAlignment="1">
      <alignment vertical="center" wrapText="1"/>
    </xf>
    <xf numFmtId="10" fontId="0" fillId="0" borderId="1" xfId="0" applyNumberFormat="1" applyBorder="1" applyAlignment="1">
      <alignment horizontal="center"/>
    </xf>
    <xf numFmtId="2" fontId="0" fillId="0" borderId="26" xfId="0" applyNumberFormat="1" applyBorder="1" applyAlignment="1">
      <alignment horizontal="center"/>
    </xf>
    <xf numFmtId="0" fontId="0" fillId="18" borderId="22" xfId="0" applyFill="1" applyBorder="1"/>
    <xf numFmtId="166" fontId="0" fillId="0" borderId="26" xfId="0" applyNumberFormat="1" applyBorder="1" applyAlignment="1">
      <alignment horizontal="center"/>
    </xf>
    <xf numFmtId="0" fontId="0" fillId="0" borderId="17" xfId="0" applyBorder="1" applyAlignment="1">
      <alignment horizontal="center"/>
    </xf>
    <xf numFmtId="166" fontId="0" fillId="0" borderId="28" xfId="0" applyNumberFormat="1" applyBorder="1" applyAlignment="1">
      <alignment horizontal="center"/>
    </xf>
    <xf numFmtId="0" fontId="16" fillId="0" borderId="0" xfId="0" applyFont="1" applyAlignment="1">
      <alignment horizontal="center" vertical="center" wrapText="1"/>
    </xf>
    <xf numFmtId="0" fontId="16" fillId="0" borderId="26" xfId="0" applyFont="1" applyBorder="1" applyAlignment="1">
      <alignment horizontal="center" vertical="center" wrapText="1"/>
    </xf>
    <xf numFmtId="0" fontId="19" fillId="18" borderId="22" xfId="0" applyFont="1" applyFill="1" applyBorder="1"/>
    <xf numFmtId="0" fontId="19" fillId="0" borderId="23" xfId="0" applyFont="1" applyBorder="1"/>
    <xf numFmtId="0" fontId="19" fillId="0" borderId="24" xfId="0" applyFont="1" applyBorder="1"/>
    <xf numFmtId="0" fontId="19" fillId="0" borderId="25" xfId="0" applyFont="1" applyBorder="1"/>
    <xf numFmtId="0" fontId="19" fillId="0" borderId="0" xfId="0" applyFont="1"/>
    <xf numFmtId="0" fontId="19" fillId="0" borderId="26" xfId="0" applyFont="1" applyBorder="1"/>
    <xf numFmtId="0" fontId="19" fillId="0" borderId="25" xfId="0" applyFont="1" applyBorder="1" applyAlignment="1">
      <alignment horizontal="center"/>
    </xf>
    <xf numFmtId="0" fontId="19" fillId="0" borderId="0" xfId="0" applyFont="1" applyAlignment="1">
      <alignment horizontal="center"/>
    </xf>
    <xf numFmtId="169" fontId="19" fillId="0" borderId="0" xfId="0" applyNumberFormat="1" applyFont="1" applyAlignment="1">
      <alignment horizontal="center"/>
    </xf>
    <xf numFmtId="0" fontId="19" fillId="0" borderId="26" xfId="0" applyFont="1" applyBorder="1" applyAlignment="1">
      <alignment horizontal="center"/>
    </xf>
    <xf numFmtId="2" fontId="19" fillId="0" borderId="0" xfId="0" applyNumberFormat="1" applyFont="1" applyAlignment="1">
      <alignment horizontal="center"/>
    </xf>
    <xf numFmtId="166" fontId="19" fillId="0" borderId="0" xfId="0" applyNumberFormat="1" applyFont="1" applyAlignment="1">
      <alignment horizontal="center"/>
    </xf>
    <xf numFmtId="2" fontId="19" fillId="0" borderId="26" xfId="0" applyNumberFormat="1" applyFont="1" applyBorder="1" applyAlignment="1">
      <alignment horizontal="center"/>
    </xf>
    <xf numFmtId="0" fontId="19" fillId="0" borderId="27" xfId="0" applyFont="1" applyBorder="1"/>
    <xf numFmtId="0" fontId="19" fillId="0" borderId="17" xfId="0" applyFont="1" applyBorder="1" applyAlignment="1">
      <alignment horizontal="center"/>
    </xf>
    <xf numFmtId="0" fontId="19" fillId="0" borderId="17" xfId="0" applyFont="1" applyBorder="1"/>
    <xf numFmtId="0" fontId="19" fillId="0" borderId="28" xfId="0" applyFont="1" applyBorder="1"/>
    <xf numFmtId="166" fontId="19" fillId="0" borderId="26" xfId="0" applyNumberFormat="1" applyFont="1" applyBorder="1" applyAlignment="1">
      <alignment horizontal="center"/>
    </xf>
    <xf numFmtId="166" fontId="19" fillId="0" borderId="28" xfId="0" applyNumberFormat="1" applyFont="1" applyBorder="1" applyAlignment="1">
      <alignment horizontal="center"/>
    </xf>
    <xf numFmtId="0" fontId="15" fillId="0" borderId="0" xfId="0" applyFont="1" applyAlignment="1">
      <alignment horizontal="center" vertical="center" wrapText="1"/>
    </xf>
    <xf numFmtId="0" fontId="16" fillId="0" borderId="26" xfId="0" applyFont="1" applyBorder="1" applyAlignment="1">
      <alignment horizontal="center" wrapText="1"/>
    </xf>
    <xf numFmtId="0" fontId="19" fillId="0" borderId="17" xfId="0" applyFont="1" applyBorder="1" applyAlignment="1">
      <alignment horizontal="left"/>
    </xf>
    <xf numFmtId="167" fontId="19" fillId="0" borderId="0" xfId="0" applyNumberFormat="1" applyFont="1" applyAlignment="1">
      <alignment horizontal="center"/>
    </xf>
    <xf numFmtId="1" fontId="19" fillId="0" borderId="0" xfId="0" applyNumberFormat="1" applyFont="1" applyAlignment="1">
      <alignment horizontal="center"/>
    </xf>
    <xf numFmtId="0" fontId="0" fillId="0" borderId="23" xfId="0" applyBorder="1" applyAlignment="1">
      <alignment horizontal="center"/>
    </xf>
    <xf numFmtId="0" fontId="0" fillId="0" borderId="24" xfId="0" applyBorder="1" applyAlignment="1">
      <alignment horizontal="center"/>
    </xf>
    <xf numFmtId="166" fontId="19" fillId="0" borderId="17" xfId="0" applyNumberFormat="1" applyFont="1" applyBorder="1" applyAlignment="1">
      <alignment horizontal="center"/>
    </xf>
    <xf numFmtId="166" fontId="0" fillId="0" borderId="17" xfId="0" applyNumberFormat="1" applyBorder="1" applyAlignment="1">
      <alignment horizontal="center"/>
    </xf>
    <xf numFmtId="0" fontId="16" fillId="0" borderId="25" xfId="0" applyFont="1" applyBorder="1" applyAlignment="1">
      <alignment horizontal="center" vertical="center" wrapText="1"/>
    </xf>
    <xf numFmtId="10" fontId="0" fillId="0" borderId="0" xfId="0" applyNumberFormat="1"/>
    <xf numFmtId="3" fontId="0" fillId="0" borderId="0" xfId="0" applyNumberFormat="1" applyAlignment="1">
      <alignment horizontal="left" vertical="center"/>
    </xf>
    <xf numFmtId="168" fontId="0" fillId="0" borderId="0" xfId="0" applyNumberFormat="1" applyAlignment="1">
      <alignment horizontal="center" vertical="center"/>
    </xf>
    <xf numFmtId="3" fontId="0" fillId="0" borderId="0" xfId="0" applyNumberFormat="1" applyAlignment="1">
      <alignment horizontal="center" vertical="center"/>
    </xf>
    <xf numFmtId="171" fontId="0" fillId="0" borderId="0" xfId="0" applyNumberFormat="1" applyAlignment="1">
      <alignment horizontal="center"/>
    </xf>
    <xf numFmtId="0" fontId="0" fillId="0" borderId="25" xfId="0" applyBorder="1" applyAlignment="1">
      <alignment horizontal="left" vertical="center"/>
    </xf>
    <xf numFmtId="0" fontId="3" fillId="0" borderId="0" xfId="1" applyBorder="1" applyAlignment="1">
      <alignment horizontal="left" vertical="center" indent="1"/>
    </xf>
    <xf numFmtId="0" fontId="19" fillId="18" borderId="22" xfId="0" applyFont="1" applyFill="1" applyBorder="1" applyAlignment="1">
      <alignment horizontal="center" vertical="center"/>
    </xf>
    <xf numFmtId="167" fontId="0" fillId="0" borderId="0" xfId="0" applyNumberFormat="1" applyAlignment="1">
      <alignment horizontal="center"/>
    </xf>
    <xf numFmtId="0" fontId="16" fillId="0" borderId="25" xfId="0" applyFont="1" applyBorder="1" applyAlignment="1">
      <alignment wrapText="1"/>
    </xf>
    <xf numFmtId="172" fontId="0" fillId="0" borderId="0" xfId="0" applyNumberFormat="1" applyAlignment="1">
      <alignment horizontal="center"/>
    </xf>
    <xf numFmtId="0" fontId="19" fillId="0" borderId="25" xfId="0" applyFont="1" applyBorder="1" applyAlignment="1">
      <alignment vertical="center"/>
    </xf>
    <xf numFmtId="0" fontId="14" fillId="0" borderId="25" xfId="0" applyFont="1" applyBorder="1" applyAlignment="1">
      <alignment horizontal="left" vertical="center"/>
    </xf>
    <xf numFmtId="0" fontId="14" fillId="0" borderId="26" xfId="0" applyFont="1" applyBorder="1" applyAlignment="1">
      <alignment horizontal="left" vertical="center"/>
    </xf>
    <xf numFmtId="0" fontId="0" fillId="0" borderId="22" xfId="0" applyBorder="1" applyAlignment="1">
      <alignment horizontal="left" vertical="center"/>
    </xf>
    <xf numFmtId="0" fontId="0" fillId="0" borderId="25" xfId="0" applyBorder="1" applyAlignment="1">
      <alignment horizontal="left"/>
    </xf>
    <xf numFmtId="0" fontId="0" fillId="0" borderId="27" xfId="0" applyBorder="1" applyAlignment="1">
      <alignment horizontal="left"/>
    </xf>
    <xf numFmtId="2" fontId="0" fillId="0" borderId="24" xfId="0" applyNumberFormat="1" applyBorder="1" applyAlignment="1">
      <alignment horizontal="center"/>
    </xf>
    <xf numFmtId="2" fontId="0" fillId="0" borderId="28" xfId="0" applyNumberFormat="1" applyBorder="1" applyAlignment="1">
      <alignment horizontal="center"/>
    </xf>
    <xf numFmtId="0" fontId="20" fillId="18" borderId="0" xfId="0" applyFont="1" applyFill="1" applyAlignment="1">
      <alignment horizontal="center" vertical="center" wrapText="1"/>
    </xf>
    <xf numFmtId="0" fontId="0" fillId="18" borderId="0" xfId="0" applyFill="1"/>
    <xf numFmtId="0" fontId="16" fillId="0" borderId="0" xfId="0" applyFont="1" applyAlignment="1">
      <alignment horizontal="center" vertical="center"/>
    </xf>
    <xf numFmtId="170" fontId="0" fillId="0" borderId="0" xfId="0" applyNumberFormat="1"/>
    <xf numFmtId="0" fontId="0" fillId="0" borderId="22" xfId="0" applyBorder="1" applyAlignment="1">
      <alignment horizontal="center"/>
    </xf>
    <xf numFmtId="167" fontId="0" fillId="0" borderId="26" xfId="0" applyNumberFormat="1" applyBorder="1" applyAlignment="1">
      <alignment horizontal="center"/>
    </xf>
    <xf numFmtId="0" fontId="0" fillId="0" borderId="27" xfId="0" applyBorder="1" applyAlignment="1">
      <alignment horizontal="center"/>
    </xf>
    <xf numFmtId="167" fontId="0" fillId="7" borderId="0" xfId="0" applyNumberFormat="1" applyFill="1" applyAlignment="1">
      <alignment horizontal="center"/>
    </xf>
    <xf numFmtId="0" fontId="15" fillId="7" borderId="0" xfId="0" applyFont="1" applyFill="1" applyAlignment="1">
      <alignment horizontal="center" wrapText="1"/>
    </xf>
    <xf numFmtId="0" fontId="19" fillId="15" borderId="0" xfId="0" applyFont="1" applyFill="1" applyAlignment="1">
      <alignment horizontal="center" vertical="center"/>
    </xf>
    <xf numFmtId="167" fontId="0" fillId="15" borderId="0" xfId="0" applyNumberFormat="1" applyFill="1" applyAlignment="1">
      <alignment horizontal="center"/>
    </xf>
    <xf numFmtId="0" fontId="16" fillId="12" borderId="0" xfId="0" applyFont="1" applyFill="1" applyAlignment="1">
      <alignment horizontal="center" vertical="center" wrapText="1"/>
    </xf>
    <xf numFmtId="167" fontId="0" fillId="12" borderId="0" xfId="0" applyNumberFormat="1" applyFill="1" applyAlignment="1">
      <alignment horizontal="center"/>
    </xf>
    <xf numFmtId="0" fontId="0" fillId="0" borderId="0" xfId="0" applyAlignment="1">
      <alignment wrapText="1"/>
    </xf>
    <xf numFmtId="0" fontId="14" fillId="0" borderId="1" xfId="0" applyFont="1" applyBorder="1" applyAlignment="1">
      <alignment horizontal="center" vertical="top"/>
    </xf>
    <xf numFmtId="0" fontId="14" fillId="0" borderId="1" xfId="0" applyFont="1" applyBorder="1" applyAlignment="1">
      <alignment horizontal="left" vertical="top"/>
    </xf>
    <xf numFmtId="0" fontId="0" fillId="0" borderId="22" xfId="0" applyBorder="1"/>
    <xf numFmtId="10" fontId="0" fillId="0" borderId="0" xfId="0" applyNumberFormat="1" applyAlignment="1">
      <alignment horizontal="left"/>
    </xf>
    <xf numFmtId="0" fontId="0" fillId="8" borderId="0" xfId="0" applyFill="1" applyAlignment="1">
      <alignment horizontal="center"/>
    </xf>
    <xf numFmtId="0" fontId="0" fillId="8" borderId="0" xfId="0" applyFill="1" applyAlignment="1">
      <alignment horizontal="left"/>
    </xf>
    <xf numFmtId="0" fontId="14" fillId="0" borderId="0" xfId="0" applyFont="1" applyAlignment="1">
      <alignment horizontal="left" vertical="center"/>
    </xf>
    <xf numFmtId="173" fontId="0" fillId="0" borderId="0" xfId="0" applyNumberFormat="1" applyAlignment="1">
      <alignment horizontal="center"/>
    </xf>
    <xf numFmtId="164" fontId="0" fillId="3" borderId="26" xfId="0" applyNumberFormat="1" applyFill="1" applyBorder="1" applyAlignment="1">
      <alignment horizontal="center"/>
    </xf>
    <xf numFmtId="0" fontId="21" fillId="19" borderId="29" xfId="0" applyFont="1" applyFill="1" applyBorder="1"/>
    <xf numFmtId="0" fontId="21" fillId="19" borderId="30" xfId="0" applyFont="1" applyFill="1" applyBorder="1" applyAlignment="1">
      <alignment horizontal="center"/>
    </xf>
    <xf numFmtId="0" fontId="21" fillId="19" borderId="31" xfId="0" applyFont="1" applyFill="1" applyBorder="1" applyAlignment="1">
      <alignment horizontal="center"/>
    </xf>
    <xf numFmtId="166" fontId="0" fillId="10" borderId="30" xfId="0" applyNumberFormat="1" applyFill="1" applyBorder="1" applyAlignment="1">
      <alignment horizontal="center"/>
    </xf>
    <xf numFmtId="166" fontId="0" fillId="10" borderId="31" xfId="0" applyNumberFormat="1" applyFill="1" applyBorder="1" applyAlignment="1">
      <alignment horizontal="center"/>
    </xf>
    <xf numFmtId="1" fontId="0" fillId="0" borderId="0" xfId="0" applyNumberFormat="1" applyAlignment="1">
      <alignment horizontal="center" wrapText="1"/>
    </xf>
    <xf numFmtId="167" fontId="0" fillId="0" borderId="0" xfId="0" applyNumberFormat="1" applyAlignment="1">
      <alignment horizontal="left" vertical="center"/>
    </xf>
    <xf numFmtId="172" fontId="0" fillId="0" borderId="0" xfId="0" applyNumberFormat="1" applyAlignment="1">
      <alignment horizontal="left"/>
    </xf>
    <xf numFmtId="1" fontId="0" fillId="0" borderId="0" xfId="0" applyNumberFormat="1" applyAlignment="1">
      <alignment horizontal="left"/>
    </xf>
    <xf numFmtId="1" fontId="0" fillId="0" borderId="0" xfId="0" applyNumberFormat="1" applyAlignment="1">
      <alignment horizontal="center" vertical="center"/>
    </xf>
    <xf numFmtId="0" fontId="19" fillId="18" borderId="0" xfId="0" applyFont="1" applyFill="1" applyAlignment="1">
      <alignment horizontal="center" vertical="center" wrapText="1"/>
    </xf>
    <xf numFmtId="1" fontId="0" fillId="21" borderId="0" xfId="0" applyNumberFormat="1" applyFill="1" applyAlignment="1">
      <alignment horizontal="center" vertical="center" wrapText="1"/>
    </xf>
    <xf numFmtId="1" fontId="0" fillId="0" borderId="0" xfId="0" applyNumberFormat="1"/>
    <xf numFmtId="0" fontId="16" fillId="0" borderId="0" xfId="0" applyFont="1" applyAlignment="1">
      <alignment horizontal="left"/>
    </xf>
    <xf numFmtId="0" fontId="19" fillId="0" borderId="0" xfId="0" applyFont="1" applyAlignment="1">
      <alignment horizontal="center" wrapText="1"/>
    </xf>
    <xf numFmtId="9" fontId="0" fillId="0" borderId="0" xfId="0" applyNumberFormat="1" applyAlignment="1">
      <alignment horizontal="center" vertical="center"/>
    </xf>
    <xf numFmtId="0" fontId="19" fillId="0" borderId="0" xfId="0" applyFont="1" applyAlignment="1">
      <alignment vertical="center" wrapText="1"/>
    </xf>
    <xf numFmtId="166" fontId="0" fillId="11" borderId="0" xfId="0" applyNumberFormat="1" applyFill="1" applyAlignment="1">
      <alignment horizontal="center"/>
    </xf>
    <xf numFmtId="167" fontId="0" fillId="0" borderId="0" xfId="0" applyNumberFormat="1" applyAlignment="1">
      <alignment horizontal="center" vertical="center" wrapText="1"/>
    </xf>
    <xf numFmtId="0" fontId="23" fillId="18" borderId="0" xfId="0" applyFont="1" applyFill="1" applyAlignment="1">
      <alignment horizontal="center" vertical="center" wrapText="1"/>
    </xf>
    <xf numFmtId="166" fontId="0" fillId="7" borderId="0" xfId="0" applyNumberFormat="1" applyFill="1" applyAlignment="1">
      <alignment horizontal="center"/>
    </xf>
    <xf numFmtId="1" fontId="22" fillId="0" borderId="0" xfId="0" applyNumberFormat="1" applyFont="1" applyAlignment="1">
      <alignment horizontal="center"/>
    </xf>
    <xf numFmtId="0" fontId="22" fillId="0" borderId="0" xfId="0" applyFont="1"/>
    <xf numFmtId="9" fontId="22" fillId="0" borderId="0" xfId="0" applyNumberFormat="1" applyFont="1" applyAlignment="1">
      <alignment horizontal="center" wrapText="1"/>
    </xf>
    <xf numFmtId="1" fontId="0" fillId="0" borderId="0" xfId="0" applyNumberFormat="1" applyAlignment="1">
      <alignment horizontal="center" vertical="center" wrapText="1"/>
    </xf>
    <xf numFmtId="0" fontId="0" fillId="20" borderId="0" xfId="0" applyFill="1" applyAlignment="1">
      <alignment wrapText="1"/>
    </xf>
    <xf numFmtId="0" fontId="14" fillId="13" borderId="0" xfId="0" applyFont="1" applyFill="1" applyAlignment="1">
      <alignment horizontal="left" vertical="center"/>
    </xf>
    <xf numFmtId="2" fontId="20" fillId="18" borderId="0" xfId="0" applyNumberFormat="1" applyFont="1" applyFill="1" applyAlignment="1">
      <alignment horizontal="center" vertical="center" wrapText="1"/>
    </xf>
    <xf numFmtId="0" fontId="19" fillId="18" borderId="0" xfId="0" applyFont="1" applyFill="1"/>
    <xf numFmtId="168" fontId="0" fillId="0" borderId="0" xfId="0" applyNumberFormat="1" applyAlignment="1">
      <alignment horizontal="center"/>
    </xf>
    <xf numFmtId="9" fontId="0" fillId="0" borderId="0" xfId="0" applyNumberFormat="1"/>
    <xf numFmtId="0" fontId="20" fillId="0" borderId="0" xfId="0" applyFont="1" applyAlignment="1">
      <alignment horizontal="center" vertical="center" wrapText="1"/>
    </xf>
    <xf numFmtId="2" fontId="20" fillId="0" borderId="0" xfId="0" applyNumberFormat="1" applyFont="1" applyAlignment="1">
      <alignment horizontal="center" vertical="center" wrapText="1"/>
    </xf>
    <xf numFmtId="0" fontId="20" fillId="0" borderId="0" xfId="0" applyFont="1" applyAlignment="1">
      <alignment vertical="center" wrapText="1"/>
    </xf>
    <xf numFmtId="0" fontId="0" fillId="18" borderId="0" xfId="0" applyFill="1" applyAlignment="1">
      <alignment horizontal="left"/>
    </xf>
    <xf numFmtId="2" fontId="0" fillId="13" borderId="0" xfId="0" applyNumberFormat="1" applyFill="1" applyAlignment="1">
      <alignment horizontal="left" vertical="top" wrapText="1"/>
    </xf>
    <xf numFmtId="0" fontId="0" fillId="13" borderId="0" xfId="0" applyFill="1" applyAlignment="1">
      <alignment horizontal="center" vertical="center"/>
    </xf>
    <xf numFmtId="2" fontId="0" fillId="13" borderId="0" xfId="0" applyNumberFormat="1" applyFill="1" applyAlignment="1">
      <alignment horizontal="center" vertical="center" wrapText="1"/>
    </xf>
    <xf numFmtId="0" fontId="3" fillId="13" borderId="0" xfId="1" applyFill="1" applyBorder="1" applyAlignment="1">
      <alignment horizontal="left"/>
    </xf>
    <xf numFmtId="2" fontId="0" fillId="13" borderId="0" xfId="0" applyNumberFormat="1" applyFill="1" applyAlignment="1">
      <alignment horizontal="left" vertical="center" wrapText="1"/>
    </xf>
    <xf numFmtId="0" fontId="3" fillId="13" borderId="0" xfId="1" applyFill="1" applyBorder="1" applyAlignment="1">
      <alignment horizontal="left" vertical="center" wrapText="1"/>
    </xf>
    <xf numFmtId="171" fontId="0" fillId="13" borderId="0" xfId="0" applyNumberFormat="1" applyFill="1" applyAlignment="1">
      <alignment horizontal="left"/>
    </xf>
    <xf numFmtId="0" fontId="0" fillId="13" borderId="0" xfId="0" applyFill="1" applyAlignment="1">
      <alignment horizontal="left"/>
    </xf>
    <xf numFmtId="2" fontId="0" fillId="13" borderId="0" xfId="0" applyNumberFormat="1" applyFill="1" applyAlignment="1">
      <alignment horizontal="center"/>
    </xf>
    <xf numFmtId="171" fontId="0" fillId="13" borderId="0" xfId="0" applyNumberFormat="1" applyFill="1" applyAlignment="1">
      <alignment horizontal="left" vertical="center"/>
    </xf>
    <xf numFmtId="0" fontId="3" fillId="13" borderId="0" xfId="1" applyFill="1" applyBorder="1" applyAlignment="1">
      <alignment vertical="center" wrapText="1"/>
    </xf>
    <xf numFmtId="2" fontId="0" fillId="13" borderId="0" xfId="0" applyNumberFormat="1" applyFill="1" applyAlignment="1">
      <alignment horizontal="center" vertical="center"/>
    </xf>
    <xf numFmtId="0" fontId="3" fillId="13" borderId="0" xfId="1" applyFill="1" applyBorder="1"/>
    <xf numFmtId="166" fontId="0" fillId="13" borderId="0" xfId="0" applyNumberFormat="1" applyFill="1" applyAlignment="1">
      <alignment horizontal="center" vertical="center"/>
    </xf>
    <xf numFmtId="168" fontId="0" fillId="13" borderId="0" xfId="0" applyNumberFormat="1" applyFill="1" applyAlignment="1">
      <alignment horizontal="center" vertical="center"/>
    </xf>
    <xf numFmtId="166" fontId="0" fillId="13" borderId="0" xfId="0" applyNumberFormat="1" applyFill="1" applyAlignment="1">
      <alignment horizontal="center"/>
    </xf>
    <xf numFmtId="169" fontId="0" fillId="13" borderId="0" xfId="0" applyNumberFormat="1" applyFill="1"/>
    <xf numFmtId="166" fontId="0" fillId="13" borderId="0" xfId="0" applyNumberFormat="1" applyFill="1" applyAlignment="1">
      <alignment horizontal="left" vertical="center"/>
    </xf>
    <xf numFmtId="1" fontId="0" fillId="13" borderId="0" xfId="0" applyNumberFormat="1" applyFill="1" applyAlignment="1">
      <alignment horizontal="center" vertical="center"/>
    </xf>
    <xf numFmtId="9" fontId="0" fillId="13" borderId="0" xfId="0" applyNumberFormat="1" applyFill="1" applyAlignment="1">
      <alignment horizontal="left" vertical="center"/>
    </xf>
    <xf numFmtId="0" fontId="3" fillId="13" borderId="0" xfId="1" applyFill="1" applyBorder="1" applyAlignment="1">
      <alignment horizontal="left" vertical="center" indent="1"/>
    </xf>
    <xf numFmtId="168" fontId="0" fillId="13" borderId="0" xfId="0" applyNumberFormat="1" applyFill="1" applyAlignment="1">
      <alignment horizontal="left" vertical="center"/>
    </xf>
    <xf numFmtId="167" fontId="0" fillId="13" borderId="0" xfId="0" applyNumberFormat="1" applyFill="1" applyAlignment="1">
      <alignment horizontal="center" vertical="center"/>
    </xf>
    <xf numFmtId="2" fontId="0" fillId="13" borderId="0" xfId="0" applyNumberFormat="1" applyFill="1" applyAlignment="1">
      <alignment horizontal="left" vertical="center"/>
    </xf>
    <xf numFmtId="0" fontId="3" fillId="13" borderId="0" xfId="1" applyFill="1" applyBorder="1" applyAlignment="1">
      <alignment horizontal="left" vertical="center" wrapText="1" indent="1"/>
    </xf>
    <xf numFmtId="0" fontId="0" fillId="13" borderId="0" xfId="0" applyFill="1" applyAlignment="1">
      <alignment horizontal="left" vertical="center"/>
    </xf>
    <xf numFmtId="167" fontId="0" fillId="13" borderId="0" xfId="0" applyNumberFormat="1" applyFill="1" applyAlignment="1">
      <alignment horizontal="left" vertical="center"/>
    </xf>
    <xf numFmtId="172" fontId="0" fillId="13" borderId="0" xfId="0" applyNumberFormat="1" applyFill="1" applyAlignment="1">
      <alignment horizontal="left"/>
    </xf>
    <xf numFmtId="3" fontId="0" fillId="13" borderId="0" xfId="0" applyNumberFormat="1" applyFill="1" applyAlignment="1">
      <alignment horizontal="left"/>
    </xf>
    <xf numFmtId="174" fontId="0" fillId="13" borderId="0" xfId="0" applyNumberFormat="1" applyFill="1" applyAlignment="1">
      <alignment horizontal="left"/>
    </xf>
    <xf numFmtId="9" fontId="0" fillId="13" borderId="0" xfId="0" applyNumberFormat="1" applyFill="1" applyAlignment="1">
      <alignment horizontal="left"/>
    </xf>
    <xf numFmtId="10" fontId="0" fillId="13" borderId="0" xfId="0" applyNumberFormat="1" applyFill="1" applyAlignment="1">
      <alignment horizontal="left"/>
    </xf>
    <xf numFmtId="0" fontId="19" fillId="13" borderId="0" xfId="0" applyFont="1" applyFill="1" applyAlignment="1">
      <alignment horizontal="left"/>
    </xf>
    <xf numFmtId="0" fontId="19" fillId="13" borderId="0" xfId="0" applyFont="1" applyFill="1" applyAlignment="1">
      <alignment horizontal="center"/>
    </xf>
    <xf numFmtId="0" fontId="19" fillId="13" borderId="17" xfId="0" applyFont="1" applyFill="1" applyBorder="1" applyAlignment="1">
      <alignment horizontal="left"/>
    </xf>
    <xf numFmtId="0" fontId="19" fillId="13" borderId="17" xfId="0" applyFont="1" applyFill="1" applyBorder="1" applyAlignment="1">
      <alignment horizontal="center"/>
    </xf>
    <xf numFmtId="167" fontId="0" fillId="13" borderId="0" xfId="0" applyNumberFormat="1" applyFill="1" applyAlignment="1">
      <alignment horizontal="center"/>
    </xf>
    <xf numFmtId="0" fontId="20" fillId="0" borderId="0" xfId="0" applyFont="1" applyAlignment="1">
      <alignment horizontal="left" vertical="center" wrapText="1"/>
    </xf>
    <xf numFmtId="166" fontId="0" fillId="13" borderId="0" xfId="0" applyNumberFormat="1" applyFill="1" applyAlignment="1">
      <alignment horizontal="left"/>
    </xf>
    <xf numFmtId="2" fontId="0" fillId="0" borderId="0" xfId="0" applyNumberFormat="1" applyAlignment="1">
      <alignment horizontal="left"/>
    </xf>
    <xf numFmtId="164" fontId="0" fillId="0" borderId="27" xfId="0" applyNumberFormat="1" applyBorder="1" applyAlignment="1">
      <alignment horizontal="center"/>
    </xf>
    <xf numFmtId="164" fontId="0" fillId="0" borderId="33" xfId="0" applyNumberFormat="1" applyBorder="1" applyAlignment="1">
      <alignment horizontal="center"/>
    </xf>
    <xf numFmtId="164" fontId="0" fillId="0" borderId="34" xfId="0" applyNumberFormat="1" applyBorder="1" applyAlignment="1">
      <alignment horizontal="center"/>
    </xf>
    <xf numFmtId="0" fontId="14" fillId="3" borderId="32" xfId="0" applyFont="1" applyFill="1" applyBorder="1" applyAlignment="1">
      <alignment horizontal="left" vertical="center" wrapText="1"/>
    </xf>
    <xf numFmtId="0" fontId="0" fillId="0" borderId="33" xfId="0" applyBorder="1" applyAlignment="1">
      <alignment horizontal="center" vertical="center" wrapText="1"/>
    </xf>
    <xf numFmtId="165" fontId="0" fillId="0" borderId="17" xfId="0" applyNumberFormat="1" applyBorder="1"/>
    <xf numFmtId="165" fontId="0" fillId="0" borderId="28" xfId="0" applyNumberFormat="1" applyBorder="1"/>
    <xf numFmtId="175" fontId="0" fillId="0" borderId="0" xfId="0" applyNumberFormat="1" applyAlignment="1">
      <alignment horizontal="center"/>
    </xf>
    <xf numFmtId="0" fontId="0" fillId="18" borderId="0" xfId="0" applyFill="1" applyAlignment="1">
      <alignment horizontal="left" vertical="center" wrapText="1"/>
    </xf>
    <xf numFmtId="0" fontId="0" fillId="0" borderId="0" xfId="0" applyAlignment="1">
      <alignment horizontal="left" vertical="center" wrapText="1"/>
    </xf>
    <xf numFmtId="0" fontId="14" fillId="13" borderId="0" xfId="0" applyFont="1" applyFill="1" applyAlignment="1">
      <alignment horizontal="left"/>
    </xf>
    <xf numFmtId="0" fontId="0" fillId="10" borderId="0" xfId="0" applyFill="1" applyAlignment="1">
      <alignment horizontal="left" vertical="top" wrapText="1"/>
    </xf>
    <xf numFmtId="0" fontId="0" fillId="0" borderId="0" xfId="0" applyAlignment="1">
      <alignment horizontal="left" vertical="top" wrapText="1"/>
    </xf>
    <xf numFmtId="0" fontId="14" fillId="13" borderId="0" xfId="0" applyFont="1" applyFill="1" applyAlignment="1">
      <alignment horizontal="left" vertical="top" wrapText="1"/>
    </xf>
    <xf numFmtId="0" fontId="0" fillId="0" borderId="0" xfId="0" applyAlignment="1">
      <alignment horizontal="left" wrapText="1"/>
    </xf>
    <xf numFmtId="172" fontId="0" fillId="22" borderId="0" xfId="0" applyNumberFormat="1" applyFill="1" applyAlignment="1">
      <alignment horizontal="left"/>
    </xf>
    <xf numFmtId="0" fontId="0" fillId="22" borderId="0" xfId="0" applyFill="1" applyAlignment="1">
      <alignment horizontal="left"/>
    </xf>
    <xf numFmtId="0" fontId="0" fillId="22" borderId="0" xfId="0" applyFill="1" applyAlignment="1">
      <alignment horizontal="center"/>
    </xf>
    <xf numFmtId="172" fontId="0" fillId="22" borderId="0" xfId="0" applyNumberFormat="1" applyFill="1" applyAlignment="1">
      <alignment horizontal="center"/>
    </xf>
    <xf numFmtId="0" fontId="0" fillId="22" borderId="0" xfId="0" applyFill="1"/>
    <xf numFmtId="10" fontId="0" fillId="22" borderId="0" xfId="0" applyNumberFormat="1" applyFill="1" applyAlignment="1">
      <alignment horizontal="left"/>
    </xf>
    <xf numFmtId="171" fontId="0" fillId="22" borderId="0" xfId="0" applyNumberFormat="1" applyFill="1" applyAlignment="1">
      <alignment horizontal="left" vertical="center"/>
    </xf>
    <xf numFmtId="171" fontId="0" fillId="22" borderId="0" xfId="0" applyNumberFormat="1" applyFill="1" applyAlignment="1">
      <alignment horizontal="center" vertical="center"/>
    </xf>
    <xf numFmtId="171" fontId="0" fillId="0" borderId="0" xfId="0" applyNumberFormat="1" applyAlignment="1">
      <alignment horizontal="left" vertical="center"/>
    </xf>
    <xf numFmtId="0" fontId="16" fillId="0" borderId="0" xfId="0" applyFont="1"/>
    <xf numFmtId="0" fontId="16" fillId="24" borderId="0" xfId="0" applyFont="1" applyFill="1"/>
    <xf numFmtId="0" fontId="20" fillId="24" borderId="0" xfId="0" applyFont="1" applyFill="1" applyAlignment="1">
      <alignment horizontal="center"/>
    </xf>
    <xf numFmtId="0" fontId="20" fillId="24" borderId="0" xfId="0" applyFont="1" applyFill="1"/>
    <xf numFmtId="0" fontId="20" fillId="17" borderId="0" xfId="0" applyFont="1" applyFill="1" applyAlignment="1">
      <alignment horizontal="center" vertical="center" wrapText="1"/>
    </xf>
    <xf numFmtId="166" fontId="16" fillId="0" borderId="0" xfId="0" applyNumberFormat="1" applyFont="1" applyAlignment="1">
      <alignment horizontal="center"/>
    </xf>
    <xf numFmtId="10" fontId="16" fillId="0" borderId="0" xfId="0" applyNumberFormat="1" applyFont="1" applyAlignment="1">
      <alignment horizontal="center"/>
    </xf>
    <xf numFmtId="176" fontId="16" fillId="0" borderId="0" xfId="0" applyNumberFormat="1" applyFont="1" applyAlignment="1">
      <alignment horizontal="center"/>
    </xf>
    <xf numFmtId="0" fontId="16" fillId="24" borderId="0" xfId="0" applyFont="1" applyFill="1" applyAlignment="1">
      <alignment horizontal="center"/>
    </xf>
    <xf numFmtId="0" fontId="16" fillId="0" borderId="0" xfId="0" applyFont="1" applyAlignment="1">
      <alignment horizontal="center"/>
    </xf>
    <xf numFmtId="171" fontId="16" fillId="0" borderId="0" xfId="0" applyNumberFormat="1" applyFont="1" applyAlignment="1">
      <alignment horizontal="center"/>
    </xf>
    <xf numFmtId="2" fontId="16" fillId="0" borderId="0" xfId="0" applyNumberFormat="1" applyFont="1" applyAlignment="1">
      <alignment horizontal="center"/>
    </xf>
    <xf numFmtId="166" fontId="16" fillId="0" borderId="0" xfId="0" applyNumberFormat="1" applyFont="1"/>
    <xf numFmtId="2" fontId="16" fillId="0" borderId="0" xfId="0" applyNumberFormat="1" applyFont="1"/>
    <xf numFmtId="0" fontId="16" fillId="14" borderId="0" xfId="0" applyFont="1" applyFill="1"/>
    <xf numFmtId="0" fontId="16" fillId="14" borderId="0" xfId="0" applyFont="1" applyFill="1" applyAlignment="1">
      <alignment horizontal="center"/>
    </xf>
    <xf numFmtId="0" fontId="20" fillId="14" borderId="0" xfId="0" applyFont="1" applyFill="1" applyAlignment="1">
      <alignment horizontal="center"/>
    </xf>
    <xf numFmtId="1" fontId="16" fillId="14" borderId="0" xfId="0" applyNumberFormat="1" applyFont="1" applyFill="1" applyAlignment="1">
      <alignment horizontal="center"/>
    </xf>
    <xf numFmtId="166" fontId="16" fillId="14" borderId="0" xfId="0" applyNumberFormat="1" applyFont="1" applyFill="1" applyAlignment="1">
      <alignment horizontal="center"/>
    </xf>
    <xf numFmtId="172" fontId="16" fillId="20" borderId="0" xfId="0" applyNumberFormat="1" applyFont="1" applyFill="1" applyAlignment="1">
      <alignment horizontal="center"/>
    </xf>
    <xf numFmtId="0" fontId="16" fillId="0" borderId="0" xfId="0" applyFont="1" applyAlignment="1">
      <alignment horizontal="left" vertical="center" wrapText="1"/>
    </xf>
    <xf numFmtId="0" fontId="17" fillId="0" borderId="0" xfId="0" applyFont="1" applyAlignment="1">
      <alignment horizontal="center" vertical="center" wrapText="1"/>
    </xf>
    <xf numFmtId="172" fontId="16" fillId="0" borderId="0" xfId="0" applyNumberFormat="1" applyFont="1" applyAlignment="1">
      <alignment horizontal="center"/>
    </xf>
    <xf numFmtId="0" fontId="20" fillId="0" borderId="0" xfId="0" applyFont="1" applyAlignment="1">
      <alignment horizontal="left"/>
    </xf>
    <xf numFmtId="0" fontId="20" fillId="0" borderId="0" xfId="0" applyFont="1"/>
    <xf numFmtId="0" fontId="20" fillId="0" borderId="0" xfId="0" applyFont="1" applyAlignment="1">
      <alignment horizontal="center"/>
    </xf>
    <xf numFmtId="2" fontId="16" fillId="24" borderId="0" xfId="0" applyNumberFormat="1" applyFont="1" applyFill="1" applyAlignment="1">
      <alignment horizontal="center"/>
    </xf>
    <xf numFmtId="172" fontId="16" fillId="24" borderId="0" xfId="0" applyNumberFormat="1" applyFont="1" applyFill="1" applyAlignment="1">
      <alignment horizontal="center"/>
    </xf>
    <xf numFmtId="2" fontId="16" fillId="20" borderId="0" xfId="0" applyNumberFormat="1" applyFont="1" applyFill="1"/>
    <xf numFmtId="167" fontId="0" fillId="21" borderId="0" xfId="0" applyNumberFormat="1" applyFill="1" applyAlignment="1">
      <alignment horizontal="center" vertical="center" wrapText="1"/>
    </xf>
    <xf numFmtId="167" fontId="16" fillId="0" borderId="0" xfId="0" applyNumberFormat="1" applyFont="1" applyAlignment="1">
      <alignment horizontal="center"/>
    </xf>
    <xf numFmtId="166" fontId="16" fillId="18" borderId="0" xfId="0" applyNumberFormat="1" applyFont="1" applyFill="1" applyAlignment="1">
      <alignment horizontal="center"/>
    </xf>
    <xf numFmtId="169" fontId="0" fillId="0" borderId="0" xfId="0" applyNumberFormat="1" applyAlignment="1">
      <alignment horizontal="center"/>
    </xf>
    <xf numFmtId="175" fontId="0" fillId="0" borderId="0" xfId="0" applyNumberFormat="1"/>
    <xf numFmtId="0" fontId="16" fillId="24" borderId="1" xfId="0" applyFont="1" applyFill="1" applyBorder="1"/>
    <xf numFmtId="0" fontId="16" fillId="24" borderId="1" xfId="0" applyFont="1" applyFill="1" applyBorder="1" applyAlignment="1">
      <alignment horizontal="center"/>
    </xf>
    <xf numFmtId="0" fontId="16" fillId="0" borderId="5" xfId="0" applyFont="1" applyBorder="1"/>
    <xf numFmtId="9" fontId="16" fillId="0" borderId="0" xfId="0" applyNumberFormat="1" applyFont="1" applyAlignment="1">
      <alignment horizontal="center"/>
    </xf>
    <xf numFmtId="9" fontId="16" fillId="18" borderId="26" xfId="0" applyNumberFormat="1" applyFont="1" applyFill="1" applyBorder="1" applyAlignment="1">
      <alignment horizontal="center"/>
    </xf>
    <xf numFmtId="0" fontId="16" fillId="0" borderId="7" xfId="0" applyFont="1" applyBorder="1"/>
    <xf numFmtId="9" fontId="16" fillId="0" borderId="8" xfId="0" applyNumberFormat="1" applyFont="1" applyBorder="1" applyAlignment="1">
      <alignment horizontal="center"/>
    </xf>
    <xf numFmtId="0" fontId="16" fillId="0" borderId="8" xfId="0" applyFont="1" applyBorder="1"/>
    <xf numFmtId="9" fontId="16" fillId="0" borderId="9" xfId="0" applyNumberFormat="1" applyFont="1" applyBorder="1" applyAlignment="1">
      <alignment horizontal="center"/>
    </xf>
    <xf numFmtId="0" fontId="16" fillId="0" borderId="25" xfId="0" applyFont="1" applyBorder="1"/>
    <xf numFmtId="0" fontId="16" fillId="0" borderId="27" xfId="0" applyFont="1" applyBorder="1"/>
    <xf numFmtId="10" fontId="16" fillId="0" borderId="17" xfId="0" applyNumberFormat="1" applyFont="1" applyBorder="1" applyAlignment="1">
      <alignment horizontal="center"/>
    </xf>
    <xf numFmtId="0" fontId="16" fillId="0" borderId="17" xfId="0" applyFont="1" applyBorder="1"/>
    <xf numFmtId="0" fontId="16" fillId="0" borderId="28" xfId="0" applyFont="1" applyBorder="1"/>
    <xf numFmtId="0" fontId="16" fillId="3" borderId="25" xfId="0" applyFont="1" applyFill="1" applyBorder="1" applyAlignment="1">
      <alignment horizontal="left"/>
    </xf>
    <xf numFmtId="0" fontId="16" fillId="3" borderId="0" xfId="0" applyFont="1" applyFill="1" applyAlignment="1">
      <alignment horizontal="center"/>
    </xf>
    <xf numFmtId="0" fontId="16" fillId="3" borderId="26" xfId="0" applyFont="1" applyFill="1" applyBorder="1" applyAlignment="1">
      <alignment horizontal="center"/>
    </xf>
    <xf numFmtId="10" fontId="16" fillId="0" borderId="25" xfId="0" applyNumberFormat="1" applyFont="1" applyBorder="1" applyAlignment="1">
      <alignment horizontal="center"/>
    </xf>
    <xf numFmtId="9" fontId="16" fillId="18" borderId="0" xfId="0" applyNumberFormat="1" applyFont="1" applyFill="1" applyAlignment="1">
      <alignment horizontal="center"/>
    </xf>
    <xf numFmtId="9" fontId="16" fillId="0" borderId="26" xfId="0" applyNumberFormat="1" applyFont="1" applyBorder="1" applyAlignment="1">
      <alignment horizontal="center"/>
    </xf>
    <xf numFmtId="10" fontId="16" fillId="0" borderId="26" xfId="0" applyNumberFormat="1" applyFont="1" applyBorder="1" applyAlignment="1">
      <alignment horizontal="center"/>
    </xf>
    <xf numFmtId="0" fontId="16" fillId="0" borderId="17" xfId="0" applyFont="1" applyBorder="1" applyAlignment="1">
      <alignment horizontal="center"/>
    </xf>
    <xf numFmtId="9" fontId="16" fillId="0" borderId="17" xfId="0" applyNumberFormat="1" applyFont="1" applyBorder="1" applyAlignment="1">
      <alignment horizontal="center"/>
    </xf>
    <xf numFmtId="10" fontId="16" fillId="0" borderId="28" xfId="0" applyNumberFormat="1" applyFont="1" applyBorder="1" applyAlignment="1">
      <alignment horizontal="center"/>
    </xf>
    <xf numFmtId="0" fontId="16" fillId="18" borderId="26" xfId="0" applyFont="1" applyFill="1" applyBorder="1" applyAlignment="1">
      <alignment horizontal="center"/>
    </xf>
    <xf numFmtId="0" fontId="16" fillId="0" borderId="26" xfId="0" applyFont="1" applyBorder="1"/>
    <xf numFmtId="166" fontId="16" fillId="18" borderId="26" xfId="0" applyNumberFormat="1" applyFont="1" applyFill="1" applyBorder="1" applyAlignment="1">
      <alignment horizontal="center"/>
    </xf>
    <xf numFmtId="166" fontId="16" fillId="0" borderId="17" xfId="0" applyNumberFormat="1" applyFont="1" applyBorder="1" applyAlignment="1">
      <alignment horizontal="center"/>
    </xf>
    <xf numFmtId="0" fontId="16" fillId="0" borderId="25" xfId="0" applyFont="1" applyBorder="1" applyAlignment="1">
      <alignment horizontal="center"/>
    </xf>
    <xf numFmtId="0" fontId="16" fillId="18" borderId="0" xfId="0" applyFont="1" applyFill="1" applyAlignment="1">
      <alignment horizontal="center"/>
    </xf>
    <xf numFmtId="0" fontId="16" fillId="0" borderId="26" xfId="0" applyFont="1" applyBorder="1" applyAlignment="1">
      <alignment horizontal="center"/>
    </xf>
    <xf numFmtId="0" fontId="16" fillId="0" borderId="27" xfId="0" applyFont="1" applyBorder="1" applyAlignment="1">
      <alignment horizontal="center"/>
    </xf>
    <xf numFmtId="0" fontId="16" fillId="0" borderId="28" xfId="0" applyFont="1" applyBorder="1" applyAlignment="1">
      <alignment horizontal="center"/>
    </xf>
    <xf numFmtId="172" fontId="16" fillId="18" borderId="26" xfId="0" applyNumberFormat="1" applyFont="1" applyFill="1" applyBorder="1" applyAlignment="1">
      <alignment horizontal="center"/>
    </xf>
    <xf numFmtId="172" fontId="16" fillId="0" borderId="17" xfId="0" applyNumberFormat="1" applyFont="1" applyBorder="1" applyAlignment="1">
      <alignment horizontal="center"/>
    </xf>
    <xf numFmtId="172" fontId="16" fillId="0" borderId="28" xfId="0" applyNumberFormat="1" applyFont="1" applyBorder="1" applyAlignment="1">
      <alignment horizontal="center"/>
    </xf>
    <xf numFmtId="10" fontId="16" fillId="18" borderId="2" xfId="0" applyNumberFormat="1" applyFont="1" applyFill="1" applyBorder="1" applyAlignment="1">
      <alignment horizontal="center" vertical="center" wrapText="1"/>
    </xf>
    <xf numFmtId="166" fontId="16" fillId="14" borderId="0" xfId="0" applyNumberFormat="1" applyFont="1" applyFill="1"/>
    <xf numFmtId="0" fontId="16" fillId="25" borderId="0" xfId="0" applyFont="1" applyFill="1"/>
    <xf numFmtId="2" fontId="16" fillId="25" borderId="0" xfId="0" applyNumberFormat="1" applyFont="1" applyFill="1"/>
    <xf numFmtId="0" fontId="15" fillId="24" borderId="0" xfId="0" applyFont="1" applyFill="1" applyAlignment="1">
      <alignment vertical="center" wrapText="1"/>
    </xf>
    <xf numFmtId="0" fontId="24" fillId="24" borderId="0" xfId="0" applyFont="1" applyFill="1" applyAlignment="1">
      <alignment horizontal="center" vertical="center" wrapText="1"/>
    </xf>
    <xf numFmtId="0" fontId="24" fillId="24" borderId="1" xfId="0" applyFont="1" applyFill="1" applyBorder="1" applyAlignment="1">
      <alignment horizontal="center" vertical="center" wrapText="1"/>
    </xf>
    <xf numFmtId="0" fontId="24" fillId="14" borderId="0" xfId="0" applyFont="1" applyFill="1" applyAlignment="1">
      <alignment horizontal="center" vertical="center" wrapText="1"/>
    </xf>
    <xf numFmtId="0" fontId="15" fillId="14" borderId="0" xfId="0" applyFont="1" applyFill="1" applyAlignment="1">
      <alignment vertical="center" wrapText="1"/>
    </xf>
    <xf numFmtId="0" fontId="15" fillId="25" borderId="0" xfId="0" applyFont="1" applyFill="1" applyAlignment="1">
      <alignment vertical="center" wrapText="1"/>
    </xf>
    <xf numFmtId="1" fontId="16" fillId="0" borderId="0" xfId="0" applyNumberFormat="1" applyFont="1" applyAlignment="1">
      <alignment horizontal="center"/>
    </xf>
    <xf numFmtId="1" fontId="16" fillId="24" borderId="0" xfId="0" applyNumberFormat="1" applyFont="1" applyFill="1" applyAlignment="1">
      <alignment horizontal="center"/>
    </xf>
    <xf numFmtId="166" fontId="16" fillId="24" borderId="0" xfId="0" applyNumberFormat="1" applyFont="1" applyFill="1" applyAlignment="1">
      <alignment horizontal="center"/>
    </xf>
    <xf numFmtId="167" fontId="16" fillId="24" borderId="0" xfId="0" applyNumberFormat="1" applyFont="1" applyFill="1" applyAlignment="1">
      <alignment horizontal="center"/>
    </xf>
    <xf numFmtId="0" fontId="16" fillId="23" borderId="0" xfId="0" applyFont="1" applyFill="1"/>
    <xf numFmtId="0" fontId="16" fillId="23" borderId="0" xfId="0" applyFont="1" applyFill="1" applyAlignment="1">
      <alignment horizontal="center" vertical="center"/>
    </xf>
    <xf numFmtId="10" fontId="16" fillId="23" borderId="0" xfId="0" applyNumberFormat="1" applyFont="1" applyFill="1" applyAlignment="1">
      <alignment horizontal="center"/>
    </xf>
    <xf numFmtId="166" fontId="16" fillId="23" borderId="0" xfId="0" applyNumberFormat="1" applyFont="1" applyFill="1" applyAlignment="1">
      <alignment horizontal="center"/>
    </xf>
    <xf numFmtId="171" fontId="16" fillId="23" borderId="0" xfId="0" applyNumberFormat="1" applyFont="1" applyFill="1" applyAlignment="1">
      <alignment horizontal="center"/>
    </xf>
    <xf numFmtId="1" fontId="16" fillId="23" borderId="0" xfId="0" applyNumberFormat="1" applyFont="1" applyFill="1" applyAlignment="1">
      <alignment horizontal="center"/>
    </xf>
    <xf numFmtId="0" fontId="16" fillId="26" borderId="0" xfId="0" applyFont="1" applyFill="1" applyAlignment="1">
      <alignment horizontal="center"/>
    </xf>
    <xf numFmtId="0" fontId="5" fillId="24" borderId="0" xfId="0" applyFont="1" applyFill="1"/>
    <xf numFmtId="0" fontId="9" fillId="14" borderId="0" xfId="0" applyFont="1" applyFill="1" applyAlignment="1">
      <alignment horizontal="center"/>
    </xf>
    <xf numFmtId="0" fontId="9" fillId="24" borderId="0" xfId="0" applyFont="1" applyFill="1" applyAlignment="1">
      <alignment horizontal="center"/>
    </xf>
    <xf numFmtId="0" fontId="5" fillId="14" borderId="0" xfId="0" applyFont="1" applyFill="1"/>
    <xf numFmtId="0" fontId="9" fillId="24" borderId="0" xfId="0" applyFont="1" applyFill="1"/>
    <xf numFmtId="0" fontId="5" fillId="24" borderId="0" xfId="0" applyFont="1" applyFill="1" applyAlignment="1">
      <alignment horizontal="center"/>
    </xf>
    <xf numFmtId="0" fontId="5" fillId="25" borderId="0" xfId="0" applyFont="1" applyFill="1"/>
    <xf numFmtId="0" fontId="16" fillId="0" borderId="0" xfId="0" applyFont="1" applyAlignment="1">
      <alignment vertical="top"/>
    </xf>
    <xf numFmtId="0" fontId="16" fillId="0" borderId="0" xfId="0" applyFont="1" applyAlignment="1">
      <alignment horizontal="center" vertical="top"/>
    </xf>
    <xf numFmtId="0" fontId="0" fillId="0" borderId="0" xfId="0" applyAlignment="1">
      <alignment vertical="top"/>
    </xf>
    <xf numFmtId="0" fontId="16" fillId="18" borderId="0" xfId="0" applyFont="1" applyFill="1" applyAlignment="1">
      <alignment horizontal="center" vertical="top" wrapText="1"/>
    </xf>
    <xf numFmtId="0" fontId="16" fillId="0" borderId="25" xfId="0" applyFont="1" applyBorder="1" applyAlignment="1">
      <alignment horizontal="center" wrapText="1"/>
    </xf>
    <xf numFmtId="172" fontId="0" fillId="27" borderId="0" xfId="0" applyNumberFormat="1" applyFill="1" applyAlignment="1">
      <alignment horizontal="center"/>
    </xf>
    <xf numFmtId="172" fontId="0" fillId="0" borderId="17" xfId="0" applyNumberFormat="1" applyBorder="1" applyAlignment="1">
      <alignment horizontal="center"/>
    </xf>
    <xf numFmtId="164" fontId="16" fillId="0" borderId="0" xfId="0" applyNumberFormat="1" applyFont="1"/>
    <xf numFmtId="164" fontId="16" fillId="0" borderId="17" xfId="0" applyNumberFormat="1" applyFont="1" applyBorder="1"/>
    <xf numFmtId="0" fontId="20" fillId="0" borderId="0" xfId="0" applyFont="1" applyAlignment="1">
      <alignment horizontal="center" vertical="top" wrapText="1"/>
    </xf>
    <xf numFmtId="171" fontId="16" fillId="0" borderId="0" xfId="0" applyNumberFormat="1" applyFont="1" applyAlignment="1">
      <alignment horizontal="left" vertical="top"/>
    </xf>
    <xf numFmtId="167" fontId="16" fillId="0" borderId="0" xfId="0" applyNumberFormat="1" applyFont="1" applyAlignment="1">
      <alignment horizontal="left" vertical="top"/>
    </xf>
    <xf numFmtId="9" fontId="16" fillId="0" borderId="0" xfId="0" applyNumberFormat="1" applyFont="1" applyAlignment="1">
      <alignment horizontal="left" vertical="top"/>
    </xf>
    <xf numFmtId="0" fontId="16" fillId="0" borderId="0" xfId="0" applyFont="1" applyAlignment="1">
      <alignment horizontal="left" vertical="top"/>
    </xf>
    <xf numFmtId="2" fontId="16" fillId="0" borderId="0" xfId="0" applyNumberFormat="1" applyFont="1" applyAlignment="1">
      <alignment horizontal="left" vertical="top"/>
    </xf>
    <xf numFmtId="172" fontId="16" fillId="0" borderId="0" xfId="0" applyNumberFormat="1" applyFont="1" applyAlignment="1">
      <alignment horizontal="left" vertical="top"/>
    </xf>
    <xf numFmtId="0" fontId="16" fillId="18" borderId="22" xfId="0" applyFont="1" applyFill="1" applyBorder="1" applyAlignment="1">
      <alignment horizontal="center" vertical="top" wrapText="1"/>
    </xf>
    <xf numFmtId="0" fontId="16" fillId="0" borderId="23" xfId="0" applyFont="1" applyBorder="1" applyAlignment="1">
      <alignment horizontal="center" vertical="top" wrapText="1"/>
    </xf>
    <xf numFmtId="0" fontId="16" fillId="18" borderId="23" xfId="0" applyFont="1" applyFill="1" applyBorder="1" applyAlignment="1">
      <alignment horizontal="center" vertical="top" wrapText="1"/>
    </xf>
    <xf numFmtId="0" fontId="16" fillId="18" borderId="24" xfId="0" applyFont="1" applyFill="1" applyBorder="1" applyAlignment="1">
      <alignment horizontal="center" vertical="top" wrapText="1"/>
    </xf>
    <xf numFmtId="166" fontId="16" fillId="0" borderId="27" xfId="0" applyNumberFormat="1" applyFont="1" applyBorder="1" applyAlignment="1">
      <alignment horizontal="center"/>
    </xf>
    <xf numFmtId="167" fontId="16" fillId="0" borderId="17" xfId="0" applyNumberFormat="1" applyFont="1" applyBorder="1" applyAlignment="1">
      <alignment horizontal="center"/>
    </xf>
    <xf numFmtId="0" fontId="19" fillId="15" borderId="23" xfId="0" applyFont="1" applyFill="1" applyBorder="1" applyAlignment="1">
      <alignment horizontal="center" vertical="center" wrapText="1"/>
    </xf>
    <xf numFmtId="0" fontId="19" fillId="15" borderId="24" xfId="0" applyFont="1" applyFill="1" applyBorder="1" applyAlignment="1">
      <alignment horizontal="center" vertical="center" wrapText="1"/>
    </xf>
    <xf numFmtId="172" fontId="16" fillId="0" borderId="26" xfId="0" applyNumberFormat="1" applyFont="1" applyBorder="1" applyAlignment="1">
      <alignment horizontal="center"/>
    </xf>
    <xf numFmtId="0" fontId="23" fillId="15" borderId="23" xfId="0" applyFont="1" applyFill="1" applyBorder="1" applyAlignment="1">
      <alignment horizontal="center" vertical="center" wrapText="1"/>
    </xf>
    <xf numFmtId="0" fontId="20" fillId="18" borderId="0" xfId="0" applyFont="1" applyFill="1" applyAlignment="1">
      <alignment horizontal="center" vertical="top" wrapText="1"/>
    </xf>
    <xf numFmtId="0" fontId="16" fillId="0" borderId="37" xfId="0" applyFont="1" applyBorder="1"/>
    <xf numFmtId="0" fontId="20" fillId="0" borderId="38" xfId="0" applyFont="1" applyBorder="1" applyAlignment="1">
      <alignment horizontal="center"/>
    </xf>
    <xf numFmtId="10" fontId="16" fillId="24" borderId="0" xfId="0" applyNumberFormat="1" applyFont="1" applyFill="1"/>
    <xf numFmtId="0" fontId="3" fillId="0" borderId="0" xfId="1" applyAlignment="1">
      <alignment horizontal="left" vertical="center" wrapText="1" indent="1"/>
    </xf>
    <xf numFmtId="166" fontId="16" fillId="0" borderId="0" xfId="0" applyNumberFormat="1" applyFont="1" applyAlignment="1">
      <alignment horizontal="left" vertical="center" wrapText="1"/>
    </xf>
    <xf numFmtId="0" fontId="0" fillId="28" borderId="0" xfId="0" applyFill="1"/>
    <xf numFmtId="1" fontId="0" fillId="28" borderId="0" xfId="0" applyNumberFormat="1" applyFill="1" applyAlignment="1">
      <alignment horizontal="center" vertical="center"/>
    </xf>
    <xf numFmtId="1" fontId="0" fillId="28" borderId="0" xfId="0" applyNumberFormat="1" applyFill="1" applyAlignment="1">
      <alignment horizontal="center"/>
    </xf>
    <xf numFmtId="0" fontId="0" fillId="29" borderId="0" xfId="0" applyFill="1"/>
    <xf numFmtId="1" fontId="0" fillId="29" borderId="0" xfId="0" applyNumberFormat="1" applyFill="1" applyAlignment="1">
      <alignment horizontal="center" wrapText="1"/>
    </xf>
    <xf numFmtId="1" fontId="0" fillId="29" borderId="0" xfId="0" applyNumberFormat="1" applyFill="1" applyAlignment="1">
      <alignment horizontal="center"/>
    </xf>
    <xf numFmtId="1" fontId="0" fillId="30" borderId="0" xfId="0" applyNumberFormat="1" applyFill="1" applyAlignment="1">
      <alignment horizontal="left"/>
    </xf>
    <xf numFmtId="1" fontId="0" fillId="30" borderId="0" xfId="0" applyNumberFormat="1" applyFill="1" applyAlignment="1">
      <alignment horizontal="center" wrapText="1"/>
    </xf>
    <xf numFmtId="1" fontId="0" fillId="30" borderId="0" xfId="0" applyNumberFormat="1" applyFill="1" applyAlignment="1">
      <alignment horizontal="center"/>
    </xf>
    <xf numFmtId="1" fontId="0" fillId="9" borderId="0" xfId="0" applyNumberFormat="1" applyFill="1" applyAlignment="1">
      <alignment horizontal="left" vertical="center"/>
    </xf>
    <xf numFmtId="1" fontId="0" fillId="9" borderId="0" xfId="0" applyNumberFormat="1" applyFill="1" applyAlignment="1">
      <alignment horizontal="center" wrapText="1"/>
    </xf>
    <xf numFmtId="1" fontId="0" fillId="31" borderId="0" xfId="0" applyNumberFormat="1" applyFill="1" applyAlignment="1">
      <alignment horizontal="left" vertical="center"/>
    </xf>
    <xf numFmtId="0" fontId="0" fillId="31" borderId="0" xfId="0" applyFill="1" applyAlignment="1">
      <alignment vertical="center"/>
    </xf>
    <xf numFmtId="1" fontId="0" fillId="31" borderId="0" xfId="0" applyNumberFormat="1" applyFill="1" applyAlignment="1">
      <alignment horizontal="center" wrapText="1"/>
    </xf>
    <xf numFmtId="0" fontId="0" fillId="31" borderId="0" xfId="0" applyFill="1"/>
    <xf numFmtId="1" fontId="0" fillId="22" borderId="0" xfId="0" applyNumberFormat="1" applyFill="1" applyAlignment="1">
      <alignment horizontal="left" vertical="center"/>
    </xf>
    <xf numFmtId="1" fontId="0" fillId="22" borderId="0" xfId="0" applyNumberFormat="1" applyFill="1" applyAlignment="1">
      <alignment horizontal="center"/>
    </xf>
    <xf numFmtId="1" fontId="0" fillId="32" borderId="0" xfId="0" applyNumberFormat="1" applyFill="1" applyAlignment="1">
      <alignment horizontal="left" vertical="center"/>
    </xf>
    <xf numFmtId="0" fontId="14" fillId="32" borderId="0" xfId="0" applyFont="1" applyFill="1"/>
    <xf numFmtId="0" fontId="0" fillId="32" borderId="0" xfId="0" applyFill="1"/>
    <xf numFmtId="1" fontId="0" fillId="33" borderId="0" xfId="0" applyNumberFormat="1" applyFill="1" applyAlignment="1">
      <alignment horizontal="left" vertical="center"/>
    </xf>
    <xf numFmtId="0" fontId="0" fillId="33" borderId="0" xfId="0" applyFill="1"/>
    <xf numFmtId="0" fontId="16" fillId="5" borderId="0" xfId="0" applyFont="1" applyFill="1" applyAlignment="1">
      <alignment horizontal="left" vertical="top"/>
    </xf>
    <xf numFmtId="0" fontId="16" fillId="5" borderId="0" xfId="0" applyFont="1" applyFill="1" applyAlignment="1">
      <alignment horizontal="center"/>
    </xf>
    <xf numFmtId="171" fontId="16" fillId="0" borderId="0" xfId="0" applyNumberFormat="1" applyFont="1" applyAlignment="1">
      <alignment horizontal="center" vertical="center"/>
    </xf>
    <xf numFmtId="0" fontId="16" fillId="5" borderId="0" xfId="0" applyFont="1" applyFill="1" applyAlignment="1">
      <alignment horizontal="left"/>
    </xf>
    <xf numFmtId="0" fontId="0" fillId="28" borderId="0" xfId="0" applyFill="1" applyAlignment="1">
      <alignment horizontal="center" vertical="center"/>
    </xf>
    <xf numFmtId="0" fontId="0" fillId="28" borderId="0" xfId="0" applyFill="1" applyAlignment="1">
      <alignment horizontal="center"/>
    </xf>
    <xf numFmtId="0" fontId="0" fillId="29" borderId="0" xfId="0" applyFill="1" applyAlignment="1">
      <alignment horizontal="center" vertical="center"/>
    </xf>
    <xf numFmtId="0" fontId="0" fillId="29" borderId="0" xfId="0" applyFill="1" applyAlignment="1">
      <alignment horizontal="center"/>
    </xf>
    <xf numFmtId="0" fontId="0" fillId="30" borderId="0" xfId="0" applyFill="1" applyAlignment="1">
      <alignment horizontal="center"/>
    </xf>
    <xf numFmtId="0" fontId="0" fillId="30" borderId="0" xfId="0" applyFill="1" applyAlignment="1">
      <alignment horizontal="center" vertical="center"/>
    </xf>
    <xf numFmtId="0" fontId="0" fillId="9" borderId="0" xfId="0" applyFill="1" applyAlignment="1">
      <alignment horizontal="center" vertical="center"/>
    </xf>
    <xf numFmtId="0" fontId="0" fillId="9" borderId="0" xfId="0" applyFill="1" applyAlignment="1">
      <alignment horizontal="center"/>
    </xf>
    <xf numFmtId="0" fontId="0" fillId="9" borderId="0" xfId="0" applyFill="1" applyAlignment="1">
      <alignment horizontal="left"/>
    </xf>
    <xf numFmtId="0" fontId="0" fillId="31" borderId="0" xfId="0" applyFill="1" applyAlignment="1">
      <alignment horizontal="center" vertical="center"/>
    </xf>
    <xf numFmtId="0" fontId="0" fillId="31" borderId="0" xfId="0" applyFill="1" applyAlignment="1">
      <alignment horizontal="center"/>
    </xf>
    <xf numFmtId="0" fontId="0" fillId="31" borderId="0" xfId="0" applyFill="1" applyAlignment="1">
      <alignment horizontal="left"/>
    </xf>
    <xf numFmtId="0" fontId="0" fillId="31" borderId="0" xfId="0" applyFill="1" applyAlignment="1">
      <alignment horizontal="center" vertical="center" wrapText="1"/>
    </xf>
    <xf numFmtId="0" fontId="0" fillId="22" borderId="0" xfId="0" applyFill="1" applyAlignment="1">
      <alignment horizontal="center" vertical="center"/>
    </xf>
    <xf numFmtId="0" fontId="0" fillId="32" borderId="0" xfId="0" applyFill="1" applyAlignment="1">
      <alignment horizontal="center" vertical="center"/>
    </xf>
    <xf numFmtId="0" fontId="0" fillId="32" borderId="0" xfId="0" applyFill="1" applyAlignment="1">
      <alignment horizontal="center"/>
    </xf>
    <xf numFmtId="0" fontId="0" fillId="33" borderId="0" xfId="0" applyFill="1" applyAlignment="1">
      <alignment horizontal="center" vertical="center"/>
    </xf>
    <xf numFmtId="0" fontId="0" fillId="33" borderId="0" xfId="0" applyFill="1" applyAlignment="1">
      <alignment horizontal="center"/>
    </xf>
    <xf numFmtId="0" fontId="0" fillId="3" borderId="3" xfId="0" applyFill="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0" borderId="5" xfId="0" applyBorder="1" applyAlignment="1">
      <alignment horizontal="center"/>
    </xf>
    <xf numFmtId="0" fontId="0" fillId="0" borderId="0" xfId="0" applyAlignment="1">
      <alignment horizontal="center"/>
    </xf>
    <xf numFmtId="0" fontId="8" fillId="0" borderId="1" xfId="0" applyFont="1" applyBorder="1" applyAlignment="1">
      <alignment vertical="top" wrapText="1"/>
    </xf>
    <xf numFmtId="0" fontId="5" fillId="0" borderId="1" xfId="0" applyFont="1" applyBorder="1" applyAlignment="1">
      <alignment vertical="top" wrapText="1"/>
    </xf>
    <xf numFmtId="0" fontId="3" fillId="13" borderId="17" xfId="1" applyFill="1" applyBorder="1" applyAlignment="1">
      <alignment horizontal="left" vertical="center" wrapText="1"/>
    </xf>
    <xf numFmtId="0" fontId="3" fillId="13" borderId="28" xfId="1" applyFill="1" applyBorder="1" applyAlignment="1">
      <alignment horizontal="left" vertical="center" wrapText="1"/>
    </xf>
    <xf numFmtId="0" fontId="3" fillId="0" borderId="17" xfId="1" applyBorder="1" applyAlignment="1">
      <alignment horizontal="center" vertical="center" wrapText="1"/>
    </xf>
    <xf numFmtId="0" fontId="3" fillId="0" borderId="28" xfId="1" applyBorder="1" applyAlignment="1">
      <alignment horizontal="center" vertical="center" wrapText="1"/>
    </xf>
    <xf numFmtId="0" fontId="19" fillId="0" borderId="17" xfId="0" applyFont="1" applyBorder="1" applyAlignment="1">
      <alignment horizontal="center"/>
    </xf>
    <xf numFmtId="0" fontId="0" fillId="0" borderId="0" xfId="0"/>
    <xf numFmtId="0" fontId="15" fillId="0" borderId="0" xfId="0" applyFont="1" applyAlignment="1">
      <alignment horizontal="center" wrapText="1"/>
    </xf>
    <xf numFmtId="0" fontId="20" fillId="18" borderId="0" xfId="0" applyFont="1" applyFill="1" applyAlignment="1">
      <alignment horizontal="left"/>
    </xf>
    <xf numFmtId="0" fontId="9" fillId="24" borderId="1" xfId="0" applyFont="1" applyFill="1" applyBorder="1" applyAlignment="1">
      <alignment horizontal="center"/>
    </xf>
    <xf numFmtId="0" fontId="20" fillId="20" borderId="0" xfId="0" applyFont="1" applyFill="1" applyAlignment="1">
      <alignment horizontal="left"/>
    </xf>
    <xf numFmtId="0" fontId="9" fillId="24" borderId="35" xfId="0" applyFont="1" applyFill="1" applyBorder="1" applyAlignment="1">
      <alignment horizontal="center"/>
    </xf>
    <xf numFmtId="0" fontId="9" fillId="24" borderId="36" xfId="0" applyFont="1" applyFill="1" applyBorder="1" applyAlignment="1">
      <alignment horizontal="center"/>
    </xf>
    <xf numFmtId="0" fontId="9" fillId="24" borderId="18" xfId="0" applyFont="1" applyFill="1" applyBorder="1" applyAlignment="1">
      <alignment horizontal="center"/>
    </xf>
    <xf numFmtId="0" fontId="20" fillId="0" borderId="0" xfId="0" applyFont="1" applyAlignment="1">
      <alignment horizontal="left"/>
    </xf>
    <xf numFmtId="0" fontId="16" fillId="3" borderId="22" xfId="0" applyFont="1" applyFill="1" applyBorder="1" applyAlignment="1">
      <alignment horizontal="left"/>
    </xf>
    <xf numFmtId="0" fontId="16" fillId="3" borderId="23" xfId="0" applyFont="1" applyFill="1" applyBorder="1" applyAlignment="1">
      <alignment horizontal="left"/>
    </xf>
    <xf numFmtId="0" fontId="16" fillId="3" borderId="24" xfId="0" applyFont="1" applyFill="1" applyBorder="1" applyAlignment="1">
      <alignment horizontal="left"/>
    </xf>
    <xf numFmtId="0" fontId="16" fillId="3" borderId="2" xfId="0" applyFont="1" applyFill="1" applyBorder="1" applyAlignment="1">
      <alignment horizontal="center"/>
    </xf>
    <xf numFmtId="0" fontId="16" fillId="3" borderId="3" xfId="0" applyFont="1" applyFill="1" applyBorder="1" applyAlignment="1">
      <alignment horizontal="center"/>
    </xf>
    <xf numFmtId="0" fontId="16" fillId="3" borderId="4" xfId="0" applyFont="1" applyFill="1" applyBorder="1" applyAlignment="1">
      <alignment horizontal="center"/>
    </xf>
    <xf numFmtId="0" fontId="16" fillId="0" borderId="8" xfId="0" applyFont="1" applyBorder="1" applyAlignment="1">
      <alignment horizontal="center"/>
    </xf>
    <xf numFmtId="0" fontId="16" fillId="3" borderId="2" xfId="0" applyFont="1" applyFill="1" applyBorder="1" applyAlignment="1">
      <alignment horizontal="left"/>
    </xf>
    <xf numFmtId="0" fontId="16" fillId="3" borderId="3" xfId="0" applyFont="1" applyFill="1" applyBorder="1" applyAlignment="1">
      <alignment horizontal="left"/>
    </xf>
    <xf numFmtId="0" fontId="16" fillId="3" borderId="4" xfId="0" applyFont="1" applyFill="1" applyBorder="1" applyAlignment="1">
      <alignment horizontal="left"/>
    </xf>
    <xf numFmtId="0" fontId="16" fillId="3" borderId="22" xfId="0" applyFont="1" applyFill="1" applyBorder="1" applyAlignment="1">
      <alignment horizontal="center"/>
    </xf>
    <xf numFmtId="0" fontId="16" fillId="3" borderId="23" xfId="0" applyFont="1" applyFill="1" applyBorder="1" applyAlignment="1">
      <alignment horizontal="center"/>
    </xf>
    <xf numFmtId="0" fontId="16" fillId="3" borderId="24" xfId="0" applyFont="1" applyFill="1" applyBorder="1" applyAlignment="1">
      <alignment horizontal="center"/>
    </xf>
    <xf numFmtId="0" fontId="16" fillId="0" borderId="25" xfId="0" applyFont="1" applyBorder="1" applyAlignment="1">
      <alignment horizontal="center"/>
    </xf>
    <xf numFmtId="0" fontId="16" fillId="0" borderId="0" xfId="0" applyFont="1" applyAlignment="1">
      <alignment horizontal="center"/>
    </xf>
    <xf numFmtId="0" fontId="16" fillId="0" borderId="27" xfId="0" applyFont="1" applyBorder="1" applyAlignment="1">
      <alignment horizontal="center"/>
    </xf>
    <xf numFmtId="0" fontId="16" fillId="0" borderId="17" xfId="0" applyFont="1" applyBorder="1" applyAlignment="1">
      <alignment horizontal="center"/>
    </xf>
    <xf numFmtId="172" fontId="19" fillId="0" borderId="27" xfId="0" applyNumberFormat="1" applyFont="1" applyBorder="1" applyAlignment="1">
      <alignment horizontal="center"/>
    </xf>
    <xf numFmtId="172" fontId="19" fillId="0" borderId="17" xfId="0" applyNumberFormat="1" applyFont="1" applyBorder="1" applyAlignment="1">
      <alignment horizontal="center"/>
    </xf>
    <xf numFmtId="172" fontId="19" fillId="0" borderId="25" xfId="0" applyNumberFormat="1" applyFont="1" applyBorder="1" applyAlignment="1">
      <alignment horizontal="center"/>
    </xf>
    <xf numFmtId="172" fontId="19" fillId="0" borderId="0" xfId="0" applyNumberFormat="1" applyFont="1" applyAlignment="1">
      <alignment horizontal="center"/>
    </xf>
    <xf numFmtId="172" fontId="0" fillId="0" borderId="25" xfId="0" applyNumberFormat="1" applyBorder="1" applyAlignment="1">
      <alignment horizontal="center"/>
    </xf>
    <xf numFmtId="172" fontId="0" fillId="0" borderId="0" xfId="0" applyNumberFormat="1" applyAlignment="1">
      <alignment horizontal="center"/>
    </xf>
    <xf numFmtId="0" fontId="20" fillId="14" borderId="38" xfId="0" applyFont="1" applyFill="1" applyBorder="1" applyAlignment="1">
      <alignment horizontal="center"/>
    </xf>
    <xf numFmtId="0" fontId="14" fillId="3" borderId="22" xfId="0" applyFont="1" applyFill="1" applyBorder="1" applyAlignment="1">
      <alignment horizontal="center"/>
    </xf>
    <xf numFmtId="0" fontId="14" fillId="3" borderId="24" xfId="0" applyFont="1" applyFill="1" applyBorder="1" applyAlignment="1">
      <alignment horizontal="center"/>
    </xf>
    <xf numFmtId="0" fontId="14" fillId="3" borderId="23" xfId="0" applyFont="1" applyFill="1" applyBorder="1" applyAlignment="1">
      <alignment horizontal="center"/>
    </xf>
    <xf numFmtId="0" fontId="14" fillId="3" borderId="0" xfId="0" applyFont="1" applyFill="1" applyAlignment="1">
      <alignment horizontal="center"/>
    </xf>
    <xf numFmtId="0" fontId="9" fillId="16" borderId="0" xfId="0" applyFont="1"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0" fontId="0" fillId="10" borderId="0" xfId="0" applyFill="1" applyAlignment="1">
      <alignment horizontal="center"/>
    </xf>
    <xf numFmtId="0" fontId="0" fillId="2" borderId="1" xfId="0"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22" borderId="0" xfId="0" applyFill="1" applyAlignment="1">
      <alignment horizontal="center"/>
    </xf>
    <xf numFmtId="0" fontId="0" fillId="13" borderId="0" xfId="0" applyFill="1" applyAlignment="1">
      <alignment horizontal="center"/>
    </xf>
    <xf numFmtId="0" fontId="18" fillId="13" borderId="0" xfId="0" applyFont="1" applyFill="1" applyAlignment="1">
      <alignment horizontal="center"/>
    </xf>
    <xf numFmtId="0" fontId="0" fillId="14" borderId="0" xfId="0" applyFill="1" applyAlignment="1">
      <alignment horizontal="center"/>
    </xf>
    <xf numFmtId="0" fontId="17" fillId="11" borderId="0" xfId="0" applyFont="1" applyFill="1" applyAlignment="1">
      <alignment horizontal="center"/>
    </xf>
    <xf numFmtId="0" fontId="0" fillId="12" borderId="0" xfId="0" applyFill="1" applyAlignment="1">
      <alignment horizontal="center"/>
    </xf>
    <xf numFmtId="0" fontId="17" fillId="2" borderId="0" xfId="0" applyFont="1" applyFill="1" applyAlignment="1">
      <alignment horizontal="center"/>
    </xf>
    <xf numFmtId="0" fontId="17" fillId="12" borderId="0" xfId="0" applyFont="1" applyFill="1" applyAlignment="1">
      <alignment horizontal="center"/>
    </xf>
    <xf numFmtId="179" fontId="20" fillId="18" borderId="0" xfId="0" applyNumberFormat="1" applyFont="1" applyFill="1" applyAlignment="1">
      <alignment horizontal="center" vertical="center" wrapText="1"/>
    </xf>
    <xf numFmtId="179" fontId="20" fillId="0" borderId="0" xfId="0" applyNumberFormat="1" applyFont="1" applyAlignment="1">
      <alignment horizontal="center" vertical="center" wrapText="1"/>
    </xf>
    <xf numFmtId="179" fontId="0" fillId="13" borderId="0" xfId="0" applyNumberFormat="1" applyFill="1" applyAlignment="1">
      <alignment horizontal="center" vertical="center" wrapText="1"/>
    </xf>
    <xf numFmtId="179" fontId="0" fillId="13" borderId="0" xfId="0" applyNumberFormat="1" applyFill="1" applyAlignment="1">
      <alignment horizontal="center"/>
    </xf>
    <xf numFmtId="179" fontId="0" fillId="13" borderId="0" xfId="0" applyNumberFormat="1" applyFill="1" applyAlignment="1">
      <alignment horizontal="center" vertical="center"/>
    </xf>
    <xf numFmtId="179" fontId="0" fillId="0" borderId="0" xfId="0" applyNumberFormat="1" applyAlignment="1">
      <alignment horizontal="center" vertical="center"/>
    </xf>
    <xf numFmtId="179" fontId="0" fillId="0" borderId="0" xfId="0" applyNumberFormat="1" applyAlignment="1">
      <alignment horizontal="center"/>
    </xf>
    <xf numFmtId="179" fontId="19" fillId="13" borderId="0" xfId="0" applyNumberFormat="1" applyFont="1" applyFill="1" applyAlignment="1">
      <alignment horizontal="center"/>
    </xf>
    <xf numFmtId="179" fontId="19" fillId="13" borderId="17" xfId="0" applyNumberFormat="1" applyFont="1" applyFill="1" applyBorder="1" applyAlignment="1">
      <alignment horizontal="center"/>
    </xf>
    <xf numFmtId="179" fontId="0" fillId="22" borderId="0" xfId="0" applyNumberFormat="1" applyFill="1" applyAlignment="1">
      <alignment horizontal="center" vertical="center"/>
    </xf>
    <xf numFmtId="179" fontId="0" fillId="22" borderId="0" xfId="0" applyNumberForma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06/relationships/rdRichValue" Target="richData/rdrichvalue.xml"/><Relationship Id="rId30" Type="http://schemas.microsoft.com/office/2017/10/relationships/person" Target="persons/person.xml"/></Relationships>
</file>

<file path=xl/ctrlProps/ctrlProp1.xml><?xml version="1.0" encoding="utf-8"?>
<formControlPr xmlns="http://schemas.microsoft.com/office/spreadsheetml/2009/9/main" objectType="Drop" dropStyle="combo" dx="31" fmlaLink="$F$8" fmlaRange="$C$8:$C$9" noThreeD="1" sel="1" val="0"/>
</file>

<file path=xl/drawings/_rels/drawing1.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tmp"/><Relationship Id="rId3" Type="http://schemas.openxmlformats.org/officeDocument/2006/relationships/image" Target="../media/image19.png"/><Relationship Id="rId21" Type="http://schemas.openxmlformats.org/officeDocument/2006/relationships/image" Target="../media/image37.tmp"/><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tmp"/><Relationship Id="rId25" Type="http://schemas.openxmlformats.org/officeDocument/2006/relationships/image" Target="../media/image41.png"/><Relationship Id="rId2" Type="http://schemas.openxmlformats.org/officeDocument/2006/relationships/image" Target="../media/image18.png"/><Relationship Id="rId16" Type="http://schemas.openxmlformats.org/officeDocument/2006/relationships/image" Target="../media/image32.tmp"/><Relationship Id="rId20" Type="http://schemas.openxmlformats.org/officeDocument/2006/relationships/image" Target="../media/image36.tmp"/><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tmp"/><Relationship Id="rId5" Type="http://schemas.openxmlformats.org/officeDocument/2006/relationships/image" Target="../media/image21.png"/><Relationship Id="rId15" Type="http://schemas.openxmlformats.org/officeDocument/2006/relationships/image" Target="../media/image31.tmp"/><Relationship Id="rId23" Type="http://schemas.openxmlformats.org/officeDocument/2006/relationships/image" Target="../media/image39.tmp"/><Relationship Id="rId10" Type="http://schemas.openxmlformats.org/officeDocument/2006/relationships/image" Target="../media/image26.png"/><Relationship Id="rId19" Type="http://schemas.openxmlformats.org/officeDocument/2006/relationships/image" Target="../media/image35.tmp"/><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tmp"/></Relationships>
</file>

<file path=xl/drawings/_rels/drawing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svg"/><Relationship Id="rId1" Type="http://schemas.openxmlformats.org/officeDocument/2006/relationships/image" Target="../media/image43.png"/><Relationship Id="rId4" Type="http://schemas.openxmlformats.org/officeDocument/2006/relationships/image" Target="../media/image46.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150092</xdr:rowOff>
    </xdr:from>
    <xdr:to>
      <xdr:col>11</xdr:col>
      <xdr:colOff>288925</xdr:colOff>
      <xdr:row>23</xdr:row>
      <xdr:rowOff>92518</xdr:rowOff>
    </xdr:to>
    <xdr:pic>
      <xdr:nvPicPr>
        <xdr:cNvPr id="44" name="Picture 1">
          <a:extLst>
            <a:ext uri="{FF2B5EF4-FFF2-40B4-BE49-F238E27FC236}">
              <a16:creationId xmlns:a16="http://schemas.microsoft.com/office/drawing/2014/main" id="{6B4DE3A3-508E-E2C3-776C-EF9BEC011546}"/>
            </a:ext>
          </a:extLst>
        </xdr:cNvPr>
        <xdr:cNvPicPr>
          <a:picLocks noChangeAspect="1"/>
        </xdr:cNvPicPr>
      </xdr:nvPicPr>
      <xdr:blipFill>
        <a:blip xmlns:r="http://schemas.openxmlformats.org/officeDocument/2006/relationships" r:embed="rId1"/>
        <a:stretch>
          <a:fillRect/>
        </a:stretch>
      </xdr:blipFill>
      <xdr:spPr>
        <a:xfrm>
          <a:off x="0" y="150092"/>
          <a:ext cx="6994525" cy="4148666"/>
        </a:xfrm>
        <a:prstGeom prst="rect">
          <a:avLst/>
        </a:prstGeom>
      </xdr:spPr>
    </xdr:pic>
    <xdr:clientData/>
  </xdr:twoCellAnchor>
  <xdr:twoCellAnchor editAs="oneCell">
    <xdr:from>
      <xdr:col>11</xdr:col>
      <xdr:colOff>155222</xdr:colOff>
      <xdr:row>1</xdr:row>
      <xdr:rowOff>0</xdr:rowOff>
    </xdr:from>
    <xdr:to>
      <xdr:col>23</xdr:col>
      <xdr:colOff>314779</xdr:colOff>
      <xdr:row>23</xdr:row>
      <xdr:rowOff>150636</xdr:rowOff>
    </xdr:to>
    <xdr:pic>
      <xdr:nvPicPr>
        <xdr:cNvPr id="3" name="Picture 2">
          <a:extLst>
            <a:ext uri="{FF2B5EF4-FFF2-40B4-BE49-F238E27FC236}">
              <a16:creationId xmlns:a16="http://schemas.microsoft.com/office/drawing/2014/main" id="{80E61C1C-5357-C627-32C6-5F7B1957C4BA}"/>
            </a:ext>
          </a:extLst>
        </xdr:cNvPr>
        <xdr:cNvPicPr>
          <a:picLocks noChangeAspect="1"/>
        </xdr:cNvPicPr>
      </xdr:nvPicPr>
      <xdr:blipFill>
        <a:blip xmlns:r="http://schemas.openxmlformats.org/officeDocument/2006/relationships" r:embed="rId2"/>
        <a:stretch>
          <a:fillRect/>
        </a:stretch>
      </xdr:blipFill>
      <xdr:spPr>
        <a:xfrm>
          <a:off x="6840865" y="0"/>
          <a:ext cx="7446635" cy="4132540"/>
        </a:xfrm>
        <a:prstGeom prst="rect">
          <a:avLst/>
        </a:prstGeom>
      </xdr:spPr>
    </xdr:pic>
    <xdr:clientData/>
  </xdr:twoCellAnchor>
  <xdr:twoCellAnchor>
    <xdr:from>
      <xdr:col>0</xdr:col>
      <xdr:colOff>14753</xdr:colOff>
      <xdr:row>1</xdr:row>
      <xdr:rowOff>5773</xdr:rowOff>
    </xdr:from>
    <xdr:to>
      <xdr:col>3</xdr:col>
      <xdr:colOff>367531</xdr:colOff>
      <xdr:row>2</xdr:row>
      <xdr:rowOff>127000</xdr:rowOff>
    </xdr:to>
    <xdr:sp macro="" textlink="">
      <xdr:nvSpPr>
        <xdr:cNvPr id="4" name="TextBox 3">
          <a:extLst>
            <a:ext uri="{FF2B5EF4-FFF2-40B4-BE49-F238E27FC236}">
              <a16:creationId xmlns:a16="http://schemas.microsoft.com/office/drawing/2014/main" id="{AB0E9C27-73AD-BC48-4D53-A2B61303E3B7}"/>
            </a:ext>
          </a:extLst>
        </xdr:cNvPr>
        <xdr:cNvSpPr txBox="1"/>
      </xdr:nvSpPr>
      <xdr:spPr>
        <a:xfrm>
          <a:off x="14753" y="187202"/>
          <a:ext cx="2176135" cy="3026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AlMukdad 2021 </a:t>
          </a:r>
        </a:p>
      </xdr:txBody>
    </xdr:sp>
    <xdr:clientData/>
  </xdr:twoCellAnchor>
  <xdr:twoCellAnchor editAs="oneCell">
    <xdr:from>
      <xdr:col>0</xdr:col>
      <xdr:colOff>0</xdr:colOff>
      <xdr:row>62</xdr:row>
      <xdr:rowOff>161635</xdr:rowOff>
    </xdr:from>
    <xdr:to>
      <xdr:col>11</xdr:col>
      <xdr:colOff>28285</xdr:colOff>
      <xdr:row>88</xdr:row>
      <xdr:rowOff>169679</xdr:rowOff>
    </xdr:to>
    <xdr:pic>
      <xdr:nvPicPr>
        <xdr:cNvPr id="5" name="Picture 4">
          <a:extLst>
            <a:ext uri="{FF2B5EF4-FFF2-40B4-BE49-F238E27FC236}">
              <a16:creationId xmlns:a16="http://schemas.microsoft.com/office/drawing/2014/main" id="{C43B9866-6FE2-A774-3AF3-4503037176A2}"/>
            </a:ext>
          </a:extLst>
        </xdr:cNvPr>
        <xdr:cNvPicPr>
          <a:picLocks noChangeAspect="1"/>
        </xdr:cNvPicPr>
      </xdr:nvPicPr>
      <xdr:blipFill>
        <a:blip xmlns:r="http://schemas.openxmlformats.org/officeDocument/2006/relationships" r:embed="rId3"/>
        <a:stretch>
          <a:fillRect/>
        </a:stretch>
      </xdr:blipFill>
      <xdr:spPr>
        <a:xfrm>
          <a:off x="0" y="4595090"/>
          <a:ext cx="6765635" cy="4810953"/>
        </a:xfrm>
        <a:prstGeom prst="rect">
          <a:avLst/>
        </a:prstGeom>
      </xdr:spPr>
    </xdr:pic>
    <xdr:clientData/>
  </xdr:twoCellAnchor>
  <xdr:twoCellAnchor editAs="oneCell">
    <xdr:from>
      <xdr:col>10</xdr:col>
      <xdr:colOff>600364</xdr:colOff>
      <xdr:row>62</xdr:row>
      <xdr:rowOff>46182</xdr:rowOff>
    </xdr:from>
    <xdr:to>
      <xdr:col>23</xdr:col>
      <xdr:colOff>265546</xdr:colOff>
      <xdr:row>88</xdr:row>
      <xdr:rowOff>130175</xdr:rowOff>
    </xdr:to>
    <xdr:pic>
      <xdr:nvPicPr>
        <xdr:cNvPr id="6" name="Picture 5">
          <a:extLst>
            <a:ext uri="{FF2B5EF4-FFF2-40B4-BE49-F238E27FC236}">
              <a16:creationId xmlns:a16="http://schemas.microsoft.com/office/drawing/2014/main" id="{C06AAF90-03B4-31B1-7092-81D1D95FDE4E}"/>
            </a:ext>
          </a:extLst>
        </xdr:cNvPr>
        <xdr:cNvPicPr>
          <a:picLocks noChangeAspect="1"/>
        </xdr:cNvPicPr>
      </xdr:nvPicPr>
      <xdr:blipFill>
        <a:blip xmlns:r="http://schemas.openxmlformats.org/officeDocument/2006/relationships" r:embed="rId4"/>
        <a:stretch>
          <a:fillRect/>
        </a:stretch>
      </xdr:blipFill>
      <xdr:spPr>
        <a:xfrm>
          <a:off x="6719455" y="4479637"/>
          <a:ext cx="7620000" cy="4883727"/>
        </a:xfrm>
        <a:prstGeom prst="rect">
          <a:avLst/>
        </a:prstGeom>
      </xdr:spPr>
    </xdr:pic>
    <xdr:clientData/>
  </xdr:twoCellAnchor>
  <xdr:twoCellAnchor>
    <xdr:from>
      <xdr:col>0</xdr:col>
      <xdr:colOff>0</xdr:colOff>
      <xdr:row>61</xdr:row>
      <xdr:rowOff>31171</xdr:rowOff>
    </xdr:from>
    <xdr:to>
      <xdr:col>3</xdr:col>
      <xdr:colOff>352778</xdr:colOff>
      <xdr:row>62</xdr:row>
      <xdr:rowOff>152399</xdr:rowOff>
    </xdr:to>
    <xdr:sp macro="" textlink="">
      <xdr:nvSpPr>
        <xdr:cNvPr id="7" name="TextBox 6">
          <a:extLst>
            <a:ext uri="{FF2B5EF4-FFF2-40B4-BE49-F238E27FC236}">
              <a16:creationId xmlns:a16="http://schemas.microsoft.com/office/drawing/2014/main" id="{E6941A1D-C555-4F0C-8C63-F279CA57F73A}"/>
            </a:ext>
          </a:extLst>
        </xdr:cNvPr>
        <xdr:cNvSpPr txBox="1"/>
      </xdr:nvSpPr>
      <xdr:spPr>
        <a:xfrm>
          <a:off x="0" y="4464626"/>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Claassens 2022 </a:t>
          </a:r>
          <a:endParaRPr lang="en-GB" sz="1100"/>
        </a:p>
      </xdr:txBody>
    </xdr:sp>
    <xdr:clientData/>
  </xdr:twoCellAnchor>
  <xdr:twoCellAnchor editAs="oneCell">
    <xdr:from>
      <xdr:col>0</xdr:col>
      <xdr:colOff>0</xdr:colOff>
      <xdr:row>91</xdr:row>
      <xdr:rowOff>102260</xdr:rowOff>
    </xdr:from>
    <xdr:to>
      <xdr:col>19</xdr:col>
      <xdr:colOff>161635</xdr:colOff>
      <xdr:row>125</xdr:row>
      <xdr:rowOff>67629</xdr:rowOff>
    </xdr:to>
    <xdr:pic>
      <xdr:nvPicPr>
        <xdr:cNvPr id="8" name="Picture 7">
          <a:extLst>
            <a:ext uri="{FF2B5EF4-FFF2-40B4-BE49-F238E27FC236}">
              <a16:creationId xmlns:a16="http://schemas.microsoft.com/office/drawing/2014/main" id="{4A14EB3F-4EC5-DCB6-5B1F-72C6E52AFCED}"/>
            </a:ext>
          </a:extLst>
        </xdr:cNvPr>
        <xdr:cNvPicPr>
          <a:picLocks noChangeAspect="1"/>
        </xdr:cNvPicPr>
      </xdr:nvPicPr>
      <xdr:blipFill>
        <a:blip xmlns:r="http://schemas.openxmlformats.org/officeDocument/2006/relationships" r:embed="rId5"/>
        <a:stretch>
          <a:fillRect/>
        </a:stretch>
      </xdr:blipFill>
      <xdr:spPr>
        <a:xfrm>
          <a:off x="0" y="9899403"/>
          <a:ext cx="11709564" cy="6127590"/>
        </a:xfrm>
        <a:prstGeom prst="rect">
          <a:avLst/>
        </a:prstGeom>
      </xdr:spPr>
    </xdr:pic>
    <xdr:clientData/>
  </xdr:twoCellAnchor>
  <xdr:twoCellAnchor>
    <xdr:from>
      <xdr:col>0</xdr:col>
      <xdr:colOff>11546</xdr:colOff>
      <xdr:row>89</xdr:row>
      <xdr:rowOff>183572</xdr:rowOff>
    </xdr:from>
    <xdr:to>
      <xdr:col>3</xdr:col>
      <xdr:colOff>364324</xdr:colOff>
      <xdr:row>91</xdr:row>
      <xdr:rowOff>120072</xdr:rowOff>
    </xdr:to>
    <xdr:sp macro="" textlink="">
      <xdr:nvSpPr>
        <xdr:cNvPr id="9" name="TextBox 8">
          <a:extLst>
            <a:ext uri="{FF2B5EF4-FFF2-40B4-BE49-F238E27FC236}">
              <a16:creationId xmlns:a16="http://schemas.microsoft.com/office/drawing/2014/main" id="{74C77102-6FD7-49A5-A7B5-BAE96D11FDDA}"/>
            </a:ext>
          </a:extLst>
        </xdr:cNvPr>
        <xdr:cNvSpPr txBox="1"/>
      </xdr:nvSpPr>
      <xdr:spPr>
        <a:xfrm>
          <a:off x="11546" y="9789390"/>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Dong 2023 </a:t>
          </a:r>
          <a:endParaRPr lang="en-GB" sz="1100"/>
        </a:p>
      </xdr:txBody>
    </xdr:sp>
    <xdr:clientData/>
  </xdr:twoCellAnchor>
  <xdr:twoCellAnchor editAs="oneCell">
    <xdr:from>
      <xdr:col>0</xdr:col>
      <xdr:colOff>18144</xdr:colOff>
      <xdr:row>28</xdr:row>
      <xdr:rowOff>90715</xdr:rowOff>
    </xdr:from>
    <xdr:to>
      <xdr:col>13</xdr:col>
      <xdr:colOff>381001</xdr:colOff>
      <xdr:row>60</xdr:row>
      <xdr:rowOff>799</xdr:rowOff>
    </xdr:to>
    <xdr:pic>
      <xdr:nvPicPr>
        <xdr:cNvPr id="13" name="Picture 12">
          <a:extLst>
            <a:ext uri="{FF2B5EF4-FFF2-40B4-BE49-F238E27FC236}">
              <a16:creationId xmlns:a16="http://schemas.microsoft.com/office/drawing/2014/main" id="{4713D0EF-559C-4E03-A8E4-23C43A90EE5D}"/>
            </a:ext>
          </a:extLst>
        </xdr:cNvPr>
        <xdr:cNvPicPr>
          <a:picLocks noChangeAspect="1"/>
        </xdr:cNvPicPr>
      </xdr:nvPicPr>
      <xdr:blipFill>
        <a:blip xmlns:r="http://schemas.openxmlformats.org/officeDocument/2006/relationships" r:embed="rId6"/>
        <a:stretch>
          <a:fillRect/>
        </a:stretch>
      </xdr:blipFill>
      <xdr:spPr>
        <a:xfrm>
          <a:off x="18144" y="5170715"/>
          <a:ext cx="8264071" cy="5715798"/>
        </a:xfrm>
        <a:prstGeom prst="rect">
          <a:avLst/>
        </a:prstGeom>
      </xdr:spPr>
    </xdr:pic>
    <xdr:clientData/>
  </xdr:twoCellAnchor>
  <xdr:twoCellAnchor>
    <xdr:from>
      <xdr:col>0</xdr:col>
      <xdr:colOff>0</xdr:colOff>
      <xdr:row>26</xdr:row>
      <xdr:rowOff>145143</xdr:rowOff>
    </xdr:from>
    <xdr:to>
      <xdr:col>3</xdr:col>
      <xdr:colOff>352778</xdr:colOff>
      <xdr:row>28</xdr:row>
      <xdr:rowOff>81644</xdr:rowOff>
    </xdr:to>
    <xdr:sp macro="" textlink="">
      <xdr:nvSpPr>
        <xdr:cNvPr id="14" name="TextBox 13">
          <a:extLst>
            <a:ext uri="{FF2B5EF4-FFF2-40B4-BE49-F238E27FC236}">
              <a16:creationId xmlns:a16="http://schemas.microsoft.com/office/drawing/2014/main" id="{F02F1ABE-1177-4C6F-87AA-9124BDC3A391}"/>
            </a:ext>
          </a:extLst>
        </xdr:cNvPr>
        <xdr:cNvSpPr txBox="1"/>
      </xdr:nvSpPr>
      <xdr:spPr>
        <a:xfrm>
          <a:off x="0" y="4862286"/>
          <a:ext cx="2176135" cy="299358"/>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Borse 2017 </a:t>
          </a:r>
          <a:endParaRPr lang="en-GB" sz="1100"/>
        </a:p>
      </xdr:txBody>
    </xdr:sp>
    <xdr:clientData/>
  </xdr:twoCellAnchor>
  <xdr:twoCellAnchor>
    <xdr:from>
      <xdr:col>0</xdr:col>
      <xdr:colOff>63500</xdr:colOff>
      <xdr:row>125</xdr:row>
      <xdr:rowOff>117929</xdr:rowOff>
    </xdr:from>
    <xdr:to>
      <xdr:col>3</xdr:col>
      <xdr:colOff>416278</xdr:colOff>
      <xdr:row>127</xdr:row>
      <xdr:rowOff>57604</xdr:rowOff>
    </xdr:to>
    <xdr:sp macro="" textlink="">
      <xdr:nvSpPr>
        <xdr:cNvPr id="11" name="TextBox 10">
          <a:extLst>
            <a:ext uri="{FF2B5EF4-FFF2-40B4-BE49-F238E27FC236}">
              <a16:creationId xmlns:a16="http://schemas.microsoft.com/office/drawing/2014/main" id="{477D8AED-F812-4867-A595-AB384529FCA5}"/>
            </a:ext>
          </a:extLst>
        </xdr:cNvPr>
        <xdr:cNvSpPr txBox="1"/>
      </xdr:nvSpPr>
      <xdr:spPr>
        <a:xfrm>
          <a:off x="63500" y="23930429"/>
          <a:ext cx="2176135" cy="32067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Fu 2019</a:t>
          </a:r>
          <a:endParaRPr lang="en-GB" sz="1100"/>
        </a:p>
      </xdr:txBody>
    </xdr:sp>
    <xdr:clientData/>
  </xdr:twoCellAnchor>
  <xdr:twoCellAnchor editAs="oneCell">
    <xdr:from>
      <xdr:col>0</xdr:col>
      <xdr:colOff>18143</xdr:colOff>
      <xdr:row>127</xdr:row>
      <xdr:rowOff>63500</xdr:rowOff>
    </xdr:from>
    <xdr:to>
      <xdr:col>17</xdr:col>
      <xdr:colOff>536275</xdr:colOff>
      <xdr:row>151</xdr:row>
      <xdr:rowOff>102243</xdr:rowOff>
    </xdr:to>
    <xdr:pic>
      <xdr:nvPicPr>
        <xdr:cNvPr id="12" name="Picture 11">
          <a:extLst>
            <a:ext uri="{FF2B5EF4-FFF2-40B4-BE49-F238E27FC236}">
              <a16:creationId xmlns:a16="http://schemas.microsoft.com/office/drawing/2014/main" id="{B8C30C7B-0C77-E85B-2A94-A0DA4A0DC72D}"/>
            </a:ext>
          </a:extLst>
        </xdr:cNvPr>
        <xdr:cNvPicPr>
          <a:picLocks noChangeAspect="1"/>
        </xdr:cNvPicPr>
      </xdr:nvPicPr>
      <xdr:blipFill>
        <a:blip xmlns:r="http://schemas.openxmlformats.org/officeDocument/2006/relationships" r:embed="rId7"/>
        <a:stretch>
          <a:fillRect/>
        </a:stretch>
      </xdr:blipFill>
      <xdr:spPr>
        <a:xfrm>
          <a:off x="18143" y="24257000"/>
          <a:ext cx="10850489" cy="4610743"/>
        </a:xfrm>
        <a:prstGeom prst="rect">
          <a:avLst/>
        </a:prstGeom>
      </xdr:spPr>
    </xdr:pic>
    <xdr:clientData/>
  </xdr:twoCellAnchor>
  <xdr:twoCellAnchor editAs="oneCell">
    <xdr:from>
      <xdr:col>17</xdr:col>
      <xdr:colOff>511175</xdr:colOff>
      <xdr:row>127</xdr:row>
      <xdr:rowOff>84818</xdr:rowOff>
    </xdr:from>
    <xdr:to>
      <xdr:col>31</xdr:col>
      <xdr:colOff>353590</xdr:colOff>
      <xdr:row>151</xdr:row>
      <xdr:rowOff>124279</xdr:rowOff>
    </xdr:to>
    <xdr:pic>
      <xdr:nvPicPr>
        <xdr:cNvPr id="15" name="Picture 14">
          <a:extLst>
            <a:ext uri="{FF2B5EF4-FFF2-40B4-BE49-F238E27FC236}">
              <a16:creationId xmlns:a16="http://schemas.microsoft.com/office/drawing/2014/main" id="{60E72D17-E506-1852-7A99-457BFCCA9F8B}"/>
            </a:ext>
          </a:extLst>
        </xdr:cNvPr>
        <xdr:cNvPicPr>
          <a:picLocks noChangeAspect="1"/>
        </xdr:cNvPicPr>
      </xdr:nvPicPr>
      <xdr:blipFill>
        <a:blip xmlns:r="http://schemas.openxmlformats.org/officeDocument/2006/relationships" r:embed="rId8"/>
        <a:stretch>
          <a:fillRect/>
        </a:stretch>
      </xdr:blipFill>
      <xdr:spPr>
        <a:xfrm>
          <a:off x="10843532" y="24278318"/>
          <a:ext cx="8345065" cy="4605111"/>
        </a:xfrm>
        <a:prstGeom prst="rect">
          <a:avLst/>
        </a:prstGeom>
      </xdr:spPr>
    </xdr:pic>
    <xdr:clientData/>
  </xdr:twoCellAnchor>
  <xdr:twoCellAnchor>
    <xdr:from>
      <xdr:col>0</xdr:col>
      <xdr:colOff>0</xdr:colOff>
      <xdr:row>152</xdr:row>
      <xdr:rowOff>9071</xdr:rowOff>
    </xdr:from>
    <xdr:to>
      <xdr:col>3</xdr:col>
      <xdr:colOff>352778</xdr:colOff>
      <xdr:row>153</xdr:row>
      <xdr:rowOff>130176</xdr:rowOff>
    </xdr:to>
    <xdr:sp macro="" textlink="">
      <xdr:nvSpPr>
        <xdr:cNvPr id="10" name="TextBox 9">
          <a:extLst>
            <a:ext uri="{FF2B5EF4-FFF2-40B4-BE49-F238E27FC236}">
              <a16:creationId xmlns:a16="http://schemas.microsoft.com/office/drawing/2014/main" id="{C03FDE7D-C455-4F1C-983E-39A4A5D8530A}"/>
            </a:ext>
          </a:extLst>
        </xdr:cNvPr>
        <xdr:cNvSpPr txBox="1"/>
      </xdr:nvSpPr>
      <xdr:spPr>
        <a:xfrm>
          <a:off x="0" y="27586214"/>
          <a:ext cx="2176135" cy="30253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Heart</a:t>
          </a:r>
          <a:r>
            <a:rPr lang="en-GB" sz="1100" baseline="0"/>
            <a:t> 2019</a:t>
          </a:r>
          <a:endParaRPr lang="en-GB" sz="1100"/>
        </a:p>
      </xdr:txBody>
    </xdr:sp>
    <xdr:clientData/>
  </xdr:twoCellAnchor>
  <xdr:twoCellAnchor editAs="oneCell">
    <xdr:from>
      <xdr:col>0</xdr:col>
      <xdr:colOff>0</xdr:colOff>
      <xdr:row>154</xdr:row>
      <xdr:rowOff>0</xdr:rowOff>
    </xdr:from>
    <xdr:to>
      <xdr:col>15</xdr:col>
      <xdr:colOff>266648</xdr:colOff>
      <xdr:row>188</xdr:row>
      <xdr:rowOff>26719</xdr:rowOff>
    </xdr:to>
    <xdr:pic>
      <xdr:nvPicPr>
        <xdr:cNvPr id="18" name="Picture 17">
          <a:extLst>
            <a:ext uri="{FF2B5EF4-FFF2-40B4-BE49-F238E27FC236}">
              <a16:creationId xmlns:a16="http://schemas.microsoft.com/office/drawing/2014/main" id="{08FB49A2-C2E3-F0A8-E16D-8BBEB60D942A}"/>
            </a:ext>
          </a:extLst>
        </xdr:cNvPr>
        <xdr:cNvPicPr>
          <a:picLocks noChangeAspect="1"/>
        </xdr:cNvPicPr>
      </xdr:nvPicPr>
      <xdr:blipFill>
        <a:blip xmlns:r="http://schemas.openxmlformats.org/officeDocument/2006/relationships" r:embed="rId9"/>
        <a:stretch>
          <a:fillRect/>
        </a:stretch>
      </xdr:blipFill>
      <xdr:spPr>
        <a:xfrm>
          <a:off x="0" y="27940000"/>
          <a:ext cx="9383434" cy="6201640"/>
        </a:xfrm>
        <a:prstGeom prst="rect">
          <a:avLst/>
        </a:prstGeom>
      </xdr:spPr>
    </xdr:pic>
    <xdr:clientData/>
  </xdr:twoCellAnchor>
  <xdr:twoCellAnchor editAs="oneCell">
    <xdr:from>
      <xdr:col>0</xdr:col>
      <xdr:colOff>18144</xdr:colOff>
      <xdr:row>187</xdr:row>
      <xdr:rowOff>163286</xdr:rowOff>
    </xdr:from>
    <xdr:to>
      <xdr:col>15</xdr:col>
      <xdr:colOff>341950</xdr:colOff>
      <xdr:row>217</xdr:row>
      <xdr:rowOff>140910</xdr:rowOff>
    </xdr:to>
    <xdr:pic>
      <xdr:nvPicPr>
        <xdr:cNvPr id="19" name="Picture 18">
          <a:extLst>
            <a:ext uri="{FF2B5EF4-FFF2-40B4-BE49-F238E27FC236}">
              <a16:creationId xmlns:a16="http://schemas.microsoft.com/office/drawing/2014/main" id="{8883BDF2-079B-04E9-5F4C-9502A78C9245}"/>
            </a:ext>
          </a:extLst>
        </xdr:cNvPr>
        <xdr:cNvPicPr>
          <a:picLocks noChangeAspect="1"/>
        </xdr:cNvPicPr>
      </xdr:nvPicPr>
      <xdr:blipFill>
        <a:blip xmlns:r="http://schemas.openxmlformats.org/officeDocument/2006/relationships" r:embed="rId10"/>
        <a:stretch>
          <a:fillRect/>
        </a:stretch>
      </xdr:blipFill>
      <xdr:spPr>
        <a:xfrm>
          <a:off x="18144" y="34090429"/>
          <a:ext cx="9440592" cy="5420481"/>
        </a:xfrm>
        <a:prstGeom prst="rect">
          <a:avLst/>
        </a:prstGeom>
      </xdr:spPr>
    </xdr:pic>
    <xdr:clientData/>
  </xdr:twoCellAnchor>
  <xdr:twoCellAnchor editAs="oneCell">
    <xdr:from>
      <xdr:col>0</xdr:col>
      <xdr:colOff>0</xdr:colOff>
      <xdr:row>220</xdr:row>
      <xdr:rowOff>0</xdr:rowOff>
    </xdr:from>
    <xdr:to>
      <xdr:col>19</xdr:col>
      <xdr:colOff>493450</xdr:colOff>
      <xdr:row>260</xdr:row>
      <xdr:rowOff>64180</xdr:rowOff>
    </xdr:to>
    <xdr:pic>
      <xdr:nvPicPr>
        <xdr:cNvPr id="21" name="Picture 20">
          <a:extLst>
            <a:ext uri="{FF2B5EF4-FFF2-40B4-BE49-F238E27FC236}">
              <a16:creationId xmlns:a16="http://schemas.microsoft.com/office/drawing/2014/main" id="{414B023F-4E7E-D0F8-286D-0B007A583DB6}"/>
            </a:ext>
          </a:extLst>
        </xdr:cNvPr>
        <xdr:cNvPicPr>
          <a:picLocks noChangeAspect="1"/>
        </xdr:cNvPicPr>
      </xdr:nvPicPr>
      <xdr:blipFill>
        <a:blip xmlns:r="http://schemas.openxmlformats.org/officeDocument/2006/relationships" r:embed="rId11"/>
        <a:stretch>
          <a:fillRect/>
        </a:stretch>
      </xdr:blipFill>
      <xdr:spPr>
        <a:xfrm>
          <a:off x="0" y="40357778"/>
          <a:ext cx="12022228" cy="7401958"/>
        </a:xfrm>
        <a:prstGeom prst="rect">
          <a:avLst/>
        </a:prstGeom>
      </xdr:spPr>
    </xdr:pic>
    <xdr:clientData/>
  </xdr:twoCellAnchor>
  <xdr:twoCellAnchor>
    <xdr:from>
      <xdr:col>0</xdr:col>
      <xdr:colOff>0</xdr:colOff>
      <xdr:row>218</xdr:row>
      <xdr:rowOff>63500</xdr:rowOff>
    </xdr:from>
    <xdr:to>
      <xdr:col>3</xdr:col>
      <xdr:colOff>352778</xdr:colOff>
      <xdr:row>220</xdr:row>
      <xdr:rowOff>1160</xdr:rowOff>
    </xdr:to>
    <xdr:sp macro="" textlink="">
      <xdr:nvSpPr>
        <xdr:cNvPr id="22" name="TextBox 21">
          <a:extLst>
            <a:ext uri="{FF2B5EF4-FFF2-40B4-BE49-F238E27FC236}">
              <a16:creationId xmlns:a16="http://schemas.microsoft.com/office/drawing/2014/main" id="{1952C994-91F6-4D6F-BDF4-3BAA716060E5}"/>
            </a:ext>
          </a:extLst>
        </xdr:cNvPr>
        <xdr:cNvSpPr txBox="1"/>
      </xdr:nvSpPr>
      <xdr:spPr>
        <a:xfrm>
          <a:off x="0" y="40054389"/>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Jiang</a:t>
          </a:r>
          <a:r>
            <a:rPr lang="en-GB" sz="1100" baseline="0"/>
            <a:t> 2015</a:t>
          </a:r>
          <a:endParaRPr lang="en-GB" sz="1100"/>
        </a:p>
      </xdr:txBody>
    </xdr:sp>
    <xdr:clientData/>
  </xdr:twoCellAnchor>
  <xdr:twoCellAnchor editAs="oneCell">
    <xdr:from>
      <xdr:col>0</xdr:col>
      <xdr:colOff>0</xdr:colOff>
      <xdr:row>261</xdr:row>
      <xdr:rowOff>0</xdr:rowOff>
    </xdr:from>
    <xdr:to>
      <xdr:col>12</xdr:col>
      <xdr:colOff>409223</xdr:colOff>
      <xdr:row>297</xdr:row>
      <xdr:rowOff>182739</xdr:rowOff>
    </xdr:to>
    <xdr:pic>
      <xdr:nvPicPr>
        <xdr:cNvPr id="16" name="Picture 15">
          <a:extLst>
            <a:ext uri="{FF2B5EF4-FFF2-40B4-BE49-F238E27FC236}">
              <a16:creationId xmlns:a16="http://schemas.microsoft.com/office/drawing/2014/main" id="{1E868E81-72D0-3565-FAC0-E37734B78777}"/>
            </a:ext>
          </a:extLst>
        </xdr:cNvPr>
        <xdr:cNvPicPr>
          <a:picLocks noChangeAspect="1"/>
        </xdr:cNvPicPr>
      </xdr:nvPicPr>
      <xdr:blipFill>
        <a:blip xmlns:r="http://schemas.openxmlformats.org/officeDocument/2006/relationships" r:embed="rId12"/>
        <a:stretch>
          <a:fillRect/>
        </a:stretch>
      </xdr:blipFill>
      <xdr:spPr>
        <a:xfrm>
          <a:off x="0" y="47879000"/>
          <a:ext cx="7690556" cy="6780389"/>
        </a:xfrm>
        <a:prstGeom prst="rect">
          <a:avLst/>
        </a:prstGeom>
      </xdr:spPr>
    </xdr:pic>
    <xdr:clientData/>
  </xdr:twoCellAnchor>
  <xdr:twoCellAnchor>
    <xdr:from>
      <xdr:col>0</xdr:col>
      <xdr:colOff>0</xdr:colOff>
      <xdr:row>261</xdr:row>
      <xdr:rowOff>0</xdr:rowOff>
    </xdr:from>
    <xdr:to>
      <xdr:col>3</xdr:col>
      <xdr:colOff>352778</xdr:colOff>
      <xdr:row>262</xdr:row>
      <xdr:rowOff>121105</xdr:rowOff>
    </xdr:to>
    <xdr:sp macro="" textlink="">
      <xdr:nvSpPr>
        <xdr:cNvPr id="17" name="TextBox 16">
          <a:extLst>
            <a:ext uri="{FF2B5EF4-FFF2-40B4-BE49-F238E27FC236}">
              <a16:creationId xmlns:a16="http://schemas.microsoft.com/office/drawing/2014/main" id="{B3800B35-5C47-48C5-85A9-5EFB923A3DD1}"/>
            </a:ext>
          </a:extLst>
        </xdr:cNvPr>
        <xdr:cNvSpPr txBox="1"/>
      </xdr:nvSpPr>
      <xdr:spPr>
        <a:xfrm>
          <a:off x="0" y="47879000"/>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a:t>
          </a:r>
          <a:r>
            <a:rPr lang="en-GB" sz="1100" baseline="0"/>
            <a:t> </a:t>
          </a:r>
          <a:r>
            <a:rPr lang="en-GB" sz="1100">
              <a:solidFill>
                <a:schemeClr val="dk1"/>
              </a:solidFill>
              <a:effectLst/>
              <a:latin typeface="+mn-lt"/>
              <a:ea typeface="+mn-ea"/>
              <a:cs typeface="+mn-cs"/>
            </a:rPr>
            <a:t>DG 59</a:t>
          </a:r>
          <a:endParaRPr lang="en-GB" sz="1100"/>
        </a:p>
      </xdr:txBody>
    </xdr:sp>
    <xdr:clientData/>
  </xdr:twoCellAnchor>
  <xdr:twoCellAnchor editAs="oneCell">
    <xdr:from>
      <xdr:col>0</xdr:col>
      <xdr:colOff>0</xdr:colOff>
      <xdr:row>328</xdr:row>
      <xdr:rowOff>0</xdr:rowOff>
    </xdr:from>
    <xdr:to>
      <xdr:col>14</xdr:col>
      <xdr:colOff>445750</xdr:colOff>
      <xdr:row>367</xdr:row>
      <xdr:rowOff>21400</xdr:rowOff>
    </xdr:to>
    <xdr:pic>
      <xdr:nvPicPr>
        <xdr:cNvPr id="23" name="Picture 22">
          <a:extLst>
            <a:ext uri="{FF2B5EF4-FFF2-40B4-BE49-F238E27FC236}">
              <a16:creationId xmlns:a16="http://schemas.microsoft.com/office/drawing/2014/main" id="{5D29CA8E-0DBF-6935-CB6E-07C1C85365F1}"/>
            </a:ext>
          </a:extLst>
        </xdr:cNvPr>
        <xdr:cNvPicPr>
          <a:picLocks noChangeAspect="1"/>
        </xdr:cNvPicPr>
      </xdr:nvPicPr>
      <xdr:blipFill>
        <a:blip xmlns:r="http://schemas.openxmlformats.org/officeDocument/2006/relationships" r:embed="rId13"/>
        <a:stretch>
          <a:fillRect/>
        </a:stretch>
      </xdr:blipFill>
      <xdr:spPr>
        <a:xfrm>
          <a:off x="0" y="54428571"/>
          <a:ext cx="8954750" cy="7097115"/>
        </a:xfrm>
        <a:prstGeom prst="rect">
          <a:avLst/>
        </a:prstGeom>
      </xdr:spPr>
    </xdr:pic>
    <xdr:clientData/>
  </xdr:twoCellAnchor>
  <xdr:twoCellAnchor>
    <xdr:from>
      <xdr:col>0</xdr:col>
      <xdr:colOff>0</xdr:colOff>
      <xdr:row>328</xdr:row>
      <xdr:rowOff>0</xdr:rowOff>
    </xdr:from>
    <xdr:to>
      <xdr:col>3</xdr:col>
      <xdr:colOff>352778</xdr:colOff>
      <xdr:row>329</xdr:row>
      <xdr:rowOff>121105</xdr:rowOff>
    </xdr:to>
    <xdr:sp macro="" textlink="">
      <xdr:nvSpPr>
        <xdr:cNvPr id="24" name="TextBox 23">
          <a:extLst>
            <a:ext uri="{FF2B5EF4-FFF2-40B4-BE49-F238E27FC236}">
              <a16:creationId xmlns:a16="http://schemas.microsoft.com/office/drawing/2014/main" id="{F131A49A-8786-4467-B191-A39EB4F17C21}"/>
            </a:ext>
          </a:extLst>
        </xdr:cNvPr>
        <xdr:cNvSpPr txBox="1"/>
      </xdr:nvSpPr>
      <xdr:spPr>
        <a:xfrm>
          <a:off x="0" y="54428571"/>
          <a:ext cx="2176135" cy="30253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 -</a:t>
          </a:r>
          <a:r>
            <a:rPr lang="en-GB" sz="1100" baseline="0"/>
            <a:t> NG 185 </a:t>
          </a:r>
          <a:endParaRPr lang="en-GB" sz="1100"/>
        </a:p>
      </xdr:txBody>
    </xdr:sp>
    <xdr:clientData/>
  </xdr:twoCellAnchor>
  <xdr:twoCellAnchor editAs="oneCell">
    <xdr:from>
      <xdr:col>14</xdr:col>
      <xdr:colOff>272143</xdr:colOff>
      <xdr:row>329</xdr:row>
      <xdr:rowOff>117929</xdr:rowOff>
    </xdr:from>
    <xdr:to>
      <xdr:col>29</xdr:col>
      <xdr:colOff>468931</xdr:colOff>
      <xdr:row>366</xdr:row>
      <xdr:rowOff>83029</xdr:rowOff>
    </xdr:to>
    <xdr:pic>
      <xdr:nvPicPr>
        <xdr:cNvPr id="25" name="Picture 24">
          <a:extLst>
            <a:ext uri="{FF2B5EF4-FFF2-40B4-BE49-F238E27FC236}">
              <a16:creationId xmlns:a16="http://schemas.microsoft.com/office/drawing/2014/main" id="{70EC8700-55F9-3786-9776-1E0AAF716E2B}"/>
            </a:ext>
          </a:extLst>
        </xdr:cNvPr>
        <xdr:cNvPicPr>
          <a:picLocks noChangeAspect="1"/>
        </xdr:cNvPicPr>
      </xdr:nvPicPr>
      <xdr:blipFill>
        <a:blip xmlns:r="http://schemas.openxmlformats.org/officeDocument/2006/relationships" r:embed="rId14"/>
        <a:stretch>
          <a:fillRect/>
        </a:stretch>
      </xdr:blipFill>
      <xdr:spPr>
        <a:xfrm>
          <a:off x="8781143" y="54727929"/>
          <a:ext cx="9307224" cy="6677957"/>
        </a:xfrm>
        <a:prstGeom prst="rect">
          <a:avLst/>
        </a:prstGeom>
      </xdr:spPr>
    </xdr:pic>
    <xdr:clientData/>
  </xdr:twoCellAnchor>
  <xdr:twoCellAnchor>
    <xdr:from>
      <xdr:col>0</xdr:col>
      <xdr:colOff>15240</xdr:colOff>
      <xdr:row>368</xdr:row>
      <xdr:rowOff>0</xdr:rowOff>
    </xdr:from>
    <xdr:to>
      <xdr:col>2</xdr:col>
      <xdr:colOff>5644</xdr:colOff>
      <xdr:row>369</xdr:row>
      <xdr:rowOff>92145</xdr:rowOff>
    </xdr:to>
    <xdr:sp macro="" textlink="">
      <xdr:nvSpPr>
        <xdr:cNvPr id="20" name="TextBox 19">
          <a:extLst>
            <a:ext uri="{FF2B5EF4-FFF2-40B4-BE49-F238E27FC236}">
              <a16:creationId xmlns:a16="http://schemas.microsoft.com/office/drawing/2014/main" id="{78B8C638-A3CC-447B-B4F2-89F1D60CC1B0}"/>
            </a:ext>
          </a:extLst>
        </xdr:cNvPr>
        <xdr:cNvSpPr txBox="1"/>
      </xdr:nvSpPr>
      <xdr:spPr>
        <a:xfrm>
          <a:off x="15240" y="62371111"/>
          <a:ext cx="120396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2016</a:t>
          </a:r>
          <a:endParaRPr lang="en-GB" sz="1100" kern="1200"/>
        </a:p>
      </xdr:txBody>
    </xdr:sp>
    <xdr:clientData/>
  </xdr:twoCellAnchor>
  <xdr:twoCellAnchor editAs="oneCell">
    <xdr:from>
      <xdr:col>0</xdr:col>
      <xdr:colOff>0</xdr:colOff>
      <xdr:row>369</xdr:row>
      <xdr:rowOff>96031</xdr:rowOff>
    </xdr:from>
    <xdr:to>
      <xdr:col>13</xdr:col>
      <xdr:colOff>465200</xdr:colOff>
      <xdr:row>397</xdr:row>
      <xdr:rowOff>150524</xdr:rowOff>
    </xdr:to>
    <xdr:pic>
      <xdr:nvPicPr>
        <xdr:cNvPr id="26" name="Picture 25">
          <a:extLst>
            <a:ext uri="{FF2B5EF4-FFF2-40B4-BE49-F238E27FC236}">
              <a16:creationId xmlns:a16="http://schemas.microsoft.com/office/drawing/2014/main" id="{E0AF6F95-EEEA-4848-848A-CD8CCD14FB1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1584363" y="61066224"/>
          <a:ext cx="5190936" cy="8359661"/>
        </a:xfrm>
        <a:prstGeom prst="rect">
          <a:avLst/>
        </a:prstGeom>
      </xdr:spPr>
    </xdr:pic>
    <xdr:clientData/>
  </xdr:twoCellAnchor>
  <xdr:twoCellAnchor>
    <xdr:from>
      <xdr:col>0</xdr:col>
      <xdr:colOff>0</xdr:colOff>
      <xdr:row>398</xdr:row>
      <xdr:rowOff>167217</xdr:rowOff>
    </xdr:from>
    <xdr:to>
      <xdr:col>1</xdr:col>
      <xdr:colOff>593372</xdr:colOff>
      <xdr:row>400</xdr:row>
      <xdr:rowOff>79728</xdr:rowOff>
    </xdr:to>
    <xdr:sp macro="" textlink="">
      <xdr:nvSpPr>
        <xdr:cNvPr id="27" name="TextBox 26">
          <a:extLst>
            <a:ext uri="{FF2B5EF4-FFF2-40B4-BE49-F238E27FC236}">
              <a16:creationId xmlns:a16="http://schemas.microsoft.com/office/drawing/2014/main" id="{F2956A57-C510-4B70-AE4E-3EC1692D8F54}"/>
            </a:ext>
          </a:extLst>
        </xdr:cNvPr>
        <xdr:cNvSpPr txBox="1"/>
      </xdr:nvSpPr>
      <xdr:spPr>
        <a:xfrm>
          <a:off x="0" y="68041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Limbdi</a:t>
          </a:r>
          <a:r>
            <a:rPr lang="en-GB" sz="1100" kern="1200" baseline="0"/>
            <a:t> 2020</a:t>
          </a:r>
          <a:endParaRPr lang="en-GB" sz="1100" kern="1200"/>
        </a:p>
      </xdr:txBody>
    </xdr:sp>
    <xdr:clientData/>
  </xdr:twoCellAnchor>
  <xdr:twoCellAnchor editAs="oneCell">
    <xdr:from>
      <xdr:col>0</xdr:col>
      <xdr:colOff>0</xdr:colOff>
      <xdr:row>400</xdr:row>
      <xdr:rowOff>168628</xdr:rowOff>
    </xdr:from>
    <xdr:to>
      <xdr:col>15</xdr:col>
      <xdr:colOff>98376</xdr:colOff>
      <xdr:row>420</xdr:row>
      <xdr:rowOff>57948</xdr:rowOff>
    </xdr:to>
    <xdr:pic>
      <xdr:nvPicPr>
        <xdr:cNvPr id="28" name="Picture 27">
          <a:extLst>
            <a:ext uri="{FF2B5EF4-FFF2-40B4-BE49-F238E27FC236}">
              <a16:creationId xmlns:a16="http://schemas.microsoft.com/office/drawing/2014/main" id="{94090C09-96CD-4009-851E-89DF92B8ABD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8409961"/>
          <a:ext cx="9200043" cy="3558209"/>
        </a:xfrm>
        <a:prstGeom prst="rect">
          <a:avLst/>
        </a:prstGeom>
      </xdr:spPr>
    </xdr:pic>
    <xdr:clientData/>
  </xdr:twoCellAnchor>
  <xdr:twoCellAnchor>
    <xdr:from>
      <xdr:col>0</xdr:col>
      <xdr:colOff>0</xdr:colOff>
      <xdr:row>424</xdr:row>
      <xdr:rowOff>1411</xdr:rowOff>
    </xdr:from>
    <xdr:to>
      <xdr:col>1</xdr:col>
      <xdr:colOff>589562</xdr:colOff>
      <xdr:row>425</xdr:row>
      <xdr:rowOff>93557</xdr:rowOff>
    </xdr:to>
    <xdr:sp macro="" textlink="">
      <xdr:nvSpPr>
        <xdr:cNvPr id="29" name="TextBox 28">
          <a:extLst>
            <a:ext uri="{FF2B5EF4-FFF2-40B4-BE49-F238E27FC236}">
              <a16:creationId xmlns:a16="http://schemas.microsoft.com/office/drawing/2014/main" id="{DC01CD20-5C5F-43FC-B87C-F0990978B8D4}"/>
            </a:ext>
          </a:extLst>
        </xdr:cNvPr>
        <xdr:cNvSpPr txBox="1"/>
      </xdr:nvSpPr>
      <xdr:spPr>
        <a:xfrm>
          <a:off x="0" y="726454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2017</a:t>
          </a:r>
          <a:endParaRPr lang="en-GB" sz="1100" kern="1200"/>
        </a:p>
      </xdr:txBody>
    </xdr:sp>
    <xdr:clientData/>
  </xdr:twoCellAnchor>
  <xdr:twoCellAnchor editAs="oneCell">
    <xdr:from>
      <xdr:col>0</xdr:col>
      <xdr:colOff>0</xdr:colOff>
      <xdr:row>426</xdr:row>
      <xdr:rowOff>2822</xdr:rowOff>
    </xdr:from>
    <xdr:to>
      <xdr:col>8</xdr:col>
      <xdr:colOff>533584</xdr:colOff>
      <xdr:row>457</xdr:row>
      <xdr:rowOff>67728</xdr:rowOff>
    </xdr:to>
    <xdr:pic>
      <xdr:nvPicPr>
        <xdr:cNvPr id="30" name="Picture 29">
          <a:extLst>
            <a:ext uri="{FF2B5EF4-FFF2-40B4-BE49-F238E27FC236}">
              <a16:creationId xmlns:a16="http://schemas.microsoft.com/office/drawing/2014/main" id="{B8C57421-DE9D-4851-8570-A992F668007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3013711"/>
          <a:ext cx="5387806" cy="5745334"/>
        </a:xfrm>
        <a:prstGeom prst="rect">
          <a:avLst/>
        </a:prstGeom>
      </xdr:spPr>
    </xdr:pic>
    <xdr:clientData/>
  </xdr:twoCellAnchor>
  <xdr:twoCellAnchor>
    <xdr:from>
      <xdr:col>0</xdr:col>
      <xdr:colOff>0</xdr:colOff>
      <xdr:row>459</xdr:row>
      <xdr:rowOff>26105</xdr:rowOff>
    </xdr:from>
    <xdr:to>
      <xdr:col>1</xdr:col>
      <xdr:colOff>593372</xdr:colOff>
      <xdr:row>460</xdr:row>
      <xdr:rowOff>122061</xdr:rowOff>
    </xdr:to>
    <xdr:sp macro="" textlink="">
      <xdr:nvSpPr>
        <xdr:cNvPr id="31" name="TextBox 30">
          <a:extLst>
            <a:ext uri="{FF2B5EF4-FFF2-40B4-BE49-F238E27FC236}">
              <a16:creationId xmlns:a16="http://schemas.microsoft.com/office/drawing/2014/main" id="{30E71559-0D01-4711-9CC8-8F490320C6CE}"/>
            </a:ext>
          </a:extLst>
        </xdr:cNvPr>
        <xdr:cNvSpPr txBox="1"/>
      </xdr:nvSpPr>
      <xdr:spPr>
        <a:xfrm>
          <a:off x="0" y="79090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Kazi</a:t>
          </a:r>
          <a:r>
            <a:rPr lang="en-GB" sz="1100" kern="1200" baseline="0"/>
            <a:t> 2014</a:t>
          </a:r>
          <a:endParaRPr lang="en-GB" sz="1100" kern="1200"/>
        </a:p>
      </xdr:txBody>
    </xdr:sp>
    <xdr:clientData/>
  </xdr:twoCellAnchor>
  <xdr:twoCellAnchor editAs="oneCell">
    <xdr:from>
      <xdr:col>0</xdr:col>
      <xdr:colOff>0</xdr:colOff>
      <xdr:row>461</xdr:row>
      <xdr:rowOff>27517</xdr:rowOff>
    </xdr:from>
    <xdr:to>
      <xdr:col>15</xdr:col>
      <xdr:colOff>403203</xdr:colOff>
      <xdr:row>495</xdr:row>
      <xdr:rowOff>22191</xdr:rowOff>
    </xdr:to>
    <xdr:pic>
      <xdr:nvPicPr>
        <xdr:cNvPr id="32" name="Picture 31">
          <a:extLst>
            <a:ext uri="{FF2B5EF4-FFF2-40B4-BE49-F238E27FC236}">
              <a16:creationId xmlns:a16="http://schemas.microsoft.com/office/drawing/2014/main" id="{A7D86B3C-E446-42A6-B5E2-831AD75E0FA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79458961"/>
          <a:ext cx="9504870" cy="6231786"/>
        </a:xfrm>
        <a:prstGeom prst="rect">
          <a:avLst/>
        </a:prstGeom>
      </xdr:spPr>
    </xdr:pic>
    <xdr:clientData/>
  </xdr:twoCellAnchor>
  <xdr:twoCellAnchor>
    <xdr:from>
      <xdr:col>0</xdr:col>
      <xdr:colOff>0</xdr:colOff>
      <xdr:row>496</xdr:row>
      <xdr:rowOff>52211</xdr:rowOff>
    </xdr:from>
    <xdr:to>
      <xdr:col>1</xdr:col>
      <xdr:colOff>589562</xdr:colOff>
      <xdr:row>497</xdr:row>
      <xdr:rowOff>144357</xdr:rowOff>
    </xdr:to>
    <xdr:sp macro="" textlink="">
      <xdr:nvSpPr>
        <xdr:cNvPr id="33" name="TextBox 32">
          <a:extLst>
            <a:ext uri="{FF2B5EF4-FFF2-40B4-BE49-F238E27FC236}">
              <a16:creationId xmlns:a16="http://schemas.microsoft.com/office/drawing/2014/main" id="{398582AF-CA04-4A85-8E08-3EB64AE5A2E3}"/>
            </a:ext>
          </a:extLst>
        </xdr:cNvPr>
        <xdr:cNvSpPr txBox="1"/>
      </xdr:nvSpPr>
      <xdr:spPr>
        <a:xfrm>
          <a:off x="0" y="859042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2021</a:t>
          </a:r>
        </a:p>
      </xdr:txBody>
    </xdr:sp>
    <xdr:clientData/>
  </xdr:twoCellAnchor>
  <xdr:twoCellAnchor editAs="oneCell">
    <xdr:from>
      <xdr:col>0</xdr:col>
      <xdr:colOff>0</xdr:colOff>
      <xdr:row>498</xdr:row>
      <xdr:rowOff>53622</xdr:rowOff>
    </xdr:from>
    <xdr:to>
      <xdr:col>14</xdr:col>
      <xdr:colOff>371616</xdr:colOff>
      <xdr:row>511</xdr:row>
      <xdr:rowOff>121319</xdr:rowOff>
    </xdr:to>
    <xdr:pic>
      <xdr:nvPicPr>
        <xdr:cNvPr id="34" name="Picture 33">
          <a:extLst>
            <a:ext uri="{FF2B5EF4-FFF2-40B4-BE49-F238E27FC236}">
              <a16:creationId xmlns:a16="http://schemas.microsoft.com/office/drawing/2014/main" id="{D2AED02E-68C3-488F-8CE9-0F1556A413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86272511"/>
          <a:ext cx="8860155" cy="2452476"/>
        </a:xfrm>
        <a:prstGeom prst="rect">
          <a:avLst/>
        </a:prstGeom>
      </xdr:spPr>
    </xdr:pic>
    <xdr:clientData/>
  </xdr:twoCellAnchor>
  <xdr:twoCellAnchor>
    <xdr:from>
      <xdr:col>0</xdr:col>
      <xdr:colOff>0</xdr:colOff>
      <xdr:row>514</xdr:row>
      <xdr:rowOff>64911</xdr:rowOff>
    </xdr:from>
    <xdr:to>
      <xdr:col>1</xdr:col>
      <xdr:colOff>593372</xdr:colOff>
      <xdr:row>515</xdr:row>
      <xdr:rowOff>160867</xdr:rowOff>
    </xdr:to>
    <xdr:sp macro="" textlink="">
      <xdr:nvSpPr>
        <xdr:cNvPr id="35" name="TextBox 34">
          <a:extLst>
            <a:ext uri="{FF2B5EF4-FFF2-40B4-BE49-F238E27FC236}">
              <a16:creationId xmlns:a16="http://schemas.microsoft.com/office/drawing/2014/main" id="{DEEC4E04-7B3D-43B3-AC64-9256F0C6FA76}"/>
            </a:ext>
          </a:extLst>
        </xdr:cNvPr>
        <xdr:cNvSpPr txBox="1"/>
      </xdr:nvSpPr>
      <xdr:spPr>
        <a:xfrm>
          <a:off x="0" y="8921891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2019</a:t>
          </a:r>
        </a:p>
      </xdr:txBody>
    </xdr:sp>
    <xdr:clientData/>
  </xdr:twoCellAnchor>
  <xdr:twoCellAnchor editAs="oneCell">
    <xdr:from>
      <xdr:col>0</xdr:col>
      <xdr:colOff>0</xdr:colOff>
      <xdr:row>516</xdr:row>
      <xdr:rowOff>66322</xdr:rowOff>
    </xdr:from>
    <xdr:to>
      <xdr:col>16</xdr:col>
      <xdr:colOff>114587</xdr:colOff>
      <xdr:row>540</xdr:row>
      <xdr:rowOff>152218</xdr:rowOff>
    </xdr:to>
    <xdr:pic>
      <xdr:nvPicPr>
        <xdr:cNvPr id="36" name="Picture 35">
          <a:extLst>
            <a:ext uri="{FF2B5EF4-FFF2-40B4-BE49-F238E27FC236}">
              <a16:creationId xmlns:a16="http://schemas.microsoft.com/office/drawing/2014/main" id="{1976A807-43A9-4FAD-8FE1-714F19F9BC6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9587211"/>
          <a:ext cx="9823031" cy="4488562"/>
        </a:xfrm>
        <a:prstGeom prst="rect">
          <a:avLst/>
        </a:prstGeom>
      </xdr:spPr>
    </xdr:pic>
    <xdr:clientData/>
  </xdr:twoCellAnchor>
  <xdr:twoCellAnchor>
    <xdr:from>
      <xdr:col>0</xdr:col>
      <xdr:colOff>0</xdr:colOff>
      <xdr:row>543</xdr:row>
      <xdr:rowOff>85372</xdr:rowOff>
    </xdr:from>
    <xdr:to>
      <xdr:col>1</xdr:col>
      <xdr:colOff>593372</xdr:colOff>
      <xdr:row>544</xdr:row>
      <xdr:rowOff>181328</xdr:rowOff>
    </xdr:to>
    <xdr:sp macro="" textlink="">
      <xdr:nvSpPr>
        <xdr:cNvPr id="37" name="TextBox 36">
          <a:extLst>
            <a:ext uri="{FF2B5EF4-FFF2-40B4-BE49-F238E27FC236}">
              <a16:creationId xmlns:a16="http://schemas.microsoft.com/office/drawing/2014/main" id="{FCA0D0B7-2C4E-42EC-91F9-D0299817E174}"/>
            </a:ext>
          </a:extLst>
        </xdr:cNvPr>
        <xdr:cNvSpPr txBox="1"/>
      </xdr:nvSpPr>
      <xdr:spPr>
        <a:xfrm>
          <a:off x="0" y="94559261"/>
          <a:ext cx="1200150" cy="27940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Patel 2014</a:t>
          </a:r>
        </a:p>
      </xdr:txBody>
    </xdr:sp>
    <xdr:clientData/>
  </xdr:twoCellAnchor>
  <xdr:twoCellAnchor editAs="oneCell">
    <xdr:from>
      <xdr:col>0</xdr:col>
      <xdr:colOff>0</xdr:colOff>
      <xdr:row>545</xdr:row>
      <xdr:rowOff>83607</xdr:rowOff>
    </xdr:from>
    <xdr:to>
      <xdr:col>14</xdr:col>
      <xdr:colOff>344311</xdr:colOff>
      <xdr:row>583</xdr:row>
      <xdr:rowOff>47825</xdr:rowOff>
    </xdr:to>
    <xdr:pic>
      <xdr:nvPicPr>
        <xdr:cNvPr id="38" name="Picture 37">
          <a:extLst>
            <a:ext uri="{FF2B5EF4-FFF2-40B4-BE49-F238E27FC236}">
              <a16:creationId xmlns:a16="http://schemas.microsoft.com/office/drawing/2014/main" id="{81B7D452-919A-4B73-89C5-89DBD2ABF5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94924385"/>
          <a:ext cx="8839200" cy="6935107"/>
        </a:xfrm>
        <a:prstGeom prst="rect">
          <a:avLst/>
        </a:prstGeom>
      </xdr:spPr>
    </xdr:pic>
    <xdr:clientData/>
  </xdr:twoCellAnchor>
  <xdr:twoCellAnchor>
    <xdr:from>
      <xdr:col>0</xdr:col>
      <xdr:colOff>0</xdr:colOff>
      <xdr:row>585</xdr:row>
      <xdr:rowOff>115005</xdr:rowOff>
    </xdr:from>
    <xdr:to>
      <xdr:col>1</xdr:col>
      <xdr:colOff>589562</xdr:colOff>
      <xdr:row>587</xdr:row>
      <xdr:rowOff>23707</xdr:rowOff>
    </xdr:to>
    <xdr:sp macro="" textlink="">
      <xdr:nvSpPr>
        <xdr:cNvPr id="39" name="TextBox 38">
          <a:extLst>
            <a:ext uri="{FF2B5EF4-FFF2-40B4-BE49-F238E27FC236}">
              <a16:creationId xmlns:a16="http://schemas.microsoft.com/office/drawing/2014/main" id="{0F7C4A7A-BD8F-4458-BB37-A324F609C864}"/>
            </a:ext>
          </a:extLst>
        </xdr:cNvPr>
        <xdr:cNvSpPr txBox="1"/>
      </xdr:nvSpPr>
      <xdr:spPr>
        <a:xfrm>
          <a:off x="0" y="102293561"/>
          <a:ext cx="1196340" cy="27559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Wang 2018</a:t>
          </a:r>
        </a:p>
      </xdr:txBody>
    </xdr:sp>
    <xdr:clientData/>
  </xdr:twoCellAnchor>
  <xdr:twoCellAnchor editAs="oneCell">
    <xdr:from>
      <xdr:col>1</xdr:col>
      <xdr:colOff>2822</xdr:colOff>
      <xdr:row>588</xdr:row>
      <xdr:rowOff>117122</xdr:rowOff>
    </xdr:from>
    <xdr:to>
      <xdr:col>15</xdr:col>
      <xdr:colOff>340278</xdr:colOff>
      <xdr:row>620</xdr:row>
      <xdr:rowOff>141472</xdr:rowOff>
    </xdr:to>
    <xdr:pic>
      <xdr:nvPicPr>
        <xdr:cNvPr id="40" name="Picture 39">
          <a:extLst>
            <a:ext uri="{FF2B5EF4-FFF2-40B4-BE49-F238E27FC236}">
              <a16:creationId xmlns:a16="http://schemas.microsoft.com/office/drawing/2014/main" id="{1FF83489-1D45-4983-B0D1-3C1A2557477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02846011"/>
          <a:ext cx="8832345" cy="5900923"/>
        </a:xfrm>
        <a:prstGeom prst="rect">
          <a:avLst/>
        </a:prstGeom>
      </xdr:spPr>
    </xdr:pic>
    <xdr:clientData/>
  </xdr:twoCellAnchor>
  <xdr:twoCellAnchor editAs="oneCell">
    <xdr:from>
      <xdr:col>17</xdr:col>
      <xdr:colOff>464214</xdr:colOff>
      <xdr:row>592</xdr:row>
      <xdr:rowOff>119944</xdr:rowOff>
    </xdr:from>
    <xdr:to>
      <xdr:col>29</xdr:col>
      <xdr:colOff>295012</xdr:colOff>
      <xdr:row>614</xdr:row>
      <xdr:rowOff>113241</xdr:rowOff>
    </xdr:to>
    <xdr:pic>
      <xdr:nvPicPr>
        <xdr:cNvPr id="41" name="Picture 40">
          <a:extLst>
            <a:ext uri="{FF2B5EF4-FFF2-40B4-BE49-F238E27FC236}">
              <a16:creationId xmlns:a16="http://schemas.microsoft.com/office/drawing/2014/main" id="{D89DBD55-CDD4-4918-B47C-6E06DFE945E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779436" y="103582611"/>
          <a:ext cx="7118482" cy="4029075"/>
        </a:xfrm>
        <a:prstGeom prst="rect">
          <a:avLst/>
        </a:prstGeom>
      </xdr:spPr>
    </xdr:pic>
    <xdr:clientData/>
  </xdr:twoCellAnchor>
  <xdr:twoCellAnchor editAs="oneCell">
    <xdr:from>
      <xdr:col>0</xdr:col>
      <xdr:colOff>0</xdr:colOff>
      <xdr:row>624</xdr:row>
      <xdr:rowOff>0</xdr:rowOff>
    </xdr:from>
    <xdr:to>
      <xdr:col>16</xdr:col>
      <xdr:colOff>468809</xdr:colOff>
      <xdr:row>651</xdr:row>
      <xdr:rowOff>178428</xdr:rowOff>
    </xdr:to>
    <xdr:pic>
      <xdr:nvPicPr>
        <xdr:cNvPr id="42" name="Picture 41">
          <a:extLst>
            <a:ext uri="{FF2B5EF4-FFF2-40B4-BE49-F238E27FC236}">
              <a16:creationId xmlns:a16="http://schemas.microsoft.com/office/drawing/2014/main" id="{C9BB5B89-5ED1-4F9B-B94B-87D168B62E0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111125000"/>
          <a:ext cx="10263871" cy="5221075"/>
        </a:xfrm>
        <a:prstGeom prst="rect">
          <a:avLst/>
        </a:prstGeom>
      </xdr:spPr>
    </xdr:pic>
    <xdr:clientData/>
  </xdr:twoCellAnchor>
  <xdr:twoCellAnchor>
    <xdr:from>
      <xdr:col>0</xdr:col>
      <xdr:colOff>0</xdr:colOff>
      <xdr:row>622</xdr:row>
      <xdr:rowOff>0</xdr:rowOff>
    </xdr:from>
    <xdr:to>
      <xdr:col>1</xdr:col>
      <xdr:colOff>589562</xdr:colOff>
      <xdr:row>623</xdr:row>
      <xdr:rowOff>95467</xdr:rowOff>
    </xdr:to>
    <xdr:sp macro="" textlink="">
      <xdr:nvSpPr>
        <xdr:cNvPr id="43" name="TextBox 42">
          <a:extLst>
            <a:ext uri="{FF2B5EF4-FFF2-40B4-BE49-F238E27FC236}">
              <a16:creationId xmlns:a16="http://schemas.microsoft.com/office/drawing/2014/main" id="{8DA954F4-1543-47DD-A299-B49154FF83B5}"/>
            </a:ext>
          </a:extLst>
        </xdr:cNvPr>
        <xdr:cNvSpPr txBox="1"/>
      </xdr:nvSpPr>
      <xdr:spPr>
        <a:xfrm>
          <a:off x="0" y="110938235"/>
          <a:ext cx="1202150" cy="282232"/>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Dong 2020</a:t>
          </a:r>
        </a:p>
      </xdr:txBody>
    </xdr:sp>
    <xdr:clientData/>
  </xdr:twoCellAnchor>
  <xdr:twoCellAnchor editAs="oneCell">
    <xdr:from>
      <xdr:col>0</xdr:col>
      <xdr:colOff>511954</xdr:colOff>
      <xdr:row>298</xdr:row>
      <xdr:rowOff>35704</xdr:rowOff>
    </xdr:from>
    <xdr:to>
      <xdr:col>14</xdr:col>
      <xdr:colOff>255938</xdr:colOff>
      <xdr:row>324</xdr:row>
      <xdr:rowOff>145792</xdr:rowOff>
    </xdr:to>
    <xdr:pic>
      <xdr:nvPicPr>
        <xdr:cNvPr id="45" name="Picture 44">
          <a:extLst>
            <a:ext uri="{FF2B5EF4-FFF2-40B4-BE49-F238E27FC236}">
              <a16:creationId xmlns:a16="http://schemas.microsoft.com/office/drawing/2014/main" id="{E5FBC877-15FD-37C5-01E3-C04AF28CAE41}"/>
            </a:ext>
          </a:extLst>
        </xdr:cNvPr>
        <xdr:cNvPicPr>
          <a:picLocks noChangeAspect="1"/>
        </xdr:cNvPicPr>
      </xdr:nvPicPr>
      <xdr:blipFill>
        <a:blip xmlns:r="http://schemas.openxmlformats.org/officeDocument/2006/relationships" r:embed="rId25"/>
        <a:stretch>
          <a:fillRect/>
        </a:stretch>
      </xdr:blipFill>
      <xdr:spPr>
        <a:xfrm>
          <a:off x="511954" y="55066877"/>
          <a:ext cx="8316484" cy="49114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5" name="Straight Connector 13">
          <a:extLst>
            <a:ext uri="{FF2B5EF4-FFF2-40B4-BE49-F238E27FC236}">
              <a16:creationId xmlns:a16="http://schemas.microsoft.com/office/drawing/2014/main" id="{02823512-7133-4678-82E2-165E2EEE34C4}"/>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8" name="Straight Connector 7">
          <a:extLst>
            <a:ext uri="{FF2B5EF4-FFF2-40B4-BE49-F238E27FC236}">
              <a16:creationId xmlns:a16="http://schemas.microsoft.com/office/drawing/2014/main" id="{FECF0132-C8C7-4ECB-958C-02121C4F7301}"/>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9" name="Straight Connector 8">
          <a:extLst>
            <a:ext uri="{FF2B5EF4-FFF2-40B4-BE49-F238E27FC236}">
              <a16:creationId xmlns:a16="http://schemas.microsoft.com/office/drawing/2014/main" id="{BE6D85D2-18B8-4EA8-B512-8C0CD1000AD9}"/>
            </a:ext>
          </a:extLst>
        </xdr:cNvPr>
        <xdr:cNvCxnSpPr/>
      </xdr:nvCxnSpPr>
      <xdr:spPr>
        <a:xfrm>
          <a:off x="5475827" y="1690792"/>
          <a:ext cx="19917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10" name="Straight Connector 9">
          <a:extLst>
            <a:ext uri="{FF2B5EF4-FFF2-40B4-BE49-F238E27FC236}">
              <a16:creationId xmlns:a16="http://schemas.microsoft.com/office/drawing/2014/main" id="{6BDD4BCE-C211-4D29-AD5E-C31F92BB0F8A}"/>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18" name="Oval 17">
          <a:extLst>
            <a:ext uri="{FF2B5EF4-FFF2-40B4-BE49-F238E27FC236}">
              <a16:creationId xmlns:a16="http://schemas.microsoft.com/office/drawing/2014/main" id="{43248D9C-6C8C-440A-9B18-E4DB9B285C87}"/>
            </a:ext>
          </a:extLst>
        </xdr:cNvPr>
        <xdr:cNvSpPr/>
      </xdr:nvSpPr>
      <xdr:spPr>
        <a:xfrm>
          <a:off x="12579203" y="11321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19" name="Oval 18">
          <a:extLst>
            <a:ext uri="{FF2B5EF4-FFF2-40B4-BE49-F238E27FC236}">
              <a16:creationId xmlns:a16="http://schemas.microsoft.com/office/drawing/2014/main" id="{6A89E056-5305-443E-BFB2-13252A431EB8}"/>
            </a:ext>
          </a:extLst>
        </xdr:cNvPr>
        <xdr:cNvSpPr/>
      </xdr:nvSpPr>
      <xdr:spPr>
        <a:xfrm>
          <a:off x="12653975" y="42608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20" name="Oval 19">
          <a:extLst>
            <a:ext uri="{FF2B5EF4-FFF2-40B4-BE49-F238E27FC236}">
              <a16:creationId xmlns:a16="http://schemas.microsoft.com/office/drawing/2014/main" id="{F3841B7F-D28B-4BE6-AB85-E35F272A822C}"/>
            </a:ext>
          </a:extLst>
        </xdr:cNvPr>
        <xdr:cNvSpPr/>
      </xdr:nvSpPr>
      <xdr:spPr>
        <a:xfrm>
          <a:off x="14032980" y="22251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21" name="Oval 20">
          <a:extLst>
            <a:ext uri="{FF2B5EF4-FFF2-40B4-BE49-F238E27FC236}">
              <a16:creationId xmlns:a16="http://schemas.microsoft.com/office/drawing/2014/main" id="{ECC3A608-9DDA-41BD-B298-97C77BE69918}"/>
            </a:ext>
          </a:extLst>
        </xdr:cNvPr>
        <xdr:cNvSpPr/>
      </xdr:nvSpPr>
      <xdr:spPr>
        <a:xfrm>
          <a:off x="11002911" y="22083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22" name="Oval 21">
          <a:extLst>
            <a:ext uri="{FF2B5EF4-FFF2-40B4-BE49-F238E27FC236}">
              <a16:creationId xmlns:a16="http://schemas.microsoft.com/office/drawing/2014/main" id="{FDF98841-81C5-4212-8A54-ACC4EA466A11}"/>
            </a:ext>
          </a:extLst>
        </xdr:cNvPr>
        <xdr:cNvSpPr/>
      </xdr:nvSpPr>
      <xdr:spPr>
        <a:xfrm>
          <a:off x="14043438" y="33703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23" name="Oval 22">
          <a:extLst>
            <a:ext uri="{FF2B5EF4-FFF2-40B4-BE49-F238E27FC236}">
              <a16:creationId xmlns:a16="http://schemas.microsoft.com/office/drawing/2014/main" id="{2E094B93-F7E4-4376-8937-DF4025592D73}"/>
            </a:ext>
          </a:extLst>
        </xdr:cNvPr>
        <xdr:cNvSpPr/>
      </xdr:nvSpPr>
      <xdr:spPr>
        <a:xfrm>
          <a:off x="11118704" y="3786480"/>
          <a:ext cx="1208609" cy="54373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24" name="Freeform: Shape 23">
          <a:extLst>
            <a:ext uri="{FF2B5EF4-FFF2-40B4-BE49-F238E27FC236}">
              <a16:creationId xmlns:a16="http://schemas.microsoft.com/office/drawing/2014/main" id="{5E31ED5F-0EEC-4A6D-B08B-EA832A6CA2A1}"/>
            </a:ext>
          </a:extLst>
        </xdr:cNvPr>
        <xdr:cNvSpPr/>
      </xdr:nvSpPr>
      <xdr:spPr>
        <a:xfrm>
          <a:off x="11125274" y="13861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25" name="Freeform: Shape 24">
          <a:extLst>
            <a:ext uri="{FF2B5EF4-FFF2-40B4-BE49-F238E27FC236}">
              <a16:creationId xmlns:a16="http://schemas.microsoft.com/office/drawing/2014/main" id="{97CA5B3C-B194-4905-B382-FEB0402CB8DE}"/>
            </a:ext>
          </a:extLst>
        </xdr:cNvPr>
        <xdr:cNvSpPr/>
      </xdr:nvSpPr>
      <xdr:spPr>
        <a:xfrm>
          <a:off x="13782489" y="13786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26" name="Straight Arrow Connector 25">
          <a:extLst>
            <a:ext uri="{FF2B5EF4-FFF2-40B4-BE49-F238E27FC236}">
              <a16:creationId xmlns:a16="http://schemas.microsoft.com/office/drawing/2014/main" id="{F58A5F04-B4A5-4FF6-82D7-19E055CA5093}"/>
            </a:ext>
          </a:extLst>
        </xdr:cNvPr>
        <xdr:cNvCxnSpPr/>
      </xdr:nvCxnSpPr>
      <xdr:spPr>
        <a:xfrm>
          <a:off x="14641767" y="27684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27" name="Straight Arrow Connector 26">
          <a:extLst>
            <a:ext uri="{FF2B5EF4-FFF2-40B4-BE49-F238E27FC236}">
              <a16:creationId xmlns:a16="http://schemas.microsoft.com/office/drawing/2014/main" id="{1C1AB313-9B0E-49AD-9606-E449F9D6F15B}"/>
            </a:ext>
          </a:extLst>
        </xdr:cNvPr>
        <xdr:cNvCxnSpPr/>
      </xdr:nvCxnSpPr>
      <xdr:spPr>
        <a:xfrm>
          <a:off x="11619168" y="27591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28" name="Freeform: Shape 27">
          <a:extLst>
            <a:ext uri="{FF2B5EF4-FFF2-40B4-BE49-F238E27FC236}">
              <a16:creationId xmlns:a16="http://schemas.microsoft.com/office/drawing/2014/main" id="{29ED481B-DA62-48C1-8AE3-E537081FC2FB}"/>
            </a:ext>
          </a:extLst>
        </xdr:cNvPr>
        <xdr:cNvSpPr/>
      </xdr:nvSpPr>
      <xdr:spPr>
        <a:xfrm>
          <a:off x="11366500" y="39045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29" name="Freeform: Shape 28">
          <a:extLst>
            <a:ext uri="{FF2B5EF4-FFF2-40B4-BE49-F238E27FC236}">
              <a16:creationId xmlns:a16="http://schemas.microsoft.com/office/drawing/2014/main" id="{6228D7C3-6CE1-42F9-B1C6-6ECCD8A97280}"/>
            </a:ext>
          </a:extLst>
        </xdr:cNvPr>
        <xdr:cNvSpPr/>
      </xdr:nvSpPr>
      <xdr:spPr>
        <a:xfrm>
          <a:off x="13879606" y="39045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30" name="Freeform: Shape 29">
          <a:extLst>
            <a:ext uri="{FF2B5EF4-FFF2-40B4-BE49-F238E27FC236}">
              <a16:creationId xmlns:a16="http://schemas.microsoft.com/office/drawing/2014/main" id="{40956725-7630-4F33-888A-97CDD7E33BFE}"/>
            </a:ext>
          </a:extLst>
        </xdr:cNvPr>
        <xdr:cNvSpPr/>
      </xdr:nvSpPr>
      <xdr:spPr>
        <a:xfrm>
          <a:off x="13187829" y="9430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31" name="Freeform: Shape 30">
          <a:extLst>
            <a:ext uri="{FF2B5EF4-FFF2-40B4-BE49-F238E27FC236}">
              <a16:creationId xmlns:a16="http://schemas.microsoft.com/office/drawing/2014/main" id="{DFB23232-13AE-4FD4-838A-846B56E86953}"/>
            </a:ext>
          </a:extLst>
        </xdr:cNvPr>
        <xdr:cNvSpPr/>
      </xdr:nvSpPr>
      <xdr:spPr>
        <a:xfrm>
          <a:off x="15203394" y="36706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32" name="Freeform: Shape 31">
          <a:extLst>
            <a:ext uri="{FF2B5EF4-FFF2-40B4-BE49-F238E27FC236}">
              <a16:creationId xmlns:a16="http://schemas.microsoft.com/office/drawing/2014/main" id="{245B7AFD-B2C4-41B0-9CEC-63E6B6AF35AC}"/>
            </a:ext>
          </a:extLst>
        </xdr:cNvPr>
        <xdr:cNvSpPr/>
      </xdr:nvSpPr>
      <xdr:spPr>
        <a:xfrm>
          <a:off x="10979720" y="33010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33" name="Freeform: Shape 32">
          <a:extLst>
            <a:ext uri="{FF2B5EF4-FFF2-40B4-BE49-F238E27FC236}">
              <a16:creationId xmlns:a16="http://schemas.microsoft.com/office/drawing/2014/main" id="{42062B20-F84C-4665-86DD-6ADF7D9F1DED}"/>
            </a:ext>
          </a:extLst>
        </xdr:cNvPr>
        <xdr:cNvSpPr/>
      </xdr:nvSpPr>
      <xdr:spPr>
        <a:xfrm>
          <a:off x="12789540" y="47953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34" name="Freeform: Shape 33">
          <a:extLst>
            <a:ext uri="{FF2B5EF4-FFF2-40B4-BE49-F238E27FC236}">
              <a16:creationId xmlns:a16="http://schemas.microsoft.com/office/drawing/2014/main" id="{4DD59DF3-B676-4A34-8859-6C6A7B2A5730}"/>
            </a:ext>
          </a:extLst>
        </xdr:cNvPr>
        <xdr:cNvSpPr/>
      </xdr:nvSpPr>
      <xdr:spPr>
        <a:xfrm>
          <a:off x="13195301" y="16797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35" name="Freeform: Shape 34">
          <a:extLst>
            <a:ext uri="{FF2B5EF4-FFF2-40B4-BE49-F238E27FC236}">
              <a16:creationId xmlns:a16="http://schemas.microsoft.com/office/drawing/2014/main" id="{D897CCB8-A0D6-45A9-892D-669D152C0F70}"/>
            </a:ext>
          </a:extLst>
        </xdr:cNvPr>
        <xdr:cNvSpPr/>
      </xdr:nvSpPr>
      <xdr:spPr>
        <a:xfrm>
          <a:off x="13300956" y="27697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36" name="Freeform: Shape 35">
          <a:extLst>
            <a:ext uri="{FF2B5EF4-FFF2-40B4-BE49-F238E27FC236}">
              <a16:creationId xmlns:a16="http://schemas.microsoft.com/office/drawing/2014/main" id="{02A7C7E5-46B3-4A7D-966C-E5A88E9E0DBE}"/>
            </a:ext>
          </a:extLst>
        </xdr:cNvPr>
        <xdr:cNvSpPr/>
      </xdr:nvSpPr>
      <xdr:spPr>
        <a:xfrm>
          <a:off x="11635442" y="27573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37" name="TextBox 12">
          <a:extLst>
            <a:ext uri="{FF2B5EF4-FFF2-40B4-BE49-F238E27FC236}">
              <a16:creationId xmlns:a16="http://schemas.microsoft.com/office/drawing/2014/main" id="{22B1E650-7D60-4901-BC4A-3D547FE8FA74}"/>
            </a:ext>
          </a:extLst>
        </xdr:cNvPr>
        <xdr:cNvSpPr txBox="1"/>
      </xdr:nvSpPr>
      <xdr:spPr>
        <a:xfrm>
          <a:off x="604972" y="92280"/>
          <a:ext cx="9754599"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67236</xdr:rowOff>
    </xdr:to>
    <xdr:sp macro="" textlink="">
      <xdr:nvSpPr>
        <xdr:cNvPr id="38" name="TextBox 12">
          <a:extLst>
            <a:ext uri="{FF2B5EF4-FFF2-40B4-BE49-F238E27FC236}">
              <a16:creationId xmlns:a16="http://schemas.microsoft.com/office/drawing/2014/main" id="{D270E973-D0D2-4270-AE17-A8703FD33983}"/>
            </a:ext>
          </a:extLst>
        </xdr:cNvPr>
        <xdr:cNvSpPr txBox="1"/>
      </xdr:nvSpPr>
      <xdr:spPr>
        <a:xfrm>
          <a:off x="14198387" y="90714"/>
          <a:ext cx="5499419" cy="350051"/>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20</xdr:col>
      <xdr:colOff>463441</xdr:colOff>
      <xdr:row>15</xdr:row>
      <xdr:rowOff>107570</xdr:rowOff>
    </xdr:from>
    <xdr:to>
      <xdr:col>27</xdr:col>
      <xdr:colOff>143198</xdr:colOff>
      <xdr:row>21</xdr:row>
      <xdr:rowOff>11462</xdr:rowOff>
    </xdr:to>
    <xdr:sp macro="" textlink="">
      <xdr:nvSpPr>
        <xdr:cNvPr id="40" name="TextBox 12">
          <a:extLst>
            <a:ext uri="{FF2B5EF4-FFF2-40B4-BE49-F238E27FC236}">
              <a16:creationId xmlns:a16="http://schemas.microsoft.com/office/drawing/2014/main" id="{2874C7D7-1A41-4228-B666-15EBD2A8F42A}"/>
            </a:ext>
          </a:extLst>
        </xdr:cNvPr>
        <xdr:cNvSpPr txBox="1"/>
      </xdr:nvSpPr>
      <xdr:spPr>
        <a:xfrm>
          <a:off x="12646370" y="2828999"/>
          <a:ext cx="1630114" cy="992463"/>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42" name="TextBox 12">
          <a:extLst>
            <a:ext uri="{FF2B5EF4-FFF2-40B4-BE49-F238E27FC236}">
              <a16:creationId xmlns:a16="http://schemas.microsoft.com/office/drawing/2014/main" id="{411EBABF-ABB1-4CD0-8AD0-0E9393B2A6C8}"/>
            </a:ext>
          </a:extLst>
        </xdr:cNvPr>
        <xdr:cNvSpPr txBox="1"/>
      </xdr:nvSpPr>
      <xdr:spPr>
        <a:xfrm>
          <a:off x="4283973" y="17077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607785</xdr:colOff>
      <xdr:row>14</xdr:row>
      <xdr:rowOff>80116</xdr:rowOff>
    </xdr:from>
    <xdr:to>
      <xdr:col>13</xdr:col>
      <xdr:colOff>36286</xdr:colOff>
      <xdr:row>15</xdr:row>
      <xdr:rowOff>72570</xdr:rowOff>
    </xdr:to>
    <xdr:grpSp>
      <xdr:nvGrpSpPr>
        <xdr:cNvPr id="43" name="Group 42">
          <a:extLst>
            <a:ext uri="{FF2B5EF4-FFF2-40B4-BE49-F238E27FC236}">
              <a16:creationId xmlns:a16="http://schemas.microsoft.com/office/drawing/2014/main" id="{A86BCCE8-8D41-43B5-9E53-AD29BA2A9CA3}"/>
            </a:ext>
          </a:extLst>
        </xdr:cNvPr>
        <xdr:cNvGrpSpPr/>
      </xdr:nvGrpSpPr>
      <xdr:grpSpPr>
        <a:xfrm>
          <a:off x="7331314" y="2799410"/>
          <a:ext cx="1445560" cy="186689"/>
          <a:chOff x="2196350" y="2409473"/>
          <a:chExt cx="1517524" cy="107732"/>
        </a:xfrm>
      </xdr:grpSpPr>
      <xdr:cxnSp macro="">
        <xdr:nvCxnSpPr>
          <xdr:cNvPr id="44" name="Straight Connector 13">
            <a:extLst>
              <a:ext uri="{FF2B5EF4-FFF2-40B4-BE49-F238E27FC236}">
                <a16:creationId xmlns:a16="http://schemas.microsoft.com/office/drawing/2014/main" id="{CF9F80CB-DB41-EE68-BDA1-6A53F0ADB46A}"/>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45" name="Oval 16">
            <a:extLst>
              <a:ext uri="{FF2B5EF4-FFF2-40B4-BE49-F238E27FC236}">
                <a16:creationId xmlns:a16="http://schemas.microsoft.com/office/drawing/2014/main" id="{FE44FEE2-4291-50F3-22EB-6FAF3A9CD1DA}"/>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46" name="TextBox 12">
          <a:extLst>
            <a:ext uri="{FF2B5EF4-FFF2-40B4-BE49-F238E27FC236}">
              <a16:creationId xmlns:a16="http://schemas.microsoft.com/office/drawing/2014/main" id="{DD199262-904D-482F-951B-61F95E12BD3A}"/>
            </a:ext>
          </a:extLst>
        </xdr:cNvPr>
        <xdr:cNvSpPr txBox="1"/>
      </xdr:nvSpPr>
      <xdr:spPr>
        <a:xfrm>
          <a:off x="4285673" y="27659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47" name="Straight Connector 46">
          <a:extLst>
            <a:ext uri="{FF2B5EF4-FFF2-40B4-BE49-F238E27FC236}">
              <a16:creationId xmlns:a16="http://schemas.microsoft.com/office/drawing/2014/main" id="{C70EFF68-A4B1-4B11-9BF8-D3EA7FE4AD32}"/>
            </a:ext>
          </a:extLst>
        </xdr:cNvPr>
        <xdr:cNvCxnSpPr/>
      </xdr:nvCxnSpPr>
      <xdr:spPr>
        <a:xfrm flipH="1">
          <a:off x="4274403" y="20647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48" name="Straight Connector 13">
          <a:extLst>
            <a:ext uri="{FF2B5EF4-FFF2-40B4-BE49-F238E27FC236}">
              <a16:creationId xmlns:a16="http://schemas.microsoft.com/office/drawing/2014/main" id="{5760CED5-8D3A-4E27-B4A4-6739AE80894E}"/>
            </a:ext>
          </a:extLst>
        </xdr:cNvPr>
        <xdr:cNvCxnSpPr/>
      </xdr:nvCxnSpPr>
      <xdr:spPr>
        <a:xfrm>
          <a:off x="6738471" y="4295588"/>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49" name="Straight Connector 3">
          <a:extLst>
            <a:ext uri="{FF2B5EF4-FFF2-40B4-BE49-F238E27FC236}">
              <a16:creationId xmlns:a16="http://schemas.microsoft.com/office/drawing/2014/main" id="{D0269747-0E9D-4718-ACCF-912A16B394EA}"/>
            </a:ext>
          </a:extLst>
        </xdr:cNvPr>
        <xdr:cNvCxnSpPr/>
      </xdr:nvCxnSpPr>
      <xdr:spPr>
        <a:xfrm flipV="1">
          <a:off x="3768613" y="4303059"/>
          <a:ext cx="609152"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50" name="Rectangle 49">
          <a:extLst>
            <a:ext uri="{FF2B5EF4-FFF2-40B4-BE49-F238E27FC236}">
              <a16:creationId xmlns:a16="http://schemas.microsoft.com/office/drawing/2014/main" id="{3580051A-BEA5-421E-AC4C-AAD348BCE9C4}"/>
            </a:ext>
          </a:extLst>
        </xdr:cNvPr>
        <xdr:cNvSpPr/>
      </xdr:nvSpPr>
      <xdr:spPr>
        <a:xfrm>
          <a:off x="4181500" y="4203808"/>
          <a:ext cx="217075" cy="21350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51" name="Straight Connector 50">
          <a:extLst>
            <a:ext uri="{FF2B5EF4-FFF2-40B4-BE49-F238E27FC236}">
              <a16:creationId xmlns:a16="http://schemas.microsoft.com/office/drawing/2014/main" id="{D93F7F35-226A-4E8D-A690-0F708A1B2D98}"/>
            </a:ext>
          </a:extLst>
        </xdr:cNvPr>
        <xdr:cNvCxnSpPr/>
      </xdr:nvCxnSpPr>
      <xdr:spPr>
        <a:xfrm>
          <a:off x="4288118" y="3548529"/>
          <a:ext cx="0" cy="186764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52" name="Straight Connector 13">
          <a:extLst>
            <a:ext uri="{FF2B5EF4-FFF2-40B4-BE49-F238E27FC236}">
              <a16:creationId xmlns:a16="http://schemas.microsoft.com/office/drawing/2014/main" id="{C7BF2A30-7FBC-4277-BF28-9708725245FE}"/>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54" name="TextBox 12">
          <a:extLst>
            <a:ext uri="{FF2B5EF4-FFF2-40B4-BE49-F238E27FC236}">
              <a16:creationId xmlns:a16="http://schemas.microsoft.com/office/drawing/2014/main" id="{E5FB9977-9732-4BCB-896D-E854D3663AA3}"/>
            </a:ext>
          </a:extLst>
        </xdr:cNvPr>
        <xdr:cNvSpPr txBox="1"/>
      </xdr:nvSpPr>
      <xdr:spPr>
        <a:xfrm>
          <a:off x="4633891" y="3354294"/>
          <a:ext cx="1499461" cy="366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55" name="Straight Connector 54">
          <a:extLst>
            <a:ext uri="{FF2B5EF4-FFF2-40B4-BE49-F238E27FC236}">
              <a16:creationId xmlns:a16="http://schemas.microsoft.com/office/drawing/2014/main" id="{3585C4AB-0E24-4B60-904B-9A429CC8B238}"/>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56" name="TextBox 12">
          <a:extLst>
            <a:ext uri="{FF2B5EF4-FFF2-40B4-BE49-F238E27FC236}">
              <a16:creationId xmlns:a16="http://schemas.microsoft.com/office/drawing/2014/main" id="{D076D5F4-ACE2-439D-AF8B-44C3D75BE062}"/>
            </a:ext>
          </a:extLst>
        </xdr:cNvPr>
        <xdr:cNvSpPr txBox="1"/>
      </xdr:nvSpPr>
      <xdr:spPr>
        <a:xfrm>
          <a:off x="5972035" y="1097643"/>
          <a:ext cx="686395" cy="44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57" name="Straight Connector 56">
          <a:extLst>
            <a:ext uri="{FF2B5EF4-FFF2-40B4-BE49-F238E27FC236}">
              <a16:creationId xmlns:a16="http://schemas.microsoft.com/office/drawing/2014/main" id="{D50A6C43-0A48-4103-9225-D5F069026E20}"/>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59" name="Straight Connector 82">
          <a:extLst>
            <a:ext uri="{FF2B5EF4-FFF2-40B4-BE49-F238E27FC236}">
              <a16:creationId xmlns:a16="http://schemas.microsoft.com/office/drawing/2014/main" id="{CB04D556-AF78-492D-8A6E-E9349BE0ACC1}"/>
            </a:ext>
          </a:extLst>
        </xdr:cNvPr>
        <xdr:cNvCxnSpPr/>
      </xdr:nvCxnSpPr>
      <xdr:spPr>
        <a:xfrm>
          <a:off x="4297098" y="3555155"/>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36287</xdr:colOff>
      <xdr:row>0</xdr:row>
      <xdr:rowOff>92279</xdr:rowOff>
    </xdr:from>
    <xdr:to>
      <xdr:col>26</xdr:col>
      <xdr:colOff>9072</xdr:colOff>
      <xdr:row>2</xdr:row>
      <xdr:rowOff>72572</xdr:rowOff>
    </xdr:to>
    <xdr:sp macro="" textlink="">
      <xdr:nvSpPr>
        <xdr:cNvPr id="63" name="TextBox 12">
          <a:extLst>
            <a:ext uri="{FF2B5EF4-FFF2-40B4-BE49-F238E27FC236}">
              <a16:creationId xmlns:a16="http://schemas.microsoft.com/office/drawing/2014/main" id="{A58D723B-8188-4728-9787-D1F7B3E14BD1}"/>
            </a:ext>
          </a:extLst>
        </xdr:cNvPr>
        <xdr:cNvSpPr txBox="1"/>
      </xdr:nvSpPr>
      <xdr:spPr>
        <a:xfrm>
          <a:off x="1859644" y="92279"/>
          <a:ext cx="12155714"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64" name="TextBox 12">
          <a:extLst>
            <a:ext uri="{FF2B5EF4-FFF2-40B4-BE49-F238E27FC236}">
              <a16:creationId xmlns:a16="http://schemas.microsoft.com/office/drawing/2014/main" id="{676276D2-E6F1-4EA8-A803-50FBEBB834A2}"/>
            </a:ext>
          </a:extLst>
        </xdr:cNvPr>
        <xdr:cNvSpPr txBox="1"/>
      </xdr:nvSpPr>
      <xdr:spPr>
        <a:xfrm>
          <a:off x="1971713" y="3818538"/>
          <a:ext cx="1809684" cy="1015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66" name="TextBox 12">
          <a:extLst>
            <a:ext uri="{FF2B5EF4-FFF2-40B4-BE49-F238E27FC236}">
              <a16:creationId xmlns:a16="http://schemas.microsoft.com/office/drawing/2014/main" id="{F7682FE4-A20D-436D-AA57-6751EBC3F1AA}"/>
            </a:ext>
          </a:extLst>
        </xdr:cNvPr>
        <xdr:cNvSpPr txBox="1"/>
      </xdr:nvSpPr>
      <xdr:spPr>
        <a:xfrm>
          <a:off x="4283973" y="17077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70" name="TextBox 12">
          <a:extLst>
            <a:ext uri="{FF2B5EF4-FFF2-40B4-BE49-F238E27FC236}">
              <a16:creationId xmlns:a16="http://schemas.microsoft.com/office/drawing/2014/main" id="{2CA89AD7-F380-4800-A5A8-E5DB6C207D67}"/>
            </a:ext>
          </a:extLst>
        </xdr:cNvPr>
        <xdr:cNvSpPr txBox="1"/>
      </xdr:nvSpPr>
      <xdr:spPr>
        <a:xfrm>
          <a:off x="4285674" y="27659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75" name="TextBox 12">
          <a:extLst>
            <a:ext uri="{FF2B5EF4-FFF2-40B4-BE49-F238E27FC236}">
              <a16:creationId xmlns:a16="http://schemas.microsoft.com/office/drawing/2014/main" id="{4E2F9161-F88C-4352-8FFD-CCDB9BCA8128}"/>
            </a:ext>
          </a:extLst>
        </xdr:cNvPr>
        <xdr:cNvSpPr txBox="1"/>
      </xdr:nvSpPr>
      <xdr:spPr>
        <a:xfrm>
          <a:off x="5308928" y="1457251"/>
          <a:ext cx="569962" cy="21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76" name="TextBox 12">
          <a:extLst>
            <a:ext uri="{FF2B5EF4-FFF2-40B4-BE49-F238E27FC236}">
              <a16:creationId xmlns:a16="http://schemas.microsoft.com/office/drawing/2014/main" id="{AA5A6CF7-7033-453F-80B4-1F566756066A}"/>
            </a:ext>
          </a:extLst>
        </xdr:cNvPr>
        <xdr:cNvSpPr txBox="1"/>
      </xdr:nvSpPr>
      <xdr:spPr>
        <a:xfrm>
          <a:off x="5133895" y="2317122"/>
          <a:ext cx="774427" cy="225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83" name="Straight Connector 82">
          <a:extLst>
            <a:ext uri="{FF2B5EF4-FFF2-40B4-BE49-F238E27FC236}">
              <a16:creationId xmlns:a16="http://schemas.microsoft.com/office/drawing/2014/main" id="{C5262231-1AAB-4967-9E30-129266EB7242}"/>
            </a:ext>
          </a:extLst>
        </xdr:cNvPr>
        <xdr:cNvCxnSpPr/>
      </xdr:nvCxnSpPr>
      <xdr:spPr>
        <a:xfrm>
          <a:off x="5687786" y="1360714"/>
          <a:ext cx="9072" cy="57149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120" name="Group 119">
          <a:extLst>
            <a:ext uri="{FF2B5EF4-FFF2-40B4-BE49-F238E27FC236}">
              <a16:creationId xmlns:a16="http://schemas.microsoft.com/office/drawing/2014/main" id="{619A3DB0-54F7-91ED-3BE3-99BDC051D1CB}"/>
            </a:ext>
          </a:extLst>
        </xdr:cNvPr>
        <xdr:cNvGrpSpPr/>
      </xdr:nvGrpSpPr>
      <xdr:grpSpPr>
        <a:xfrm>
          <a:off x="12216240" y="878310"/>
          <a:ext cx="2916579" cy="1736891"/>
          <a:chOff x="6935612" y="418869"/>
          <a:chExt cx="2658310" cy="1621630"/>
        </a:xfrm>
      </xdr:grpSpPr>
      <xdr:sp macro="" textlink="">
        <xdr:nvSpPr>
          <xdr:cNvPr id="13" name="Rectangle 12">
            <a:extLst>
              <a:ext uri="{FF2B5EF4-FFF2-40B4-BE49-F238E27FC236}">
                <a16:creationId xmlns:a16="http://schemas.microsoft.com/office/drawing/2014/main" id="{88EA6631-86F1-4A75-A2C7-64170867273D}"/>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77" name="Straight Connector 76">
            <a:extLst>
              <a:ext uri="{FF2B5EF4-FFF2-40B4-BE49-F238E27FC236}">
                <a16:creationId xmlns:a16="http://schemas.microsoft.com/office/drawing/2014/main" id="{4829E64C-6C0B-432D-AEDF-5030D586958F}"/>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8" name="Straight Connector 77">
            <a:extLst>
              <a:ext uri="{FF2B5EF4-FFF2-40B4-BE49-F238E27FC236}">
                <a16:creationId xmlns:a16="http://schemas.microsoft.com/office/drawing/2014/main" id="{2DF6D080-59AC-443A-9953-F2E0F7EE3DB8}"/>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0" name="TextBox 12">
            <a:extLst>
              <a:ext uri="{FF2B5EF4-FFF2-40B4-BE49-F238E27FC236}">
                <a16:creationId xmlns:a16="http://schemas.microsoft.com/office/drawing/2014/main" id="{F84C51CD-4092-48F7-80B7-3CFD0E228A8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81" name="TextBox 12">
            <a:extLst>
              <a:ext uri="{FF2B5EF4-FFF2-40B4-BE49-F238E27FC236}">
                <a16:creationId xmlns:a16="http://schemas.microsoft.com/office/drawing/2014/main" id="{2818FDBD-41D6-41BA-A09E-4508AFBD676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82" name="TextBox 12">
            <a:extLst>
              <a:ext uri="{FF2B5EF4-FFF2-40B4-BE49-F238E27FC236}">
                <a16:creationId xmlns:a16="http://schemas.microsoft.com/office/drawing/2014/main" id="{430AAE70-196A-4644-A921-0DB7CF1E18DC}"/>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84" name="Straight Connector 83">
            <a:extLst>
              <a:ext uri="{FF2B5EF4-FFF2-40B4-BE49-F238E27FC236}">
                <a16:creationId xmlns:a16="http://schemas.microsoft.com/office/drawing/2014/main" id="{53AFEC19-6050-48F7-9B41-9C19FCCF9E55}"/>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5" name="Oval 17">
            <a:extLst>
              <a:ext uri="{FF2B5EF4-FFF2-40B4-BE49-F238E27FC236}">
                <a16:creationId xmlns:a16="http://schemas.microsoft.com/office/drawing/2014/main" id="{BF41B32E-9B6B-47AB-B00A-0DD9928F2C49}"/>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ight Brace 85">
            <a:extLst>
              <a:ext uri="{FF2B5EF4-FFF2-40B4-BE49-F238E27FC236}">
                <a16:creationId xmlns:a16="http://schemas.microsoft.com/office/drawing/2014/main" id="{B5C17640-7A39-41E3-8547-4E2925184A2E}"/>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87" name="Group 86">
            <a:extLst>
              <a:ext uri="{FF2B5EF4-FFF2-40B4-BE49-F238E27FC236}">
                <a16:creationId xmlns:a16="http://schemas.microsoft.com/office/drawing/2014/main" id="{6C19E039-8944-4320-8114-FC5E215D1815}"/>
              </a:ext>
            </a:extLst>
          </xdr:cNvPr>
          <xdr:cNvGrpSpPr/>
        </xdr:nvGrpSpPr>
        <xdr:grpSpPr>
          <a:xfrm>
            <a:off x="8335635" y="823261"/>
            <a:ext cx="1020997" cy="1017825"/>
            <a:chOff x="8389055" y="824269"/>
            <a:chExt cx="1018981" cy="1029919"/>
          </a:xfrm>
        </xdr:grpSpPr>
        <xdr:cxnSp macro="">
          <xdr:nvCxnSpPr>
            <xdr:cNvPr id="88" name="Straight Connector 87">
              <a:extLst>
                <a:ext uri="{FF2B5EF4-FFF2-40B4-BE49-F238E27FC236}">
                  <a16:creationId xmlns:a16="http://schemas.microsoft.com/office/drawing/2014/main" id="{259FF144-9EB8-210F-292C-E2364990C4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C76ECE3B-AB51-A6D9-0D57-1F0BB70CCBB9}"/>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88391FA3-1F10-94F0-EEBB-6B49C470180C}"/>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A0DA5ED6-C30E-DF5A-B2BB-56B1549EF204}"/>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2" name="TextBox 12">
              <a:extLst>
                <a:ext uri="{FF2B5EF4-FFF2-40B4-BE49-F238E27FC236}">
                  <a16:creationId xmlns:a16="http://schemas.microsoft.com/office/drawing/2014/main" id="{90D05638-6634-A950-6379-45C1D395B36A}"/>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93" name="Straight Connector 92">
              <a:extLst>
                <a:ext uri="{FF2B5EF4-FFF2-40B4-BE49-F238E27FC236}">
                  <a16:creationId xmlns:a16="http://schemas.microsoft.com/office/drawing/2014/main" id="{A0B8394E-7D87-5B61-A1EA-F360518694BD}"/>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4" name="TextBox 12">
              <a:extLst>
                <a:ext uri="{FF2B5EF4-FFF2-40B4-BE49-F238E27FC236}">
                  <a16:creationId xmlns:a16="http://schemas.microsoft.com/office/drawing/2014/main" id="{3160E802-D226-5011-B08C-8C95E4BD13A7}"/>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95" name="TextBox 12">
              <a:extLst>
                <a:ext uri="{FF2B5EF4-FFF2-40B4-BE49-F238E27FC236}">
                  <a16:creationId xmlns:a16="http://schemas.microsoft.com/office/drawing/2014/main" id="{33B3E53C-B5CB-6F69-1ADF-2B5C3A82E827}"/>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96" name="TextBox 12">
              <a:extLst>
                <a:ext uri="{FF2B5EF4-FFF2-40B4-BE49-F238E27FC236}">
                  <a16:creationId xmlns:a16="http://schemas.microsoft.com/office/drawing/2014/main" id="{EB5902BA-DAA4-5C24-B711-8FA0FFFB6AB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97" name="Straight Connector 13">
              <a:extLst>
                <a:ext uri="{FF2B5EF4-FFF2-40B4-BE49-F238E27FC236}">
                  <a16:creationId xmlns:a16="http://schemas.microsoft.com/office/drawing/2014/main" id="{5F615A8C-8CBC-511E-445E-AB9F61EEC072}"/>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111680</xdr:rowOff>
    </xdr:from>
    <xdr:to>
      <xdr:col>13</xdr:col>
      <xdr:colOff>440551</xdr:colOff>
      <xdr:row>31</xdr:row>
      <xdr:rowOff>161020</xdr:rowOff>
    </xdr:to>
    <xdr:grpSp>
      <xdr:nvGrpSpPr>
        <xdr:cNvPr id="98" name="Group 97">
          <a:extLst>
            <a:ext uri="{FF2B5EF4-FFF2-40B4-BE49-F238E27FC236}">
              <a16:creationId xmlns:a16="http://schemas.microsoft.com/office/drawing/2014/main" id="{2396510D-D19F-4C01-9F48-4CF1D0A9BD93}"/>
            </a:ext>
          </a:extLst>
        </xdr:cNvPr>
        <xdr:cNvGrpSpPr/>
      </xdr:nvGrpSpPr>
      <xdr:grpSpPr>
        <a:xfrm>
          <a:off x="5077299" y="4967562"/>
          <a:ext cx="4103840" cy="1214752"/>
          <a:chOff x="3459223" y="3149355"/>
          <a:chExt cx="4140001" cy="1232661"/>
        </a:xfrm>
      </xdr:grpSpPr>
      <xdr:sp macro="" textlink="">
        <xdr:nvSpPr>
          <xdr:cNvPr id="99" name="TextBox 12">
            <a:extLst>
              <a:ext uri="{FF2B5EF4-FFF2-40B4-BE49-F238E27FC236}">
                <a16:creationId xmlns:a16="http://schemas.microsoft.com/office/drawing/2014/main" id="{7F051D68-28DB-4981-9248-89D218DC39C3}"/>
              </a:ext>
            </a:extLst>
          </xdr:cNvPr>
          <xdr:cNvSpPr txBox="1"/>
        </xdr:nvSpPr>
        <xdr:spPr>
          <a:xfrm>
            <a:off x="3459223" y="3615909"/>
            <a:ext cx="1730889" cy="39514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100" name="Group 99">
            <a:extLst>
              <a:ext uri="{FF2B5EF4-FFF2-40B4-BE49-F238E27FC236}">
                <a16:creationId xmlns:a16="http://schemas.microsoft.com/office/drawing/2014/main" id="{0D977950-5ED6-AD5F-0A22-C8281ABD4C9A}"/>
              </a:ext>
            </a:extLst>
          </xdr:cNvPr>
          <xdr:cNvGrpSpPr/>
        </xdr:nvGrpSpPr>
        <xdr:grpSpPr>
          <a:xfrm>
            <a:off x="5149887" y="3149355"/>
            <a:ext cx="2449337" cy="1232661"/>
            <a:chOff x="5149887" y="3149355"/>
            <a:chExt cx="2449337" cy="1232661"/>
          </a:xfrm>
        </xdr:grpSpPr>
        <xdr:sp macro="" textlink="">
          <xdr:nvSpPr>
            <xdr:cNvPr id="101" name="Oval 18">
              <a:extLst>
                <a:ext uri="{FF2B5EF4-FFF2-40B4-BE49-F238E27FC236}">
                  <a16:creationId xmlns:a16="http://schemas.microsoft.com/office/drawing/2014/main" id="{6375FEE3-5911-3D47-C14F-F25799843E20}"/>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102" name="Group 101">
              <a:extLst>
                <a:ext uri="{FF2B5EF4-FFF2-40B4-BE49-F238E27FC236}">
                  <a16:creationId xmlns:a16="http://schemas.microsoft.com/office/drawing/2014/main" id="{5124A0E3-3FE7-5090-B2D2-518B6770F0B9}"/>
                </a:ext>
              </a:extLst>
            </xdr:cNvPr>
            <xdr:cNvGrpSpPr/>
          </xdr:nvGrpSpPr>
          <xdr:grpSpPr>
            <a:xfrm>
              <a:off x="5149887" y="3149355"/>
              <a:ext cx="2449337" cy="1232661"/>
              <a:chOff x="3538574" y="2827886"/>
              <a:chExt cx="2449337" cy="1232661"/>
            </a:xfrm>
          </xdr:grpSpPr>
          <xdr:cxnSp macro="">
            <xdr:nvCxnSpPr>
              <xdr:cNvPr id="103" name="Straight Connector 13">
                <a:extLst>
                  <a:ext uri="{FF2B5EF4-FFF2-40B4-BE49-F238E27FC236}">
                    <a16:creationId xmlns:a16="http://schemas.microsoft.com/office/drawing/2014/main" id="{98D8A6EE-CFC1-0FB4-8431-E2FD279DE50F}"/>
                  </a:ext>
                </a:extLst>
              </xdr:cNvPr>
              <xdr:cNvCxnSpPr>
                <a:endCxn id="101" idx="2"/>
              </xdr:cNvCxnSpPr>
            </xdr:nvCxnSpPr>
            <xdr:spPr>
              <a:xfrm flipV="1">
                <a:off x="3538574" y="3471102"/>
                <a:ext cx="565183" cy="2293"/>
              </a:xfrm>
              <a:prstGeom prst="line">
                <a:avLst/>
              </a:prstGeom>
              <a:noFill/>
              <a:ln w="19050" cap="flat" cmpd="sng" algn="ctr">
                <a:solidFill>
                  <a:srgbClr val="5B9BD5"/>
                </a:solidFill>
                <a:prstDash val="solid"/>
                <a:miter lim="800000"/>
              </a:ln>
              <a:effectLst/>
            </xdr:spPr>
          </xdr:cxnSp>
          <xdr:cxnSp macro="">
            <xdr:nvCxnSpPr>
              <xdr:cNvPr id="104" name="Straight Connector 103">
                <a:extLst>
                  <a:ext uri="{FF2B5EF4-FFF2-40B4-BE49-F238E27FC236}">
                    <a16:creationId xmlns:a16="http://schemas.microsoft.com/office/drawing/2014/main" id="{C8386FA0-3D65-7E7C-0DE3-C8996BD87903}"/>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105" name="Straight Connector 104">
                <a:extLst>
                  <a:ext uri="{FF2B5EF4-FFF2-40B4-BE49-F238E27FC236}">
                    <a16:creationId xmlns:a16="http://schemas.microsoft.com/office/drawing/2014/main" id="{A13B2049-E9F7-8AA3-451D-0E8AB14C99A1}"/>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106" name="Straight Connector 105">
                <a:extLst>
                  <a:ext uri="{FF2B5EF4-FFF2-40B4-BE49-F238E27FC236}">
                    <a16:creationId xmlns:a16="http://schemas.microsoft.com/office/drawing/2014/main" id="{B4493ADB-4E5C-D2C7-2BE8-913F1632402E}"/>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107" name="Straight Connector 106">
                <a:extLst>
                  <a:ext uri="{FF2B5EF4-FFF2-40B4-BE49-F238E27FC236}">
                    <a16:creationId xmlns:a16="http://schemas.microsoft.com/office/drawing/2014/main" id="{C8F943AF-DB17-D68E-E53E-597370A95031}"/>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108" name="TextBox 12">
                <a:extLst>
                  <a:ext uri="{FF2B5EF4-FFF2-40B4-BE49-F238E27FC236}">
                    <a16:creationId xmlns:a16="http://schemas.microsoft.com/office/drawing/2014/main" id="{D6D49E1F-F8A2-37AB-DBD1-A0560D5B6735}"/>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109" name="TextBox 12">
                <a:extLst>
                  <a:ext uri="{FF2B5EF4-FFF2-40B4-BE49-F238E27FC236}">
                    <a16:creationId xmlns:a16="http://schemas.microsoft.com/office/drawing/2014/main" id="{C2E20633-3176-4BCD-680E-A49CF032D90B}"/>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110" name="TextBox 12">
                <a:extLst>
                  <a:ext uri="{FF2B5EF4-FFF2-40B4-BE49-F238E27FC236}">
                    <a16:creationId xmlns:a16="http://schemas.microsoft.com/office/drawing/2014/main" id="{7420EB7C-7A4B-6DA4-F636-739ECDD1ECD8}"/>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111" name="Straight Connector 110">
                <a:extLst>
                  <a:ext uri="{FF2B5EF4-FFF2-40B4-BE49-F238E27FC236}">
                    <a16:creationId xmlns:a16="http://schemas.microsoft.com/office/drawing/2014/main" id="{6DFAA646-D9E9-60EF-3F19-E93A91DC438B}"/>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112" name="Oval 17">
                <a:extLst>
                  <a:ext uri="{FF2B5EF4-FFF2-40B4-BE49-F238E27FC236}">
                    <a16:creationId xmlns:a16="http://schemas.microsoft.com/office/drawing/2014/main" id="{9B4FE2FF-D319-A52F-AD63-ADB4EF15232D}"/>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3" name="Straight Connector 112">
                <a:extLst>
                  <a:ext uri="{FF2B5EF4-FFF2-40B4-BE49-F238E27FC236}">
                    <a16:creationId xmlns:a16="http://schemas.microsoft.com/office/drawing/2014/main" id="{68C95C1B-A028-B67A-C40D-2DEEE952E19F}"/>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114" name="Oval 17">
                <a:extLst>
                  <a:ext uri="{FF2B5EF4-FFF2-40B4-BE49-F238E27FC236}">
                    <a16:creationId xmlns:a16="http://schemas.microsoft.com/office/drawing/2014/main" id="{70B7BC9A-018A-CABA-6CFB-88D0F11A241C}"/>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5" name="Straight Connector 114">
                <a:extLst>
                  <a:ext uri="{FF2B5EF4-FFF2-40B4-BE49-F238E27FC236}">
                    <a16:creationId xmlns:a16="http://schemas.microsoft.com/office/drawing/2014/main" id="{D790FFDD-5179-4BB9-0DF1-9857FDB77DF0}"/>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116" name="Oval 17">
                <a:extLst>
                  <a:ext uri="{FF2B5EF4-FFF2-40B4-BE49-F238E27FC236}">
                    <a16:creationId xmlns:a16="http://schemas.microsoft.com/office/drawing/2014/main" id="{DB92DE62-3277-4370-D291-91B3297A7A9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124" name="Group 123">
          <a:extLst>
            <a:ext uri="{FF2B5EF4-FFF2-40B4-BE49-F238E27FC236}">
              <a16:creationId xmlns:a16="http://schemas.microsoft.com/office/drawing/2014/main" id="{04DB5BDE-15D0-45AA-A24C-311EB2D5DB09}"/>
            </a:ext>
          </a:extLst>
        </xdr:cNvPr>
        <xdr:cNvGrpSpPr/>
      </xdr:nvGrpSpPr>
      <xdr:grpSpPr>
        <a:xfrm>
          <a:off x="11334978" y="1915225"/>
          <a:ext cx="502994" cy="226919"/>
          <a:chOff x="5547528" y="2332836"/>
          <a:chExt cx="438427" cy="206643"/>
        </a:xfrm>
      </xdr:grpSpPr>
      <xdr:cxnSp macro="">
        <xdr:nvCxnSpPr>
          <xdr:cNvPr id="125" name="Straight Connector 124">
            <a:extLst>
              <a:ext uri="{FF2B5EF4-FFF2-40B4-BE49-F238E27FC236}">
                <a16:creationId xmlns:a16="http://schemas.microsoft.com/office/drawing/2014/main" id="{BA712F03-077D-B000-EE17-D89A278540E0}"/>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6" name="Oval 17">
            <a:extLst>
              <a:ext uri="{FF2B5EF4-FFF2-40B4-BE49-F238E27FC236}">
                <a16:creationId xmlns:a16="http://schemas.microsoft.com/office/drawing/2014/main" id="{1F0027D3-3396-8E49-EF0F-67A9686ECE9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127" name="Group 126">
          <a:extLst>
            <a:ext uri="{FF2B5EF4-FFF2-40B4-BE49-F238E27FC236}">
              <a16:creationId xmlns:a16="http://schemas.microsoft.com/office/drawing/2014/main" id="{1BF015FC-19A8-4821-BD68-1B1F13040B7A}"/>
            </a:ext>
          </a:extLst>
        </xdr:cNvPr>
        <xdr:cNvGrpSpPr/>
      </xdr:nvGrpSpPr>
      <xdr:grpSpPr>
        <a:xfrm>
          <a:off x="11561017" y="2784800"/>
          <a:ext cx="438427" cy="214113"/>
          <a:chOff x="5547528" y="2332836"/>
          <a:chExt cx="438427" cy="206643"/>
        </a:xfrm>
      </xdr:grpSpPr>
      <xdr:cxnSp macro="">
        <xdr:nvCxnSpPr>
          <xdr:cNvPr id="128" name="Straight Connector 127">
            <a:extLst>
              <a:ext uri="{FF2B5EF4-FFF2-40B4-BE49-F238E27FC236}">
                <a16:creationId xmlns:a16="http://schemas.microsoft.com/office/drawing/2014/main" id="{CBD9AFD0-3806-AD27-172F-DEEA475D730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9" name="Oval 17">
            <a:extLst>
              <a:ext uri="{FF2B5EF4-FFF2-40B4-BE49-F238E27FC236}">
                <a16:creationId xmlns:a16="http://schemas.microsoft.com/office/drawing/2014/main" id="{7B1D524A-0BA1-5784-26B9-B1969AAB74D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136" name="TextBox 12">
          <a:extLst>
            <a:ext uri="{FF2B5EF4-FFF2-40B4-BE49-F238E27FC236}">
              <a16:creationId xmlns:a16="http://schemas.microsoft.com/office/drawing/2014/main" id="{6D6E8888-F880-44E3-9FEC-40806286378F}"/>
            </a:ext>
          </a:extLst>
        </xdr:cNvPr>
        <xdr:cNvSpPr txBox="1"/>
      </xdr:nvSpPr>
      <xdr:spPr>
        <a:xfrm>
          <a:off x="5979291" y="1759857"/>
          <a:ext cx="688209" cy="44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137" name="TextBox 12">
          <a:extLst>
            <a:ext uri="{FF2B5EF4-FFF2-40B4-BE49-F238E27FC236}">
              <a16:creationId xmlns:a16="http://schemas.microsoft.com/office/drawing/2014/main" id="{8B184925-C50C-46BC-A5BE-AC5BA1F17CF9}"/>
            </a:ext>
          </a:extLst>
        </xdr:cNvPr>
        <xdr:cNvSpPr txBox="1"/>
      </xdr:nvSpPr>
      <xdr:spPr>
        <a:xfrm>
          <a:off x="5678120" y="2554513"/>
          <a:ext cx="1156092" cy="272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143" name="Straight Connector 7">
          <a:extLst>
            <a:ext uri="{FF2B5EF4-FFF2-40B4-BE49-F238E27FC236}">
              <a16:creationId xmlns:a16="http://schemas.microsoft.com/office/drawing/2014/main" id="{C43BA9E9-D307-43FB-B202-1B02873F3490}"/>
            </a:ext>
          </a:extLst>
        </xdr:cNvPr>
        <xdr:cNvCxnSpPr/>
      </xdr:nvCxnSpPr>
      <xdr:spPr>
        <a:xfrm>
          <a:off x="4295590" y="5416176"/>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4</xdr:row>
      <xdr:rowOff>154213</xdr:rowOff>
    </xdr:from>
    <xdr:to>
      <xdr:col>18</xdr:col>
      <xdr:colOff>234044</xdr:colOff>
      <xdr:row>6</xdr:row>
      <xdr:rowOff>25399</xdr:rowOff>
    </xdr:to>
    <xdr:sp macro="" textlink="">
      <xdr:nvSpPr>
        <xdr:cNvPr id="150" name="Oval 149">
          <a:extLst>
            <a:ext uri="{FF2B5EF4-FFF2-40B4-BE49-F238E27FC236}">
              <a16:creationId xmlns:a16="http://schemas.microsoft.com/office/drawing/2014/main" id="{4AF38234-5D99-43F8-AADC-8276AA6C7803}"/>
            </a:ext>
          </a:extLst>
        </xdr:cNvPr>
        <xdr:cNvSpPr/>
      </xdr:nvSpPr>
      <xdr:spPr>
        <a:xfrm>
          <a:off x="7275286" y="517070"/>
          <a:ext cx="270329"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4" name="Straight Connector 13">
          <a:extLst>
            <a:ext uri="{FF2B5EF4-FFF2-40B4-BE49-F238E27FC236}">
              <a16:creationId xmlns:a16="http://schemas.microsoft.com/office/drawing/2014/main" id="{9B7D4119-4859-4866-B4A9-2F2FA8279FFD}"/>
            </a:ext>
          </a:extLst>
        </xdr:cNvPr>
        <xdr:cNvCxnSpPr/>
      </xdr:nvCxnSpPr>
      <xdr:spPr>
        <a:xfrm>
          <a:off x="5679120" y="137082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6" name="Straight Connector 13">
          <a:extLst>
            <a:ext uri="{FF2B5EF4-FFF2-40B4-BE49-F238E27FC236}">
              <a16:creationId xmlns:a16="http://schemas.microsoft.com/office/drawing/2014/main" id="{70D75DB8-38E7-4973-931B-26CD4C7A083A}"/>
            </a:ext>
          </a:extLst>
        </xdr:cNvPr>
        <xdr:cNvCxnSpPr/>
      </xdr:nvCxnSpPr>
      <xdr:spPr>
        <a:xfrm>
          <a:off x="5690821" y="192314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65" name="Group 64">
          <a:extLst>
            <a:ext uri="{FF2B5EF4-FFF2-40B4-BE49-F238E27FC236}">
              <a16:creationId xmlns:a16="http://schemas.microsoft.com/office/drawing/2014/main" id="{31F936AE-E8D6-4A7A-AC8F-421F64107134}"/>
            </a:ext>
          </a:extLst>
        </xdr:cNvPr>
        <xdr:cNvGrpSpPr/>
      </xdr:nvGrpSpPr>
      <xdr:grpSpPr>
        <a:xfrm>
          <a:off x="11324092" y="1361654"/>
          <a:ext cx="502994" cy="214112"/>
          <a:chOff x="5547528" y="2332836"/>
          <a:chExt cx="438427" cy="206643"/>
        </a:xfrm>
      </xdr:grpSpPr>
      <xdr:cxnSp macro="">
        <xdr:nvCxnSpPr>
          <xdr:cNvPr id="67" name="Straight Connector 66">
            <a:extLst>
              <a:ext uri="{FF2B5EF4-FFF2-40B4-BE49-F238E27FC236}">
                <a16:creationId xmlns:a16="http://schemas.microsoft.com/office/drawing/2014/main" id="{3EABAE48-BE47-77D3-A8AB-95EC31BC45A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Oval 17">
            <a:extLst>
              <a:ext uri="{FF2B5EF4-FFF2-40B4-BE49-F238E27FC236}">
                <a16:creationId xmlns:a16="http://schemas.microsoft.com/office/drawing/2014/main" id="{02DFEF23-12EE-309A-A99A-5D77FCD5489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3" name="Group 2">
          <a:extLst>
            <a:ext uri="{FF2B5EF4-FFF2-40B4-BE49-F238E27FC236}">
              <a16:creationId xmlns:a16="http://schemas.microsoft.com/office/drawing/2014/main" id="{07338172-ED2D-49BB-972E-85681AEF3E50}"/>
            </a:ext>
          </a:extLst>
        </xdr:cNvPr>
        <xdr:cNvGrpSpPr/>
      </xdr:nvGrpSpPr>
      <xdr:grpSpPr>
        <a:xfrm>
          <a:off x="6730997" y="3570940"/>
          <a:ext cx="784411" cy="187311"/>
          <a:chOff x="3378943" y="2409473"/>
          <a:chExt cx="334931" cy="107732"/>
        </a:xfrm>
      </xdr:grpSpPr>
      <xdr:cxnSp macro="">
        <xdr:nvCxnSpPr>
          <xdr:cNvPr id="7" name="Straight Connector 13">
            <a:extLst>
              <a:ext uri="{FF2B5EF4-FFF2-40B4-BE49-F238E27FC236}">
                <a16:creationId xmlns:a16="http://schemas.microsoft.com/office/drawing/2014/main" id="{1A3AED11-593D-2AEA-D57F-635A6A95F884}"/>
              </a:ext>
            </a:extLst>
          </xdr:cNvPr>
          <xdr:cNvCxnSpPr>
            <a:stCxn id="54"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 name="Oval 16">
            <a:extLst>
              <a:ext uri="{FF2B5EF4-FFF2-40B4-BE49-F238E27FC236}">
                <a16:creationId xmlns:a16="http://schemas.microsoft.com/office/drawing/2014/main" id="{69128A30-09A2-CE06-F37C-621AAACAD28E}"/>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4" name="Straight Connector 13">
          <a:extLst>
            <a:ext uri="{FF2B5EF4-FFF2-40B4-BE49-F238E27FC236}">
              <a16:creationId xmlns:a16="http://schemas.microsoft.com/office/drawing/2014/main" id="{FE2BF276-D27B-463E-AABE-FF7E53706AD3}"/>
            </a:ext>
          </a:extLst>
        </xdr:cNvPr>
        <xdr:cNvCxnSpPr/>
      </xdr:nvCxnSpPr>
      <xdr:spPr>
        <a:xfrm>
          <a:off x="6728298" y="2780806"/>
          <a:ext cx="10173" cy="1514782"/>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8" name="TextBox 12">
          <a:extLst>
            <a:ext uri="{FF2B5EF4-FFF2-40B4-BE49-F238E27FC236}">
              <a16:creationId xmlns:a16="http://schemas.microsoft.com/office/drawing/2014/main" id="{82984B92-9F50-4734-8F69-B84D72888591}"/>
            </a:ext>
          </a:extLst>
        </xdr:cNvPr>
        <xdr:cNvSpPr txBox="1"/>
      </xdr:nvSpPr>
      <xdr:spPr>
        <a:xfrm>
          <a:off x="6683516" y="2480235"/>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9" name="TextBox 12">
          <a:extLst>
            <a:ext uri="{FF2B5EF4-FFF2-40B4-BE49-F238E27FC236}">
              <a16:creationId xmlns:a16="http://schemas.microsoft.com/office/drawing/2014/main" id="{EE6272F6-C9C3-4F91-A5BC-D9878F133B16}"/>
            </a:ext>
          </a:extLst>
        </xdr:cNvPr>
        <xdr:cNvSpPr txBox="1"/>
      </xdr:nvSpPr>
      <xdr:spPr>
        <a:xfrm>
          <a:off x="6738798" y="4059517"/>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22" name="Straight Connector 13">
          <a:extLst>
            <a:ext uri="{FF2B5EF4-FFF2-40B4-BE49-F238E27FC236}">
              <a16:creationId xmlns:a16="http://schemas.microsoft.com/office/drawing/2014/main" id="{51B03382-9FF4-4DD9-A22C-2DE275286918}"/>
            </a:ext>
          </a:extLst>
        </xdr:cNvPr>
        <xdr:cNvCxnSpPr/>
      </xdr:nvCxnSpPr>
      <xdr:spPr>
        <a:xfrm>
          <a:off x="8939499" y="3446043"/>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23" name="TextBox 12">
          <a:extLst>
            <a:ext uri="{FF2B5EF4-FFF2-40B4-BE49-F238E27FC236}">
              <a16:creationId xmlns:a16="http://schemas.microsoft.com/office/drawing/2014/main" id="{1B96ECC5-9652-4367-92EF-01BEAF00A201}"/>
            </a:ext>
          </a:extLst>
        </xdr:cNvPr>
        <xdr:cNvSpPr txBox="1"/>
      </xdr:nvSpPr>
      <xdr:spPr>
        <a:xfrm>
          <a:off x="9230946" y="3229049"/>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30" name="TextBox 12">
          <a:extLst>
            <a:ext uri="{FF2B5EF4-FFF2-40B4-BE49-F238E27FC236}">
              <a16:creationId xmlns:a16="http://schemas.microsoft.com/office/drawing/2014/main" id="{A3BBC616-9F11-4905-B8F2-8F96B62C959E}"/>
            </a:ext>
          </a:extLst>
        </xdr:cNvPr>
        <xdr:cNvSpPr txBox="1"/>
      </xdr:nvSpPr>
      <xdr:spPr>
        <a:xfrm>
          <a:off x="7351346" y="4061272"/>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1244600</xdr:colOff>
          <xdr:row>4</xdr:row>
          <xdr:rowOff>152400</xdr:rowOff>
        </xdr:from>
        <xdr:to>
          <xdr:col>7</xdr:col>
          <xdr:colOff>12700</xdr:colOff>
          <xdr:row>5</xdr:row>
          <xdr:rowOff>177800</xdr:rowOff>
        </xdr:to>
        <xdr:sp macro="" textlink="">
          <xdr:nvSpPr>
            <xdr:cNvPr id="25601" name="Drop Down 1" hidden="1">
              <a:extLst>
                <a:ext uri="{63B3BB69-23CF-44E3-9099-C40C66FF867C}">
                  <a14:compatExt spid="_x0000_s25601"/>
                </a:ext>
                <a:ext uri="{FF2B5EF4-FFF2-40B4-BE49-F238E27FC236}">
                  <a16:creationId xmlns:a16="http://schemas.microsoft.com/office/drawing/2014/main" id="{00000000-0008-0000-0900-0000016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6</xdr:col>
      <xdr:colOff>89648</xdr:colOff>
      <xdr:row>0</xdr:row>
      <xdr:rowOff>164354</xdr:rowOff>
    </xdr:from>
    <xdr:to>
      <xdr:col>14</xdr:col>
      <xdr:colOff>702235</xdr:colOff>
      <xdr:row>8</xdr:row>
      <xdr:rowOff>104589</xdr:rowOff>
    </xdr:to>
    <xdr:sp macro="" textlink="">
      <xdr:nvSpPr>
        <xdr:cNvPr id="2" name="TextBox 1">
          <a:extLst>
            <a:ext uri="{FF2B5EF4-FFF2-40B4-BE49-F238E27FC236}">
              <a16:creationId xmlns:a16="http://schemas.microsoft.com/office/drawing/2014/main" id="{5246144A-6A1D-7791-254A-A838D620034B}"/>
            </a:ext>
          </a:extLst>
        </xdr:cNvPr>
        <xdr:cNvSpPr txBox="1"/>
      </xdr:nvSpPr>
      <xdr:spPr>
        <a:xfrm>
          <a:off x="4930589" y="164354"/>
          <a:ext cx="8292352" cy="14343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Age-adjusted mortality for males</a:t>
          </a:r>
          <a:r>
            <a:rPr lang="en-GB"/>
            <a:t> = Mortality rate for males at age </a:t>
          </a:r>
          <a:r>
            <a:rPr lang="en-GB" i="1"/>
            <a:t>x</a:t>
          </a:r>
          <a:r>
            <a:rPr lang="en-GB"/>
            <a:t> (from life table) × Standardized Mortality Ratio (SMR) for the given health state.</a:t>
          </a:r>
        </a:p>
        <a:p>
          <a:r>
            <a:rPr lang="en-GB" b="1"/>
            <a:t>Age-adjusted mortality for females</a:t>
          </a:r>
          <a:r>
            <a:rPr lang="en-GB"/>
            <a:t> = Mortality rate for females at age </a:t>
          </a:r>
          <a:r>
            <a:rPr lang="en-GB" i="1"/>
            <a:t>x</a:t>
          </a:r>
          <a:r>
            <a:rPr lang="en-GB"/>
            <a:t> (from life table) × Standardized Mortality Ratio (SMR) for the given health state.</a:t>
          </a:r>
        </a:p>
        <a:p>
          <a:r>
            <a:rPr lang="en-GB" b="1"/>
            <a:t>Overall age &amp; sex_adjusted mortality (to use in model)</a:t>
          </a:r>
          <a:r>
            <a:rPr lang="en-GB"/>
            <a:t> =</a:t>
          </a:r>
          <a:br>
            <a:rPr lang="en-GB"/>
          </a:br>
          <a:r>
            <a:rPr lang="en-GB"/>
            <a:t>(</a:t>
          </a:r>
          <a:r>
            <a:rPr lang="en-GB" i="1"/>
            <a:t>Age-adjusted mortality for males</a:t>
          </a:r>
          <a:r>
            <a:rPr lang="en-GB"/>
            <a:t> × </a:t>
          </a:r>
          <a:r>
            <a:rPr lang="en-GB" i="1"/>
            <a:t>Male proportion</a:t>
          </a:r>
          <a:r>
            <a:rPr lang="en-GB"/>
            <a:t>) + (</a:t>
          </a:r>
          <a:r>
            <a:rPr lang="en-GB" i="1"/>
            <a:t>Age-adjusted mortality for females</a:t>
          </a:r>
          <a:r>
            <a:rPr lang="en-GB"/>
            <a:t> × </a:t>
          </a:r>
          <a:r>
            <a:rPr lang="en-GB" i="1"/>
            <a:t>(1 - Male proportion)</a:t>
          </a:r>
          <a:r>
            <a:rPr lang="en-GB"/>
            <a:t>)</a:t>
          </a:r>
        </a:p>
        <a:p>
          <a:endParaRPr lang="en-GB" sz="1100" baseline="0"/>
        </a:p>
        <a:p>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109415</xdr:colOff>
      <xdr:row>0</xdr:row>
      <xdr:rowOff>172963</xdr:rowOff>
    </xdr:from>
    <xdr:to>
      <xdr:col>10</xdr:col>
      <xdr:colOff>339969</xdr:colOff>
      <xdr:row>5</xdr:row>
      <xdr:rowOff>170473</xdr:rowOff>
    </xdr:to>
    <xdr:pic>
      <xdr:nvPicPr>
        <xdr:cNvPr id="2" name="Picture 1">
          <a:extLst>
            <a:ext uri="{FF2B5EF4-FFF2-40B4-BE49-F238E27FC236}">
              <a16:creationId xmlns:a16="http://schemas.microsoft.com/office/drawing/2014/main" id="{DABD14E7-0A5E-8650-8F40-A65FDE56809E}"/>
            </a:ext>
          </a:extLst>
        </xdr:cNvPr>
        <xdr:cNvPicPr>
          <a:picLocks noChangeAspect="1"/>
        </xdr:cNvPicPr>
      </xdr:nvPicPr>
      <xdr:blipFill>
        <a:blip xmlns:r="http://schemas.openxmlformats.org/officeDocument/2006/relationships" r:embed="rId1"/>
        <a:stretch>
          <a:fillRect/>
        </a:stretch>
      </xdr:blipFill>
      <xdr:spPr>
        <a:xfrm>
          <a:off x="2478453" y="172963"/>
          <a:ext cx="4900247" cy="925587"/>
        </a:xfrm>
        <a:prstGeom prst="rect">
          <a:avLst/>
        </a:prstGeom>
      </xdr:spPr>
    </xdr:pic>
    <xdr:clientData/>
  </xdr:twoCellAnchor>
  <xdr:twoCellAnchor>
    <xdr:from>
      <xdr:col>3</xdr:col>
      <xdr:colOff>85919</xdr:colOff>
      <xdr:row>54</xdr:row>
      <xdr:rowOff>62120</xdr:rowOff>
    </xdr:from>
    <xdr:to>
      <xdr:col>15</xdr:col>
      <xdr:colOff>446599</xdr:colOff>
      <xdr:row>75</xdr:row>
      <xdr:rowOff>149088</xdr:rowOff>
    </xdr:to>
    <xdr:sp macro="" textlink="">
      <xdr:nvSpPr>
        <xdr:cNvPr id="3" name="TextBox 2">
          <a:extLst>
            <a:ext uri="{FF2B5EF4-FFF2-40B4-BE49-F238E27FC236}">
              <a16:creationId xmlns:a16="http://schemas.microsoft.com/office/drawing/2014/main" id="{F7CB0120-2ECD-B5A9-F256-922974D615C7}"/>
            </a:ext>
          </a:extLst>
        </xdr:cNvPr>
        <xdr:cNvSpPr txBox="1"/>
      </xdr:nvSpPr>
      <xdr:spPr>
        <a:xfrm>
          <a:off x="2454745" y="9901859"/>
          <a:ext cx="8427941" cy="39135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Step 1: Calculate Baseline Utility for Males and Females</a:t>
          </a:r>
        </a:p>
        <a:p>
          <a:r>
            <a:rPr lang="en-GB"/>
            <a:t>To estimate the </a:t>
          </a:r>
          <a:r>
            <a:rPr lang="en-GB" b="1"/>
            <a:t>baseline utility</a:t>
          </a:r>
          <a:r>
            <a:rPr lang="en-GB"/>
            <a:t> for males and females at a given age (</a:t>
          </a:r>
          <a:r>
            <a:rPr lang="en-GB" b="1"/>
            <a:t>AgeX</a:t>
          </a:r>
          <a:r>
            <a:rPr lang="en-GB"/>
            <a:t>), we use the </a:t>
          </a:r>
          <a:r>
            <a:rPr lang="en-GB" b="1"/>
            <a:t>Ara (2010) equation</a:t>
          </a:r>
          <a:r>
            <a:rPr lang="en-GB"/>
            <a:t>:</a:t>
          </a:r>
        </a:p>
        <a:p>
          <a:r>
            <a:rPr lang="en-GB"/>
            <a:t>Utility=0.9508566+(0.0212126×Male)−(0.0002587×Age)−(0.0000332×Age^2</a:t>
          </a:r>
        </a:p>
        <a:p>
          <a:endParaRPr lang="en-GB"/>
        </a:p>
        <a:p>
          <a:r>
            <a:rPr lang="en-GB" b="1"/>
            <a:t>Where:</a:t>
          </a:r>
        </a:p>
        <a:p>
          <a:r>
            <a:rPr lang="en-GB" b="1"/>
            <a:t>Male</a:t>
          </a:r>
          <a:r>
            <a:rPr lang="en-GB"/>
            <a:t> = 1 for males, 0 for females.</a:t>
          </a:r>
        </a:p>
        <a:p>
          <a:r>
            <a:rPr lang="en-GB"/>
            <a:t>We apply this formula separately for: </a:t>
          </a:r>
          <a:r>
            <a:rPr lang="en-GB" b="1"/>
            <a:t>Males starting at age 63</a:t>
          </a:r>
          <a:r>
            <a:rPr lang="en-GB"/>
            <a:t> + 39year</a:t>
          </a:r>
          <a:r>
            <a:rPr lang="en-GB" baseline="0"/>
            <a:t> </a:t>
          </a:r>
          <a:r>
            <a:rPr lang="en-GB"/>
            <a:t> ,   </a:t>
          </a:r>
          <a:r>
            <a:rPr lang="en-GB" b="1"/>
            <a:t>Females starting at age 70</a:t>
          </a:r>
          <a:r>
            <a:rPr lang="en-GB"/>
            <a:t> + 39 year </a:t>
          </a:r>
        </a:p>
        <a:p>
          <a:endParaRPr lang="en-GB" b="1"/>
        </a:p>
        <a:p>
          <a:r>
            <a:rPr lang="en-GB" b="1"/>
            <a:t>Step 2: Adjust for Health State Utility</a:t>
          </a:r>
        </a:p>
        <a:p>
          <a:r>
            <a:rPr lang="en-GB"/>
            <a:t>Next, we adjust the </a:t>
          </a:r>
          <a:r>
            <a:rPr lang="en-GB" b="1"/>
            <a:t>baseline utility</a:t>
          </a:r>
          <a:r>
            <a:rPr lang="en-GB"/>
            <a:t> to account for specific </a:t>
          </a:r>
          <a:r>
            <a:rPr lang="en-GB" b="1"/>
            <a:t>health states</a:t>
          </a:r>
          <a:r>
            <a:rPr lang="en-GB"/>
            <a:t> (e.g., stroke, post-MI, reinfarction) by multiplying it with the corresponding </a:t>
          </a:r>
          <a:r>
            <a:rPr lang="en-GB" b="1"/>
            <a:t>health state utility</a:t>
          </a:r>
          <a:r>
            <a:rPr lang="en-GB"/>
            <a:t>:</a:t>
          </a:r>
        </a:p>
        <a:p>
          <a:r>
            <a:rPr lang="en-GB"/>
            <a:t>Age-Adjusted Utility (Male)= Base Utility (Male)×Health State Utility</a:t>
          </a:r>
        </a:p>
        <a:p>
          <a:r>
            <a:rPr lang="en-GB"/>
            <a:t>Age_Adjusted Utility (Female)= Base Utility (Female)×Health State Utility</a:t>
          </a:r>
        </a:p>
        <a:p>
          <a:endParaRPr lang="en-GB"/>
        </a:p>
        <a:p>
          <a:r>
            <a:rPr lang="en-GB"/>
            <a:t> </a:t>
          </a:r>
          <a:r>
            <a:rPr lang="en-GB" b="1"/>
            <a:t>Step 3: Compute Weighted Age- and Sex-Adjusted Utility</a:t>
          </a:r>
        </a:p>
        <a:p>
          <a:r>
            <a:rPr lang="en-GB"/>
            <a:t>To estimate the overall utility for a population consisting of both </a:t>
          </a:r>
          <a:r>
            <a:rPr lang="en-GB" b="1"/>
            <a:t>males and females</a:t>
          </a:r>
          <a:r>
            <a:rPr lang="en-GB"/>
            <a:t>, we calculate a </a:t>
          </a:r>
          <a:r>
            <a:rPr lang="en-GB" b="1"/>
            <a:t>weighted average</a:t>
          </a:r>
          <a:r>
            <a:rPr lang="en-GB"/>
            <a:t> using the proportion of males in the cohort:</a:t>
          </a:r>
        </a:p>
        <a:p>
          <a:r>
            <a:rPr lang="en-GB"/>
            <a:t>Weighted Utility=(Age-Adjusted Utility (Male)×Male Proportion)+(Age-Adjusted Utility (Female)×(1−Male Proportion))</a:t>
          </a:r>
        </a:p>
        <a:p>
          <a:endParaRPr lang="en-GB" sz="1100">
            <a:solidFill>
              <a:schemeClr val="dk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4380</xdr:colOff>
      <xdr:row>11</xdr:row>
      <xdr:rowOff>4379</xdr:rowOff>
    </xdr:from>
    <xdr:to>
      <xdr:col>20</xdr:col>
      <xdr:colOff>7471</xdr:colOff>
      <xdr:row>11</xdr:row>
      <xdr:rowOff>14941</xdr:rowOff>
    </xdr:to>
    <xdr:cxnSp macro="">
      <xdr:nvCxnSpPr>
        <xdr:cNvPr id="3" name="Straight Connector 2">
          <a:extLst>
            <a:ext uri="{FF2B5EF4-FFF2-40B4-BE49-F238E27FC236}">
              <a16:creationId xmlns:a16="http://schemas.microsoft.com/office/drawing/2014/main" id="{53376326-D454-04A0-E474-7FAA60131935}"/>
            </a:ext>
          </a:extLst>
        </xdr:cNvPr>
        <xdr:cNvCxnSpPr/>
      </xdr:nvCxnSpPr>
      <xdr:spPr>
        <a:xfrm>
          <a:off x="1229556" y="1954203"/>
          <a:ext cx="9064915" cy="10562"/>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41731</xdr:colOff>
      <xdr:row>6</xdr:row>
      <xdr:rowOff>119530</xdr:rowOff>
    </xdr:from>
    <xdr:to>
      <xdr:col>4</xdr:col>
      <xdr:colOff>313764</xdr:colOff>
      <xdr:row>10</xdr:row>
      <xdr:rowOff>14941</xdr:rowOff>
    </xdr:to>
    <xdr:sp macro="" textlink="">
      <xdr:nvSpPr>
        <xdr:cNvPr id="4" name="TextBox 3">
          <a:extLst>
            <a:ext uri="{FF2B5EF4-FFF2-40B4-BE49-F238E27FC236}">
              <a16:creationId xmlns:a16="http://schemas.microsoft.com/office/drawing/2014/main" id="{44D7E106-E66B-1B68-9E20-B2B6B61C1C0B}"/>
            </a:ext>
          </a:extLst>
        </xdr:cNvPr>
        <xdr:cNvSpPr txBox="1"/>
      </xdr:nvSpPr>
      <xdr:spPr>
        <a:xfrm>
          <a:off x="1266907" y="1426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333083</xdr:colOff>
      <xdr:row>6</xdr:row>
      <xdr:rowOff>119531</xdr:rowOff>
    </xdr:from>
    <xdr:to>
      <xdr:col>5</xdr:col>
      <xdr:colOff>605117</xdr:colOff>
      <xdr:row>10</xdr:row>
      <xdr:rowOff>14942</xdr:rowOff>
    </xdr:to>
    <xdr:sp macro="" textlink="">
      <xdr:nvSpPr>
        <xdr:cNvPr id="7" name="TextBox 6">
          <a:extLst>
            <a:ext uri="{FF2B5EF4-FFF2-40B4-BE49-F238E27FC236}">
              <a16:creationId xmlns:a16="http://schemas.microsoft.com/office/drawing/2014/main" id="{838C4395-C3A2-4EDB-8953-7C820549C848}"/>
            </a:ext>
          </a:extLst>
        </xdr:cNvPr>
        <xdr:cNvSpPr txBox="1"/>
      </xdr:nvSpPr>
      <xdr:spPr>
        <a:xfrm>
          <a:off x="2170848" y="1471707"/>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 </a:t>
          </a:r>
        </a:p>
      </xdr:txBody>
    </xdr:sp>
    <xdr:clientData/>
  </xdr:twoCellAnchor>
  <xdr:twoCellAnchor>
    <xdr:from>
      <xdr:col>7</xdr:col>
      <xdr:colOff>228499</xdr:colOff>
      <xdr:row>6</xdr:row>
      <xdr:rowOff>127001</xdr:rowOff>
    </xdr:from>
    <xdr:to>
      <xdr:col>8</xdr:col>
      <xdr:colOff>500533</xdr:colOff>
      <xdr:row>10</xdr:row>
      <xdr:rowOff>22412</xdr:rowOff>
    </xdr:to>
    <xdr:sp macro="" textlink="">
      <xdr:nvSpPr>
        <xdr:cNvPr id="8" name="TextBox 7">
          <a:extLst>
            <a:ext uri="{FF2B5EF4-FFF2-40B4-BE49-F238E27FC236}">
              <a16:creationId xmlns:a16="http://schemas.microsoft.com/office/drawing/2014/main" id="{25B87FC3-FAD9-41FF-846D-5D2F77628B9C}"/>
            </a:ext>
          </a:extLst>
        </xdr:cNvPr>
        <xdr:cNvSpPr txBox="1"/>
      </xdr:nvSpPr>
      <xdr:spPr>
        <a:xfrm>
          <a:off x="3440852" y="918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5</xdr:col>
      <xdr:colOff>132924</xdr:colOff>
      <xdr:row>10</xdr:row>
      <xdr:rowOff>14943</xdr:rowOff>
    </xdr:from>
    <xdr:to>
      <xdr:col>5</xdr:col>
      <xdr:colOff>134471</xdr:colOff>
      <xdr:row>13</xdr:row>
      <xdr:rowOff>0</xdr:rowOff>
    </xdr:to>
    <xdr:cxnSp macro="">
      <xdr:nvCxnSpPr>
        <xdr:cNvPr id="10" name="Straight Connector 9">
          <a:extLst>
            <a:ext uri="{FF2B5EF4-FFF2-40B4-BE49-F238E27FC236}">
              <a16:creationId xmlns:a16="http://schemas.microsoft.com/office/drawing/2014/main" id="{100FD38C-26F5-8FAD-57A3-15C1B4161E29}"/>
            </a:ext>
          </a:extLst>
        </xdr:cNvPr>
        <xdr:cNvCxnSpPr/>
      </xdr:nvCxnSpPr>
      <xdr:spPr>
        <a:xfrm>
          <a:off x="2583277" y="1591237"/>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134470</xdr:colOff>
      <xdr:row>13</xdr:row>
      <xdr:rowOff>1</xdr:rowOff>
    </xdr:from>
    <xdr:to>
      <xdr:col>11</xdr:col>
      <xdr:colOff>156883</xdr:colOff>
      <xdr:row>13</xdr:row>
      <xdr:rowOff>1</xdr:rowOff>
    </xdr:to>
    <xdr:cxnSp macro="">
      <xdr:nvCxnSpPr>
        <xdr:cNvPr id="12" name="Straight Connector 11">
          <a:extLst>
            <a:ext uri="{FF2B5EF4-FFF2-40B4-BE49-F238E27FC236}">
              <a16:creationId xmlns:a16="http://schemas.microsoft.com/office/drawing/2014/main" id="{4A352218-FBBB-B6E0-7F7F-792793101714}"/>
            </a:ext>
          </a:extLst>
        </xdr:cNvPr>
        <xdr:cNvCxnSpPr/>
      </xdr:nvCxnSpPr>
      <xdr:spPr>
        <a:xfrm>
          <a:off x="2584823" y="2136589"/>
          <a:ext cx="2808942"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141941</xdr:colOff>
      <xdr:row>10</xdr:row>
      <xdr:rowOff>14941</xdr:rowOff>
    </xdr:from>
    <xdr:to>
      <xdr:col>11</xdr:col>
      <xdr:colOff>143382</xdr:colOff>
      <xdr:row>12</xdr:row>
      <xdr:rowOff>182281</xdr:rowOff>
    </xdr:to>
    <xdr:cxnSp macro="">
      <xdr:nvCxnSpPr>
        <xdr:cNvPr id="13" name="Straight Connector 12">
          <a:extLst>
            <a:ext uri="{FF2B5EF4-FFF2-40B4-BE49-F238E27FC236}">
              <a16:creationId xmlns:a16="http://schemas.microsoft.com/office/drawing/2014/main" id="{D5918B1C-4662-4EE7-8FAE-62141259959D}"/>
            </a:ext>
          </a:extLst>
        </xdr:cNvPr>
        <xdr:cNvCxnSpPr/>
      </xdr:nvCxnSpPr>
      <xdr:spPr>
        <a:xfrm flipH="1" flipV="1">
          <a:off x="5378823" y="1553882"/>
          <a:ext cx="1441" cy="540870"/>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291256</xdr:colOff>
      <xdr:row>4</xdr:row>
      <xdr:rowOff>2990</xdr:rowOff>
    </xdr:from>
    <xdr:to>
      <xdr:col>11</xdr:col>
      <xdr:colOff>563290</xdr:colOff>
      <xdr:row>5</xdr:row>
      <xdr:rowOff>119528</xdr:rowOff>
    </xdr:to>
    <xdr:sp macro="" textlink="">
      <xdr:nvSpPr>
        <xdr:cNvPr id="15" name="TextBox 14">
          <a:extLst>
            <a:ext uri="{FF2B5EF4-FFF2-40B4-BE49-F238E27FC236}">
              <a16:creationId xmlns:a16="http://schemas.microsoft.com/office/drawing/2014/main" id="{974FEFEF-9BA8-4BBB-A22F-C574F1F4B2D4}"/>
            </a:ext>
          </a:extLst>
        </xdr:cNvPr>
        <xdr:cNvSpPr txBox="1"/>
      </xdr:nvSpPr>
      <xdr:spPr>
        <a:xfrm>
          <a:off x="4915550" y="832225"/>
          <a:ext cx="884622"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No-LOF </a:t>
          </a:r>
        </a:p>
      </xdr:txBody>
    </xdr:sp>
    <xdr:clientData/>
  </xdr:twoCellAnchor>
  <xdr:twoCellAnchor>
    <xdr:from>
      <xdr:col>10</xdr:col>
      <xdr:colOff>339068</xdr:colOff>
      <xdr:row>8</xdr:row>
      <xdr:rowOff>13448</xdr:rowOff>
    </xdr:from>
    <xdr:to>
      <xdr:col>11</xdr:col>
      <xdr:colOff>611102</xdr:colOff>
      <xdr:row>9</xdr:row>
      <xdr:rowOff>129988</xdr:rowOff>
    </xdr:to>
    <xdr:sp macro="" textlink="">
      <xdr:nvSpPr>
        <xdr:cNvPr id="18" name="TextBox 17">
          <a:extLst>
            <a:ext uri="{FF2B5EF4-FFF2-40B4-BE49-F238E27FC236}">
              <a16:creationId xmlns:a16="http://schemas.microsoft.com/office/drawing/2014/main" id="{3D7B7D92-D411-4E61-9881-5B717ACFB2F3}"/>
            </a:ext>
          </a:extLst>
        </xdr:cNvPr>
        <xdr:cNvSpPr txBox="1"/>
      </xdr:nvSpPr>
      <xdr:spPr>
        <a:xfrm>
          <a:off x="4963362" y="1589742"/>
          <a:ext cx="884622"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LOF </a:t>
          </a:r>
        </a:p>
      </xdr:txBody>
    </xdr:sp>
    <xdr:clientData/>
  </xdr:twoCellAnchor>
  <xdr:twoCellAnchor>
    <xdr:from>
      <xdr:col>14</xdr:col>
      <xdr:colOff>286775</xdr:colOff>
      <xdr:row>3</xdr:row>
      <xdr:rowOff>147918</xdr:rowOff>
    </xdr:from>
    <xdr:to>
      <xdr:col>15</xdr:col>
      <xdr:colOff>558810</xdr:colOff>
      <xdr:row>5</xdr:row>
      <xdr:rowOff>77694</xdr:rowOff>
    </xdr:to>
    <xdr:sp macro="" textlink="">
      <xdr:nvSpPr>
        <xdr:cNvPr id="22" name="TextBox 21">
          <a:extLst>
            <a:ext uri="{FF2B5EF4-FFF2-40B4-BE49-F238E27FC236}">
              <a16:creationId xmlns:a16="http://schemas.microsoft.com/office/drawing/2014/main" id="{A2167A56-61A7-4BF5-8295-146AA14188CC}"/>
            </a:ext>
          </a:extLst>
        </xdr:cNvPr>
        <xdr:cNvSpPr txBox="1"/>
      </xdr:nvSpPr>
      <xdr:spPr>
        <a:xfrm>
          <a:off x="6898246" y="790389"/>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312177</xdr:colOff>
      <xdr:row>6</xdr:row>
      <xdr:rowOff>173318</xdr:rowOff>
    </xdr:from>
    <xdr:to>
      <xdr:col>15</xdr:col>
      <xdr:colOff>584212</xdr:colOff>
      <xdr:row>8</xdr:row>
      <xdr:rowOff>103092</xdr:rowOff>
    </xdr:to>
    <xdr:sp macro="" textlink="">
      <xdr:nvSpPr>
        <xdr:cNvPr id="23" name="TextBox 22">
          <a:extLst>
            <a:ext uri="{FF2B5EF4-FFF2-40B4-BE49-F238E27FC236}">
              <a16:creationId xmlns:a16="http://schemas.microsoft.com/office/drawing/2014/main" id="{3C428DBC-0648-4A9C-A373-6F1D5E534CE0}"/>
            </a:ext>
          </a:extLst>
        </xdr:cNvPr>
        <xdr:cNvSpPr txBox="1"/>
      </xdr:nvSpPr>
      <xdr:spPr>
        <a:xfrm>
          <a:off x="6923648" y="1376083"/>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322633</xdr:colOff>
      <xdr:row>9</xdr:row>
      <xdr:rowOff>4483</xdr:rowOff>
    </xdr:from>
    <xdr:to>
      <xdr:col>15</xdr:col>
      <xdr:colOff>594668</xdr:colOff>
      <xdr:row>10</xdr:row>
      <xdr:rowOff>121023</xdr:rowOff>
    </xdr:to>
    <xdr:sp macro="" textlink="">
      <xdr:nvSpPr>
        <xdr:cNvPr id="24" name="TextBox 23">
          <a:extLst>
            <a:ext uri="{FF2B5EF4-FFF2-40B4-BE49-F238E27FC236}">
              <a16:creationId xmlns:a16="http://schemas.microsoft.com/office/drawing/2014/main" id="{536FE807-CB84-4F13-BC03-17B57E5C1D9C}"/>
            </a:ext>
          </a:extLst>
        </xdr:cNvPr>
        <xdr:cNvSpPr txBox="1"/>
      </xdr:nvSpPr>
      <xdr:spPr>
        <a:xfrm>
          <a:off x="6934104" y="1767542"/>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7</xdr:col>
      <xdr:colOff>194235</xdr:colOff>
      <xdr:row>12</xdr:row>
      <xdr:rowOff>37352</xdr:rowOff>
    </xdr:from>
    <xdr:to>
      <xdr:col>10</xdr:col>
      <xdr:colOff>194235</xdr:colOff>
      <xdr:row>13</xdr:row>
      <xdr:rowOff>112058</xdr:rowOff>
    </xdr:to>
    <xdr:sp macro="" textlink="">
      <xdr:nvSpPr>
        <xdr:cNvPr id="39" name="TextBox 38">
          <a:extLst>
            <a:ext uri="{FF2B5EF4-FFF2-40B4-BE49-F238E27FC236}">
              <a16:creationId xmlns:a16="http://schemas.microsoft.com/office/drawing/2014/main" id="{A4C4DF99-9273-FE83-3B4C-A2A8F60306A1}"/>
            </a:ext>
          </a:extLst>
        </xdr:cNvPr>
        <xdr:cNvSpPr txBox="1"/>
      </xdr:nvSpPr>
      <xdr:spPr>
        <a:xfrm>
          <a:off x="3406588" y="1949823"/>
          <a:ext cx="1411941" cy="261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test result is ready </a:t>
          </a:r>
        </a:p>
      </xdr:txBody>
    </xdr:sp>
    <xdr:clientData/>
  </xdr:twoCellAnchor>
  <xdr:twoCellAnchor>
    <xdr:from>
      <xdr:col>1</xdr:col>
      <xdr:colOff>582707</xdr:colOff>
      <xdr:row>2</xdr:row>
      <xdr:rowOff>0</xdr:rowOff>
    </xdr:from>
    <xdr:to>
      <xdr:col>3</xdr:col>
      <xdr:colOff>14942</xdr:colOff>
      <xdr:row>15</xdr:row>
      <xdr:rowOff>2</xdr:rowOff>
    </xdr:to>
    <xdr:sp macro="" textlink="">
      <xdr:nvSpPr>
        <xdr:cNvPr id="6" name="TextBox 5">
          <a:extLst>
            <a:ext uri="{FF2B5EF4-FFF2-40B4-BE49-F238E27FC236}">
              <a16:creationId xmlns:a16="http://schemas.microsoft.com/office/drawing/2014/main" id="{A5F2A93D-18E1-1DBC-560E-60C3F2386F63}"/>
            </a:ext>
          </a:extLst>
        </xdr:cNvPr>
        <xdr:cNvSpPr txBox="1"/>
      </xdr:nvSpPr>
      <xdr:spPr>
        <a:xfrm rot="16200000">
          <a:off x="-343647" y="926354"/>
          <a:ext cx="2510120"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aseline="0"/>
            <a:t>ACS</a:t>
          </a:r>
          <a:endParaRPr lang="en-GB" sz="3200"/>
        </a:p>
      </xdr:txBody>
    </xdr:sp>
    <xdr:clientData/>
  </xdr:twoCellAnchor>
  <xdr:twoCellAnchor>
    <xdr:from>
      <xdr:col>1</xdr:col>
      <xdr:colOff>518459</xdr:colOff>
      <xdr:row>21</xdr:row>
      <xdr:rowOff>182282</xdr:rowOff>
    </xdr:from>
    <xdr:to>
      <xdr:col>2</xdr:col>
      <xdr:colOff>563282</xdr:colOff>
      <xdr:row>36</xdr:row>
      <xdr:rowOff>7469</xdr:rowOff>
    </xdr:to>
    <xdr:sp macro="" textlink="">
      <xdr:nvSpPr>
        <xdr:cNvPr id="9" name="TextBox 8">
          <a:extLst>
            <a:ext uri="{FF2B5EF4-FFF2-40B4-BE49-F238E27FC236}">
              <a16:creationId xmlns:a16="http://schemas.microsoft.com/office/drawing/2014/main" id="{555E577C-6284-4F08-8943-CD5E33024BD6}"/>
            </a:ext>
          </a:extLst>
        </xdr:cNvPr>
        <xdr:cNvSpPr txBox="1"/>
      </xdr:nvSpPr>
      <xdr:spPr>
        <a:xfrm rot="16200000">
          <a:off x="-488576" y="5006788"/>
          <a:ext cx="2671481"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t>UA/NSTEMI</a:t>
          </a:r>
          <a:r>
            <a:rPr lang="en-GB" sz="2400" baseline="0"/>
            <a:t> - ACS</a:t>
          </a:r>
          <a:endParaRPr lang="en-GB" sz="2400"/>
        </a:p>
      </xdr:txBody>
    </xdr:sp>
    <xdr:clientData/>
  </xdr:twoCellAnchor>
  <xdr:twoCellAnchor>
    <xdr:from>
      <xdr:col>2</xdr:col>
      <xdr:colOff>564673</xdr:colOff>
      <xdr:row>28</xdr:row>
      <xdr:rowOff>168732</xdr:rowOff>
    </xdr:from>
    <xdr:to>
      <xdr:col>20</xdr:col>
      <xdr:colOff>14941</xdr:colOff>
      <xdr:row>29</xdr:row>
      <xdr:rowOff>0</xdr:rowOff>
    </xdr:to>
    <xdr:cxnSp macro="">
      <xdr:nvCxnSpPr>
        <xdr:cNvPr id="11" name="Straight Connector 10">
          <a:extLst>
            <a:ext uri="{FF2B5EF4-FFF2-40B4-BE49-F238E27FC236}">
              <a16:creationId xmlns:a16="http://schemas.microsoft.com/office/drawing/2014/main" id="{A2840D09-971C-407A-B5E1-06A8F9D07FF3}"/>
            </a:ext>
          </a:extLst>
        </xdr:cNvPr>
        <xdr:cNvCxnSpPr/>
      </xdr:nvCxnSpPr>
      <xdr:spPr>
        <a:xfrm>
          <a:off x="1177261" y="5338379"/>
          <a:ext cx="9124680" cy="18033"/>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609496</xdr:colOff>
      <xdr:row>24</xdr:row>
      <xdr:rowOff>141942</xdr:rowOff>
    </xdr:from>
    <xdr:to>
      <xdr:col>4</xdr:col>
      <xdr:colOff>268941</xdr:colOff>
      <xdr:row>28</xdr:row>
      <xdr:rowOff>37353</xdr:rowOff>
    </xdr:to>
    <xdr:sp macro="" textlink="">
      <xdr:nvSpPr>
        <xdr:cNvPr id="14" name="TextBox 13">
          <a:extLst>
            <a:ext uri="{FF2B5EF4-FFF2-40B4-BE49-F238E27FC236}">
              <a16:creationId xmlns:a16="http://schemas.microsoft.com/office/drawing/2014/main" id="{E3170FE8-B78D-4BE6-BBC4-523F803479AC}"/>
            </a:ext>
          </a:extLst>
        </xdr:cNvPr>
        <xdr:cNvSpPr txBox="1"/>
      </xdr:nvSpPr>
      <xdr:spPr>
        <a:xfrm>
          <a:off x="1222084" y="4332942"/>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288260</xdr:colOff>
      <xdr:row>24</xdr:row>
      <xdr:rowOff>141943</xdr:rowOff>
    </xdr:from>
    <xdr:to>
      <xdr:col>5</xdr:col>
      <xdr:colOff>560294</xdr:colOff>
      <xdr:row>28</xdr:row>
      <xdr:rowOff>37354</xdr:rowOff>
    </xdr:to>
    <xdr:sp macro="" textlink="">
      <xdr:nvSpPr>
        <xdr:cNvPr id="16" name="TextBox 15">
          <a:extLst>
            <a:ext uri="{FF2B5EF4-FFF2-40B4-BE49-F238E27FC236}">
              <a16:creationId xmlns:a16="http://schemas.microsoft.com/office/drawing/2014/main" id="{7A6C4BC5-D5E6-46DA-BC59-F8A1518A795F}"/>
            </a:ext>
          </a:extLst>
        </xdr:cNvPr>
        <xdr:cNvSpPr txBox="1"/>
      </xdr:nvSpPr>
      <xdr:spPr>
        <a:xfrm>
          <a:off x="2126025" y="433294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a:t>
          </a:r>
        </a:p>
      </xdr:txBody>
    </xdr:sp>
    <xdr:clientData/>
  </xdr:twoCellAnchor>
  <xdr:twoCellAnchor>
    <xdr:from>
      <xdr:col>5</xdr:col>
      <xdr:colOff>73156</xdr:colOff>
      <xdr:row>28</xdr:row>
      <xdr:rowOff>52307</xdr:rowOff>
    </xdr:from>
    <xdr:to>
      <xdr:col>5</xdr:col>
      <xdr:colOff>74703</xdr:colOff>
      <xdr:row>31</xdr:row>
      <xdr:rowOff>37364</xdr:rowOff>
    </xdr:to>
    <xdr:cxnSp macro="">
      <xdr:nvCxnSpPr>
        <xdr:cNvPr id="17" name="Straight Connector 16">
          <a:extLst>
            <a:ext uri="{FF2B5EF4-FFF2-40B4-BE49-F238E27FC236}">
              <a16:creationId xmlns:a16="http://schemas.microsoft.com/office/drawing/2014/main" id="{26886D28-313C-450D-8D30-EE472DED0127}"/>
            </a:ext>
          </a:extLst>
        </xdr:cNvPr>
        <xdr:cNvCxnSpPr/>
      </xdr:nvCxnSpPr>
      <xdr:spPr>
        <a:xfrm>
          <a:off x="2523509" y="5035189"/>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74702</xdr:colOff>
      <xdr:row>31</xdr:row>
      <xdr:rowOff>29883</xdr:rowOff>
    </xdr:from>
    <xdr:to>
      <xdr:col>8</xdr:col>
      <xdr:colOff>14941</xdr:colOff>
      <xdr:row>31</xdr:row>
      <xdr:rowOff>37365</xdr:rowOff>
    </xdr:to>
    <xdr:cxnSp macro="">
      <xdr:nvCxnSpPr>
        <xdr:cNvPr id="19" name="Straight Connector 18">
          <a:extLst>
            <a:ext uri="{FF2B5EF4-FFF2-40B4-BE49-F238E27FC236}">
              <a16:creationId xmlns:a16="http://schemas.microsoft.com/office/drawing/2014/main" id="{031074F5-AD04-4ED3-9C06-DB2ABD34EB7E}"/>
            </a:ext>
          </a:extLst>
        </xdr:cNvPr>
        <xdr:cNvCxnSpPr/>
      </xdr:nvCxnSpPr>
      <xdr:spPr>
        <a:xfrm flipV="1">
          <a:off x="2525055" y="5573059"/>
          <a:ext cx="1314827" cy="7482"/>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8908</xdr:colOff>
      <xdr:row>27</xdr:row>
      <xdr:rowOff>156882</xdr:rowOff>
    </xdr:from>
    <xdr:to>
      <xdr:col>8</xdr:col>
      <xdr:colOff>14941</xdr:colOff>
      <xdr:row>31</xdr:row>
      <xdr:rowOff>40352</xdr:rowOff>
    </xdr:to>
    <xdr:cxnSp macro="">
      <xdr:nvCxnSpPr>
        <xdr:cNvPr id="20" name="Straight Connector 19">
          <a:extLst>
            <a:ext uri="{FF2B5EF4-FFF2-40B4-BE49-F238E27FC236}">
              <a16:creationId xmlns:a16="http://schemas.microsoft.com/office/drawing/2014/main" id="{A53D8168-F30B-4336-A735-3C94CB4C0498}"/>
            </a:ext>
          </a:extLst>
        </xdr:cNvPr>
        <xdr:cNvCxnSpPr/>
      </xdr:nvCxnSpPr>
      <xdr:spPr>
        <a:xfrm flipV="1">
          <a:off x="3833849" y="4953000"/>
          <a:ext cx="6033" cy="630528"/>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164353</xdr:colOff>
      <xdr:row>30</xdr:row>
      <xdr:rowOff>104587</xdr:rowOff>
    </xdr:from>
    <xdr:to>
      <xdr:col>7</xdr:col>
      <xdr:colOff>530412</xdr:colOff>
      <xdr:row>31</xdr:row>
      <xdr:rowOff>149410</xdr:rowOff>
    </xdr:to>
    <xdr:sp macro="" textlink="">
      <xdr:nvSpPr>
        <xdr:cNvPr id="32" name="TextBox 31">
          <a:extLst>
            <a:ext uri="{FF2B5EF4-FFF2-40B4-BE49-F238E27FC236}">
              <a16:creationId xmlns:a16="http://schemas.microsoft.com/office/drawing/2014/main" id="{AB8E051C-9532-478F-A8BC-BDCA192D66E2}"/>
            </a:ext>
          </a:extLst>
        </xdr:cNvPr>
        <xdr:cNvSpPr txBox="1"/>
      </xdr:nvSpPr>
      <xdr:spPr>
        <a:xfrm>
          <a:off x="2614706" y="5460999"/>
          <a:ext cx="1128059" cy="231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t>test result is ready </a:t>
          </a:r>
        </a:p>
      </xdr:txBody>
    </xdr:sp>
    <xdr:clientData/>
  </xdr:twoCellAnchor>
  <xdr:twoCellAnchor>
    <xdr:from>
      <xdr:col>7</xdr:col>
      <xdr:colOff>171727</xdr:colOff>
      <xdr:row>25</xdr:row>
      <xdr:rowOff>14940</xdr:rowOff>
    </xdr:from>
    <xdr:to>
      <xdr:col>8</xdr:col>
      <xdr:colOff>89647</xdr:colOff>
      <xdr:row>26</xdr:row>
      <xdr:rowOff>14940</xdr:rowOff>
    </xdr:to>
    <xdr:sp macro="" textlink="">
      <xdr:nvSpPr>
        <xdr:cNvPr id="34" name="TextBox 33">
          <a:extLst>
            <a:ext uri="{FF2B5EF4-FFF2-40B4-BE49-F238E27FC236}">
              <a16:creationId xmlns:a16="http://schemas.microsoft.com/office/drawing/2014/main" id="{B401A910-CADD-4BC9-BCF9-9F1A3F235FAC}"/>
            </a:ext>
          </a:extLst>
        </xdr:cNvPr>
        <xdr:cNvSpPr txBox="1"/>
      </xdr:nvSpPr>
      <xdr:spPr>
        <a:xfrm>
          <a:off x="3384080" y="4437528"/>
          <a:ext cx="530508" cy="186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No-LOF </a:t>
          </a:r>
        </a:p>
      </xdr:txBody>
    </xdr:sp>
    <xdr:clientData/>
  </xdr:twoCellAnchor>
  <xdr:twoCellAnchor>
    <xdr:from>
      <xdr:col>7</xdr:col>
      <xdr:colOff>174714</xdr:colOff>
      <xdr:row>26</xdr:row>
      <xdr:rowOff>89647</xdr:rowOff>
    </xdr:from>
    <xdr:to>
      <xdr:col>8</xdr:col>
      <xdr:colOff>104588</xdr:colOff>
      <xdr:row>27</xdr:row>
      <xdr:rowOff>97117</xdr:rowOff>
    </xdr:to>
    <xdr:sp macro="" textlink="">
      <xdr:nvSpPr>
        <xdr:cNvPr id="35" name="TextBox 34">
          <a:extLst>
            <a:ext uri="{FF2B5EF4-FFF2-40B4-BE49-F238E27FC236}">
              <a16:creationId xmlns:a16="http://schemas.microsoft.com/office/drawing/2014/main" id="{5CB6F53A-48B7-434B-BC78-0FC778CA2B3A}"/>
            </a:ext>
          </a:extLst>
        </xdr:cNvPr>
        <xdr:cNvSpPr txBox="1"/>
      </xdr:nvSpPr>
      <xdr:spPr>
        <a:xfrm>
          <a:off x="3387067" y="4699000"/>
          <a:ext cx="542462" cy="194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LOF </a:t>
          </a:r>
        </a:p>
      </xdr:txBody>
    </xdr:sp>
    <xdr:clientData/>
  </xdr:twoCellAnchor>
  <xdr:twoCellAnchor>
    <xdr:from>
      <xdr:col>8</xdr:col>
      <xdr:colOff>264354</xdr:colOff>
      <xdr:row>22</xdr:row>
      <xdr:rowOff>170332</xdr:rowOff>
    </xdr:from>
    <xdr:to>
      <xdr:col>10</xdr:col>
      <xdr:colOff>349624</xdr:colOff>
      <xdr:row>24</xdr:row>
      <xdr:rowOff>55283</xdr:rowOff>
    </xdr:to>
    <xdr:sp macro="" textlink="">
      <xdr:nvSpPr>
        <xdr:cNvPr id="36" name="TextBox 35">
          <a:extLst>
            <a:ext uri="{FF2B5EF4-FFF2-40B4-BE49-F238E27FC236}">
              <a16:creationId xmlns:a16="http://schemas.microsoft.com/office/drawing/2014/main" id="{DE629005-0EC6-4D81-94D7-FC12A4CF6F3E}"/>
            </a:ext>
          </a:extLst>
        </xdr:cNvPr>
        <xdr:cNvSpPr txBox="1"/>
      </xdr:nvSpPr>
      <xdr:spPr>
        <a:xfrm>
          <a:off x="4089295" y="3987803"/>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8</xdr:col>
      <xdr:colOff>267343</xdr:colOff>
      <xdr:row>24</xdr:row>
      <xdr:rowOff>143436</xdr:rowOff>
    </xdr:from>
    <xdr:to>
      <xdr:col>10</xdr:col>
      <xdr:colOff>352613</xdr:colOff>
      <xdr:row>26</xdr:row>
      <xdr:rowOff>73211</xdr:rowOff>
    </xdr:to>
    <xdr:sp macro="" textlink="">
      <xdr:nvSpPr>
        <xdr:cNvPr id="37" name="TextBox 36">
          <a:extLst>
            <a:ext uri="{FF2B5EF4-FFF2-40B4-BE49-F238E27FC236}">
              <a16:creationId xmlns:a16="http://schemas.microsoft.com/office/drawing/2014/main" id="{77C399A3-B159-455D-8D67-B96F42ECF8A3}"/>
            </a:ext>
          </a:extLst>
        </xdr:cNvPr>
        <xdr:cNvSpPr txBox="1"/>
      </xdr:nvSpPr>
      <xdr:spPr>
        <a:xfrm>
          <a:off x="4092284" y="437926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8</xdr:col>
      <xdr:colOff>277800</xdr:colOff>
      <xdr:row>26</xdr:row>
      <xdr:rowOff>153897</xdr:rowOff>
    </xdr:from>
    <xdr:to>
      <xdr:col>10</xdr:col>
      <xdr:colOff>363070</xdr:colOff>
      <xdr:row>28</xdr:row>
      <xdr:rowOff>83672</xdr:rowOff>
    </xdr:to>
    <xdr:sp macro="" textlink="">
      <xdr:nvSpPr>
        <xdr:cNvPr id="38" name="TextBox 37">
          <a:extLst>
            <a:ext uri="{FF2B5EF4-FFF2-40B4-BE49-F238E27FC236}">
              <a16:creationId xmlns:a16="http://schemas.microsoft.com/office/drawing/2014/main" id="{6CED86F4-248D-4B6B-AE94-59DF00D1FB81}"/>
            </a:ext>
          </a:extLst>
        </xdr:cNvPr>
        <xdr:cNvSpPr txBox="1"/>
      </xdr:nvSpPr>
      <xdr:spPr>
        <a:xfrm>
          <a:off x="4102741" y="476325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xdr:col>
      <xdr:colOff>612587</xdr:colOff>
      <xdr:row>1</xdr:row>
      <xdr:rowOff>0</xdr:rowOff>
    </xdr:from>
    <xdr:to>
      <xdr:col>13</xdr:col>
      <xdr:colOff>7469</xdr:colOff>
      <xdr:row>2</xdr:row>
      <xdr:rowOff>7470</xdr:rowOff>
    </xdr:to>
    <xdr:sp macro="" textlink="">
      <xdr:nvSpPr>
        <xdr:cNvPr id="41" name="TextBox 40">
          <a:extLst>
            <a:ext uri="{FF2B5EF4-FFF2-40B4-BE49-F238E27FC236}">
              <a16:creationId xmlns:a16="http://schemas.microsoft.com/office/drawing/2014/main" id="{57227398-EF28-490F-A317-6B55666E6EB4}"/>
            </a:ext>
          </a:extLst>
        </xdr:cNvPr>
        <xdr:cNvSpPr txBox="1"/>
      </xdr:nvSpPr>
      <xdr:spPr>
        <a:xfrm>
          <a:off x="1225175" y="0"/>
          <a:ext cx="5244353" cy="19423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3</a:t>
          </a:r>
          <a:r>
            <a:rPr lang="en-GB" sz="1050" baseline="0"/>
            <a:t> - 5 days </a:t>
          </a:r>
          <a:endParaRPr lang="en-GB" sz="1050"/>
        </a:p>
      </xdr:txBody>
    </xdr:sp>
    <xdr:clientData/>
  </xdr:twoCellAnchor>
  <xdr:twoCellAnchor>
    <xdr:from>
      <xdr:col>14</xdr:col>
      <xdr:colOff>0</xdr:colOff>
      <xdr:row>1</xdr:row>
      <xdr:rowOff>10459</xdr:rowOff>
    </xdr:from>
    <xdr:to>
      <xdr:col>19</xdr:col>
      <xdr:colOff>605118</xdr:colOff>
      <xdr:row>1</xdr:row>
      <xdr:rowOff>186764</xdr:rowOff>
    </xdr:to>
    <xdr:sp macro="" textlink="">
      <xdr:nvSpPr>
        <xdr:cNvPr id="42" name="TextBox 41">
          <a:extLst>
            <a:ext uri="{FF2B5EF4-FFF2-40B4-BE49-F238E27FC236}">
              <a16:creationId xmlns:a16="http://schemas.microsoft.com/office/drawing/2014/main" id="{FC01CCB4-4A5C-414D-BD98-43CB3CF6331C}"/>
            </a:ext>
          </a:extLst>
        </xdr:cNvPr>
        <xdr:cNvSpPr txBox="1"/>
      </xdr:nvSpPr>
      <xdr:spPr>
        <a:xfrm>
          <a:off x="6611471" y="10459"/>
          <a:ext cx="3668059" cy="17630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 month </a:t>
          </a:r>
        </a:p>
      </xdr:txBody>
    </xdr:sp>
    <xdr:clientData/>
  </xdr:twoCellAnchor>
  <xdr:twoCellAnchor>
    <xdr:from>
      <xdr:col>21</xdr:col>
      <xdr:colOff>222154</xdr:colOff>
      <xdr:row>10</xdr:row>
      <xdr:rowOff>28389</xdr:rowOff>
    </xdr:from>
    <xdr:to>
      <xdr:col>22</xdr:col>
      <xdr:colOff>373530</xdr:colOff>
      <xdr:row>11</xdr:row>
      <xdr:rowOff>144929</xdr:rowOff>
    </xdr:to>
    <xdr:sp macro="" textlink="">
      <xdr:nvSpPr>
        <xdr:cNvPr id="44" name="TextBox 43">
          <a:extLst>
            <a:ext uri="{FF2B5EF4-FFF2-40B4-BE49-F238E27FC236}">
              <a16:creationId xmlns:a16="http://schemas.microsoft.com/office/drawing/2014/main" id="{20EFA804-461B-4AD4-954A-782919F4D25D}"/>
            </a:ext>
          </a:extLst>
        </xdr:cNvPr>
        <xdr:cNvSpPr txBox="1"/>
      </xdr:nvSpPr>
      <xdr:spPr>
        <a:xfrm>
          <a:off x="10658566" y="1978213"/>
          <a:ext cx="763964"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xdr:from>
      <xdr:col>1</xdr:col>
      <xdr:colOff>518457</xdr:colOff>
      <xdr:row>21</xdr:row>
      <xdr:rowOff>0</xdr:rowOff>
    </xdr:from>
    <xdr:to>
      <xdr:col>12</xdr:col>
      <xdr:colOff>605117</xdr:colOff>
      <xdr:row>21</xdr:row>
      <xdr:rowOff>167341</xdr:rowOff>
    </xdr:to>
    <xdr:sp macro="" textlink="">
      <xdr:nvSpPr>
        <xdr:cNvPr id="45" name="TextBox 44">
          <a:extLst>
            <a:ext uri="{FF2B5EF4-FFF2-40B4-BE49-F238E27FC236}">
              <a16:creationId xmlns:a16="http://schemas.microsoft.com/office/drawing/2014/main" id="{862FDC51-B1F7-4890-B5A7-E6CCCF56D821}"/>
            </a:ext>
          </a:extLst>
        </xdr:cNvPr>
        <xdr:cNvSpPr txBox="1"/>
      </xdr:nvSpPr>
      <xdr:spPr>
        <a:xfrm>
          <a:off x="518457" y="3817471"/>
          <a:ext cx="5936131" cy="167341"/>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t>1 - 4 weeks</a:t>
          </a:r>
          <a:endParaRPr lang="en-GB" sz="1050"/>
        </a:p>
      </xdr:txBody>
    </xdr:sp>
    <xdr:clientData/>
  </xdr:twoCellAnchor>
  <xdr:twoCellAnchor>
    <xdr:from>
      <xdr:col>14</xdr:col>
      <xdr:colOff>25400</xdr:colOff>
      <xdr:row>20</xdr:row>
      <xdr:rowOff>170330</xdr:rowOff>
    </xdr:from>
    <xdr:to>
      <xdr:col>20</xdr:col>
      <xdr:colOff>17930</xdr:colOff>
      <xdr:row>21</xdr:row>
      <xdr:rowOff>159870</xdr:rowOff>
    </xdr:to>
    <xdr:sp macro="" textlink="">
      <xdr:nvSpPr>
        <xdr:cNvPr id="46" name="TextBox 45">
          <a:extLst>
            <a:ext uri="{FF2B5EF4-FFF2-40B4-BE49-F238E27FC236}">
              <a16:creationId xmlns:a16="http://schemas.microsoft.com/office/drawing/2014/main" id="{280FC15E-2CF8-4C27-B2A2-A75C6FBF41D1}"/>
            </a:ext>
          </a:extLst>
        </xdr:cNvPr>
        <xdr:cNvSpPr txBox="1"/>
      </xdr:nvSpPr>
      <xdr:spPr>
        <a:xfrm>
          <a:off x="6636871" y="3801036"/>
          <a:ext cx="3668059" cy="17630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12 month </a:t>
          </a:r>
        </a:p>
      </xdr:txBody>
    </xdr:sp>
    <xdr:clientData/>
  </xdr:twoCellAnchor>
  <xdr:twoCellAnchor>
    <xdr:from>
      <xdr:col>14</xdr:col>
      <xdr:colOff>481010</xdr:colOff>
      <xdr:row>22</xdr:row>
      <xdr:rowOff>170330</xdr:rowOff>
    </xdr:from>
    <xdr:to>
      <xdr:col>16</xdr:col>
      <xdr:colOff>140457</xdr:colOff>
      <xdr:row>24</xdr:row>
      <xdr:rowOff>55281</xdr:rowOff>
    </xdr:to>
    <xdr:sp macro="" textlink="">
      <xdr:nvSpPr>
        <xdr:cNvPr id="48" name="TextBox 47">
          <a:extLst>
            <a:ext uri="{FF2B5EF4-FFF2-40B4-BE49-F238E27FC236}">
              <a16:creationId xmlns:a16="http://schemas.microsoft.com/office/drawing/2014/main" id="{9553B309-8987-40FE-B871-B8E0438A78EE}"/>
            </a:ext>
          </a:extLst>
        </xdr:cNvPr>
        <xdr:cNvSpPr txBox="1"/>
      </xdr:nvSpPr>
      <xdr:spPr>
        <a:xfrm>
          <a:off x="7092481" y="4174565"/>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484000</xdr:colOff>
      <xdr:row>26</xdr:row>
      <xdr:rowOff>143434</xdr:rowOff>
    </xdr:from>
    <xdr:to>
      <xdr:col>16</xdr:col>
      <xdr:colOff>143447</xdr:colOff>
      <xdr:row>28</xdr:row>
      <xdr:rowOff>73208</xdr:rowOff>
    </xdr:to>
    <xdr:sp macro="" textlink="">
      <xdr:nvSpPr>
        <xdr:cNvPr id="50" name="TextBox 49">
          <a:extLst>
            <a:ext uri="{FF2B5EF4-FFF2-40B4-BE49-F238E27FC236}">
              <a16:creationId xmlns:a16="http://schemas.microsoft.com/office/drawing/2014/main" id="{5EB7DDCC-FB82-4C1D-8F6B-DEE91983DEA7}"/>
            </a:ext>
          </a:extLst>
        </xdr:cNvPr>
        <xdr:cNvSpPr txBox="1"/>
      </xdr:nvSpPr>
      <xdr:spPr>
        <a:xfrm>
          <a:off x="7095471" y="4939552"/>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479515</xdr:colOff>
      <xdr:row>24</xdr:row>
      <xdr:rowOff>124012</xdr:rowOff>
    </xdr:from>
    <xdr:to>
      <xdr:col>16</xdr:col>
      <xdr:colOff>138962</xdr:colOff>
      <xdr:row>26</xdr:row>
      <xdr:rowOff>53787</xdr:rowOff>
    </xdr:to>
    <xdr:sp macro="" textlink="">
      <xdr:nvSpPr>
        <xdr:cNvPr id="51" name="TextBox 50">
          <a:extLst>
            <a:ext uri="{FF2B5EF4-FFF2-40B4-BE49-F238E27FC236}">
              <a16:creationId xmlns:a16="http://schemas.microsoft.com/office/drawing/2014/main" id="{E3560037-D4B3-4FB4-89E9-6F38A59CB836}"/>
            </a:ext>
          </a:extLst>
        </xdr:cNvPr>
        <xdr:cNvSpPr txBox="1"/>
      </xdr:nvSpPr>
      <xdr:spPr>
        <a:xfrm>
          <a:off x="7090986" y="4546600"/>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20</xdr:col>
      <xdr:colOff>229999</xdr:colOff>
      <xdr:row>28</xdr:row>
      <xdr:rowOff>1495</xdr:rowOff>
    </xdr:from>
    <xdr:to>
      <xdr:col>22</xdr:col>
      <xdr:colOff>174813</xdr:colOff>
      <xdr:row>29</xdr:row>
      <xdr:rowOff>118034</xdr:rowOff>
    </xdr:to>
    <xdr:sp macro="" textlink="">
      <xdr:nvSpPr>
        <xdr:cNvPr id="52" name="TextBox 51">
          <a:extLst>
            <a:ext uri="{FF2B5EF4-FFF2-40B4-BE49-F238E27FC236}">
              <a16:creationId xmlns:a16="http://schemas.microsoft.com/office/drawing/2014/main" id="{634A38C6-B5C8-4393-8DBF-FD495F8BA73D}"/>
            </a:ext>
          </a:extLst>
        </xdr:cNvPr>
        <xdr:cNvSpPr txBox="1"/>
      </xdr:nvSpPr>
      <xdr:spPr>
        <a:xfrm>
          <a:off x="10516999" y="5171142"/>
          <a:ext cx="1169990"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editAs="oneCell">
    <xdr:from>
      <xdr:col>11</xdr:col>
      <xdr:colOff>478119</xdr:colOff>
      <xdr:row>3</xdr:row>
      <xdr:rowOff>112058</xdr:rowOff>
    </xdr:from>
    <xdr:to>
      <xdr:col>14</xdr:col>
      <xdr:colOff>358590</xdr:colOff>
      <xdr:row>5</xdr:row>
      <xdr:rowOff>97118</xdr:rowOff>
    </xdr:to>
    <xdr:pic>
      <xdr:nvPicPr>
        <xdr:cNvPr id="25" name="Graphic 24" descr="Back with solid fill">
          <a:extLst>
            <a:ext uri="{FF2B5EF4-FFF2-40B4-BE49-F238E27FC236}">
              <a16:creationId xmlns:a16="http://schemas.microsoft.com/office/drawing/2014/main" id="{E4CF6942-42AA-276A-040D-297B3EC1E5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15001" y="754529"/>
          <a:ext cx="1255059" cy="358589"/>
        </a:xfrm>
        <a:prstGeom prst="rect">
          <a:avLst/>
        </a:prstGeom>
      </xdr:spPr>
    </xdr:pic>
    <xdr:clientData/>
  </xdr:twoCellAnchor>
  <xdr:twoCellAnchor editAs="oneCell">
    <xdr:from>
      <xdr:col>12</xdr:col>
      <xdr:colOff>141941</xdr:colOff>
      <xdr:row>7</xdr:row>
      <xdr:rowOff>104589</xdr:rowOff>
    </xdr:from>
    <xdr:to>
      <xdr:col>14</xdr:col>
      <xdr:colOff>294341</xdr:colOff>
      <xdr:row>10</xdr:row>
      <xdr:rowOff>22411</xdr:rowOff>
    </xdr:to>
    <xdr:pic>
      <xdr:nvPicPr>
        <xdr:cNvPr id="27" name="Graphic 26" descr="Chevron arrows with solid fill">
          <a:extLst>
            <a:ext uri="{FF2B5EF4-FFF2-40B4-BE49-F238E27FC236}">
              <a16:creationId xmlns:a16="http://schemas.microsoft.com/office/drawing/2014/main" id="{803EF176-13BF-8291-28F0-76634102CC4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991412" y="1494118"/>
          <a:ext cx="914400" cy="47811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lireza Mahboub-Ahari" id="{106EFA12-6B9C-47C0-8310-BC16D40EDE2F}" userId="S::alireza.mahboub-ahari@manchester.ac.uk::88d9355c-4b7e-49eb-957c-d4205038e1f5" providerId="AD"/>
</personList>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4" dT="2025-03-14T12:46:11.28" personId="{106EFA12-6B9C-47C0-8310-BC16D40EDE2F}" id="{603C2F11-5E66-4814-B67F-DFFF8E080187}">
    <text xml:space="preserve">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ext>
  </threadedComment>
  <threadedComment ref="AQ5" dT="2025-03-14T13:22:28.78" personId="{106EFA12-6B9C-47C0-8310-BC16D40EDE2F}" id="{B532BF4A-7683-4B8F-BAB7-FAEDACCA9E7C}">
    <text xml:space="preserve">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ext>
  </threadedComment>
  <threadedComment ref="BN5" dT="2025-04-04T11:07:14.60" personId="{106EFA12-6B9C-47C0-8310-BC16D40EDE2F}" id="{B2D14A82-65CA-441E-9357-BF1B4A84C412}">
    <text xml:space="preserve">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ext>
  </threadedComment>
</ThreadedComments>
</file>

<file path=xl/threadedComments/threadedComment2.xml><?xml version="1.0" encoding="utf-8"?>
<ThreadedComments xmlns="http://schemas.microsoft.com/office/spreadsheetml/2018/threadedcomments" xmlns:x="http://schemas.openxmlformats.org/spreadsheetml/2006/main">
  <threadedComment ref="M3" dT="2025-03-07T22:57:45.67" personId="{106EFA12-6B9C-47C0-8310-BC16D40EDE2F}" id="{0B6DD241-C2BC-4CA7-B00F-DE0F258AE474}">
    <text xml:space="preserve">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ext>
  </threadedComment>
  <threadedComment ref="A4" dT="2025-03-08T09:38:07.40" personId="{106EFA12-6B9C-47C0-8310-BC16D40EDE2F}" id="{15A76C50-EE4A-4237-B7E9-57C087DC5DF5}">
    <text xml:space="preserve">The same as NG 185 method, assumptions. </text>
  </threadedComment>
  <threadedComment ref="G4" dT="2025-03-05T14:05:52.56" personId="{106EFA12-6B9C-47C0-8310-BC16D40EDE2F}" id="{2927ABDB-8929-4FF9-B1DC-4F9B233510B8}">
    <text xml:space="preserve">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5-03-19T11:44:26.56" personId="{106EFA12-6B9C-47C0-8310-BC16D40EDE2F}" id="{C1A7B186-5DD2-4B8F-8F96-1A6B58B951BD}">
    <text xml:space="preserve">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C4" dT="2025-01-22T10:31:58.63" personId="{106EFA12-6B9C-47C0-8310-BC16D40EDE2F}" id="{77662616-55B5-4DAB-9456-243F05F042AB}">
    <text xml:space="preserve">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doi.org/10.1016/j.jval.2019.08.002" TargetMode="External"/><Relationship Id="rId13" Type="http://schemas.openxmlformats.org/officeDocument/2006/relationships/hyperlink" Target="https://ovidsp.ovid.com/ovidweb.cgi?T=JS&amp;CSC=Y&amp;NEWS=N&amp;PAGE=fulltext&amp;D=med16&amp;DO=10.1007%2fs10557-019-06896-8" TargetMode="External"/><Relationship Id="rId3" Type="http://schemas.openxmlformats.org/officeDocument/2006/relationships/hyperlink" Target="https://www.nature.com/articles/s41397-019-0069-1" TargetMode="External"/><Relationship Id="rId7" Type="http://schemas.openxmlformats.org/officeDocument/2006/relationships/hyperlink" Target="https://doi.org/10.1016/j.jval.2019.05.015" TargetMode="External"/><Relationship Id="rId12" Type="http://schemas.openxmlformats.org/officeDocument/2006/relationships/hyperlink" Target="https://ovidsp.ovid.com/ovidweb.cgi?T=JS&amp;CSC=Y&amp;NEWS=N&amp;PAGE=fulltext&amp;D=med19&amp;DO=10.1038%2fs41397-020-00204-6" TargetMode="External"/><Relationship Id="rId2" Type="http://schemas.openxmlformats.org/officeDocument/2006/relationships/hyperlink" Target="https://doi.org/10.1093/ehjqcco/qcac031" TargetMode="External"/><Relationship Id="rId1" Type="http://schemas.openxmlformats.org/officeDocument/2006/relationships/hyperlink" Target="https://doi.org/10.1016/j.ijcard.2021.01.044" TargetMode="External"/><Relationship Id="rId6" Type="http://schemas.openxmlformats.org/officeDocument/2006/relationships/hyperlink" Target="https://doi.org/10.2217/pgs-2019-0050" TargetMode="External"/><Relationship Id="rId11" Type="http://schemas.openxmlformats.org/officeDocument/2006/relationships/hyperlink" Target="https://ovidsp.ovid.com/ovidweb.cgi?T=JS&amp;CSC=Y&amp;NEWS=N&amp;PAGE=fulltext&amp;D=med11&amp;DO=10.7326%2fM13-1999" TargetMode="External"/><Relationship Id="rId5" Type="http://schemas.openxmlformats.org/officeDocument/2006/relationships/hyperlink" Target="https://ovidsp.ovid.com/ovidweb.cgi?T=JS&amp;CSC=Y&amp;NEWS=N&amp;PAGE=fulltext&amp;D=med21&amp;DO=10.1007%2fs40256-021-00496-4" TargetMode="External"/><Relationship Id="rId10" Type="http://schemas.openxmlformats.org/officeDocument/2006/relationships/hyperlink" Target="https://ovidsp.ovid.com/ovidweb.cgi?T=JS&amp;CSC=Y&amp;NEWS=N&amp;PAGE=fulltext&amp;D=med14&amp;DO=10.1007%2fs10557-016-6705-y" TargetMode="External"/><Relationship Id="rId4" Type="http://schemas.openxmlformats.org/officeDocument/2006/relationships/hyperlink" Target="https://doi.org/10.2217/pgs-2017-0075" TargetMode="External"/><Relationship Id="rId9" Type="http://schemas.openxmlformats.org/officeDocument/2006/relationships/hyperlink" Target="https://ovidsp.ovid.com/ovidweb.cgi?T=JS&amp;CSC=Y&amp;NEWS=N&amp;PAGE=fulltext&amp;D=med17&amp;DO=10.1038%2fs41397-020-0162-5" TargetMode="External"/><Relationship Id="rId14" Type="http://schemas.openxmlformats.org/officeDocument/2006/relationships/hyperlink" Target="https://ovidsp.ovid.com/ovidweb.cgi?T=JS&amp;CSC=Y&amp;NEWS=N&amp;PAGE=fulltext&amp;D=med15&amp;DO=10.1038%2ftpj.2016.9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nice.org.uk/guidance/TA236"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056/nejmoa0904327" TargetMode="External"/><Relationship Id="rId18" Type="http://schemas.openxmlformats.org/officeDocument/2006/relationships/hyperlink" Target="https://hqlo.biomedcentral.com/articles/10.1186/s12955-018-1019-3" TargetMode="External"/><Relationship Id="rId26" Type="http://schemas.openxmlformats.org/officeDocument/2006/relationships/hyperlink" Target="https://www.ncbi.nlm.nih.gov/books/NBK565353/" TargetMode="External"/><Relationship Id="rId39" Type="http://schemas.openxmlformats.org/officeDocument/2006/relationships/hyperlink" Target="https://www.nice.org.uk/process/pmg36/chapter/economic-evaluation-2" TargetMode="External"/><Relationship Id="rId21" Type="http://schemas.openxmlformats.org/officeDocument/2006/relationships/hyperlink" Target="https://doi.org/10.1161/circoutcomes.111.964700" TargetMode="External"/><Relationship Id="rId34" Type="http://schemas.openxmlformats.org/officeDocument/2006/relationships/hyperlink" Target="https://www.ncbi.nlm.nih.gov/books/NBK565353/" TargetMode="External"/><Relationship Id="rId42" Type="http://schemas.openxmlformats.org/officeDocument/2006/relationships/hyperlink" Target="https://www.ncbi.nlm.nih.gov/books/NBK565353/" TargetMode="External"/><Relationship Id="rId47" Type="http://schemas.openxmlformats.org/officeDocument/2006/relationships/hyperlink" Target="https://doi.org/10.1038/s41397-024-00344-z" TargetMode="External"/><Relationship Id="rId7" Type="http://schemas.openxmlformats.org/officeDocument/2006/relationships/hyperlink" Target="https://www.ncbi.nlm.nih.gov/books/NBK565353/" TargetMode="External"/><Relationship Id="rId2" Type="http://schemas.openxmlformats.org/officeDocument/2006/relationships/hyperlink" Target="https://doi.org/10.1161/jaha.124.034414" TargetMode="External"/><Relationship Id="rId16" Type="http://schemas.openxmlformats.org/officeDocument/2006/relationships/hyperlink" Target="https://hqlo.biomedcentral.com/articles/10.1186/s12955-018-1019-3" TargetMode="External"/><Relationship Id="rId29" Type="http://schemas.openxmlformats.org/officeDocument/2006/relationships/hyperlink" Target="https://www.nice.org.uk/process/pmg36/chapter/economic-evaluation-2" TargetMode="External"/><Relationship Id="rId1" Type="http://schemas.openxmlformats.org/officeDocument/2006/relationships/hyperlink" Target="https://doi.org/10.1161/jaha.124.034414" TargetMode="External"/><Relationship Id="rId6" Type="http://schemas.openxmlformats.org/officeDocument/2006/relationships/hyperlink" Target="https://doi.org/10.1093/eurheartj/ehx515" TargetMode="External"/><Relationship Id="rId11" Type="http://schemas.openxmlformats.org/officeDocument/2006/relationships/hyperlink" Target="https://doi.org/10.1111/cts.12830" TargetMode="External"/><Relationship Id="rId24" Type="http://schemas.openxmlformats.org/officeDocument/2006/relationships/hyperlink" Target="https://doi.org/10.1191/135248506ms1280oa" TargetMode="External"/><Relationship Id="rId32" Type="http://schemas.openxmlformats.org/officeDocument/2006/relationships/hyperlink" Target="https://www.ncbi.nlm.nih.gov/books/NBK565353/" TargetMode="External"/><Relationship Id="rId37" Type="http://schemas.openxmlformats.org/officeDocument/2006/relationships/hyperlink" Target="https://www.ncbi.nlm.nih.gov/books/NBK565353/" TargetMode="External"/><Relationship Id="rId40" Type="http://schemas.openxmlformats.org/officeDocument/2006/relationships/hyperlink" Target="https://hqlo.biomedcentral.com/articles/10.1186/s12955-018-1019-3" TargetMode="External"/><Relationship Id="rId45" Type="http://schemas.openxmlformats.org/officeDocument/2006/relationships/hyperlink" Target="https://www.nice.org.uk/guidance/TA236" TargetMode="External"/><Relationship Id="rId5" Type="http://schemas.openxmlformats.org/officeDocument/2006/relationships/hyperlink" Target="https://doi.org/10.1136/openhrt-2018-000951" TargetMode="External"/><Relationship Id="rId15" Type="http://schemas.openxmlformats.org/officeDocument/2006/relationships/hyperlink" Target="https://doi.org/10.1056/nejmoa0904327" TargetMode="External"/><Relationship Id="rId23" Type="http://schemas.openxmlformats.org/officeDocument/2006/relationships/hyperlink" Target="https://doi.org/10.1191/135248506ms1280oa" TargetMode="External"/><Relationship Id="rId28" Type="http://schemas.openxmlformats.org/officeDocument/2006/relationships/hyperlink" Target="https://www.ncbi.nlm.nih.gov/books/NBK565353/" TargetMode="External"/><Relationship Id="rId36" Type="http://schemas.openxmlformats.org/officeDocument/2006/relationships/hyperlink" Target="https://doi.org/10.1161/jaha.124.034414" TargetMode="External"/><Relationship Id="rId10" Type="http://schemas.openxmlformats.org/officeDocument/2006/relationships/hyperlink" Target="https://www.ncbi.nlm.nih.gov/books/NBK565353/" TargetMode="External"/><Relationship Id="rId19" Type="http://schemas.openxmlformats.org/officeDocument/2006/relationships/hyperlink" Target="https://hqlo.biomedcentral.com/articles/10.1186/s12955-018-1019-3" TargetMode="External"/><Relationship Id="rId31" Type="http://schemas.openxmlformats.org/officeDocument/2006/relationships/hyperlink" Target="https://www.nice.org.uk/process/pmg36/chapter/economic-evaluation-2" TargetMode="External"/><Relationship Id="rId44" Type="http://schemas.openxmlformats.org/officeDocument/2006/relationships/hyperlink" Target="https://doi.org/10.1161/jaha.124.034414" TargetMode="External"/><Relationship Id="rId4" Type="http://schemas.openxmlformats.org/officeDocument/2006/relationships/hyperlink" Target="https://www.ncbi.nlm.nih.gov/books/NBK565353/" TargetMode="External"/><Relationship Id="rId9" Type="http://schemas.openxmlformats.org/officeDocument/2006/relationships/hyperlink" Target="https://www.ncbi.nlm.nih.gov/books/NBK565353/" TargetMode="External"/><Relationship Id="rId14" Type="http://schemas.openxmlformats.org/officeDocument/2006/relationships/hyperlink" Target="https://doi.org/10.1056/nejmoa0904327" TargetMode="External"/><Relationship Id="rId22" Type="http://schemas.openxmlformats.org/officeDocument/2006/relationships/hyperlink" Target="https://doi.org/10.1161/circoutcomes.111.964700" TargetMode="External"/><Relationship Id="rId27" Type="http://schemas.openxmlformats.org/officeDocument/2006/relationships/hyperlink" Target="https://www.ncbi.nlm.nih.gov/books/NBK565353/" TargetMode="External"/><Relationship Id="rId30" Type="http://schemas.openxmlformats.org/officeDocument/2006/relationships/hyperlink" Target="https://www.nice.org.uk/process/pmg36/chapter/economic-evaluation-2" TargetMode="External"/><Relationship Id="rId35" Type="http://schemas.openxmlformats.org/officeDocument/2006/relationships/hyperlink" Target="https://www.ncbi.nlm.nih.gov/books/NBK565353/" TargetMode="External"/><Relationship Id="rId43" Type="http://schemas.openxmlformats.org/officeDocument/2006/relationships/hyperlink" Target="https://doi.org/10.1161/jaha.124.034414" TargetMode="External"/><Relationship Id="rId48" Type="http://schemas.openxmlformats.org/officeDocument/2006/relationships/printerSettings" Target="../printerSettings/printerSettings2.bin"/><Relationship Id="rId8" Type="http://schemas.openxmlformats.org/officeDocument/2006/relationships/hyperlink" Target="https://www.ncbi.nlm.nih.gov/books/NBK565353/" TargetMode="External"/><Relationship Id="rId3" Type="http://schemas.openxmlformats.org/officeDocument/2006/relationships/hyperlink" Target="https://www.ncbi.nlm.nih.gov/books/NBK565353/" TargetMode="External"/><Relationship Id="rId12" Type="http://schemas.openxmlformats.org/officeDocument/2006/relationships/hyperlink" Target="https://doi.org/10.1111/cts.12830" TargetMode="External"/><Relationship Id="rId17" Type="http://schemas.openxmlformats.org/officeDocument/2006/relationships/hyperlink" Target="https://hqlo.biomedcentral.com/articles/10.1186/s12955-018-1019-3" TargetMode="External"/><Relationship Id="rId25" Type="http://schemas.openxmlformats.org/officeDocument/2006/relationships/hyperlink" Target="https://www.ncbi.nlm.nih.gov/books/NBK565353/" TargetMode="External"/><Relationship Id="rId33" Type="http://schemas.openxmlformats.org/officeDocument/2006/relationships/hyperlink" Target="https://www.ncbi.nlm.nih.gov/books/NBK565353/" TargetMode="External"/><Relationship Id="rId38" Type="http://schemas.openxmlformats.org/officeDocument/2006/relationships/hyperlink" Target="https://www.nice.org.uk/process/pmg36/chapter/economic-evaluation-2" TargetMode="External"/><Relationship Id="rId46" Type="http://schemas.openxmlformats.org/officeDocument/2006/relationships/hyperlink" Target="https://doi.org/10.1038/s41397-024-00344-z" TargetMode="External"/><Relationship Id="rId20" Type="http://schemas.openxmlformats.org/officeDocument/2006/relationships/hyperlink" Target="https://doi.org/10.1161/circoutcomes.111.964700" TargetMode="External"/><Relationship Id="rId41" Type="http://schemas.openxmlformats.org/officeDocument/2006/relationships/hyperlink" Target="https://www.ncbi.nlm.nih.gov/books/NBK56535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016/j.jns.2016.08.025" TargetMode="External"/><Relationship Id="rId7" Type="http://schemas.microsoft.com/office/2017/10/relationships/threadedComment" Target="../threadedComments/threadedComment1.xml"/><Relationship Id="rId2" Type="http://schemas.openxmlformats.org/officeDocument/2006/relationships/hyperlink" Target="https://doi.org/10.1111/cts.12830" TargetMode="External"/><Relationship Id="rId1" Type="http://schemas.openxmlformats.org/officeDocument/2006/relationships/hyperlink" Target="https://doi.org/10.1161/jaha.124.034414"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s://www.england.nhs.uk/wp-content/uploads/2023/03/23-25NHSPS-amended_Annex-D-Prices-and-cost-adjustments_2024-25.pdf" TargetMode="External"/><Relationship Id="rId1" Type="http://schemas.openxmlformats.org/officeDocument/2006/relationships/hyperlink" Target="https://kar.kent.ac.uk/105685/1/The%20unit%20costs%20of%20health%20and%20social%20care_Final3.pdf"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3.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doi.org/10.1161/jaha.124.034414" TargetMode="External"/><Relationship Id="rId1" Type="http://schemas.openxmlformats.org/officeDocument/2006/relationships/hyperlink" Target="https://doi.org/10.1161/jaha.124.034414" TargetMode="Externa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364B-F03A-48D8-A329-73967B2B802E}">
  <sheetPr codeName="Sheet2"/>
  <dimension ref="A1:P20"/>
  <sheetViews>
    <sheetView showGridLines="0" workbookViewId="0">
      <selection activeCell="D8" sqref="D8"/>
    </sheetView>
  </sheetViews>
  <sheetFormatPr baseColWidth="10" defaultColWidth="8.83203125" defaultRowHeight="15" x14ac:dyDescent="0.2"/>
  <cols>
    <col min="1" max="1" width="37.83203125" customWidth="1"/>
    <col min="2" max="2" width="7.83203125" customWidth="1"/>
    <col min="2000" max="2000" width="2.5" customWidth="1"/>
  </cols>
  <sheetData>
    <row r="1" spans="1:16" x14ac:dyDescent="0.2">
      <c r="A1" s="1" t="s">
        <v>0</v>
      </c>
      <c r="B1" s="532" t="s">
        <v>1</v>
      </c>
      <c r="C1" s="532"/>
      <c r="D1" s="532"/>
      <c r="E1" s="532"/>
      <c r="F1" s="533" t="s">
        <v>2</v>
      </c>
      <c r="G1" s="533"/>
      <c r="H1" s="533"/>
      <c r="I1" s="533"/>
      <c r="J1" s="534" t="s">
        <v>3</v>
      </c>
      <c r="K1" s="534"/>
      <c r="L1" s="534"/>
      <c r="M1" s="535"/>
      <c r="N1" s="536" t="s">
        <v>316</v>
      </c>
      <c r="O1" s="537"/>
      <c r="P1" s="537"/>
    </row>
    <row r="2" spans="1:16" x14ac:dyDescent="0.2">
      <c r="A2" s="2" t="s">
        <v>4</v>
      </c>
      <c r="B2" s="3" t="s">
        <v>5</v>
      </c>
      <c r="C2" t="s">
        <v>6</v>
      </c>
      <c r="D2" s="3" t="s">
        <v>7</v>
      </c>
      <c r="E2" t="s">
        <v>8</v>
      </c>
      <c r="F2" s="3" t="s">
        <v>5</v>
      </c>
      <c r="G2" t="s">
        <v>6</v>
      </c>
      <c r="H2" s="3" t="s">
        <v>7</v>
      </c>
      <c r="I2" t="s">
        <v>8</v>
      </c>
      <c r="J2" s="3" t="s">
        <v>5</v>
      </c>
      <c r="K2" t="s">
        <v>6</v>
      </c>
      <c r="L2" s="3" t="s">
        <v>7</v>
      </c>
      <c r="M2" s="4" t="s">
        <v>8</v>
      </c>
      <c r="N2" s="3" t="s">
        <v>6</v>
      </c>
      <c r="O2" t="s">
        <v>7</v>
      </c>
      <c r="P2" s="3" t="s">
        <v>8</v>
      </c>
    </row>
    <row r="3" spans="1:16" x14ac:dyDescent="0.2">
      <c r="A3" s="5" t="s">
        <v>9</v>
      </c>
      <c r="B3" s="6"/>
      <c r="C3" s="7"/>
      <c r="M3" s="4"/>
    </row>
    <row r="4" spans="1:16" x14ac:dyDescent="0.2">
      <c r="A4" s="5" t="s">
        <v>10</v>
      </c>
      <c r="B4" s="8"/>
      <c r="C4" s="7"/>
      <c r="M4" s="4"/>
    </row>
    <row r="5" spans="1:16" x14ac:dyDescent="0.2">
      <c r="A5" s="5" t="s">
        <v>11</v>
      </c>
      <c r="B5" s="8"/>
      <c r="D5" s="7"/>
      <c r="E5" s="7"/>
      <c r="M5" s="4"/>
    </row>
    <row r="6" spans="1:16" x14ac:dyDescent="0.2">
      <c r="A6" s="5" t="s">
        <v>12</v>
      </c>
      <c r="B6" s="8"/>
      <c r="E6" s="7"/>
      <c r="M6" s="4"/>
    </row>
    <row r="7" spans="1:16" x14ac:dyDescent="0.2">
      <c r="A7" s="5" t="s">
        <v>13</v>
      </c>
      <c r="F7" s="9"/>
      <c r="G7" s="10"/>
      <c r="M7" s="4"/>
    </row>
    <row r="8" spans="1:16" x14ac:dyDescent="0.2">
      <c r="A8" s="5" t="s">
        <v>14</v>
      </c>
      <c r="G8" s="9"/>
      <c r="M8" s="4"/>
    </row>
    <row r="9" spans="1:16" x14ac:dyDescent="0.2">
      <c r="A9" s="5" t="s">
        <v>15</v>
      </c>
      <c r="H9" s="9"/>
      <c r="I9" s="9"/>
      <c r="J9" s="11"/>
      <c r="M9" s="4"/>
    </row>
    <row r="10" spans="1:16" x14ac:dyDescent="0.2">
      <c r="A10" s="5" t="s">
        <v>16</v>
      </c>
      <c r="J10" s="11"/>
      <c r="K10" s="11"/>
      <c r="M10" s="4"/>
    </row>
    <row r="11" spans="1:16" x14ac:dyDescent="0.2">
      <c r="A11" s="5" t="s">
        <v>17</v>
      </c>
      <c r="M11" s="4"/>
    </row>
    <row r="12" spans="1:16" ht="16" thickBot="1" x14ac:dyDescent="0.25">
      <c r="A12" s="12" t="s">
        <v>18</v>
      </c>
      <c r="B12" s="13"/>
      <c r="C12" s="13"/>
      <c r="D12" s="13"/>
      <c r="E12" s="14"/>
      <c r="F12" s="15"/>
      <c r="G12" s="15"/>
      <c r="H12" s="15"/>
      <c r="I12" s="15"/>
      <c r="J12" s="16"/>
      <c r="K12" s="16"/>
      <c r="L12" s="13"/>
      <c r="M12" s="17"/>
    </row>
    <row r="13" spans="1:16" x14ac:dyDescent="0.2">
      <c r="A13" s="5" t="s">
        <v>323</v>
      </c>
      <c r="N13" s="49"/>
    </row>
    <row r="14" spans="1:16" x14ac:dyDescent="0.2">
      <c r="A14" s="5" t="s">
        <v>317</v>
      </c>
    </row>
    <row r="15" spans="1:16" x14ac:dyDescent="0.2">
      <c r="A15" s="5" t="s">
        <v>318</v>
      </c>
    </row>
    <row r="16" spans="1:16" x14ac:dyDescent="0.2">
      <c r="A16" s="5" t="s">
        <v>319</v>
      </c>
    </row>
    <row r="17" spans="1:14" x14ac:dyDescent="0.2">
      <c r="A17" s="5" t="s">
        <v>320</v>
      </c>
    </row>
    <row r="18" spans="1:14" ht="16" thickBot="1" x14ac:dyDescent="0.25">
      <c r="A18" s="12" t="s">
        <v>321</v>
      </c>
      <c r="N18" s="49"/>
    </row>
    <row r="19" spans="1:14" x14ac:dyDescent="0.2">
      <c r="A19" s="5" t="s">
        <v>322</v>
      </c>
    </row>
    <row r="20" spans="1:14" x14ac:dyDescent="0.2">
      <c r="A20" t="s">
        <v>322</v>
      </c>
    </row>
  </sheetData>
  <mergeCells count="4">
    <mergeCell ref="B1:E1"/>
    <mergeCell ref="F1:I1"/>
    <mergeCell ref="J1:M1"/>
    <mergeCell ref="N1:P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filterMode="1"/>
  <dimension ref="A1:Z57"/>
  <sheetViews>
    <sheetView zoomScaleNormal="100" workbookViewId="0">
      <pane xSplit="4" ySplit="1" topLeftCell="E2" activePane="bottomRight" state="frozen"/>
      <selection pane="topRight" activeCell="E1" sqref="E1"/>
      <selection pane="bottomLeft" activeCell="A2" sqref="A2"/>
      <selection pane="bottomRight"/>
    </sheetView>
  </sheetViews>
  <sheetFormatPr baseColWidth="10" defaultColWidth="8.83203125" defaultRowHeight="16" x14ac:dyDescent="0.2"/>
  <cols>
    <col min="1" max="1" width="8.83203125" style="18"/>
    <col min="2" max="2" width="33.5" style="20" customWidth="1"/>
    <col min="3" max="3" width="8.5" style="18" customWidth="1"/>
    <col min="4" max="5" width="16.1640625" style="18" customWidth="1"/>
    <col min="6" max="6" width="24.1640625" style="18" customWidth="1"/>
    <col min="7" max="7" width="12.5" style="18" customWidth="1"/>
    <col min="8" max="8" width="40.5" style="18" customWidth="1"/>
    <col min="9" max="9" width="35.5" style="18" customWidth="1"/>
    <col min="10" max="10" width="22.83203125" style="18" customWidth="1"/>
    <col min="11" max="11" width="26.5" style="18" customWidth="1"/>
    <col min="12" max="12" width="15.83203125" style="18" customWidth="1"/>
    <col min="13" max="13" width="30.1640625" style="18" customWidth="1"/>
    <col min="14" max="14" width="40.1640625" style="18" customWidth="1"/>
    <col min="15" max="15" width="64.83203125" style="18" customWidth="1"/>
    <col min="16" max="16" width="68.1640625" style="18" customWidth="1"/>
    <col min="17" max="17" width="16.83203125" style="18" customWidth="1"/>
    <col min="18" max="18" width="54.83203125" style="18" customWidth="1"/>
    <col min="19" max="19" width="75" style="18" customWidth="1"/>
    <col min="20" max="20" width="38.1640625" style="20" customWidth="1"/>
    <col min="21" max="21" width="73.5" style="18" customWidth="1"/>
    <col min="22" max="22" width="18.83203125" style="18" customWidth="1"/>
    <col min="23" max="23" width="47.83203125" style="18" customWidth="1"/>
    <col min="24" max="24" width="62" style="18" customWidth="1"/>
    <col min="25" max="25" width="51.1640625" style="18" customWidth="1"/>
    <col min="26" max="26" width="96.5" style="18" customWidth="1"/>
    <col min="27" max="16384" width="8.83203125" style="18"/>
  </cols>
  <sheetData>
    <row r="1" spans="1:26" s="38" customFormat="1" ht="32.25" customHeight="1" x14ac:dyDescent="0.2">
      <c r="A1" s="38" cm="1">
        <f t="array" aca="1" ref="A1" ca="1">+U19+A1:F2+A+A1:A2</f>
        <v>0</v>
      </c>
      <c r="B1" s="39" t="s">
        <v>19</v>
      </c>
      <c r="C1" s="38" t="s">
        <v>20</v>
      </c>
      <c r="D1" s="38" t="s">
        <v>21</v>
      </c>
      <c r="E1" s="38" t="s">
        <v>22</v>
      </c>
      <c r="F1" s="39" t="s">
        <v>23</v>
      </c>
      <c r="G1" s="39" t="s">
        <v>24</v>
      </c>
      <c r="H1" s="39" t="s">
        <v>25</v>
      </c>
      <c r="I1" s="39" t="s">
        <v>26</v>
      </c>
      <c r="J1" s="39" t="s">
        <v>27</v>
      </c>
      <c r="K1" s="39" t="s">
        <v>28</v>
      </c>
      <c r="L1" s="39" t="s">
        <v>29</v>
      </c>
      <c r="M1" s="39" t="s">
        <v>30</v>
      </c>
      <c r="N1" s="39" t="s">
        <v>31</v>
      </c>
      <c r="O1" s="39" t="s">
        <v>32</v>
      </c>
      <c r="P1" s="39" t="s">
        <v>33</v>
      </c>
      <c r="Q1" s="39" t="s">
        <v>34</v>
      </c>
      <c r="R1" s="39" t="s">
        <v>35</v>
      </c>
      <c r="S1" s="39" t="s">
        <v>36</v>
      </c>
      <c r="T1" s="39" t="s">
        <v>37</v>
      </c>
      <c r="U1" s="87" t="s">
        <v>38</v>
      </c>
      <c r="V1" s="38" t="s">
        <v>39</v>
      </c>
      <c r="W1" s="38" t="s">
        <v>40</v>
      </c>
      <c r="X1" s="38" t="s">
        <v>41</v>
      </c>
    </row>
    <row r="2" spans="1:26" ht="237" customHeight="1" x14ac:dyDescent="0.2">
      <c r="A2" s="18" t="s">
        <v>42</v>
      </c>
      <c r="B2" s="27" t="s">
        <v>43</v>
      </c>
      <c r="C2" s="19">
        <v>2021</v>
      </c>
      <c r="D2" s="19" t="s">
        <v>44</v>
      </c>
      <c r="E2" s="19" t="s">
        <v>45</v>
      </c>
      <c r="F2" s="20" t="s">
        <v>46</v>
      </c>
      <c r="G2" s="21" t="s">
        <v>47</v>
      </c>
      <c r="H2" s="20" t="s">
        <v>48</v>
      </c>
      <c r="I2" s="20" t="s">
        <v>49</v>
      </c>
      <c r="J2" s="21" t="s">
        <v>50</v>
      </c>
      <c r="K2" s="21" t="s">
        <v>51</v>
      </c>
      <c r="L2" s="20" t="s">
        <v>52</v>
      </c>
      <c r="M2" s="20" t="s">
        <v>53</v>
      </c>
      <c r="N2" s="20" t="s">
        <v>54</v>
      </c>
      <c r="O2" s="20" t="s">
        <v>55</v>
      </c>
      <c r="P2" s="20" t="s">
        <v>56</v>
      </c>
      <c r="Q2" s="21" t="s">
        <v>57</v>
      </c>
      <c r="R2" s="20" t="s">
        <v>58</v>
      </c>
      <c r="S2" s="20" t="s">
        <v>59</v>
      </c>
      <c r="T2" s="46" t="s">
        <v>60</v>
      </c>
      <c r="U2" s="22" t="s">
        <v>61</v>
      </c>
    </row>
    <row r="3" spans="1:26" s="30" customFormat="1" ht="203.5" customHeight="1" x14ac:dyDescent="0.2">
      <c r="A3" s="29" t="s">
        <v>42</v>
      </c>
      <c r="B3" s="29" t="s">
        <v>62</v>
      </c>
      <c r="C3" s="29">
        <v>2017</v>
      </c>
      <c r="D3" s="29" t="s">
        <v>63</v>
      </c>
      <c r="E3" s="29" t="s">
        <v>64</v>
      </c>
      <c r="F3" s="29" t="s">
        <v>65</v>
      </c>
      <c r="G3" s="29" t="s">
        <v>47</v>
      </c>
      <c r="H3" s="29" t="s">
        <v>66</v>
      </c>
      <c r="I3" s="29" t="s">
        <v>67</v>
      </c>
      <c r="J3" s="29" t="s">
        <v>68</v>
      </c>
      <c r="K3" s="29" t="s">
        <v>69</v>
      </c>
      <c r="L3" s="29" t="s">
        <v>70</v>
      </c>
      <c r="M3" s="29" t="s">
        <v>71</v>
      </c>
      <c r="N3" s="29" t="s">
        <v>72</v>
      </c>
      <c r="O3" s="29" t="s">
        <v>73</v>
      </c>
      <c r="P3" s="28" t="s">
        <v>74</v>
      </c>
      <c r="Q3" s="29" t="s">
        <v>74</v>
      </c>
      <c r="R3" s="29" t="s">
        <v>75</v>
      </c>
      <c r="S3" s="29" t="s">
        <v>76</v>
      </c>
      <c r="T3" s="96" t="s">
        <v>77</v>
      </c>
      <c r="U3" s="88" t="s">
        <v>78</v>
      </c>
    </row>
    <row r="4" spans="1:26" ht="167.25" customHeight="1" x14ac:dyDescent="0.2">
      <c r="A4" s="18" t="s">
        <v>42</v>
      </c>
      <c r="B4" s="20" t="s">
        <v>79</v>
      </c>
      <c r="C4" s="19">
        <v>2022</v>
      </c>
      <c r="D4" s="20" t="s">
        <v>80</v>
      </c>
      <c r="E4" s="20" t="s">
        <v>81</v>
      </c>
      <c r="F4" s="20" t="s">
        <v>82</v>
      </c>
      <c r="G4" s="20" t="s">
        <v>47</v>
      </c>
      <c r="H4" s="20" t="s">
        <v>83</v>
      </c>
      <c r="I4" s="20" t="s">
        <v>84</v>
      </c>
      <c r="J4" s="20" t="s">
        <v>85</v>
      </c>
      <c r="K4" s="20" t="s">
        <v>86</v>
      </c>
      <c r="L4" s="20" t="s">
        <v>52</v>
      </c>
      <c r="M4" s="20" t="s">
        <v>87</v>
      </c>
      <c r="N4" s="20" t="s">
        <v>88</v>
      </c>
      <c r="O4" s="20" t="s">
        <v>89</v>
      </c>
      <c r="P4" s="20" t="s">
        <v>90</v>
      </c>
      <c r="Q4" s="20" t="s">
        <v>91</v>
      </c>
      <c r="R4" s="20" t="s">
        <v>92</v>
      </c>
      <c r="S4" s="20" t="s">
        <v>93</v>
      </c>
      <c r="T4" s="46" t="s">
        <v>94</v>
      </c>
      <c r="U4" s="89" t="s">
        <v>95</v>
      </c>
      <c r="V4" s="20"/>
      <c r="W4" s="20"/>
    </row>
    <row r="5" spans="1:26" s="25" customFormat="1" ht="221" x14ac:dyDescent="0.2">
      <c r="A5" s="25" t="s">
        <v>42</v>
      </c>
      <c r="B5" s="24" t="s">
        <v>96</v>
      </c>
      <c r="C5" s="26">
        <v>2023</v>
      </c>
      <c r="D5" s="26" t="s">
        <v>97</v>
      </c>
      <c r="E5" s="24" t="s">
        <v>64</v>
      </c>
      <c r="F5" s="24" t="s">
        <v>98</v>
      </c>
      <c r="G5" s="24" t="s">
        <v>99</v>
      </c>
      <c r="H5" s="24" t="s">
        <v>100</v>
      </c>
      <c r="I5" s="24" t="s">
        <v>101</v>
      </c>
      <c r="J5" s="24" t="s">
        <v>102</v>
      </c>
      <c r="K5" s="24" t="s">
        <v>103</v>
      </c>
      <c r="L5" s="24" t="s">
        <v>104</v>
      </c>
      <c r="M5" s="24" t="s">
        <v>105</v>
      </c>
      <c r="N5" s="24" t="s">
        <v>106</v>
      </c>
      <c r="O5" s="24" t="s">
        <v>107</v>
      </c>
      <c r="P5" s="24" t="s">
        <v>108</v>
      </c>
      <c r="Q5" s="24" t="s">
        <v>109</v>
      </c>
      <c r="R5" s="24" t="s">
        <v>110</v>
      </c>
      <c r="S5" s="24" t="s">
        <v>111</v>
      </c>
      <c r="T5" s="97" t="s">
        <v>112</v>
      </c>
      <c r="U5" s="90" t="s">
        <v>113</v>
      </c>
    </row>
    <row r="6" spans="1:26" ht="136" x14ac:dyDescent="0.2">
      <c r="A6" s="18" t="s">
        <v>42</v>
      </c>
      <c r="B6" s="20" t="s">
        <v>114</v>
      </c>
      <c r="C6" s="20">
        <v>2019</v>
      </c>
      <c r="D6" s="19" t="s">
        <v>115</v>
      </c>
      <c r="E6" s="19" t="s">
        <v>116</v>
      </c>
      <c r="F6" s="20" t="s">
        <v>117</v>
      </c>
      <c r="G6" s="20" t="s">
        <v>118</v>
      </c>
      <c r="H6" s="20" t="s">
        <v>119</v>
      </c>
      <c r="I6" s="20" t="s">
        <v>120</v>
      </c>
      <c r="J6" s="20" t="s">
        <v>121</v>
      </c>
      <c r="K6" s="20" t="s">
        <v>122</v>
      </c>
      <c r="L6" s="20" t="s">
        <v>123</v>
      </c>
      <c r="M6" s="20" t="s">
        <v>124</v>
      </c>
      <c r="N6" s="20" t="s">
        <v>125</v>
      </c>
      <c r="O6" s="20" t="s">
        <v>126</v>
      </c>
      <c r="P6" s="20" t="s">
        <v>74</v>
      </c>
      <c r="Q6" s="20" t="s">
        <v>74</v>
      </c>
      <c r="R6" s="20" t="s">
        <v>127</v>
      </c>
      <c r="S6" s="20" t="s">
        <v>128</v>
      </c>
      <c r="T6" s="20" t="s">
        <v>129</v>
      </c>
      <c r="U6" s="91"/>
    </row>
    <row r="7" spans="1:26" s="31" customFormat="1" ht="204" customHeight="1" x14ac:dyDescent="0.2">
      <c r="A7" s="31" t="s">
        <v>42</v>
      </c>
      <c r="B7" s="32" t="s">
        <v>130</v>
      </c>
      <c r="C7" s="33">
        <v>2020</v>
      </c>
      <c r="D7" s="33" t="s">
        <v>131</v>
      </c>
      <c r="E7" s="33" t="s">
        <v>132</v>
      </c>
      <c r="F7" s="40" t="s">
        <v>133</v>
      </c>
      <c r="G7" s="23" t="s">
        <v>134</v>
      </c>
      <c r="H7" s="23" t="s">
        <v>135</v>
      </c>
      <c r="I7" s="23" t="s">
        <v>136</v>
      </c>
      <c r="J7" s="23" t="s">
        <v>137</v>
      </c>
      <c r="K7" s="23" t="s">
        <v>138</v>
      </c>
      <c r="L7" s="23" t="s">
        <v>139</v>
      </c>
      <c r="M7" s="23" t="s">
        <v>140</v>
      </c>
      <c r="N7" s="23" t="s">
        <v>141</v>
      </c>
      <c r="O7" s="23" t="s">
        <v>142</v>
      </c>
      <c r="P7" s="23" t="s">
        <v>143</v>
      </c>
      <c r="Q7" s="23" t="s">
        <v>144</v>
      </c>
      <c r="R7" s="23" t="s">
        <v>145</v>
      </c>
      <c r="S7" s="23" t="s">
        <v>146</v>
      </c>
      <c r="T7" s="41" t="s">
        <v>147</v>
      </c>
      <c r="U7" s="92" t="s">
        <v>148</v>
      </c>
    </row>
    <row r="8" spans="1:26" ht="210.75" customHeight="1" x14ac:dyDescent="0.2">
      <c r="A8" s="18" t="s">
        <v>42</v>
      </c>
      <c r="B8" s="20" t="s">
        <v>149</v>
      </c>
      <c r="C8" s="20">
        <v>2019</v>
      </c>
      <c r="D8" s="20" t="s">
        <v>150</v>
      </c>
      <c r="E8" s="20" t="s">
        <v>64</v>
      </c>
      <c r="F8" s="20" t="s">
        <v>151</v>
      </c>
      <c r="G8" s="20" t="s">
        <v>152</v>
      </c>
      <c r="H8" s="20" t="s">
        <v>153</v>
      </c>
      <c r="I8" s="20" t="s">
        <v>154</v>
      </c>
      <c r="J8" s="98" t="s">
        <v>155</v>
      </c>
      <c r="K8" s="98" t="s">
        <v>156</v>
      </c>
      <c r="L8" s="20" t="s">
        <v>70</v>
      </c>
      <c r="M8" s="20" t="s">
        <v>157</v>
      </c>
      <c r="N8" s="20" t="s">
        <v>158</v>
      </c>
      <c r="O8" s="20" t="s">
        <v>159</v>
      </c>
      <c r="P8" s="20" t="s">
        <v>74</v>
      </c>
      <c r="Q8" s="20" t="s">
        <v>74</v>
      </c>
      <c r="R8" s="20" t="s">
        <v>160</v>
      </c>
      <c r="S8" s="20" t="s">
        <v>161</v>
      </c>
      <c r="T8" s="96" t="s">
        <v>162</v>
      </c>
      <c r="U8" s="89" t="s">
        <v>163</v>
      </c>
    </row>
    <row r="9" spans="1:26" s="34" customFormat="1" ht="304" x14ac:dyDescent="0.2">
      <c r="A9" s="34" t="s">
        <v>42</v>
      </c>
      <c r="B9" s="35" t="s">
        <v>164</v>
      </c>
      <c r="C9" s="36">
        <v>2015</v>
      </c>
      <c r="D9" s="36" t="s">
        <v>165</v>
      </c>
      <c r="E9" s="36" t="s">
        <v>64</v>
      </c>
      <c r="F9" s="35" t="s">
        <v>166</v>
      </c>
      <c r="G9" s="37" t="s">
        <v>167</v>
      </c>
      <c r="H9" s="37" t="s">
        <v>168</v>
      </c>
      <c r="I9" s="37" t="s">
        <v>169</v>
      </c>
      <c r="J9" s="37" t="s">
        <v>170</v>
      </c>
      <c r="K9" s="37" t="s">
        <v>171</v>
      </c>
      <c r="L9" s="37" t="s">
        <v>172</v>
      </c>
      <c r="M9" s="37" t="s">
        <v>173</v>
      </c>
      <c r="N9" s="37" t="s">
        <v>174</v>
      </c>
      <c r="O9" s="37" t="s">
        <v>175</v>
      </c>
      <c r="P9" s="37" t="s">
        <v>176</v>
      </c>
      <c r="Q9" s="37" t="s">
        <v>144</v>
      </c>
      <c r="R9" s="37" t="s">
        <v>177</v>
      </c>
      <c r="S9" s="37" t="s">
        <v>178</v>
      </c>
      <c r="T9" s="41" t="s">
        <v>179</v>
      </c>
      <c r="U9" s="93"/>
      <c r="W9" s="34" t="s">
        <v>180</v>
      </c>
    </row>
    <row r="10" spans="1:26" ht="304.5" hidden="1" customHeight="1" x14ac:dyDescent="0.2">
      <c r="A10" s="18" t="s">
        <v>181</v>
      </c>
      <c r="B10" s="27" t="s">
        <v>182</v>
      </c>
      <c r="C10" s="19">
        <v>2016</v>
      </c>
      <c r="D10" s="19" t="s">
        <v>165</v>
      </c>
      <c r="E10" s="19" t="s">
        <v>64</v>
      </c>
      <c r="F10" s="99" t="s">
        <v>183</v>
      </c>
      <c r="G10" s="98" t="s">
        <v>99</v>
      </c>
      <c r="H10" s="99" t="s">
        <v>184</v>
      </c>
      <c r="I10" s="20" t="s">
        <v>185</v>
      </c>
      <c r="J10" s="20" t="s">
        <v>186</v>
      </c>
      <c r="K10" s="20" t="s">
        <v>187</v>
      </c>
      <c r="L10" s="99" t="s">
        <v>188</v>
      </c>
      <c r="M10" s="99" t="s">
        <v>189</v>
      </c>
      <c r="N10" s="20" t="s">
        <v>190</v>
      </c>
      <c r="O10" s="20"/>
      <c r="P10" s="20" t="s">
        <v>191</v>
      </c>
      <c r="Q10" s="20" t="s">
        <v>192</v>
      </c>
      <c r="R10" s="20" t="s">
        <v>193</v>
      </c>
      <c r="S10" s="20" t="s">
        <v>194</v>
      </c>
      <c r="T10" s="27" t="s">
        <v>195</v>
      </c>
      <c r="U10" s="89" t="s">
        <v>196</v>
      </c>
      <c r="V10" s="42" t="s">
        <v>197</v>
      </c>
      <c r="W10" s="18" t="e" vm="1">
        <v>#VALUE!</v>
      </c>
      <c r="X10" s="18" t="e" vm="2">
        <v>#VALUE!</v>
      </c>
      <c r="Y10" s="18" t="e" vm="3">
        <v>#VALUE!</v>
      </c>
    </row>
    <row r="11" spans="1:26" s="31" customFormat="1" ht="409.6" hidden="1" x14ac:dyDescent="0.2">
      <c r="A11" s="31" t="s">
        <v>181</v>
      </c>
      <c r="B11" s="32" t="s">
        <v>198</v>
      </c>
      <c r="C11" s="33">
        <v>2017</v>
      </c>
      <c r="D11" s="33" t="s">
        <v>165</v>
      </c>
      <c r="E11" s="33" t="s">
        <v>64</v>
      </c>
      <c r="F11" s="32" t="s">
        <v>199</v>
      </c>
      <c r="G11" s="23" t="s">
        <v>99</v>
      </c>
      <c r="H11" s="23" t="s">
        <v>200</v>
      </c>
      <c r="I11" s="23" t="s">
        <v>201</v>
      </c>
      <c r="J11" s="23" t="s">
        <v>202</v>
      </c>
      <c r="K11" s="23" t="s">
        <v>203</v>
      </c>
      <c r="L11" s="23" t="s">
        <v>204</v>
      </c>
      <c r="M11" s="23" t="s">
        <v>205</v>
      </c>
      <c r="N11" s="23" t="s">
        <v>206</v>
      </c>
      <c r="O11" s="23" t="s">
        <v>207</v>
      </c>
      <c r="P11" s="23" t="s">
        <v>208</v>
      </c>
      <c r="Q11" s="23"/>
      <c r="R11" s="23" t="s">
        <v>209</v>
      </c>
      <c r="S11" s="23" t="s">
        <v>210</v>
      </c>
      <c r="T11" s="41" t="s">
        <v>211</v>
      </c>
      <c r="U11" s="94"/>
      <c r="V11" s="23" t="s">
        <v>212</v>
      </c>
      <c r="W11" s="31" t="e" vm="4">
        <v>#VALUE!</v>
      </c>
      <c r="X11" s="31" t="e" vm="5">
        <v>#VALUE!</v>
      </c>
      <c r="Y11" s="31" t="e" vm="6">
        <v>#VALUE!</v>
      </c>
    </row>
    <row r="12" spans="1:26" ht="404" hidden="1" x14ac:dyDescent="0.2">
      <c r="A12" s="18" t="s">
        <v>181</v>
      </c>
      <c r="B12" s="27" t="s">
        <v>213</v>
      </c>
      <c r="C12" s="19">
        <v>2014</v>
      </c>
      <c r="D12" s="19" t="s">
        <v>214</v>
      </c>
      <c r="E12" s="19" t="s">
        <v>64</v>
      </c>
      <c r="F12" s="27" t="s">
        <v>215</v>
      </c>
      <c r="G12" s="20" t="s">
        <v>99</v>
      </c>
      <c r="H12" s="20" t="s">
        <v>216</v>
      </c>
      <c r="I12" s="20" t="s">
        <v>217</v>
      </c>
      <c r="J12" s="20" t="s">
        <v>218</v>
      </c>
      <c r="K12" s="20" t="s">
        <v>219</v>
      </c>
      <c r="L12" s="20" t="s">
        <v>220</v>
      </c>
      <c r="M12" s="20" t="s">
        <v>221</v>
      </c>
      <c r="N12" s="20" t="s">
        <v>222</v>
      </c>
      <c r="O12" s="20"/>
      <c r="P12" s="20" t="s">
        <v>223</v>
      </c>
      <c r="Q12" s="20"/>
      <c r="R12" s="20" t="s">
        <v>224</v>
      </c>
      <c r="S12" s="20" t="s">
        <v>225</v>
      </c>
      <c r="T12" s="46" t="s">
        <v>226</v>
      </c>
      <c r="U12" s="91"/>
      <c r="V12" s="20" t="s">
        <v>227</v>
      </c>
      <c r="Y12" s="18" t="e" vm="7">
        <v>#VALUE!</v>
      </c>
      <c r="Z12" s="18" t="e" vm="8">
        <v>#VALUE!</v>
      </c>
    </row>
    <row r="13" spans="1:26" s="31" customFormat="1" ht="136" hidden="1" x14ac:dyDescent="0.2">
      <c r="A13" s="31" t="s">
        <v>181</v>
      </c>
      <c r="B13" s="32" t="s">
        <v>228</v>
      </c>
      <c r="C13" s="33">
        <v>2021</v>
      </c>
      <c r="D13" s="33" t="s">
        <v>229</v>
      </c>
      <c r="E13" s="33" t="s">
        <v>230</v>
      </c>
      <c r="F13" s="32" t="s">
        <v>231</v>
      </c>
      <c r="G13" s="23" t="s">
        <v>99</v>
      </c>
      <c r="H13" s="23" t="s">
        <v>232</v>
      </c>
      <c r="I13" s="23"/>
      <c r="J13" s="23" t="s">
        <v>233</v>
      </c>
      <c r="K13" s="23" t="s">
        <v>234</v>
      </c>
      <c r="L13" s="23" t="s">
        <v>235</v>
      </c>
      <c r="M13" s="23" t="s">
        <v>236</v>
      </c>
      <c r="N13" s="23"/>
      <c r="O13" s="23"/>
      <c r="P13" s="23" t="s">
        <v>237</v>
      </c>
      <c r="Q13" s="23" t="s">
        <v>237</v>
      </c>
      <c r="R13" s="23" t="s">
        <v>238</v>
      </c>
      <c r="S13" s="23" t="s">
        <v>239</v>
      </c>
      <c r="T13" s="41" t="s">
        <v>240</v>
      </c>
      <c r="U13" s="94"/>
      <c r="V13" s="31" t="s">
        <v>241</v>
      </c>
    </row>
    <row r="14" spans="1:26" ht="409.6" hidden="1" x14ac:dyDescent="0.2">
      <c r="A14" s="18" t="s">
        <v>181</v>
      </c>
      <c r="B14" s="27" t="s">
        <v>242</v>
      </c>
      <c r="C14" s="19">
        <v>2019</v>
      </c>
      <c r="D14" s="19" t="s">
        <v>229</v>
      </c>
      <c r="E14" s="19" t="s">
        <v>64</v>
      </c>
      <c r="F14" s="27" t="s">
        <v>243</v>
      </c>
      <c r="G14" s="98" t="s">
        <v>99</v>
      </c>
      <c r="H14" s="20" t="s">
        <v>244</v>
      </c>
      <c r="I14" s="20" t="s">
        <v>201</v>
      </c>
      <c r="J14" s="98" t="s">
        <v>218</v>
      </c>
      <c r="K14" s="20" t="s">
        <v>245</v>
      </c>
      <c r="L14" s="20" t="s">
        <v>246</v>
      </c>
      <c r="M14" s="20" t="s">
        <v>247</v>
      </c>
      <c r="N14" s="43" t="s">
        <v>248</v>
      </c>
      <c r="O14" s="20"/>
      <c r="P14" s="20" t="s">
        <v>249</v>
      </c>
      <c r="Q14" s="20" t="s">
        <v>250</v>
      </c>
      <c r="R14" s="20" t="s">
        <v>251</v>
      </c>
      <c r="S14" s="20" t="s">
        <v>252</v>
      </c>
      <c r="T14" s="46" t="s">
        <v>253</v>
      </c>
      <c r="U14" s="91"/>
      <c r="V14" s="20" t="s">
        <v>254</v>
      </c>
      <c r="W14" s="18" t="e" vm="9">
        <v>#VALUE!</v>
      </c>
      <c r="X14" s="18" t="e" vm="10">
        <v>#VALUE!</v>
      </c>
    </row>
    <row r="15" spans="1:26" s="31" customFormat="1" ht="356" hidden="1" x14ac:dyDescent="0.2">
      <c r="A15" s="31" t="s">
        <v>181</v>
      </c>
      <c r="B15" s="32" t="s">
        <v>255</v>
      </c>
      <c r="C15" s="33">
        <v>2020</v>
      </c>
      <c r="D15" s="33" t="s">
        <v>256</v>
      </c>
      <c r="E15" s="33" t="s">
        <v>64</v>
      </c>
      <c r="F15" s="32" t="s">
        <v>257</v>
      </c>
      <c r="G15" s="23" t="s">
        <v>99</v>
      </c>
      <c r="H15" s="23" t="s">
        <v>258</v>
      </c>
      <c r="I15" s="23" t="s">
        <v>259</v>
      </c>
      <c r="J15" s="23" t="s">
        <v>260</v>
      </c>
      <c r="K15" s="23" t="s">
        <v>261</v>
      </c>
      <c r="L15" s="23" t="s">
        <v>262</v>
      </c>
      <c r="M15" s="23" t="s">
        <v>263</v>
      </c>
      <c r="N15" s="23" t="s">
        <v>264</v>
      </c>
      <c r="O15" s="23"/>
      <c r="P15" s="23" t="s">
        <v>237</v>
      </c>
      <c r="Q15" s="23" t="s">
        <v>237</v>
      </c>
      <c r="R15" s="23" t="s">
        <v>265</v>
      </c>
      <c r="S15" s="23" t="s">
        <v>266</v>
      </c>
      <c r="T15" s="41" t="s">
        <v>267</v>
      </c>
      <c r="U15" s="94"/>
      <c r="V15" s="23" t="s">
        <v>268</v>
      </c>
      <c r="W15" s="31" t="e" vm="11">
        <v>#VALUE!</v>
      </c>
      <c r="X15" s="31" t="e" vm="12">
        <v>#VALUE!</v>
      </c>
      <c r="Y15" s="31" t="e" vm="13">
        <v>#VALUE!</v>
      </c>
      <c r="Z15" s="31" t="e" vm="14">
        <v>#VALUE!</v>
      </c>
    </row>
    <row r="16" spans="1:26" s="20" customFormat="1" ht="306" hidden="1" x14ac:dyDescent="0.2">
      <c r="A16" s="20" t="s">
        <v>181</v>
      </c>
      <c r="B16" s="27" t="s">
        <v>269</v>
      </c>
      <c r="C16" s="48">
        <v>2014</v>
      </c>
      <c r="D16" s="48" t="s">
        <v>270</v>
      </c>
      <c r="E16" s="48" t="s">
        <v>64</v>
      </c>
      <c r="F16" s="27"/>
      <c r="G16" s="20" t="s">
        <v>99</v>
      </c>
      <c r="H16" s="20" t="s">
        <v>271</v>
      </c>
      <c r="I16" s="99" t="s">
        <v>272</v>
      </c>
      <c r="J16" s="20" t="s">
        <v>155</v>
      </c>
      <c r="K16" s="20" t="s">
        <v>273</v>
      </c>
      <c r="L16" s="20" t="s">
        <v>274</v>
      </c>
      <c r="S16" s="20" t="s">
        <v>275</v>
      </c>
      <c r="T16" s="27" t="s">
        <v>276</v>
      </c>
      <c r="U16" s="89" t="s">
        <v>277</v>
      </c>
      <c r="V16" s="20" t="s">
        <v>278</v>
      </c>
    </row>
    <row r="17" spans="1:24" s="31" customFormat="1" ht="340" hidden="1" x14ac:dyDescent="0.2">
      <c r="A17" s="31" t="s">
        <v>181</v>
      </c>
      <c r="B17" s="32" t="s">
        <v>279</v>
      </c>
      <c r="C17" s="33">
        <v>2018</v>
      </c>
      <c r="D17" s="33" t="s">
        <v>280</v>
      </c>
      <c r="E17" s="33" t="s">
        <v>281</v>
      </c>
      <c r="F17" s="32" t="s">
        <v>282</v>
      </c>
      <c r="G17" s="98" t="s">
        <v>283</v>
      </c>
      <c r="H17" s="23" t="s">
        <v>284</v>
      </c>
      <c r="I17" s="23"/>
      <c r="J17" s="23" t="s">
        <v>285</v>
      </c>
      <c r="K17" s="23" t="s">
        <v>286</v>
      </c>
      <c r="L17" s="23" t="s">
        <v>287</v>
      </c>
      <c r="M17" s="23" t="s">
        <v>288</v>
      </c>
      <c r="N17" s="23" t="s">
        <v>289</v>
      </c>
      <c r="O17" s="23"/>
      <c r="P17" s="23" t="s">
        <v>290</v>
      </c>
      <c r="Q17" s="23" t="s">
        <v>291</v>
      </c>
      <c r="R17" s="23" t="s">
        <v>292</v>
      </c>
      <c r="S17" s="23" t="s">
        <v>293</v>
      </c>
      <c r="T17" s="41" t="s">
        <v>294</v>
      </c>
      <c r="U17" s="95" t="s">
        <v>295</v>
      </c>
      <c r="V17" s="23" t="s">
        <v>296</v>
      </c>
    </row>
    <row r="18" spans="1:24" ht="51" x14ac:dyDescent="0.2">
      <c r="A18" s="18" t="s">
        <v>42</v>
      </c>
      <c r="B18" s="20" t="s">
        <v>297</v>
      </c>
      <c r="C18" s="20">
        <v>2024</v>
      </c>
      <c r="D18" s="20" t="s">
        <v>298</v>
      </c>
      <c r="E18" s="20"/>
      <c r="F18" s="20"/>
      <c r="G18" s="20"/>
      <c r="H18" s="20"/>
      <c r="I18" s="20"/>
      <c r="J18" s="20"/>
      <c r="K18" s="20"/>
      <c r="L18" s="20"/>
      <c r="M18" s="20"/>
      <c r="N18" s="20"/>
      <c r="O18" s="20"/>
      <c r="P18" s="20"/>
      <c r="Q18" s="20"/>
      <c r="R18" s="20"/>
      <c r="S18" s="20"/>
      <c r="U18" s="91"/>
    </row>
    <row r="19" spans="1:24" ht="409.6" hidden="1" x14ac:dyDescent="0.2">
      <c r="A19" s="18" t="s">
        <v>181</v>
      </c>
      <c r="B19" s="20" t="s">
        <v>299</v>
      </c>
      <c r="C19" s="20">
        <v>2020</v>
      </c>
      <c r="D19" s="20" t="s">
        <v>300</v>
      </c>
      <c r="E19" s="20" t="s">
        <v>64</v>
      </c>
      <c r="F19" s="20" t="s">
        <v>309</v>
      </c>
      <c r="G19" s="20" t="s">
        <v>303</v>
      </c>
      <c r="H19" s="20" t="s">
        <v>308</v>
      </c>
      <c r="I19" s="20" t="s">
        <v>311</v>
      </c>
      <c r="J19" s="20" t="s">
        <v>307</v>
      </c>
      <c r="K19" s="20" t="s">
        <v>310</v>
      </c>
      <c r="L19" s="20" t="s">
        <v>302</v>
      </c>
      <c r="M19" s="20" t="s">
        <v>313</v>
      </c>
      <c r="N19" s="43" t="s">
        <v>312</v>
      </c>
      <c r="O19" s="20"/>
      <c r="P19" s="20" t="s">
        <v>315</v>
      </c>
      <c r="Q19" s="20" t="s">
        <v>314</v>
      </c>
      <c r="R19" s="20" t="s">
        <v>305</v>
      </c>
      <c r="S19" s="20" t="s">
        <v>306</v>
      </c>
      <c r="T19" s="46" t="s">
        <v>301</v>
      </c>
      <c r="U19" s="91"/>
      <c r="V19" s="20" t="s">
        <v>304</v>
      </c>
      <c r="W19" s="18" t="e" vm="15">
        <v>#VALUE!</v>
      </c>
      <c r="X19" s="18" t="e" vm="16">
        <v>#VALUE!</v>
      </c>
    </row>
    <row r="20" spans="1:24" x14ac:dyDescent="0.2">
      <c r="C20" s="20"/>
      <c r="D20" s="20"/>
      <c r="E20" s="20"/>
      <c r="F20" s="20"/>
      <c r="G20" s="20"/>
      <c r="H20" s="20"/>
      <c r="I20" s="20"/>
      <c r="J20" s="20"/>
      <c r="K20" s="20"/>
      <c r="L20" s="20"/>
      <c r="M20" s="20"/>
      <c r="N20" s="20"/>
      <c r="O20" s="20"/>
      <c r="P20" s="20"/>
      <c r="Q20" s="20"/>
      <c r="R20" s="20"/>
      <c r="S20" s="20"/>
    </row>
    <row r="21" spans="1:24" x14ac:dyDescent="0.2">
      <c r="C21" s="20"/>
      <c r="D21" s="20"/>
      <c r="E21" s="20"/>
      <c r="F21" s="20"/>
      <c r="G21" s="20"/>
      <c r="H21" s="20"/>
      <c r="I21" s="20"/>
      <c r="J21" s="20"/>
      <c r="K21" s="20"/>
      <c r="L21" s="20"/>
      <c r="M21" s="20"/>
      <c r="N21" s="20"/>
      <c r="O21" s="20"/>
      <c r="P21" s="20"/>
      <c r="Q21" s="20"/>
      <c r="R21" s="20"/>
      <c r="S21" s="20"/>
    </row>
    <row r="22" spans="1:24" x14ac:dyDescent="0.2">
      <c r="C22" s="20"/>
      <c r="D22" s="20"/>
      <c r="E22" s="20"/>
      <c r="F22" s="20"/>
      <c r="G22" s="20"/>
      <c r="H22" s="20"/>
      <c r="I22" s="20"/>
      <c r="J22" s="20"/>
      <c r="K22" s="20"/>
      <c r="L22" s="20"/>
      <c r="M22" s="20"/>
      <c r="N22" s="20"/>
      <c r="O22" s="20"/>
      <c r="P22" s="20"/>
      <c r="Q22" s="20"/>
      <c r="R22" s="20"/>
      <c r="S22" s="20"/>
    </row>
    <row r="23" spans="1:24" x14ac:dyDescent="0.2">
      <c r="C23" s="20"/>
      <c r="D23" s="20"/>
      <c r="E23" s="20"/>
      <c r="F23" s="20"/>
      <c r="G23" s="20"/>
      <c r="H23" s="20"/>
      <c r="I23" s="20"/>
      <c r="J23" s="20"/>
      <c r="K23" s="20"/>
      <c r="L23" s="20"/>
      <c r="M23" s="20"/>
      <c r="N23" s="20"/>
      <c r="O23" s="20"/>
      <c r="P23" s="20"/>
      <c r="Q23" s="20"/>
      <c r="R23" s="20"/>
      <c r="S23" s="20"/>
    </row>
    <row r="24" spans="1:24" x14ac:dyDescent="0.2">
      <c r="C24" s="20"/>
      <c r="D24" s="20"/>
      <c r="E24" s="20"/>
      <c r="F24" s="20"/>
      <c r="G24" s="20"/>
      <c r="H24" s="20"/>
      <c r="I24" s="20"/>
      <c r="J24" s="20"/>
      <c r="K24" s="20"/>
      <c r="L24" s="20"/>
      <c r="M24" s="20"/>
      <c r="N24" s="20"/>
      <c r="O24" s="20"/>
      <c r="P24" s="20"/>
      <c r="Q24" s="20"/>
      <c r="R24" s="20"/>
      <c r="S24" s="20"/>
    </row>
    <row r="25" spans="1:24" x14ac:dyDescent="0.2">
      <c r="C25" s="20"/>
      <c r="D25" s="20"/>
      <c r="E25" s="20"/>
      <c r="F25" s="20"/>
      <c r="G25" s="20"/>
      <c r="H25" s="20"/>
      <c r="I25" s="20"/>
      <c r="J25" s="20"/>
      <c r="K25" s="20"/>
      <c r="L25" s="20"/>
      <c r="M25" s="20"/>
      <c r="N25" s="20"/>
      <c r="O25" s="20"/>
      <c r="P25" s="20"/>
      <c r="Q25" s="20"/>
      <c r="R25" s="20"/>
      <c r="S25" s="20"/>
    </row>
    <row r="26" spans="1:24" x14ac:dyDescent="0.2">
      <c r="C26" s="20"/>
      <c r="D26" s="20"/>
      <c r="E26" s="20"/>
      <c r="F26" s="20"/>
      <c r="G26" s="20"/>
      <c r="H26" s="20"/>
      <c r="I26" s="20"/>
      <c r="J26" s="20"/>
      <c r="K26" s="20"/>
      <c r="L26" s="20"/>
      <c r="M26" s="20"/>
      <c r="N26" s="20"/>
      <c r="O26" s="20"/>
      <c r="P26" s="20"/>
      <c r="Q26" s="20"/>
      <c r="R26" s="20"/>
      <c r="S26" s="20"/>
    </row>
    <row r="27" spans="1:24" x14ac:dyDescent="0.2">
      <c r="C27" s="20"/>
      <c r="D27" s="20"/>
      <c r="E27" s="20"/>
      <c r="F27" s="20"/>
      <c r="G27" s="20"/>
      <c r="H27" s="538"/>
      <c r="I27" s="539"/>
      <c r="J27" s="44"/>
      <c r="K27" s="44"/>
      <c r="L27" s="20"/>
      <c r="M27" s="20"/>
      <c r="N27" s="20"/>
      <c r="O27" s="20"/>
      <c r="P27" s="20"/>
      <c r="Q27" s="20"/>
      <c r="R27" s="20"/>
      <c r="S27" s="20"/>
    </row>
    <row r="28" spans="1:24" x14ac:dyDescent="0.2">
      <c r="C28" s="20"/>
      <c r="D28" s="20"/>
      <c r="E28" s="20"/>
      <c r="F28" s="20"/>
      <c r="G28" s="20"/>
      <c r="H28" s="538"/>
      <c r="I28" s="539"/>
      <c r="J28" s="44"/>
      <c r="K28" s="44"/>
      <c r="L28" s="20"/>
      <c r="M28" s="20"/>
      <c r="N28" s="20"/>
      <c r="O28" s="20"/>
      <c r="P28" s="20"/>
      <c r="Q28" s="20"/>
      <c r="R28" s="45"/>
      <c r="S28" s="45"/>
    </row>
    <row r="29" spans="1:24" x14ac:dyDescent="0.2">
      <c r="C29" s="20"/>
      <c r="D29" s="20"/>
      <c r="E29" s="20"/>
      <c r="F29" s="20"/>
      <c r="G29" s="20"/>
      <c r="H29" s="538"/>
      <c r="I29" s="539"/>
      <c r="J29" s="20"/>
      <c r="K29" s="44"/>
      <c r="L29" s="20"/>
      <c r="M29" s="20"/>
      <c r="N29" s="20"/>
      <c r="O29" s="20"/>
      <c r="P29" s="20"/>
      <c r="Q29" s="20"/>
      <c r="R29" s="20"/>
      <c r="S29" s="20"/>
    </row>
    <row r="30" spans="1:24" x14ac:dyDescent="0.2">
      <c r="C30" s="20"/>
      <c r="D30" s="20"/>
      <c r="E30" s="20"/>
      <c r="F30" s="20"/>
      <c r="G30" s="20"/>
      <c r="H30" s="538"/>
      <c r="I30" s="539"/>
      <c r="J30" s="20"/>
      <c r="K30" s="44"/>
      <c r="L30" s="20"/>
      <c r="M30" s="20"/>
      <c r="N30" s="20"/>
      <c r="O30" s="20"/>
      <c r="P30" s="20"/>
      <c r="Q30" s="20"/>
      <c r="R30" s="20"/>
      <c r="S30" s="20"/>
    </row>
    <row r="31" spans="1:24" x14ac:dyDescent="0.2">
      <c r="C31" s="20"/>
      <c r="D31" s="20"/>
      <c r="E31" s="20"/>
      <c r="F31" s="20"/>
      <c r="G31" s="20"/>
      <c r="H31" s="538"/>
      <c r="I31" s="539"/>
      <c r="J31" s="20"/>
      <c r="K31" s="20"/>
      <c r="L31" s="20"/>
      <c r="M31" s="20"/>
      <c r="N31" s="20"/>
      <c r="O31" s="20"/>
      <c r="P31" s="20"/>
      <c r="Q31" s="20"/>
      <c r="R31" s="20"/>
      <c r="S31" s="20"/>
    </row>
    <row r="32" spans="1:24" x14ac:dyDescent="0.2">
      <c r="C32" s="20"/>
      <c r="D32" s="20"/>
      <c r="E32" s="20"/>
      <c r="F32" s="20"/>
      <c r="G32" s="20"/>
      <c r="H32" s="538"/>
      <c r="I32" s="539"/>
      <c r="J32" s="20"/>
      <c r="K32" s="20"/>
      <c r="L32" s="20"/>
      <c r="M32" s="20"/>
      <c r="N32" s="20"/>
      <c r="O32" s="20"/>
      <c r="P32" s="20"/>
      <c r="Q32" s="20"/>
      <c r="R32" s="45"/>
      <c r="S32" s="45"/>
    </row>
    <row r="33" spans="3:19" x14ac:dyDescent="0.2">
      <c r="C33" s="20"/>
      <c r="D33" s="20"/>
      <c r="E33" s="20"/>
      <c r="F33" s="20"/>
      <c r="G33" s="20"/>
      <c r="H33" s="538"/>
      <c r="I33" s="539"/>
      <c r="J33" s="20"/>
      <c r="K33" s="20"/>
      <c r="L33" s="20"/>
      <c r="M33" s="20"/>
      <c r="N33" s="20"/>
      <c r="O33" s="20"/>
      <c r="P33" s="20"/>
      <c r="Q33" s="20"/>
      <c r="R33" s="20"/>
      <c r="S33" s="20"/>
    </row>
    <row r="34" spans="3:19" x14ac:dyDescent="0.2">
      <c r="C34" s="20"/>
      <c r="D34" s="20"/>
      <c r="E34" s="20"/>
      <c r="F34" s="20"/>
      <c r="G34" s="20"/>
      <c r="H34" s="538"/>
      <c r="I34" s="539"/>
      <c r="J34" s="20"/>
      <c r="K34" s="20"/>
      <c r="L34" s="20"/>
      <c r="M34" s="20"/>
      <c r="N34" s="20"/>
      <c r="O34" s="20"/>
      <c r="P34" s="20"/>
      <c r="Q34" s="20"/>
      <c r="R34" s="20"/>
      <c r="S34" s="20"/>
    </row>
    <row r="35" spans="3:19" x14ac:dyDescent="0.2">
      <c r="C35" s="20"/>
      <c r="D35" s="20"/>
      <c r="E35" s="20"/>
      <c r="F35" s="20"/>
      <c r="G35" s="20"/>
      <c r="H35" s="538"/>
      <c r="I35" s="539"/>
      <c r="J35" s="20"/>
      <c r="K35" s="20"/>
      <c r="L35" s="20"/>
      <c r="M35" s="20"/>
      <c r="N35" s="20"/>
      <c r="O35" s="20"/>
      <c r="P35" s="20"/>
      <c r="Q35" s="20"/>
      <c r="R35" s="20"/>
      <c r="S35" s="20"/>
    </row>
    <row r="36" spans="3:19" x14ac:dyDescent="0.2">
      <c r="C36" s="20"/>
      <c r="D36" s="20"/>
      <c r="E36" s="20"/>
      <c r="F36" s="20"/>
      <c r="G36" s="20"/>
      <c r="H36" s="538"/>
      <c r="I36" s="539"/>
      <c r="J36" s="20"/>
      <c r="K36" s="20"/>
      <c r="L36" s="20"/>
      <c r="M36" s="20"/>
      <c r="N36" s="20"/>
      <c r="O36" s="20"/>
      <c r="P36" s="20"/>
      <c r="Q36" s="20"/>
      <c r="R36" s="20"/>
      <c r="S36" s="20"/>
    </row>
    <row r="37" spans="3:19" x14ac:dyDescent="0.2">
      <c r="C37" s="20"/>
      <c r="D37" s="20"/>
      <c r="E37" s="20"/>
      <c r="F37" s="20"/>
      <c r="G37" s="20"/>
      <c r="H37" s="538"/>
      <c r="I37" s="539"/>
      <c r="J37" s="20"/>
      <c r="K37" s="20"/>
      <c r="L37" s="20"/>
      <c r="M37" s="20"/>
      <c r="N37" s="20"/>
      <c r="O37" s="20"/>
      <c r="P37" s="20"/>
      <c r="Q37" s="20"/>
      <c r="R37" s="45"/>
      <c r="S37" s="45"/>
    </row>
    <row r="38" spans="3:19" x14ac:dyDescent="0.2">
      <c r="C38" s="20"/>
      <c r="D38" s="20"/>
      <c r="E38" s="20"/>
      <c r="F38" s="20"/>
      <c r="G38" s="20"/>
      <c r="H38" s="538"/>
      <c r="I38" s="539"/>
      <c r="J38" s="20"/>
      <c r="K38" s="20"/>
      <c r="L38" s="20"/>
      <c r="M38" s="20"/>
      <c r="N38" s="20"/>
      <c r="O38" s="20"/>
      <c r="P38" s="20"/>
      <c r="Q38" s="20"/>
      <c r="R38" s="20"/>
      <c r="S38" s="20"/>
    </row>
    <row r="39" spans="3:19" x14ac:dyDescent="0.2">
      <c r="C39" s="20"/>
      <c r="D39" s="20"/>
      <c r="E39" s="20"/>
      <c r="F39" s="20"/>
      <c r="G39" s="20"/>
      <c r="H39" s="538"/>
      <c r="I39" s="539"/>
      <c r="J39" s="20"/>
      <c r="K39" s="20"/>
      <c r="L39" s="20"/>
      <c r="M39" s="20"/>
      <c r="N39" s="20"/>
      <c r="O39" s="20"/>
      <c r="P39" s="20"/>
      <c r="Q39" s="20"/>
      <c r="R39" s="20"/>
      <c r="S39" s="20"/>
    </row>
    <row r="40" spans="3:19" x14ac:dyDescent="0.2">
      <c r="C40" s="20"/>
      <c r="D40" s="20"/>
      <c r="E40" s="20"/>
      <c r="F40" s="20"/>
      <c r="G40" s="20"/>
      <c r="H40" s="538"/>
      <c r="I40" s="539"/>
      <c r="J40" s="20"/>
      <c r="K40" s="20"/>
      <c r="L40" s="20"/>
      <c r="M40" s="20"/>
      <c r="N40" s="20"/>
      <c r="O40" s="20"/>
      <c r="P40" s="20"/>
      <c r="Q40" s="20"/>
      <c r="R40" s="45"/>
      <c r="S40" s="45"/>
    </row>
    <row r="41" spans="3:19" x14ac:dyDescent="0.2">
      <c r="C41" s="20"/>
      <c r="D41" s="20"/>
      <c r="E41" s="20"/>
      <c r="F41" s="20"/>
      <c r="G41" s="20"/>
      <c r="H41" s="538"/>
      <c r="I41" s="539"/>
      <c r="J41" s="20"/>
      <c r="K41" s="20"/>
      <c r="L41" s="20"/>
      <c r="M41" s="20"/>
      <c r="N41" s="20"/>
      <c r="O41" s="20"/>
      <c r="P41" s="20"/>
      <c r="Q41" s="20"/>
      <c r="R41" s="20"/>
      <c r="S41" s="20"/>
    </row>
    <row r="42" spans="3:19" x14ac:dyDescent="0.2">
      <c r="C42" s="20"/>
      <c r="D42" s="20"/>
      <c r="E42" s="20"/>
      <c r="F42" s="20"/>
      <c r="G42" s="20"/>
      <c r="H42" s="538"/>
      <c r="I42" s="539"/>
      <c r="J42" s="20"/>
      <c r="K42" s="20"/>
      <c r="L42" s="20"/>
      <c r="M42" s="20"/>
      <c r="N42" s="20"/>
      <c r="O42" s="20"/>
      <c r="P42" s="20"/>
      <c r="Q42" s="20"/>
      <c r="R42" s="20"/>
      <c r="S42" s="20"/>
    </row>
    <row r="43" spans="3:19" x14ac:dyDescent="0.2">
      <c r="C43" s="20"/>
      <c r="D43" s="20"/>
      <c r="E43" s="20"/>
      <c r="F43" s="20"/>
      <c r="G43" s="20"/>
      <c r="H43" s="538"/>
      <c r="I43" s="539"/>
      <c r="J43" s="20"/>
      <c r="K43" s="20"/>
      <c r="L43" s="20"/>
      <c r="M43" s="20"/>
      <c r="N43" s="20"/>
      <c r="O43" s="20"/>
      <c r="P43" s="20"/>
      <c r="Q43" s="20"/>
      <c r="R43" s="20"/>
      <c r="S43" s="20"/>
    </row>
    <row r="44" spans="3:19" x14ac:dyDescent="0.2">
      <c r="C44" s="20"/>
      <c r="D44" s="20"/>
      <c r="E44" s="20"/>
      <c r="F44" s="20"/>
      <c r="G44" s="20"/>
      <c r="H44" s="538"/>
      <c r="I44" s="539"/>
      <c r="J44" s="20"/>
      <c r="K44" s="20"/>
      <c r="L44" s="20"/>
      <c r="M44" s="20"/>
      <c r="N44" s="20"/>
      <c r="O44" s="20"/>
      <c r="P44" s="20"/>
      <c r="Q44" s="20"/>
      <c r="R44" s="20"/>
      <c r="S44" s="20"/>
    </row>
    <row r="45" spans="3:19" x14ac:dyDescent="0.2">
      <c r="C45" s="20"/>
      <c r="D45" s="20"/>
      <c r="E45" s="20"/>
      <c r="F45" s="20"/>
      <c r="G45" s="20"/>
      <c r="H45" s="538"/>
      <c r="I45" s="539"/>
      <c r="J45" s="20"/>
      <c r="K45" s="20"/>
      <c r="L45" s="20"/>
      <c r="M45" s="20"/>
      <c r="N45" s="20"/>
      <c r="O45" s="20"/>
      <c r="P45" s="20"/>
      <c r="Q45" s="20"/>
      <c r="R45" s="20"/>
      <c r="S45" s="20"/>
    </row>
    <row r="46" spans="3:19" x14ac:dyDescent="0.2">
      <c r="C46" s="20"/>
      <c r="D46" s="20"/>
      <c r="E46" s="20"/>
      <c r="F46" s="20"/>
      <c r="G46" s="20"/>
      <c r="H46" s="538"/>
      <c r="I46" s="539"/>
      <c r="J46" s="20"/>
      <c r="K46" s="20"/>
      <c r="L46" s="20"/>
      <c r="M46" s="20"/>
      <c r="N46" s="20"/>
      <c r="O46" s="20"/>
      <c r="P46" s="20"/>
      <c r="Q46" s="20"/>
      <c r="R46" s="20"/>
      <c r="S46" s="20"/>
    </row>
    <row r="47" spans="3:19" x14ac:dyDescent="0.2">
      <c r="C47" s="20"/>
      <c r="D47" s="20"/>
      <c r="E47" s="20"/>
      <c r="F47" s="20"/>
      <c r="G47" s="20"/>
      <c r="H47" s="538"/>
      <c r="I47" s="539"/>
      <c r="J47" s="20"/>
      <c r="K47" s="20"/>
      <c r="L47" s="20"/>
      <c r="M47" s="20"/>
      <c r="N47" s="20"/>
      <c r="O47" s="20"/>
      <c r="P47" s="20"/>
      <c r="Q47" s="20"/>
      <c r="R47" s="20"/>
      <c r="S47" s="20"/>
    </row>
    <row r="48" spans="3:19" x14ac:dyDescent="0.2">
      <c r="C48" s="20"/>
      <c r="D48" s="20"/>
      <c r="E48" s="20"/>
      <c r="F48" s="20"/>
      <c r="G48" s="20"/>
      <c r="H48" s="538"/>
      <c r="I48" s="539"/>
      <c r="J48" s="20"/>
      <c r="K48" s="20"/>
      <c r="L48" s="20"/>
      <c r="M48" s="20"/>
      <c r="N48" s="20"/>
      <c r="O48" s="20"/>
      <c r="P48" s="20"/>
      <c r="Q48" s="20"/>
      <c r="R48" s="20"/>
      <c r="S48" s="20"/>
    </row>
    <row r="49" spans="3:19" x14ac:dyDescent="0.2">
      <c r="C49" s="20"/>
      <c r="D49" s="20"/>
      <c r="E49" s="20"/>
      <c r="F49" s="20"/>
      <c r="G49" s="20"/>
      <c r="H49" s="538"/>
      <c r="I49" s="539"/>
      <c r="J49" s="20"/>
      <c r="K49" s="20"/>
      <c r="L49" s="20"/>
      <c r="M49" s="20"/>
      <c r="N49" s="20"/>
      <c r="O49" s="20"/>
      <c r="P49" s="20"/>
      <c r="Q49" s="20"/>
      <c r="R49" s="20"/>
      <c r="S49" s="20"/>
    </row>
    <row r="50" spans="3:19" x14ac:dyDescent="0.2">
      <c r="C50" s="20"/>
      <c r="D50" s="20"/>
      <c r="E50" s="20"/>
      <c r="F50" s="20"/>
      <c r="G50" s="20"/>
      <c r="H50" s="538"/>
      <c r="I50" s="539"/>
      <c r="J50" s="20"/>
      <c r="K50" s="20"/>
      <c r="L50" s="20"/>
      <c r="M50" s="20"/>
      <c r="N50" s="20"/>
      <c r="O50" s="20"/>
      <c r="P50" s="20"/>
      <c r="Q50" s="20"/>
      <c r="R50" s="20"/>
      <c r="S50" s="20"/>
    </row>
    <row r="51" spans="3:19" x14ac:dyDescent="0.2">
      <c r="C51" s="20"/>
      <c r="D51" s="20"/>
      <c r="E51" s="20"/>
      <c r="F51" s="20"/>
      <c r="G51" s="20"/>
      <c r="H51" s="538"/>
      <c r="I51" s="539"/>
      <c r="J51" s="20"/>
      <c r="K51" s="20"/>
      <c r="L51" s="20"/>
      <c r="M51" s="20"/>
      <c r="N51" s="20"/>
      <c r="O51" s="20"/>
      <c r="P51" s="20"/>
      <c r="Q51" s="20"/>
      <c r="R51" s="20"/>
      <c r="S51" s="20"/>
    </row>
    <row r="52" spans="3:19" x14ac:dyDescent="0.2">
      <c r="C52" s="20"/>
      <c r="D52" s="20"/>
      <c r="E52" s="20"/>
      <c r="F52" s="20"/>
      <c r="G52" s="20"/>
      <c r="H52" s="538"/>
      <c r="I52" s="539"/>
      <c r="J52" s="20"/>
      <c r="K52" s="20"/>
      <c r="L52" s="20"/>
      <c r="M52" s="20"/>
      <c r="N52" s="20"/>
      <c r="O52" s="20"/>
      <c r="P52" s="20"/>
      <c r="Q52" s="20"/>
      <c r="R52" s="20"/>
      <c r="S52" s="20"/>
    </row>
    <row r="53" spans="3:19" x14ac:dyDescent="0.2">
      <c r="C53" s="20"/>
      <c r="D53" s="20"/>
      <c r="E53" s="20"/>
      <c r="F53" s="20"/>
      <c r="G53" s="20"/>
      <c r="H53" s="538"/>
      <c r="I53" s="539"/>
      <c r="J53" s="20"/>
      <c r="K53" s="20"/>
      <c r="L53" s="20"/>
      <c r="M53" s="20"/>
      <c r="N53" s="20"/>
      <c r="O53" s="20"/>
      <c r="P53" s="20"/>
      <c r="Q53" s="20"/>
      <c r="R53" s="20"/>
      <c r="S53" s="20"/>
    </row>
    <row r="54" spans="3:19" x14ac:dyDescent="0.2">
      <c r="C54" s="20"/>
      <c r="D54" s="20"/>
      <c r="E54" s="20"/>
      <c r="F54" s="20"/>
      <c r="G54" s="20"/>
      <c r="H54" s="538"/>
      <c r="I54" s="539"/>
      <c r="J54" s="20"/>
      <c r="K54" s="20"/>
      <c r="L54" s="20"/>
      <c r="M54" s="20"/>
      <c r="N54" s="20"/>
      <c r="O54" s="20"/>
      <c r="P54" s="20"/>
      <c r="Q54" s="20"/>
      <c r="R54" s="20"/>
      <c r="S54" s="20"/>
    </row>
    <row r="55" spans="3:19" x14ac:dyDescent="0.2">
      <c r="C55" s="20"/>
      <c r="D55" s="20"/>
      <c r="E55" s="20"/>
      <c r="F55" s="20"/>
      <c r="G55" s="20"/>
      <c r="H55" s="538"/>
      <c r="I55" s="539"/>
      <c r="J55" s="20"/>
      <c r="K55" s="20"/>
      <c r="L55" s="20"/>
      <c r="M55" s="20"/>
      <c r="N55" s="20"/>
      <c r="O55" s="20"/>
      <c r="P55" s="20"/>
      <c r="Q55" s="20"/>
      <c r="R55" s="20"/>
      <c r="S55" s="20"/>
    </row>
    <row r="56" spans="3:19" x14ac:dyDescent="0.2">
      <c r="C56" s="20"/>
      <c r="D56" s="20"/>
      <c r="E56" s="20"/>
      <c r="F56" s="20"/>
      <c r="G56" s="20"/>
      <c r="H56" s="538"/>
      <c r="I56" s="539"/>
      <c r="J56" s="20"/>
      <c r="K56" s="20"/>
      <c r="L56" s="20"/>
      <c r="M56" s="20"/>
      <c r="N56" s="20"/>
      <c r="O56" s="20"/>
      <c r="P56" s="20"/>
      <c r="Q56" s="20"/>
      <c r="R56" s="20"/>
      <c r="S56" s="20"/>
    </row>
    <row r="57" spans="3:19" x14ac:dyDescent="0.2">
      <c r="C57" s="20"/>
      <c r="D57" s="20"/>
      <c r="E57" s="20"/>
      <c r="F57" s="20"/>
      <c r="G57" s="20"/>
      <c r="H57" s="538"/>
      <c r="I57" s="539"/>
      <c r="J57" s="20"/>
      <c r="K57" s="20"/>
      <c r="L57" s="20"/>
      <c r="M57" s="20"/>
      <c r="N57" s="20"/>
      <c r="O57" s="20"/>
      <c r="P57" s="20"/>
      <c r="Q57" s="20"/>
      <c r="R57" s="20"/>
      <c r="S57" s="20"/>
    </row>
  </sheetData>
  <autoFilter ref="A1:Z19" xr:uid="{00000000-0001-0000-0000-000000000000}">
    <filterColumn colId="0">
      <filters>
        <filter val="Ali"/>
      </filters>
    </filterColumn>
  </autoFilter>
  <mergeCells count="2">
    <mergeCell ref="H27:H57"/>
    <mergeCell ref="I27:I57"/>
  </mergeCells>
  <phoneticPr fontId="4" type="noConversion"/>
  <hyperlinks>
    <hyperlink ref="T2" r:id="rId1" tooltip="Persistent link using digital object identifier" xr:uid="{D2ADD032-8B99-4291-9431-C748A192306E}"/>
    <hyperlink ref="T5" r:id="rId2" xr:uid="{B2CF0EA5-C870-4737-A791-FE3976B4F5E0}"/>
    <hyperlink ref="T6" r:id="rId3" display="https://www.nature.com/articles/s41397-019-0069-1" xr:uid="{ECA8AA9B-83CF-4E14-AF8C-E5BCA72FADE3}"/>
    <hyperlink ref="T3" r:id="rId4" display="https://doi.org/10.2217/pgs-2017-0075" xr:uid="{F07C6B5A-85AE-4D28-A04D-4A7BC94F2B83}"/>
    <hyperlink ref="T4" r:id="rId5" display="https://ovidsp.ovid.com/ovidweb.cgi?T=JS&amp;CSC=Y&amp;NEWS=N&amp;PAGE=fulltext&amp;D=med21&amp;DO=10.1007%2fs40256-021-00496-4" xr:uid="{69096201-44A7-459D-8CE2-F565E58D83D4}"/>
    <hyperlink ref="T7" r:id="rId6" xr:uid="{49ADD25F-01F2-4AA3-9A51-F6F529DB23C4}"/>
    <hyperlink ref="T8" r:id="rId7" display="https://doi.org/10.1016/j.jval.2019.05.015" xr:uid="{832F816F-D62D-4FC5-9B69-89846FA1C86A}"/>
    <hyperlink ref="T19" r:id="rId8" xr:uid="{579F7097-A235-46DF-B73B-DC6C3B870EA4}"/>
    <hyperlink ref="T15" r:id="rId9" xr:uid="{9A9E2EFF-034B-4FB7-A802-CFFB3F24E0FD}"/>
    <hyperlink ref="T11" r:id="rId10" xr:uid="{2EDCA34B-0F72-4206-AECC-4AE539307E26}"/>
    <hyperlink ref="T12" r:id="rId11" xr:uid="{4969C530-9F3C-424F-98B9-A1877CC5CCA5}"/>
    <hyperlink ref="T13" r:id="rId12" xr:uid="{833D2812-9A1A-4985-85B2-B7602BAB56F8}"/>
    <hyperlink ref="T14" r:id="rId13" xr:uid="{DC5A48FA-EB39-48DD-85F0-3E5A2C1BC7D0}"/>
    <hyperlink ref="T17" r:id="rId14" xr:uid="{2F1DF5FC-3272-45E9-94A5-8C49EB316C2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2DA7-59A3-47AF-BFB8-9EF6CC8D9892}">
  <sheetPr codeName="Sheet4"/>
  <dimension ref="A1"/>
  <sheetViews>
    <sheetView showGridLines="0" topLeftCell="A58" zoomScale="85" zoomScaleNormal="85" workbookViewId="0">
      <selection activeCell="S533" sqref="S533"/>
    </sheetView>
  </sheetViews>
  <sheetFormatPr baseColWidth="10" defaultColWidth="8.83203125"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E6F06-2392-48D1-9BDF-A241F23D2B62}">
  <sheetPr codeName="Sheet5"/>
  <dimension ref="X5:Z31"/>
  <sheetViews>
    <sheetView showGridLines="0" topLeftCell="B9" zoomScale="85" zoomScaleNormal="85" workbookViewId="0">
      <selection activeCell="R26" sqref="R26"/>
    </sheetView>
  </sheetViews>
  <sheetFormatPr baseColWidth="10" defaultColWidth="8.83203125" defaultRowHeight="15" x14ac:dyDescent="0.2"/>
  <cols>
    <col min="10" max="11" width="8.83203125" customWidth="1"/>
    <col min="14" max="14" width="8.83203125" customWidth="1"/>
    <col min="24" max="26" width="0" hidden="1" customWidth="1"/>
    <col min="27" max="27" width="1.83203125" customWidth="1"/>
    <col min="2000" max="2000" width="2.5" customWidth="1"/>
  </cols>
  <sheetData>
    <row r="5" spans="24:26" x14ac:dyDescent="0.2">
      <c r="X5" s="47"/>
      <c r="Y5" s="47"/>
      <c r="Z5" s="47"/>
    </row>
    <row r="6" spans="24:26" x14ac:dyDescent="0.2">
      <c r="X6" s="47"/>
      <c r="Y6" s="47"/>
      <c r="Z6" s="47"/>
    </row>
    <row r="7" spans="24:26" x14ac:dyDescent="0.2">
      <c r="X7" s="47"/>
      <c r="Y7" s="47"/>
      <c r="Z7" s="47"/>
    </row>
    <row r="8" spans="24:26" x14ac:dyDescent="0.2">
      <c r="X8" s="47"/>
      <c r="Y8" s="47"/>
      <c r="Z8" s="47"/>
    </row>
    <row r="9" spans="24:26" x14ac:dyDescent="0.2">
      <c r="X9" s="47"/>
      <c r="Y9" s="47"/>
      <c r="Z9" s="47"/>
    </row>
    <row r="10" spans="24:26" x14ac:dyDescent="0.2">
      <c r="X10" s="47"/>
      <c r="Y10" s="47"/>
      <c r="Z10" s="47"/>
    </row>
    <row r="11" spans="24:26" x14ac:dyDescent="0.2">
      <c r="X11" s="47"/>
      <c r="Y11" s="47"/>
      <c r="Z11" s="47"/>
    </row>
    <row r="12" spans="24:26" x14ac:dyDescent="0.2">
      <c r="X12" s="47"/>
      <c r="Y12" s="47"/>
      <c r="Z12" s="47"/>
    </row>
    <row r="13" spans="24:26" x14ac:dyDescent="0.2">
      <c r="X13" s="47"/>
      <c r="Y13" s="47"/>
      <c r="Z13" s="47"/>
    </row>
    <row r="14" spans="24:26" x14ac:dyDescent="0.2">
      <c r="X14" s="47"/>
      <c r="Y14" s="47"/>
      <c r="Z14" s="47"/>
    </row>
    <row r="15" spans="24:26" x14ac:dyDescent="0.2">
      <c r="X15" s="47"/>
      <c r="Y15" s="47"/>
      <c r="Z15" s="47"/>
    </row>
    <row r="16" spans="24:26" x14ac:dyDescent="0.2">
      <c r="X16" s="47"/>
      <c r="Y16" s="47"/>
      <c r="Z16" s="47"/>
    </row>
    <row r="17" spans="24:26" x14ac:dyDescent="0.2">
      <c r="X17" s="47"/>
      <c r="Y17" s="47"/>
      <c r="Z17" s="47"/>
    </row>
    <row r="18" spans="24:26" x14ac:dyDescent="0.2">
      <c r="X18" s="47"/>
      <c r="Y18" s="47"/>
      <c r="Z18" s="47"/>
    </row>
    <row r="19" spans="24:26" x14ac:dyDescent="0.2">
      <c r="X19" s="47"/>
      <c r="Y19" s="47"/>
      <c r="Z19" s="47"/>
    </row>
    <row r="20" spans="24:26" x14ac:dyDescent="0.2">
      <c r="X20" s="47"/>
      <c r="Y20" s="47"/>
      <c r="Z20" s="47"/>
    </row>
    <row r="21" spans="24:26" x14ac:dyDescent="0.2">
      <c r="X21" s="47"/>
      <c r="Y21" s="47"/>
      <c r="Z21" s="47"/>
    </row>
    <row r="22" spans="24:26" x14ac:dyDescent="0.2">
      <c r="X22" s="47"/>
      <c r="Y22" s="47"/>
      <c r="Z22" s="47"/>
    </row>
    <row r="23" spans="24:26" x14ac:dyDescent="0.2">
      <c r="X23" s="47"/>
      <c r="Y23" s="47"/>
      <c r="Z23" s="47"/>
    </row>
    <row r="24" spans="24:26" x14ac:dyDescent="0.2">
      <c r="X24" s="47"/>
      <c r="Y24" s="47"/>
      <c r="Z24" s="47"/>
    </row>
    <row r="25" spans="24:26" x14ac:dyDescent="0.2">
      <c r="X25" s="47"/>
      <c r="Y25" s="47"/>
      <c r="Z25" s="47"/>
    </row>
    <row r="26" spans="24:26" x14ac:dyDescent="0.2">
      <c r="X26" s="47"/>
      <c r="Y26" s="47"/>
      <c r="Z26" s="47"/>
    </row>
    <row r="27" spans="24:26" x14ac:dyDescent="0.2">
      <c r="X27" s="47"/>
      <c r="Y27" s="47"/>
      <c r="Z27" s="47"/>
    </row>
    <row r="28" spans="24:26" x14ac:dyDescent="0.2">
      <c r="X28" s="47"/>
      <c r="Y28" s="47"/>
      <c r="Z28" s="47"/>
    </row>
    <row r="29" spans="24:26" x14ac:dyDescent="0.2">
      <c r="X29" s="47"/>
      <c r="Y29" s="47"/>
      <c r="Z29" s="47"/>
    </row>
    <row r="30" spans="24:26" x14ac:dyDescent="0.2">
      <c r="X30" s="47"/>
      <c r="Y30" s="47"/>
      <c r="Z30" s="47"/>
    </row>
    <row r="31" spans="24:26" x14ac:dyDescent="0.2">
      <c r="X31" s="47"/>
      <c r="Y31" s="47"/>
      <c r="Z31" s="4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6BB9-553F-48D4-A4DC-3E31EC24A301}">
  <sheetPr codeName="Sheet9"/>
  <dimension ref="A1:E62"/>
  <sheetViews>
    <sheetView workbookViewId="0">
      <pane ySplit="1" topLeftCell="A5" activePane="bottomLeft" state="frozen"/>
      <selection pane="bottomLeft" activeCell="C12" sqref="C12"/>
    </sheetView>
  </sheetViews>
  <sheetFormatPr baseColWidth="10" defaultColWidth="8.83203125" defaultRowHeight="15" x14ac:dyDescent="0.2"/>
  <cols>
    <col min="2" max="2" width="97.5" style="103" customWidth="1"/>
    <col min="3" max="3" width="28.83203125" style="3" customWidth="1"/>
    <col min="4" max="4" width="22.6640625" style="249" customWidth="1"/>
    <col min="2000" max="2000" width="2.5" customWidth="1"/>
  </cols>
  <sheetData>
    <row r="1" spans="1:5" ht="16" x14ac:dyDescent="0.2">
      <c r="B1" s="342" t="s">
        <v>470</v>
      </c>
      <c r="D1" s="249" t="s">
        <v>981</v>
      </c>
      <c r="E1" t="s">
        <v>984</v>
      </c>
    </row>
    <row r="2" spans="1:5" ht="16" x14ac:dyDescent="0.2">
      <c r="B2" s="343" t="s">
        <v>987</v>
      </c>
    </row>
    <row r="3" spans="1:5" ht="16" x14ac:dyDescent="0.2">
      <c r="B3" s="343" t="s">
        <v>988</v>
      </c>
    </row>
    <row r="4" spans="1:5" ht="16" x14ac:dyDescent="0.2">
      <c r="B4" s="343" t="s">
        <v>989</v>
      </c>
      <c r="D4" s="249" t="s">
        <v>999</v>
      </c>
    </row>
    <row r="5" spans="1:5" ht="20.25" customHeight="1" x14ac:dyDescent="0.2">
      <c r="A5" t="s">
        <v>1107</v>
      </c>
      <c r="B5" s="344" t="s">
        <v>709</v>
      </c>
    </row>
    <row r="6" spans="1:5" ht="20.25" customHeight="1" x14ac:dyDescent="0.2">
      <c r="A6" t="s">
        <v>1107</v>
      </c>
      <c r="B6" s="345" t="s">
        <v>1196</v>
      </c>
      <c r="C6" s="135"/>
      <c r="D6" s="249" t="s">
        <v>999</v>
      </c>
    </row>
    <row r="7" spans="1:5" ht="17.5" customHeight="1" x14ac:dyDescent="0.2">
      <c r="A7" t="s">
        <v>1107</v>
      </c>
      <c r="B7" s="346" t="s">
        <v>727</v>
      </c>
      <c r="C7" s="135"/>
    </row>
    <row r="8" spans="1:5" ht="18.75" customHeight="1" x14ac:dyDescent="0.2">
      <c r="A8" t="s">
        <v>1107</v>
      </c>
      <c r="B8" s="103" t="s">
        <v>982</v>
      </c>
      <c r="C8" s="172"/>
    </row>
    <row r="9" spans="1:5" ht="20.25" customHeight="1" x14ac:dyDescent="0.2">
      <c r="A9" t="s">
        <v>1107</v>
      </c>
      <c r="B9" s="347" t="s">
        <v>587</v>
      </c>
      <c r="C9" s="172"/>
    </row>
    <row r="10" spans="1:5" ht="40.5" customHeight="1" x14ac:dyDescent="0.2">
      <c r="A10" t="s">
        <v>1107</v>
      </c>
      <c r="B10" s="346" t="s">
        <v>728</v>
      </c>
      <c r="C10" s="172"/>
    </row>
    <row r="11" spans="1:5" ht="39.75" customHeight="1" x14ac:dyDescent="0.2">
      <c r="A11" t="s">
        <v>1107</v>
      </c>
      <c r="B11" s="346" t="s">
        <v>733</v>
      </c>
      <c r="C11" s="172"/>
      <c r="D11" s="249" t="s">
        <v>983</v>
      </c>
    </row>
    <row r="12" spans="1:5" ht="30" customHeight="1" x14ac:dyDescent="0.2">
      <c r="A12" t="s">
        <v>1107</v>
      </c>
      <c r="B12" s="346" t="s">
        <v>723</v>
      </c>
      <c r="C12" s="221">
        <v>0.219</v>
      </c>
      <c r="D12" s="284" t="s">
        <v>1000</v>
      </c>
    </row>
    <row r="13" spans="1:5" ht="30" customHeight="1" x14ac:dyDescent="0.2">
      <c r="A13" t="s">
        <v>1107</v>
      </c>
      <c r="B13" s="346" t="s">
        <v>724</v>
      </c>
      <c r="C13" s="221">
        <v>0.55200000000000005</v>
      </c>
      <c r="D13" s="284" t="s">
        <v>1000</v>
      </c>
    </row>
    <row r="14" spans="1:5" ht="30" customHeight="1" x14ac:dyDescent="0.2">
      <c r="A14" t="s">
        <v>1107</v>
      </c>
      <c r="B14" s="346" t="s">
        <v>725</v>
      </c>
      <c r="C14" s="221">
        <v>0.22900000000000001</v>
      </c>
      <c r="D14" s="284" t="s">
        <v>1000</v>
      </c>
    </row>
    <row r="15" spans="1:5" ht="30" customHeight="1" x14ac:dyDescent="0.2">
      <c r="A15" t="s">
        <v>1107</v>
      </c>
      <c r="B15" s="346" t="s">
        <v>726</v>
      </c>
    </row>
    <row r="16" spans="1:5" ht="30" customHeight="1" x14ac:dyDescent="0.2">
      <c r="A16" t="s">
        <v>1107</v>
      </c>
      <c r="B16" s="346" t="s">
        <v>734</v>
      </c>
      <c r="C16" s="3" t="s">
        <v>526</v>
      </c>
    </row>
    <row r="17" spans="1:4" ht="30" customHeight="1" x14ac:dyDescent="0.2">
      <c r="A17" t="s">
        <v>1107</v>
      </c>
      <c r="B17" s="346" t="s">
        <v>1012</v>
      </c>
    </row>
    <row r="18" spans="1:4" ht="78.75" customHeight="1" x14ac:dyDescent="0.2">
      <c r="A18" t="s">
        <v>1107</v>
      </c>
      <c r="B18" s="346" t="s">
        <v>864</v>
      </c>
      <c r="C18" s="3">
        <v>365</v>
      </c>
    </row>
    <row r="19" spans="1:4" ht="30" customHeight="1" x14ac:dyDescent="0.2">
      <c r="A19" t="s">
        <v>1107</v>
      </c>
      <c r="B19" s="346" t="s">
        <v>1013</v>
      </c>
      <c r="C19" s="172">
        <v>0.15</v>
      </c>
    </row>
    <row r="20" spans="1:4" ht="52.5" customHeight="1" x14ac:dyDescent="0.2">
      <c r="A20" t="s">
        <v>1107</v>
      </c>
      <c r="B20" s="346" t="s">
        <v>868</v>
      </c>
      <c r="C20" s="172"/>
    </row>
    <row r="21" spans="1:4" ht="33" customHeight="1" x14ac:dyDescent="0.2">
      <c r="A21" t="s">
        <v>1107</v>
      </c>
      <c r="B21" s="346" t="s">
        <v>866</v>
      </c>
      <c r="C21" s="143"/>
    </row>
    <row r="22" spans="1:4" ht="30" customHeight="1" x14ac:dyDescent="0.2">
      <c r="A22" t="s">
        <v>1107</v>
      </c>
      <c r="B22" s="346" t="s">
        <v>735</v>
      </c>
    </row>
    <row r="23" spans="1:4" ht="30" customHeight="1" x14ac:dyDescent="0.2">
      <c r="A23" t="s">
        <v>1107</v>
      </c>
      <c r="B23" s="346" t="s">
        <v>710</v>
      </c>
      <c r="C23" s="227">
        <v>2003.9049186967752</v>
      </c>
    </row>
    <row r="24" spans="1:4" ht="30" customHeight="1" x14ac:dyDescent="0.2">
      <c r="A24" t="s">
        <v>1107</v>
      </c>
      <c r="B24" s="346" t="s">
        <v>729</v>
      </c>
      <c r="C24" s="227">
        <v>1427.1713079498984</v>
      </c>
    </row>
    <row r="25" spans="1:4" ht="49.5" customHeight="1" x14ac:dyDescent="0.2">
      <c r="A25" t="s">
        <v>1107</v>
      </c>
      <c r="B25" s="346" t="s">
        <v>730</v>
      </c>
      <c r="C25" s="75"/>
      <c r="D25" s="132" t="s">
        <v>985</v>
      </c>
    </row>
    <row r="26" spans="1:4" ht="30" customHeight="1" x14ac:dyDescent="0.2">
      <c r="A26" t="s">
        <v>1107</v>
      </c>
      <c r="B26" s="346" t="s">
        <v>740</v>
      </c>
      <c r="C26" s="75"/>
      <c r="D26" s="132"/>
    </row>
    <row r="27" spans="1:4" ht="30" customHeight="1" x14ac:dyDescent="0.2">
      <c r="A27" t="s">
        <v>1107</v>
      </c>
      <c r="B27" s="346" t="s">
        <v>731</v>
      </c>
      <c r="C27" s="75"/>
      <c r="D27" s="132"/>
    </row>
    <row r="28" spans="1:4" ht="30" customHeight="1" x14ac:dyDescent="0.2">
      <c r="A28" t="s">
        <v>1107</v>
      </c>
      <c r="B28" s="346" t="s">
        <v>739</v>
      </c>
      <c r="C28" s="3">
        <v>1</v>
      </c>
    </row>
    <row r="29" spans="1:4" ht="30" customHeight="1" x14ac:dyDescent="0.2">
      <c r="A29" t="s">
        <v>1107</v>
      </c>
      <c r="B29" s="346" t="s">
        <v>732</v>
      </c>
      <c r="C29" s="3">
        <v>1</v>
      </c>
    </row>
    <row r="30" spans="1:4" ht="30" customHeight="1" x14ac:dyDescent="0.2">
      <c r="A30" t="s">
        <v>1107</v>
      </c>
      <c r="B30" s="346" t="s">
        <v>738</v>
      </c>
      <c r="C30" s="172">
        <v>1</v>
      </c>
    </row>
    <row r="31" spans="1:4" ht="30" customHeight="1" x14ac:dyDescent="0.2">
      <c r="A31" t="s">
        <v>1107</v>
      </c>
      <c r="B31" s="346" t="s">
        <v>1014</v>
      </c>
      <c r="C31" s="172">
        <v>0.3</v>
      </c>
    </row>
    <row r="32" spans="1:4" ht="30" customHeight="1" x14ac:dyDescent="0.2">
      <c r="A32" t="s">
        <v>1107</v>
      </c>
      <c r="B32" s="346" t="s">
        <v>1015</v>
      </c>
      <c r="C32" s="172"/>
    </row>
    <row r="33" spans="1:5" ht="21.75" customHeight="1" x14ac:dyDescent="0.2">
      <c r="A33" t="s">
        <v>1107</v>
      </c>
      <c r="B33" s="285" t="s">
        <v>741</v>
      </c>
    </row>
    <row r="34" spans="1:5" ht="34" customHeight="1" x14ac:dyDescent="0.2">
      <c r="A34" t="s">
        <v>1107</v>
      </c>
      <c r="B34" s="346" t="s">
        <v>737</v>
      </c>
    </row>
    <row r="35" spans="1:5" ht="26.5" customHeight="1" x14ac:dyDescent="0.2">
      <c r="A35" t="s">
        <v>1107</v>
      </c>
      <c r="B35" s="343" t="s">
        <v>744</v>
      </c>
    </row>
    <row r="36" spans="1:5" ht="24" customHeight="1" x14ac:dyDescent="0.2">
      <c r="A36" t="s">
        <v>1107</v>
      </c>
      <c r="B36" s="137" t="s">
        <v>745</v>
      </c>
    </row>
    <row r="37" spans="1:5" ht="22.5" customHeight="1" x14ac:dyDescent="0.2">
      <c r="A37" t="s">
        <v>1107</v>
      </c>
      <c r="B37" s="346" t="s">
        <v>736</v>
      </c>
    </row>
    <row r="38" spans="1:5" ht="22.5" customHeight="1" x14ac:dyDescent="0.2">
      <c r="A38" t="s">
        <v>1107</v>
      </c>
      <c r="B38" s="346" t="s">
        <v>743</v>
      </c>
    </row>
    <row r="39" spans="1:5" ht="22.5" customHeight="1" x14ac:dyDescent="0.2">
      <c r="A39" t="s">
        <v>1107</v>
      </c>
      <c r="B39" s="346" t="s">
        <v>746</v>
      </c>
    </row>
    <row r="40" spans="1:5" ht="32" x14ac:dyDescent="0.2">
      <c r="A40" t="s">
        <v>1107</v>
      </c>
      <c r="B40" s="348" t="s">
        <v>742</v>
      </c>
    </row>
    <row r="41" spans="1:5" x14ac:dyDescent="0.2">
      <c r="A41" t="s">
        <v>1107</v>
      </c>
    </row>
    <row r="42" spans="1:5" x14ac:dyDescent="0.2">
      <c r="B42" s="103" t="s">
        <v>1016</v>
      </c>
    </row>
    <row r="43" spans="1:5" x14ac:dyDescent="0.2">
      <c r="A43" t="s">
        <v>1108</v>
      </c>
      <c r="B43" s="103" t="s">
        <v>1017</v>
      </c>
      <c r="C43" s="172">
        <v>0.89</v>
      </c>
      <c r="D43" t="s">
        <v>1020</v>
      </c>
    </row>
    <row r="44" spans="1:5" ht="19.5" customHeight="1" x14ac:dyDescent="0.2">
      <c r="A44" t="s">
        <v>1109</v>
      </c>
      <c r="B44" s="103" t="s">
        <v>1018</v>
      </c>
      <c r="C44" s="144">
        <v>0.69899999999999995</v>
      </c>
      <c r="D44" s="249" t="s">
        <v>1019</v>
      </c>
    </row>
    <row r="45" spans="1:5" x14ac:dyDescent="0.2">
      <c r="A45" t="s">
        <v>1110</v>
      </c>
      <c r="B45" s="103" t="s">
        <v>1116</v>
      </c>
      <c r="C45" s="144">
        <v>0.56799999999999995</v>
      </c>
      <c r="D45" t="s">
        <v>648</v>
      </c>
    </row>
    <row r="46" spans="1:5" ht="15" customHeight="1" x14ac:dyDescent="0.2">
      <c r="A46" t="s">
        <v>1111</v>
      </c>
      <c r="B46" s="103" t="s">
        <v>1117</v>
      </c>
      <c r="C46" s="3" t="s">
        <v>1021</v>
      </c>
      <c r="D46" s="249" t="s">
        <v>1118</v>
      </c>
    </row>
    <row r="47" spans="1:5" ht="16" x14ac:dyDescent="0.2">
      <c r="A47" t="s">
        <v>1112</v>
      </c>
      <c r="B47" s="103" t="s">
        <v>1022</v>
      </c>
      <c r="C47" s="144">
        <v>7.1999999999999998E-3</v>
      </c>
      <c r="D47" s="249" t="s">
        <v>1023</v>
      </c>
    </row>
    <row r="48" spans="1:5" ht="16" x14ac:dyDescent="0.2">
      <c r="A48" t="s">
        <v>1113</v>
      </c>
      <c r="B48" s="103" t="s">
        <v>1026</v>
      </c>
      <c r="C48" s="3" t="s">
        <v>1028</v>
      </c>
      <c r="D48" s="249" t="s">
        <v>1024</v>
      </c>
      <c r="E48" s="139" t="s">
        <v>1025</v>
      </c>
    </row>
    <row r="49" spans="1:4" ht="16" x14ac:dyDescent="0.2">
      <c r="A49" t="s">
        <v>1114</v>
      </c>
      <c r="B49" s="103" t="s">
        <v>1022</v>
      </c>
      <c r="C49" s="3" t="s">
        <v>1029</v>
      </c>
      <c r="D49" s="249" t="s">
        <v>1027</v>
      </c>
    </row>
    <row r="50" spans="1:4" ht="16" x14ac:dyDescent="0.2">
      <c r="A50" t="s">
        <v>1115</v>
      </c>
      <c r="B50" s="103" t="s">
        <v>1119</v>
      </c>
      <c r="D50" s="249" t="s">
        <v>1030</v>
      </c>
    </row>
    <row r="51" spans="1:4" x14ac:dyDescent="0.2">
      <c r="A51" t="s">
        <v>1120</v>
      </c>
      <c r="B51" s="103" t="s">
        <v>1031</v>
      </c>
    </row>
    <row r="52" spans="1:4" ht="16" x14ac:dyDescent="0.2">
      <c r="B52" s="103" t="s">
        <v>1032</v>
      </c>
      <c r="C52" s="144">
        <v>7.85E-2</v>
      </c>
      <c r="D52" s="249" t="s">
        <v>1033</v>
      </c>
    </row>
    <row r="53" spans="1:4" x14ac:dyDescent="0.2">
      <c r="B53" s="103" t="s">
        <v>1034</v>
      </c>
      <c r="C53" s="3" t="s">
        <v>1035</v>
      </c>
    </row>
    <row r="55" spans="1:4" ht="16" x14ac:dyDescent="0.2">
      <c r="A55" t="s">
        <v>1121</v>
      </c>
      <c r="B55" s="103" t="s">
        <v>1101</v>
      </c>
      <c r="C55" s="341">
        <v>893.20396071179425</v>
      </c>
      <c r="D55" s="249" t="s">
        <v>1033</v>
      </c>
    </row>
    <row r="56" spans="1:4" ht="16" x14ac:dyDescent="0.2">
      <c r="B56" s="103" t="s">
        <v>1102</v>
      </c>
      <c r="C56" s="341"/>
      <c r="D56" s="249" t="s">
        <v>1033</v>
      </c>
    </row>
    <row r="57" spans="1:4" ht="16" x14ac:dyDescent="0.2">
      <c r="A57" t="s">
        <v>1122</v>
      </c>
      <c r="B57" s="103" t="s">
        <v>1103</v>
      </c>
      <c r="C57" s="341">
        <v>3528.2167394737421</v>
      </c>
      <c r="D57" s="249" t="s">
        <v>1033</v>
      </c>
    </row>
    <row r="58" spans="1:4" ht="16" x14ac:dyDescent="0.2">
      <c r="A58" t="s">
        <v>1123</v>
      </c>
      <c r="B58" s="103" t="s">
        <v>1105</v>
      </c>
      <c r="C58" s="341">
        <v>3848.9637157895368</v>
      </c>
      <c r="D58" s="249" t="s">
        <v>1033</v>
      </c>
    </row>
    <row r="59" spans="1:4" ht="16" x14ac:dyDescent="0.2">
      <c r="A59" t="s">
        <v>1124</v>
      </c>
      <c r="B59" s="103" t="s">
        <v>1104</v>
      </c>
      <c r="C59" s="341">
        <v>4169.7106921053319</v>
      </c>
      <c r="D59" s="249" t="s">
        <v>1033</v>
      </c>
    </row>
    <row r="60" spans="1:4" ht="16" x14ac:dyDescent="0.2">
      <c r="A60" t="s">
        <v>1125</v>
      </c>
      <c r="B60" s="103" t="s">
        <v>1106</v>
      </c>
      <c r="C60" s="341">
        <v>4490.4576684211261</v>
      </c>
      <c r="D60" s="249" t="s">
        <v>1033</v>
      </c>
    </row>
    <row r="61" spans="1:4" ht="16" x14ac:dyDescent="0.2">
      <c r="A61" t="s">
        <v>1126</v>
      </c>
      <c r="B61" s="103" t="s">
        <v>1127</v>
      </c>
      <c r="D61" s="249" t="s">
        <v>1033</v>
      </c>
    </row>
    <row r="62" spans="1:4" ht="16" x14ac:dyDescent="0.2">
      <c r="A62" t="s">
        <v>1128</v>
      </c>
      <c r="B62" s="103" t="s">
        <v>1129</v>
      </c>
      <c r="C62" s="144">
        <v>1.4999999999999999E-2</v>
      </c>
      <c r="D62" s="249" t="s">
        <v>1033</v>
      </c>
    </row>
  </sheetData>
  <phoneticPr fontId="4" type="noConversion"/>
  <hyperlinks>
    <hyperlink ref="E48" r:id="rId1" display="https://www.nice.org.uk/guidance/TA236" xr:uid="{6967DB81-A685-4B91-9B27-288181E58E1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8EFD3-1790-4E43-B1EC-0F8ECB8EA03B}">
  <sheetPr codeName="Sheet6"/>
  <dimension ref="A1:Q159"/>
  <sheetViews>
    <sheetView showGridLines="0" zoomScale="110" zoomScaleNormal="70" workbookViewId="0">
      <pane ySplit="1" topLeftCell="A82" activePane="bottomLeft" state="frozen"/>
      <selection pane="bottomLeft" activeCell="D90" sqref="D90"/>
    </sheetView>
  </sheetViews>
  <sheetFormatPr baseColWidth="10" defaultColWidth="8.83203125" defaultRowHeight="15" x14ac:dyDescent="0.2"/>
  <cols>
    <col min="1" max="1" width="28" style="103" customWidth="1"/>
    <col min="2" max="2" width="32.83203125" customWidth="1"/>
    <col min="3" max="3" width="11.1640625" style="3" customWidth="1"/>
    <col min="4" max="4" width="45.83203125" style="605" customWidth="1"/>
    <col min="5" max="5" width="12.6640625" style="79" customWidth="1"/>
    <col min="6" max="6" width="10.5" style="75" customWidth="1"/>
    <col min="7" max="8" width="9.1640625" style="75" customWidth="1"/>
    <col min="9" max="9" width="94.6640625" style="103" customWidth="1"/>
    <col min="10" max="10" width="23.6640625" style="3" customWidth="1"/>
    <col min="11" max="11" width="52.5" style="103" customWidth="1"/>
    <col min="13" max="13" width="11.5" customWidth="1"/>
    <col min="15" max="15" width="8.1640625" customWidth="1"/>
    <col min="16" max="16" width="15.5" customWidth="1"/>
    <col min="17" max="17" width="8.83203125" customWidth="1"/>
    <col min="1999" max="1999" width="2.5" customWidth="1"/>
    <col min="2001" max="2001" width="2.5" customWidth="1"/>
  </cols>
  <sheetData>
    <row r="1" spans="1:17" s="237" customFormat="1" ht="32.25" customHeight="1" x14ac:dyDescent="0.2">
      <c r="A1" s="236" t="s">
        <v>912</v>
      </c>
      <c r="B1" s="236" t="s">
        <v>1080</v>
      </c>
      <c r="C1" s="236" t="s">
        <v>817</v>
      </c>
      <c r="D1" s="600" t="s">
        <v>468</v>
      </c>
      <c r="E1" s="286" t="s">
        <v>387</v>
      </c>
      <c r="F1" s="236" t="s">
        <v>377</v>
      </c>
      <c r="G1" s="236" t="s">
        <v>333</v>
      </c>
      <c r="H1" s="236" t="s">
        <v>334</v>
      </c>
      <c r="I1" s="236" t="s">
        <v>458</v>
      </c>
      <c r="J1" s="236" t="s">
        <v>383</v>
      </c>
      <c r="K1" s="293" t="s">
        <v>622</v>
      </c>
    </row>
    <row r="2" spans="1:17" ht="7.5" customHeight="1" x14ac:dyDescent="0.2">
      <c r="A2" s="290"/>
      <c r="B2" s="290"/>
      <c r="C2" s="290"/>
      <c r="D2" s="601"/>
      <c r="E2" s="291"/>
      <c r="F2" s="290"/>
      <c r="G2" s="292"/>
      <c r="H2" s="292"/>
      <c r="I2" s="331"/>
      <c r="J2" s="290"/>
    </row>
    <row r="3" spans="1:17" s="85" customFormat="1" ht="18" customHeight="1" x14ac:dyDescent="0.2">
      <c r="A3" s="294" t="s">
        <v>1312</v>
      </c>
      <c r="B3" s="295" t="s">
        <v>327</v>
      </c>
      <c r="C3" s="295" t="s">
        <v>860</v>
      </c>
      <c r="D3" s="602">
        <v>62</v>
      </c>
      <c r="E3" s="296" t="s">
        <v>350</v>
      </c>
      <c r="F3" s="295"/>
      <c r="G3" s="295"/>
      <c r="H3" s="295"/>
      <c r="I3" s="301"/>
      <c r="J3" s="100" t="s">
        <v>345</v>
      </c>
      <c r="K3" s="297" t="s">
        <v>696</v>
      </c>
    </row>
    <row r="4" spans="1:17" s="85" customFormat="1" ht="21" customHeight="1" x14ac:dyDescent="0.2">
      <c r="A4" s="298" t="s">
        <v>1313</v>
      </c>
      <c r="B4" s="295" t="s">
        <v>327</v>
      </c>
      <c r="C4" s="295" t="s">
        <v>860</v>
      </c>
      <c r="D4" s="602">
        <v>69</v>
      </c>
      <c r="E4" s="296" t="s">
        <v>350</v>
      </c>
      <c r="F4" s="295"/>
      <c r="G4" s="295"/>
      <c r="H4" s="295"/>
      <c r="I4" s="301"/>
      <c r="J4" s="100" t="s">
        <v>621</v>
      </c>
      <c r="K4" s="299" t="s">
        <v>618</v>
      </c>
    </row>
    <row r="5" spans="1:17" s="85" customFormat="1" ht="14.5" customHeight="1" x14ac:dyDescent="0.2">
      <c r="A5" s="298" t="s">
        <v>1001</v>
      </c>
      <c r="B5" s="295" t="s">
        <v>825</v>
      </c>
      <c r="C5" s="295" t="s">
        <v>860</v>
      </c>
      <c r="D5" s="602">
        <v>1000</v>
      </c>
      <c r="E5" s="296" t="s">
        <v>350</v>
      </c>
      <c r="F5" s="295"/>
      <c r="G5" s="295"/>
      <c r="H5" s="295"/>
      <c r="I5" s="301"/>
      <c r="J5" s="100" t="s">
        <v>345</v>
      </c>
      <c r="K5" s="297" t="s">
        <v>696</v>
      </c>
    </row>
    <row r="6" spans="1:17" s="85" customFormat="1" x14ac:dyDescent="0.2">
      <c r="A6" s="300" t="s">
        <v>1311</v>
      </c>
      <c r="B6" s="301" t="s">
        <v>478</v>
      </c>
      <c r="C6" s="100" t="s">
        <v>818</v>
      </c>
      <c r="D6" s="603">
        <v>0.75</v>
      </c>
      <c r="E6" s="302" t="s">
        <v>350</v>
      </c>
      <c r="F6" s="100"/>
      <c r="G6" s="100"/>
      <c r="H6" s="100"/>
      <c r="I6" s="301"/>
      <c r="J6" s="100" t="s">
        <v>345</v>
      </c>
      <c r="K6" s="297" t="s">
        <v>696</v>
      </c>
    </row>
    <row r="7" spans="1:17" s="85" customFormat="1" ht="14.5" customHeight="1" x14ac:dyDescent="0.2">
      <c r="A7" s="303" t="s">
        <v>869</v>
      </c>
      <c r="B7" s="85" t="s">
        <v>601</v>
      </c>
      <c r="C7" s="100" t="s">
        <v>818</v>
      </c>
      <c r="D7" s="604">
        <v>0.219</v>
      </c>
      <c r="E7" s="100">
        <v>16265</v>
      </c>
      <c r="F7" s="100"/>
      <c r="G7" s="100"/>
      <c r="H7" s="295" t="s">
        <v>350</v>
      </c>
      <c r="I7" s="301"/>
      <c r="J7" s="100" t="s">
        <v>621</v>
      </c>
      <c r="K7" s="299" t="s">
        <v>618</v>
      </c>
      <c r="L7" s="304"/>
      <c r="M7" s="304"/>
      <c r="N7" s="304"/>
      <c r="O7" s="304"/>
      <c r="P7" s="304"/>
    </row>
    <row r="8" spans="1:17" s="85" customFormat="1" ht="14.5" customHeight="1" x14ac:dyDescent="0.2">
      <c r="A8" s="303" t="s">
        <v>870</v>
      </c>
      <c r="B8" s="85" t="s">
        <v>600</v>
      </c>
      <c r="C8" s="100" t="s">
        <v>818</v>
      </c>
      <c r="D8" s="604">
        <v>0.55200000000000005</v>
      </c>
      <c r="E8" s="100">
        <v>16265</v>
      </c>
      <c r="F8" s="295" t="s">
        <v>350</v>
      </c>
      <c r="G8" s="295" t="s">
        <v>350</v>
      </c>
      <c r="H8" s="295" t="s">
        <v>350</v>
      </c>
      <c r="I8" s="301"/>
      <c r="J8" s="100" t="s">
        <v>621</v>
      </c>
      <c r="K8" s="299" t="s">
        <v>619</v>
      </c>
    </row>
    <row r="9" spans="1:17" s="85" customFormat="1" ht="13.5" customHeight="1" x14ac:dyDescent="0.2">
      <c r="A9" s="303" t="s">
        <v>871</v>
      </c>
      <c r="B9" s="85" t="s">
        <v>602</v>
      </c>
      <c r="C9" s="100" t="s">
        <v>818</v>
      </c>
      <c r="D9" s="604">
        <v>0.22900000000000001</v>
      </c>
      <c r="E9" s="100">
        <v>16265</v>
      </c>
      <c r="F9" s="295" t="s">
        <v>350</v>
      </c>
      <c r="G9" s="295" t="s">
        <v>350</v>
      </c>
      <c r="H9" s="295" t="s">
        <v>350</v>
      </c>
      <c r="I9" s="301"/>
      <c r="J9" s="100" t="s">
        <v>621</v>
      </c>
      <c r="K9" s="299" t="s">
        <v>620</v>
      </c>
    </row>
    <row r="10" spans="1:17" s="85" customFormat="1" ht="13.5" customHeight="1" x14ac:dyDescent="0.2">
      <c r="A10" s="303" t="s">
        <v>913</v>
      </c>
      <c r="B10" s="85" t="s">
        <v>853</v>
      </c>
      <c r="C10" s="100" t="s">
        <v>855</v>
      </c>
      <c r="D10" s="604">
        <v>0.93</v>
      </c>
      <c r="E10" s="100">
        <v>235</v>
      </c>
      <c r="F10" s="295" t="s">
        <v>350</v>
      </c>
      <c r="G10" s="295" t="s">
        <v>350</v>
      </c>
      <c r="H10" s="295" t="s">
        <v>350</v>
      </c>
      <c r="I10" s="100" t="s">
        <v>1273</v>
      </c>
      <c r="J10" s="100" t="s">
        <v>1308</v>
      </c>
      <c r="K10" s="486" t="s">
        <v>1307</v>
      </c>
    </row>
    <row r="11" spans="1:17" s="85" customFormat="1" ht="13.5" customHeight="1" x14ac:dyDescent="0.2">
      <c r="A11" s="303" t="s">
        <v>914</v>
      </c>
      <c r="B11" s="85" t="s">
        <v>854</v>
      </c>
      <c r="C11" s="100" t="s">
        <v>855</v>
      </c>
      <c r="D11" s="604">
        <v>0.93</v>
      </c>
      <c r="E11" s="305">
        <v>235</v>
      </c>
      <c r="F11" s="295" t="s">
        <v>350</v>
      </c>
      <c r="G11" s="295" t="s">
        <v>350</v>
      </c>
      <c r="H11" s="295" t="s">
        <v>350</v>
      </c>
      <c r="I11" s="100" t="s">
        <v>1309</v>
      </c>
      <c r="J11" s="100" t="s">
        <v>1308</v>
      </c>
      <c r="K11" s="486" t="s">
        <v>1307</v>
      </c>
    </row>
    <row r="12" spans="1:17" ht="8.25" customHeight="1" x14ac:dyDescent="0.2">
      <c r="A12" s="265"/>
    </row>
    <row r="13" spans="1:17" s="85" customFormat="1" x14ac:dyDescent="0.2">
      <c r="A13" s="303" t="s">
        <v>872</v>
      </c>
      <c r="B13" s="301" t="s">
        <v>603</v>
      </c>
      <c r="C13" s="100" t="s">
        <v>796</v>
      </c>
      <c r="D13" s="604">
        <v>9.7253633201505679E-2</v>
      </c>
      <c r="E13" s="308">
        <v>41974</v>
      </c>
      <c r="F13" s="307">
        <v>1.99E-3</v>
      </c>
      <c r="G13" s="307">
        <v>9.3474007719064167E-2</v>
      </c>
      <c r="H13" s="307">
        <v>0.10129313384476103</v>
      </c>
      <c r="I13" s="332" t="s">
        <v>718</v>
      </c>
      <c r="J13" s="100" t="s">
        <v>328</v>
      </c>
      <c r="K13" s="540" t="s">
        <v>624</v>
      </c>
      <c r="L13" s="540"/>
      <c r="M13" s="540"/>
      <c r="N13" s="540"/>
      <c r="O13" s="540"/>
      <c r="P13" s="540"/>
      <c r="Q13" s="541"/>
    </row>
    <row r="14" spans="1:17" s="85" customFormat="1" ht="16" x14ac:dyDescent="0.2">
      <c r="A14" s="303" t="s">
        <v>873</v>
      </c>
      <c r="B14" s="301" t="s">
        <v>595</v>
      </c>
      <c r="C14" s="100" t="s">
        <v>796</v>
      </c>
      <c r="D14" s="604">
        <v>6.5500000000000003E-2</v>
      </c>
      <c r="E14" s="308">
        <v>1648</v>
      </c>
      <c r="F14" s="307">
        <v>6.0958802523251596E-3</v>
      </c>
      <c r="G14" s="307">
        <v>5.3586055287966901E-2</v>
      </c>
      <c r="H14" s="307">
        <v>7.7481905877081494E-2</v>
      </c>
      <c r="I14" s="332" t="s">
        <v>718</v>
      </c>
      <c r="J14" s="100" t="s">
        <v>353</v>
      </c>
      <c r="K14" s="299" t="s">
        <v>628</v>
      </c>
    </row>
    <row r="15" spans="1:17" s="85" customFormat="1" ht="16" x14ac:dyDescent="0.2">
      <c r="A15" s="303" t="s">
        <v>874</v>
      </c>
      <c r="B15" s="301" t="s">
        <v>596</v>
      </c>
      <c r="C15" s="100" t="s">
        <v>796</v>
      </c>
      <c r="D15" s="604">
        <v>1.24E-2</v>
      </c>
      <c r="E15" s="308">
        <v>11653</v>
      </c>
      <c r="F15" s="307">
        <v>1.0260441208098795E-3</v>
      </c>
      <c r="G15" s="307">
        <v>1.1299999999999999E-2</v>
      </c>
      <c r="H15" s="307">
        <v>1.2699999999999999E-2</v>
      </c>
      <c r="I15" s="332" t="s">
        <v>718</v>
      </c>
      <c r="J15" s="100" t="s">
        <v>384</v>
      </c>
      <c r="K15" s="299" t="s">
        <v>697</v>
      </c>
      <c r="L15" s="310"/>
    </row>
    <row r="16" spans="1:17" s="85" customFormat="1" x14ac:dyDescent="0.2">
      <c r="A16" s="303" t="s">
        <v>875</v>
      </c>
      <c r="B16" s="301" t="s">
        <v>597</v>
      </c>
      <c r="C16" s="100" t="s">
        <v>820</v>
      </c>
      <c r="D16" s="604">
        <v>2.1999999999999999E-2</v>
      </c>
      <c r="E16" s="308">
        <v>1023</v>
      </c>
      <c r="F16" s="307">
        <v>4.5860939877542988E-3</v>
      </c>
      <c r="G16" s="307">
        <v>1.3011255784001573E-2</v>
      </c>
      <c r="H16" s="307">
        <v>3.0988744215998426E-2</v>
      </c>
      <c r="I16" s="332" t="s">
        <v>718</v>
      </c>
      <c r="J16" s="100" t="s">
        <v>344</v>
      </c>
      <c r="K16" s="301" t="s">
        <v>629</v>
      </c>
    </row>
    <row r="17" spans="1:11" s="85" customFormat="1" x14ac:dyDescent="0.2">
      <c r="A17" s="303" t="s">
        <v>876</v>
      </c>
      <c r="B17" s="301" t="s">
        <v>598</v>
      </c>
      <c r="C17" s="100" t="s">
        <v>820</v>
      </c>
      <c r="D17" s="604">
        <v>6.0999999999999999E-2</v>
      </c>
      <c r="E17" s="308">
        <v>1023</v>
      </c>
      <c r="F17" s="307">
        <v>7.4827269324786311E-3</v>
      </c>
      <c r="G17" s="307">
        <v>4.633385521234188E-2</v>
      </c>
      <c r="H17" s="307">
        <v>7.566614478765811E-2</v>
      </c>
      <c r="I17" s="332" t="s">
        <v>718</v>
      </c>
      <c r="J17" s="100" t="s">
        <v>344</v>
      </c>
      <c r="K17" s="301" t="s">
        <v>629</v>
      </c>
    </row>
    <row r="18" spans="1:11" ht="8.25" customHeight="1" x14ac:dyDescent="0.2">
      <c r="A18" s="265"/>
      <c r="F18" s="78"/>
      <c r="G18" s="78"/>
      <c r="H18" s="79"/>
      <c r="I18" s="333"/>
    </row>
    <row r="19" spans="1:11" s="85" customFormat="1" x14ac:dyDescent="0.2">
      <c r="A19" s="311" t="s">
        <v>877</v>
      </c>
      <c r="B19" s="85" t="s">
        <v>599</v>
      </c>
      <c r="C19" s="100" t="s">
        <v>819</v>
      </c>
      <c r="D19" s="604">
        <f>prob_dead_at</f>
        <v>7.6598682607015037E-2</v>
      </c>
      <c r="E19" s="312">
        <v>4012</v>
      </c>
      <c r="F19" s="307">
        <v>4.1988023630102362E-3</v>
      </c>
      <c r="G19" s="307">
        <v>6.8369029975514972E-2</v>
      </c>
      <c r="H19" s="307">
        <v>8.4828335238515101E-2</v>
      </c>
      <c r="I19" s="332" t="s">
        <v>719</v>
      </c>
      <c r="J19" s="100" t="s">
        <v>366</v>
      </c>
      <c r="K19" s="297" t="s">
        <v>696</v>
      </c>
    </row>
    <row r="20" spans="1:11" s="85" customFormat="1" x14ac:dyDescent="0.2">
      <c r="A20" s="311" t="s">
        <v>878</v>
      </c>
      <c r="B20" s="85" t="s">
        <v>604</v>
      </c>
      <c r="C20" s="100" t="s">
        <v>819</v>
      </c>
      <c r="D20" s="604">
        <f>prob_mi_at</f>
        <v>5.4350795883466051E-2</v>
      </c>
      <c r="E20" s="312">
        <v>4237</v>
      </c>
      <c r="F20" s="307">
        <v>3.4837434784263611E-3</v>
      </c>
      <c r="G20" s="307">
        <v>4.7551191760031537E-2</v>
      </c>
      <c r="H20" s="307">
        <v>6.1207466195462877E-2</v>
      </c>
      <c r="I20" s="332" t="s">
        <v>719</v>
      </c>
      <c r="J20" s="100" t="s">
        <v>366</v>
      </c>
      <c r="K20" s="297" t="s">
        <v>696</v>
      </c>
    </row>
    <row r="21" spans="1:11" s="85" customFormat="1" x14ac:dyDescent="0.2">
      <c r="A21" s="311" t="s">
        <v>1193</v>
      </c>
      <c r="B21" s="85" t="s">
        <v>808</v>
      </c>
      <c r="C21" s="100" t="s">
        <v>819</v>
      </c>
      <c r="D21" s="604">
        <f>prob_stk_at</f>
        <v>1.3989449008198778E-2</v>
      </c>
      <c r="E21" s="312">
        <v>4387</v>
      </c>
      <c r="F21" s="307">
        <v>1.780220539464367E-3</v>
      </c>
      <c r="G21" s="307">
        <v>1.0612851855965701E-2</v>
      </c>
      <c r="H21" s="307">
        <v>1.7591316370666018E-2</v>
      </c>
      <c r="I21" s="332" t="s">
        <v>719</v>
      </c>
      <c r="J21" s="100" t="s">
        <v>366</v>
      </c>
      <c r="K21" s="297" t="s">
        <v>696</v>
      </c>
    </row>
    <row r="22" spans="1:11" s="85" customFormat="1" x14ac:dyDescent="0.2">
      <c r="A22" s="311" t="s">
        <v>879</v>
      </c>
      <c r="B22" s="85" t="s">
        <v>605</v>
      </c>
      <c r="C22" s="100" t="s">
        <v>820</v>
      </c>
      <c r="D22" s="604">
        <f>prob_maj_bleed_at</f>
        <v>2.2859883302693625E-2</v>
      </c>
      <c r="E22" s="312">
        <v>4387</v>
      </c>
      <c r="F22" s="307">
        <v>4.6728044790044203E-3</v>
      </c>
      <c r="G22" s="307">
        <v>1.3701186523844961E-2</v>
      </c>
      <c r="H22" s="307">
        <v>3.2018580081542292E-2</v>
      </c>
      <c r="I22" s="332" t="s">
        <v>719</v>
      </c>
      <c r="J22" s="100" t="s">
        <v>366</v>
      </c>
      <c r="K22" s="297" t="s">
        <v>696</v>
      </c>
    </row>
    <row r="23" spans="1:11" s="85" customFormat="1" x14ac:dyDescent="0.2">
      <c r="A23" s="311" t="s">
        <v>880</v>
      </c>
      <c r="B23" s="85" t="s">
        <v>606</v>
      </c>
      <c r="C23" s="100" t="s">
        <v>820</v>
      </c>
      <c r="D23" s="604">
        <f>prob_min_bleed_at</f>
        <v>8.1725456447969344E-2</v>
      </c>
      <c r="E23" s="312">
        <v>4387</v>
      </c>
      <c r="F23" s="307">
        <v>8.7797373244725332E-3</v>
      </c>
      <c r="G23" s="307">
        <v>6.9097038299762895E-2</v>
      </c>
      <c r="H23" s="307">
        <v>0.10351360861169522</v>
      </c>
      <c r="I23" s="332" t="s">
        <v>719</v>
      </c>
      <c r="J23" s="100" t="s">
        <v>366</v>
      </c>
      <c r="K23" s="297" t="s">
        <v>696</v>
      </c>
    </row>
    <row r="24" spans="1:11" ht="8.5" customHeight="1" x14ac:dyDescent="0.2">
      <c r="A24" s="137"/>
    </row>
    <row r="25" spans="1:11" s="85" customFormat="1" x14ac:dyDescent="0.2">
      <c r="A25" s="311" t="s">
        <v>881</v>
      </c>
      <c r="B25" s="85" t="s">
        <v>607</v>
      </c>
      <c r="C25" s="100" t="s">
        <v>819</v>
      </c>
      <c r="D25" s="604">
        <f>prob_dead_ap</f>
        <v>9.7253633201505651E-2</v>
      </c>
      <c r="E25" s="312">
        <v>1769</v>
      </c>
      <c r="F25" s="307">
        <v>7.0448520280021361E-3</v>
      </c>
      <c r="G25" s="307">
        <v>8.3445723226621471E-2</v>
      </c>
      <c r="H25" s="307">
        <v>0.11106154317638983</v>
      </c>
      <c r="I25" s="332" t="s">
        <v>719</v>
      </c>
      <c r="J25" s="100" t="s">
        <v>366</v>
      </c>
      <c r="K25" s="297" t="s">
        <v>696</v>
      </c>
    </row>
    <row r="26" spans="1:11" s="85" customFormat="1" x14ac:dyDescent="0.2">
      <c r="A26" s="311" t="s">
        <v>882</v>
      </c>
      <c r="B26" s="85" t="s">
        <v>613</v>
      </c>
      <c r="C26" s="100" t="s">
        <v>819</v>
      </c>
      <c r="D26" s="604">
        <f>prob_mi_ap</f>
        <v>4.9942813572245517E-2</v>
      </c>
      <c r="E26" s="312">
        <v>1769</v>
      </c>
      <c r="F26" s="307">
        <v>5.1803122542955935E-3</v>
      </c>
      <c r="G26" s="307">
        <v>3.9815742824270348E-2</v>
      </c>
      <c r="H26" s="307">
        <v>6.0122566861109075E-2</v>
      </c>
      <c r="I26" s="332" t="s">
        <v>719</v>
      </c>
      <c r="J26" s="100" t="s">
        <v>366</v>
      </c>
      <c r="K26" s="297" t="s">
        <v>696</v>
      </c>
    </row>
    <row r="27" spans="1:11" s="85" customFormat="1" x14ac:dyDescent="0.2">
      <c r="A27" s="311" t="s">
        <v>883</v>
      </c>
      <c r="B27" s="85" t="s">
        <v>809</v>
      </c>
      <c r="C27" s="100" t="s">
        <v>819</v>
      </c>
      <c r="D27" s="604">
        <f>prob_stk_ap</f>
        <v>1.1542018472033721E-2</v>
      </c>
      <c r="E27" s="312">
        <v>1769</v>
      </c>
      <c r="F27" s="307">
        <v>2.5496542457632007E-3</v>
      </c>
      <c r="G27" s="307">
        <v>6.6378584614894126E-3</v>
      </c>
      <c r="H27" s="307">
        <v>1.6632503104881159E-2</v>
      </c>
      <c r="I27" s="332" t="s">
        <v>719</v>
      </c>
      <c r="J27" s="100" t="s">
        <v>366</v>
      </c>
      <c r="K27" s="297" t="s">
        <v>696</v>
      </c>
    </row>
    <row r="28" spans="1:11" s="85" customFormat="1" x14ac:dyDescent="0.2">
      <c r="A28" s="311" t="s">
        <v>884</v>
      </c>
      <c r="B28" s="85" t="s">
        <v>608</v>
      </c>
      <c r="C28" s="100" t="s">
        <v>820</v>
      </c>
      <c r="D28" s="604">
        <f>prob_maj_bleed_ap</f>
        <v>3.1165177421591746E-2</v>
      </c>
      <c r="E28" s="312">
        <v>1023</v>
      </c>
      <c r="F28" s="307">
        <v>5.4327767021908327E-3</v>
      </c>
      <c r="G28" s="307">
        <v>2.0516935085297713E-2</v>
      </c>
      <c r="H28" s="307">
        <v>4.1813419757885779E-2</v>
      </c>
      <c r="I28" s="332" t="s">
        <v>719</v>
      </c>
      <c r="J28" s="100" t="s">
        <v>366</v>
      </c>
      <c r="K28" s="297" t="s">
        <v>696</v>
      </c>
    </row>
    <row r="29" spans="1:11" s="85" customFormat="1" x14ac:dyDescent="0.2">
      <c r="A29" s="311" t="s">
        <v>885</v>
      </c>
      <c r="B29" s="85" t="s">
        <v>609</v>
      </c>
      <c r="C29" s="100" t="s">
        <v>820</v>
      </c>
      <c r="D29" s="604">
        <f>prob_min_bleed_ap</f>
        <v>0.11853332957841677</v>
      </c>
      <c r="E29" s="312">
        <v>1023</v>
      </c>
      <c r="F29" s="307">
        <v>1.0336304860998012E-2</v>
      </c>
      <c r="G29" s="307">
        <v>0.10463619005877339</v>
      </c>
      <c r="H29" s="307">
        <v>0.14515450511388558</v>
      </c>
      <c r="I29" s="332" t="s">
        <v>719</v>
      </c>
      <c r="J29" s="100" t="s">
        <v>366</v>
      </c>
      <c r="K29" s="297" t="s">
        <v>696</v>
      </c>
    </row>
    <row r="30" spans="1:11" ht="8.25" customHeight="1" x14ac:dyDescent="0.2">
      <c r="A30" s="137"/>
    </row>
    <row r="31" spans="1:11" s="85" customFormat="1" x14ac:dyDescent="0.2">
      <c r="A31" s="313" t="s">
        <v>915</v>
      </c>
      <c r="B31" s="85" t="s">
        <v>403</v>
      </c>
      <c r="C31" s="100" t="s">
        <v>818</v>
      </c>
      <c r="D31" s="604">
        <v>0.29699999999999999</v>
      </c>
      <c r="E31" s="305" t="s">
        <v>350</v>
      </c>
      <c r="F31" s="295" t="s">
        <v>350</v>
      </c>
      <c r="G31" s="295" t="s">
        <v>350</v>
      </c>
      <c r="H31" s="295" t="s">
        <v>350</v>
      </c>
      <c r="I31" s="301" t="s">
        <v>694</v>
      </c>
      <c r="J31" s="100" t="s">
        <v>402</v>
      </c>
      <c r="K31" s="314" t="s">
        <v>650</v>
      </c>
    </row>
    <row r="32" spans="1:11" s="85" customFormat="1" x14ac:dyDescent="0.2">
      <c r="A32" s="313" t="s">
        <v>916</v>
      </c>
      <c r="B32" s="85" t="s">
        <v>404</v>
      </c>
      <c r="C32" s="100" t="s">
        <v>818</v>
      </c>
      <c r="D32" s="604">
        <v>0.56799999999999995</v>
      </c>
      <c r="E32" s="305" t="s">
        <v>350</v>
      </c>
      <c r="F32" s="295" t="s">
        <v>350</v>
      </c>
      <c r="G32" s="295" t="s">
        <v>350</v>
      </c>
      <c r="H32" s="295" t="s">
        <v>350</v>
      </c>
      <c r="I32" s="301" t="s">
        <v>695</v>
      </c>
      <c r="J32" s="100" t="s">
        <v>402</v>
      </c>
      <c r="K32" s="314" t="s">
        <v>650</v>
      </c>
    </row>
    <row r="33" spans="1:11" s="85" customFormat="1" ht="16" x14ac:dyDescent="0.2">
      <c r="A33" s="315" t="s">
        <v>886</v>
      </c>
      <c r="B33" s="85" t="s">
        <v>844</v>
      </c>
      <c r="C33" s="100" t="s">
        <v>818</v>
      </c>
      <c r="D33" s="604">
        <f>prop_at_st/(prop_at_st+prop_ap_st)</f>
        <v>0.70678617157490398</v>
      </c>
      <c r="E33" s="305" t="s">
        <v>350</v>
      </c>
      <c r="F33" s="295"/>
      <c r="G33" s="295"/>
      <c r="H33" s="295"/>
      <c r="I33" s="301"/>
      <c r="J33" s="100" t="s">
        <v>621</v>
      </c>
      <c r="K33" s="299" t="s">
        <v>618</v>
      </c>
    </row>
    <row r="34" spans="1:11" s="85" customFormat="1" ht="16" x14ac:dyDescent="0.2">
      <c r="A34" s="315" t="s">
        <v>887</v>
      </c>
      <c r="B34" s="85" t="s">
        <v>845</v>
      </c>
      <c r="C34" s="100" t="s">
        <v>818</v>
      </c>
      <c r="D34" s="604">
        <f>1-prop_at_lof</f>
        <v>0.29321382842509602</v>
      </c>
      <c r="E34" s="305" t="s">
        <v>350</v>
      </c>
      <c r="F34" s="295"/>
      <c r="G34" s="295"/>
      <c r="H34" s="295"/>
      <c r="I34" s="301"/>
      <c r="J34" s="100" t="s">
        <v>621</v>
      </c>
      <c r="K34" s="299" t="s">
        <v>619</v>
      </c>
    </row>
    <row r="35" spans="1:11" ht="8.25" customHeight="1" x14ac:dyDescent="0.2">
      <c r="A35" s="137"/>
    </row>
    <row r="36" spans="1:11" s="85" customFormat="1" x14ac:dyDescent="0.2">
      <c r="A36" s="311" t="s">
        <v>917</v>
      </c>
      <c r="B36" s="85" t="s">
        <v>610</v>
      </c>
      <c r="C36" s="100" t="s">
        <v>819</v>
      </c>
      <c r="D36" s="604">
        <f>RR_dead_ac_nlof*prob_dead_at</f>
        <v>7.6598682607015037E-2</v>
      </c>
      <c r="E36" s="312">
        <v>2561</v>
      </c>
      <c r="F36" s="316">
        <v>4.3765818891637878E-3</v>
      </c>
      <c r="G36" s="305">
        <v>4.1837302142202999E-2</v>
      </c>
      <c r="H36" s="305">
        <v>0.13241651484368189</v>
      </c>
      <c r="I36" s="100" t="s">
        <v>593</v>
      </c>
      <c r="J36" s="100" t="s">
        <v>1291</v>
      </c>
      <c r="K36" s="85" t="s">
        <v>1248</v>
      </c>
    </row>
    <row r="37" spans="1:11" s="85" customFormat="1" x14ac:dyDescent="0.2">
      <c r="A37" s="311" t="s">
        <v>918</v>
      </c>
      <c r="B37" s="85" t="s">
        <v>856</v>
      </c>
      <c r="C37" s="100" t="s">
        <v>819</v>
      </c>
      <c r="D37" s="604">
        <f>rr_mi_ac_nlof*prob_mi_at</f>
        <v>5.4350795883466051E-2</v>
      </c>
      <c r="E37" s="312">
        <v>2696</v>
      </c>
      <c r="F37" s="316">
        <v>3.7395739072244466E-3</v>
      </c>
      <c r="G37" s="305">
        <v>3.1152349721279032E-2</v>
      </c>
      <c r="H37" s="305">
        <v>9.9540520033145841E-2</v>
      </c>
      <c r="I37" s="100" t="s">
        <v>593</v>
      </c>
      <c r="J37" s="100" t="s">
        <v>1291</v>
      </c>
      <c r="K37" s="85" t="s">
        <v>1292</v>
      </c>
    </row>
    <row r="38" spans="1:11" s="85" customFormat="1" x14ac:dyDescent="0.2">
      <c r="A38" s="311" t="s">
        <v>919</v>
      </c>
      <c r="B38" s="85" t="s">
        <v>810</v>
      </c>
      <c r="C38" s="100" t="s">
        <v>819</v>
      </c>
      <c r="D38" s="604">
        <f>rr_stk_ac_nlof*prob_stk_ac</f>
        <v>1.24E-2</v>
      </c>
      <c r="E38" s="312">
        <v>2696</v>
      </c>
      <c r="F38" s="316">
        <v>1.8404033712138971E-3</v>
      </c>
      <c r="G38" s="305">
        <v>5.6093337103422878E-3</v>
      </c>
      <c r="H38" s="305">
        <v>2.0210818390192412E-2</v>
      </c>
      <c r="I38" s="100" t="s">
        <v>593</v>
      </c>
      <c r="J38" s="100" t="s">
        <v>1291</v>
      </c>
      <c r="K38" s="85" t="s">
        <v>1293</v>
      </c>
    </row>
    <row r="39" spans="1:11" s="85" customFormat="1" x14ac:dyDescent="0.2">
      <c r="A39" s="311" t="s">
        <v>920</v>
      </c>
      <c r="B39" s="85" t="s">
        <v>611</v>
      </c>
      <c r="C39" s="100" t="s">
        <v>922</v>
      </c>
      <c r="D39" s="604">
        <f>rr_maj_bleed_ac_nlof*prob_maj_bleed_ac</f>
        <v>2.1999999999999999E-2</v>
      </c>
      <c r="E39" s="312">
        <v>1023</v>
      </c>
      <c r="F39" s="307">
        <v>4.5860939877542988E-3</v>
      </c>
      <c r="G39" s="307">
        <v>1.3011255784001573E-2</v>
      </c>
      <c r="H39" s="307">
        <v>3.0988744215998426E-2</v>
      </c>
      <c r="I39" s="100" t="s">
        <v>593</v>
      </c>
      <c r="J39" s="100" t="s">
        <v>344</v>
      </c>
      <c r="K39" s="301" t="s">
        <v>629</v>
      </c>
    </row>
    <row r="40" spans="1:11" s="85" customFormat="1" x14ac:dyDescent="0.2">
      <c r="A40" s="311" t="s">
        <v>921</v>
      </c>
      <c r="B40" s="85" t="s">
        <v>612</v>
      </c>
      <c r="C40" s="100" t="s">
        <v>923</v>
      </c>
      <c r="D40" s="604">
        <f>rr_min_bleed_ac_nlof*prob_min_bleed_ac</f>
        <v>6.0999999999999999E-2</v>
      </c>
      <c r="E40" s="312">
        <v>1023</v>
      </c>
      <c r="F40" s="307">
        <v>7.4827269324786311E-3</v>
      </c>
      <c r="G40" s="307">
        <v>4.633385521234188E-2</v>
      </c>
      <c r="H40" s="307">
        <v>7.566614478765811E-2</v>
      </c>
      <c r="I40" s="100" t="s">
        <v>593</v>
      </c>
      <c r="J40" s="100" t="s">
        <v>344</v>
      </c>
      <c r="K40" s="301" t="s">
        <v>629</v>
      </c>
    </row>
    <row r="41" spans="1:11" ht="8.25" customHeight="1" x14ac:dyDescent="0.2">
      <c r="A41" s="137"/>
      <c r="I41" s="3"/>
    </row>
    <row r="42" spans="1:11" s="85" customFormat="1" ht="16" x14ac:dyDescent="0.2">
      <c r="A42" s="317" t="s">
        <v>888</v>
      </c>
      <c r="B42" s="85" t="s">
        <v>661</v>
      </c>
      <c r="C42" s="100" t="s">
        <v>821</v>
      </c>
      <c r="D42" s="604">
        <f>u_noevent*((((0.9508566 + (0.0212126*1) - (0.0002587*62)- (0.0000332*(62^2))))*male_proportion_STEMI)+ (((0.9508566 + (0.0212126*0) - (0.0002587*69)- (0.0000332*(69^2))))*(1-male_proportion_STEMI)))</f>
        <v>0.68626538505000001</v>
      </c>
      <c r="E42" s="307" t="s">
        <v>350</v>
      </c>
      <c r="F42" s="295">
        <v>2E-3</v>
      </c>
      <c r="G42" s="307">
        <v>0.83807999999999905</v>
      </c>
      <c r="H42" s="307">
        <v>0.84592000000000001</v>
      </c>
      <c r="I42" s="309" t="s">
        <v>459</v>
      </c>
      <c r="J42" s="100" t="s">
        <v>457</v>
      </c>
      <c r="K42" s="318" t="s">
        <v>699</v>
      </c>
    </row>
    <row r="43" spans="1:11" s="85" customFormat="1" ht="16" x14ac:dyDescent="0.2">
      <c r="A43" s="317" t="s">
        <v>889</v>
      </c>
      <c r="B43" s="85" t="s">
        <v>662</v>
      </c>
      <c r="C43" s="100" t="s">
        <v>821</v>
      </c>
      <c r="D43" s="604">
        <f>u_rinfar*((((0.9508566 + (0.0212126*1) - (0.0002587*62)- (0.0000332*(62^2))))*male_proportion_STEMI)+ (((0.9508566 + (0.0212126*0) - (0.0002587*69)- (0.0000332*(69^2))))*(1-male_proportion_STEMI)))</f>
        <v>0.63491773747500002</v>
      </c>
      <c r="E43" s="305" t="s">
        <v>350</v>
      </c>
      <c r="F43" s="295">
        <v>0.01</v>
      </c>
      <c r="G43" s="307">
        <v>0.75939999999999996</v>
      </c>
      <c r="H43" s="307">
        <v>0.79859999999999998</v>
      </c>
      <c r="I43" s="309" t="s">
        <v>459</v>
      </c>
      <c r="J43" s="100" t="s">
        <v>457</v>
      </c>
      <c r="K43" s="318" t="s">
        <v>698</v>
      </c>
    </row>
    <row r="44" spans="1:11" s="85" customFormat="1" ht="16" x14ac:dyDescent="0.2">
      <c r="A44" s="317" t="s">
        <v>890</v>
      </c>
      <c r="B44" s="85" t="s">
        <v>811</v>
      </c>
      <c r="C44" s="100" t="s">
        <v>821</v>
      </c>
      <c r="D44" s="604">
        <f>u_stk*((((0.9508566 + (0.0212126*1) - (0.0002587*62)- (0.0000332*(62^2))))*male_proportion_STEMI)+ (((0.9508566 + (0.0212126*0) - (0.0002587*69)- (0.0000332*(69^2))))*(1-male_proportion_STEMI)))</f>
        <v>0.57297454357499999</v>
      </c>
      <c r="E44" s="305" t="s">
        <v>350</v>
      </c>
      <c r="F44" s="295">
        <v>0.01</v>
      </c>
      <c r="G44" s="307">
        <v>0.68340000000000001</v>
      </c>
      <c r="H44" s="307">
        <v>0.72259999999999902</v>
      </c>
      <c r="I44" s="309" t="s">
        <v>459</v>
      </c>
      <c r="J44" s="100" t="s">
        <v>457</v>
      </c>
      <c r="K44" s="318" t="s">
        <v>700</v>
      </c>
    </row>
    <row r="45" spans="1:11" s="85" customFormat="1" ht="15" customHeight="1" x14ac:dyDescent="0.2">
      <c r="A45" s="319" t="s">
        <v>993</v>
      </c>
      <c r="B45" s="85" t="s">
        <v>509</v>
      </c>
      <c r="C45" s="100" t="s">
        <v>821</v>
      </c>
      <c r="D45" s="604">
        <v>2.5999999999999999E-2</v>
      </c>
      <c r="E45" s="305" t="s">
        <v>350</v>
      </c>
      <c r="F45" s="295">
        <v>5.0000000000000001E-3</v>
      </c>
      <c r="G45" s="295">
        <v>-4.7E-2</v>
      </c>
      <c r="H45" s="295">
        <v>-2.93E-2</v>
      </c>
      <c r="I45" s="309" t="s">
        <v>720</v>
      </c>
      <c r="J45" s="309" t="s">
        <v>703</v>
      </c>
      <c r="K45" s="318" t="s">
        <v>701</v>
      </c>
    </row>
    <row r="46" spans="1:11" s="85" customFormat="1" ht="15" customHeight="1" x14ac:dyDescent="0.2">
      <c r="A46" s="319" t="s">
        <v>994</v>
      </c>
      <c r="B46" s="85" t="s">
        <v>510</v>
      </c>
      <c r="C46" s="100" t="s">
        <v>821</v>
      </c>
      <c r="D46" s="604">
        <v>3.7999999999999999E-2</v>
      </c>
      <c r="E46" s="305" t="s">
        <v>350</v>
      </c>
      <c r="F46" s="295">
        <v>6.0000000000000001E-3</v>
      </c>
      <c r="G46" s="295">
        <v>-3.6499999999999998E-2</v>
      </c>
      <c r="H46" s="295">
        <v>-1.4800000000000001E-2</v>
      </c>
      <c r="I46" s="309" t="s">
        <v>720</v>
      </c>
      <c r="J46" s="309" t="s">
        <v>704</v>
      </c>
      <c r="K46" s="318" t="s">
        <v>702</v>
      </c>
    </row>
    <row r="47" spans="1:11" s="85" customFormat="1" ht="15" customHeight="1" x14ac:dyDescent="0.2">
      <c r="A47" s="301" t="s">
        <v>925</v>
      </c>
      <c r="B47" s="85" t="s">
        <v>511</v>
      </c>
      <c r="C47" s="100" t="s">
        <v>821</v>
      </c>
      <c r="D47" s="604">
        <v>7.6</v>
      </c>
      <c r="E47" s="305" t="s">
        <v>350</v>
      </c>
      <c r="F47" s="295" t="s">
        <v>350</v>
      </c>
      <c r="G47" s="295" t="s">
        <v>350</v>
      </c>
      <c r="H47" s="295" t="s">
        <v>350</v>
      </c>
      <c r="I47" s="309" t="s">
        <v>594</v>
      </c>
      <c r="J47" s="309" t="s">
        <v>512</v>
      </c>
      <c r="K47" s="318" t="s">
        <v>701</v>
      </c>
    </row>
    <row r="48" spans="1:11" s="85" customFormat="1" ht="15" customHeight="1" x14ac:dyDescent="0.2">
      <c r="A48" s="317" t="s">
        <v>924</v>
      </c>
      <c r="B48" s="85" t="s">
        <v>513</v>
      </c>
      <c r="C48" s="100" t="s">
        <v>821</v>
      </c>
      <c r="D48" s="604">
        <v>45.38</v>
      </c>
      <c r="E48" s="305" t="s">
        <v>350</v>
      </c>
      <c r="F48" s="295" t="s">
        <v>350</v>
      </c>
      <c r="G48" s="295" t="s">
        <v>350</v>
      </c>
      <c r="H48" s="295" t="s">
        <v>350</v>
      </c>
      <c r="I48" s="309" t="s">
        <v>594</v>
      </c>
      <c r="J48" s="309" t="s">
        <v>514</v>
      </c>
      <c r="K48" s="318" t="s">
        <v>701</v>
      </c>
    </row>
    <row r="49" spans="1:11" s="85" customFormat="1" ht="15" customHeight="1" x14ac:dyDescent="0.2">
      <c r="A49" s="320" t="s">
        <v>1314</v>
      </c>
      <c r="B49" s="85" t="s">
        <v>711</v>
      </c>
      <c r="C49" s="100" t="s">
        <v>821</v>
      </c>
      <c r="D49" s="604">
        <f>an_u_dec_min_bleed* (duration_min_bleed/365)</f>
        <v>5.4136986301369858E-4</v>
      </c>
      <c r="E49" s="305" t="s">
        <v>350</v>
      </c>
      <c r="F49" s="295" t="s">
        <v>350</v>
      </c>
      <c r="G49" s="295" t="s">
        <v>350</v>
      </c>
      <c r="H49" s="295" t="s">
        <v>350</v>
      </c>
      <c r="I49" s="309" t="s">
        <v>720</v>
      </c>
      <c r="J49" s="309" t="s">
        <v>713</v>
      </c>
      <c r="K49" s="318" t="s">
        <v>702</v>
      </c>
    </row>
    <row r="50" spans="1:11" s="85" customFormat="1" ht="15" customHeight="1" x14ac:dyDescent="0.2">
      <c r="A50" s="320" t="s">
        <v>1315</v>
      </c>
      <c r="B50" s="85" t="s">
        <v>712</v>
      </c>
      <c r="C50" s="100" t="s">
        <v>821</v>
      </c>
      <c r="D50" s="604">
        <f>an_u_dec_maj_bleed * (duration_maj_bleed/365)</f>
        <v>4.7244931506849313E-3</v>
      </c>
      <c r="E50" s="305" t="s">
        <v>350</v>
      </c>
      <c r="F50" s="295" t="s">
        <v>350</v>
      </c>
      <c r="G50" s="295" t="s">
        <v>350</v>
      </c>
      <c r="H50" s="295" t="s">
        <v>350</v>
      </c>
      <c r="I50" s="309" t="s">
        <v>720</v>
      </c>
      <c r="J50" s="309" t="s">
        <v>714</v>
      </c>
      <c r="K50" s="318" t="s">
        <v>1086</v>
      </c>
    </row>
    <row r="51" spans="1:11" s="85" customFormat="1" ht="15" customHeight="1" x14ac:dyDescent="0.2">
      <c r="A51" s="320" t="s">
        <v>990</v>
      </c>
      <c r="B51" s="85" t="s">
        <v>995</v>
      </c>
      <c r="C51" s="100" t="s">
        <v>821</v>
      </c>
      <c r="D51" s="604">
        <f>(u_dec_maj_bleed*prob_maj_bleed_ac)+(u_dec_min_bleed*prob_min_bleed_ac)</f>
        <v>1.3696241095890408E-4</v>
      </c>
      <c r="E51" s="305" t="s">
        <v>350</v>
      </c>
      <c r="F51" s="295" t="s">
        <v>350</v>
      </c>
      <c r="G51" s="295" t="s">
        <v>350</v>
      </c>
      <c r="H51" s="295" t="s">
        <v>350</v>
      </c>
      <c r="I51" s="309" t="s">
        <v>720</v>
      </c>
      <c r="J51" s="309" t="s">
        <v>1081</v>
      </c>
      <c r="K51" s="318" t="s">
        <v>1087</v>
      </c>
    </row>
    <row r="52" spans="1:11" s="85" customFormat="1" ht="15" customHeight="1" x14ac:dyDescent="0.2">
      <c r="A52" s="320" t="s">
        <v>991</v>
      </c>
      <c r="B52" s="85" t="s">
        <v>997</v>
      </c>
      <c r="C52" s="100" t="s">
        <v>821</v>
      </c>
      <c r="D52" s="604">
        <f>(u_dec_maj_bleed*prob_maj_bleed_at)+(u_dec_min_bleed*prob_min_bleed_at)</f>
        <v>1.5224506125100201E-4</v>
      </c>
      <c r="E52" s="305" t="s">
        <v>350</v>
      </c>
      <c r="F52" s="295" t="s">
        <v>350</v>
      </c>
      <c r="G52" s="295" t="s">
        <v>350</v>
      </c>
      <c r="H52" s="295" t="s">
        <v>350</v>
      </c>
      <c r="I52" s="309" t="s">
        <v>720</v>
      </c>
      <c r="J52" s="309" t="s">
        <v>1082</v>
      </c>
      <c r="K52" s="318" t="s">
        <v>1088</v>
      </c>
    </row>
    <row r="53" spans="1:11" s="85" customFormat="1" ht="15" customHeight="1" x14ac:dyDescent="0.2">
      <c r="A53" s="320" t="s">
        <v>992</v>
      </c>
      <c r="B53" s="85" t="s">
        <v>996</v>
      </c>
      <c r="C53" s="100" t="s">
        <v>821</v>
      </c>
      <c r="D53" s="604">
        <f>(u_dec_maj_bleed*prob_maj_bleed_ap)+(u_dec_min_bleed*prob_min_bleed_ap)</f>
        <v>2.1141003966461592E-4</v>
      </c>
      <c r="E53" s="305" t="s">
        <v>350</v>
      </c>
      <c r="F53" s="295" t="s">
        <v>350</v>
      </c>
      <c r="G53" s="295" t="s">
        <v>350</v>
      </c>
      <c r="H53" s="295" t="s">
        <v>350</v>
      </c>
      <c r="I53" s="309" t="s">
        <v>720</v>
      </c>
      <c r="J53" s="309" t="s">
        <v>1083</v>
      </c>
      <c r="K53" s="318" t="s">
        <v>1089</v>
      </c>
    </row>
    <row r="54" spans="1:11" s="85" customFormat="1" ht="15" customHeight="1" x14ac:dyDescent="0.2">
      <c r="A54" s="320" t="s">
        <v>1036</v>
      </c>
      <c r="B54" s="85" t="s">
        <v>995</v>
      </c>
      <c r="C54" s="100" t="s">
        <v>821</v>
      </c>
      <c r="D54" s="604">
        <f>(u_dec_maj_bleed*rate_maj_bleed_ac_nlof)+(u_dec_min_bleed*rate_min_bleed_ac_nlof)</f>
        <v>1.3696241095890408E-4</v>
      </c>
      <c r="E54" s="305" t="s">
        <v>350</v>
      </c>
      <c r="F54" s="295"/>
      <c r="G54" s="295"/>
      <c r="H54" s="295"/>
      <c r="I54" s="309" t="s">
        <v>720</v>
      </c>
      <c r="J54" s="309" t="s">
        <v>1084</v>
      </c>
      <c r="K54" s="318" t="s">
        <v>1090</v>
      </c>
    </row>
    <row r="55" spans="1:11" ht="8.25" customHeight="1" x14ac:dyDescent="0.2">
      <c r="A55" s="137"/>
      <c r="I55" s="3"/>
    </row>
    <row r="56" spans="1:11" s="85" customFormat="1" x14ac:dyDescent="0.2">
      <c r="A56" s="301" t="s">
        <v>891</v>
      </c>
      <c r="B56" s="301" t="s">
        <v>482</v>
      </c>
      <c r="C56" s="100" t="s">
        <v>822</v>
      </c>
      <c r="D56" s="603">
        <v>2</v>
      </c>
      <c r="E56" s="312">
        <v>371619</v>
      </c>
      <c r="F56" s="305">
        <v>5.1020408163264782E-3</v>
      </c>
      <c r="G56" s="295">
        <v>1.99</v>
      </c>
      <c r="H56" s="295">
        <v>2.0099999999999998</v>
      </c>
      <c r="I56" s="309" t="s">
        <v>592</v>
      </c>
      <c r="J56" s="100" t="s">
        <v>489</v>
      </c>
      <c r="K56" s="314" t="s">
        <v>705</v>
      </c>
    </row>
    <row r="57" spans="1:11" s="85" customFormat="1" x14ac:dyDescent="0.2">
      <c r="A57" s="301" t="s">
        <v>892</v>
      </c>
      <c r="B57" s="301" t="s">
        <v>483</v>
      </c>
      <c r="C57" s="100" t="s">
        <v>822</v>
      </c>
      <c r="D57" s="603">
        <v>4.5</v>
      </c>
      <c r="E57" s="312">
        <v>15833</v>
      </c>
      <c r="F57" s="305">
        <v>3.5714285714285858E-2</v>
      </c>
      <c r="G57" s="295">
        <v>4.43</v>
      </c>
      <c r="H57" s="295">
        <v>4.57</v>
      </c>
      <c r="I57" s="309" t="s">
        <v>592</v>
      </c>
      <c r="J57" s="100" t="s">
        <v>489</v>
      </c>
      <c r="K57" s="314" t="s">
        <v>705</v>
      </c>
    </row>
    <row r="58" spans="1:11" s="85" customFormat="1" x14ac:dyDescent="0.2">
      <c r="A58" s="301" t="s">
        <v>893</v>
      </c>
      <c r="B58" s="301" t="s">
        <v>484</v>
      </c>
      <c r="C58" s="100" t="s">
        <v>822</v>
      </c>
      <c r="D58" s="603">
        <v>3</v>
      </c>
      <c r="E58" s="312">
        <v>15833</v>
      </c>
      <c r="F58" s="305">
        <v>2.5510204081632563E-2</v>
      </c>
      <c r="G58" s="295">
        <v>2.95</v>
      </c>
      <c r="H58" s="295">
        <v>3.05</v>
      </c>
      <c r="I58" s="309" t="s">
        <v>592</v>
      </c>
      <c r="J58" s="100" t="s">
        <v>489</v>
      </c>
      <c r="K58" s="314" t="s">
        <v>706</v>
      </c>
    </row>
    <row r="59" spans="1:11" s="85" customFormat="1" ht="16" x14ac:dyDescent="0.2">
      <c r="A59" s="301" t="s">
        <v>812</v>
      </c>
      <c r="B59" s="301" t="s">
        <v>812</v>
      </c>
      <c r="C59" s="100" t="s">
        <v>822</v>
      </c>
      <c r="D59" s="603">
        <f>smr_stk</f>
        <v>4.7300000000000004</v>
      </c>
      <c r="E59" s="312">
        <v>8324</v>
      </c>
      <c r="F59" s="305">
        <v>0.20663265306122461</v>
      </c>
      <c r="G59" s="295">
        <v>4.34</v>
      </c>
      <c r="H59" s="295">
        <v>5.15</v>
      </c>
      <c r="I59" s="309" t="s">
        <v>592</v>
      </c>
      <c r="J59" s="100" t="s">
        <v>490</v>
      </c>
      <c r="K59" s="318" t="s">
        <v>707</v>
      </c>
    </row>
    <row r="60" spans="1:11" s="85" customFormat="1" ht="16" x14ac:dyDescent="0.2">
      <c r="A60" s="301" t="s">
        <v>894</v>
      </c>
      <c r="B60" s="301" t="s">
        <v>486</v>
      </c>
      <c r="C60" s="100" t="s">
        <v>822</v>
      </c>
      <c r="D60" s="603">
        <f>smr_post_stk</f>
        <v>2.3199999999999998</v>
      </c>
      <c r="E60" s="312">
        <v>8324</v>
      </c>
      <c r="F60" s="305">
        <v>8.1632653061224567E-2</v>
      </c>
      <c r="G60" s="295">
        <v>2.17</v>
      </c>
      <c r="H60" s="295">
        <v>2.4900000000000002</v>
      </c>
      <c r="I60" s="309" t="s">
        <v>592</v>
      </c>
      <c r="J60" s="100" t="s">
        <v>490</v>
      </c>
      <c r="K60" s="318" t="s">
        <v>707</v>
      </c>
    </row>
    <row r="61" spans="1:11" ht="6" customHeight="1" x14ac:dyDescent="0.2">
      <c r="B61" s="103"/>
      <c r="D61" s="606"/>
      <c r="E61" s="166"/>
    </row>
    <row r="62" spans="1:11" s="85" customFormat="1" x14ac:dyDescent="0.2">
      <c r="A62" s="321" t="s">
        <v>926</v>
      </c>
      <c r="B62" s="301" t="s">
        <v>659</v>
      </c>
      <c r="C62" s="100" t="s">
        <v>823</v>
      </c>
      <c r="D62" s="603">
        <v>125</v>
      </c>
      <c r="E62" s="302" t="s">
        <v>350</v>
      </c>
      <c r="F62" s="301"/>
      <c r="G62" s="301"/>
      <c r="H62" s="301"/>
      <c r="I62" s="301" t="s">
        <v>947</v>
      </c>
      <c r="J62" s="100" t="s">
        <v>660</v>
      </c>
      <c r="K62" s="301"/>
    </row>
    <row r="63" spans="1:11" ht="7.5" customHeight="1" x14ac:dyDescent="0.2">
      <c r="A63" s="266"/>
      <c r="B63" s="103"/>
      <c r="D63" s="606"/>
      <c r="E63" s="166"/>
      <c r="F63" s="103"/>
      <c r="G63" s="103"/>
      <c r="H63" s="103"/>
    </row>
    <row r="64" spans="1:11" s="85" customFormat="1" x14ac:dyDescent="0.2">
      <c r="A64" s="322" t="s">
        <v>927</v>
      </c>
      <c r="B64" s="301" t="s">
        <v>857</v>
      </c>
      <c r="C64" s="100" t="s">
        <v>860</v>
      </c>
      <c r="D64" s="603">
        <v>365</v>
      </c>
      <c r="E64" s="302" t="s">
        <v>350</v>
      </c>
      <c r="F64" s="301" t="s">
        <v>350</v>
      </c>
      <c r="G64" s="301" t="s">
        <v>350</v>
      </c>
      <c r="H64" s="301" t="s">
        <v>350</v>
      </c>
      <c r="I64" s="301" t="s">
        <v>670</v>
      </c>
      <c r="J64" s="100" t="s">
        <v>1085</v>
      </c>
      <c r="K64" s="306" t="s">
        <v>716</v>
      </c>
    </row>
    <row r="65" spans="1:11" s="85" customFormat="1" x14ac:dyDescent="0.2">
      <c r="A65" s="322" t="s">
        <v>928</v>
      </c>
      <c r="B65" s="301" t="s">
        <v>858</v>
      </c>
      <c r="C65" s="100" t="s">
        <v>860</v>
      </c>
      <c r="D65" s="603">
        <v>360</v>
      </c>
      <c r="E65" s="302" t="s">
        <v>350</v>
      </c>
      <c r="F65" s="301" t="s">
        <v>350</v>
      </c>
      <c r="G65" s="301" t="s">
        <v>350</v>
      </c>
      <c r="H65" s="301" t="s">
        <v>350</v>
      </c>
      <c r="I65" s="301" t="s">
        <v>670</v>
      </c>
      <c r="J65" s="100" t="s">
        <v>1085</v>
      </c>
      <c r="K65" s="306" t="s">
        <v>716</v>
      </c>
    </row>
    <row r="66" spans="1:11" s="85" customFormat="1" x14ac:dyDescent="0.2">
      <c r="A66" s="322" t="s">
        <v>929</v>
      </c>
      <c r="B66" s="301" t="s">
        <v>859</v>
      </c>
      <c r="C66" s="100" t="s">
        <v>860</v>
      </c>
      <c r="D66" s="603">
        <v>328</v>
      </c>
      <c r="E66" s="302" t="s">
        <v>350</v>
      </c>
      <c r="F66" s="301" t="s">
        <v>350</v>
      </c>
      <c r="G66" s="301" t="s">
        <v>350</v>
      </c>
      <c r="H66" s="301" t="s">
        <v>350</v>
      </c>
      <c r="I66" s="301" t="s">
        <v>670</v>
      </c>
      <c r="J66" s="100" t="s">
        <v>1085</v>
      </c>
      <c r="K66" s="306" t="s">
        <v>716</v>
      </c>
    </row>
    <row r="67" spans="1:11" s="85" customFormat="1" x14ac:dyDescent="0.2">
      <c r="A67" s="322" t="s">
        <v>930</v>
      </c>
      <c r="B67" s="301" t="s">
        <v>861</v>
      </c>
      <c r="C67" s="100" t="s">
        <v>860</v>
      </c>
      <c r="D67" s="603">
        <f>365/2</f>
        <v>182.5</v>
      </c>
      <c r="E67" s="302" t="s">
        <v>350</v>
      </c>
      <c r="F67" s="301" t="s">
        <v>350</v>
      </c>
      <c r="G67" s="301" t="s">
        <v>350</v>
      </c>
      <c r="H67" s="301" t="s">
        <v>350</v>
      </c>
      <c r="I67" s="301" t="s">
        <v>670</v>
      </c>
      <c r="J67" s="100" t="s">
        <v>1085</v>
      </c>
      <c r="K67" s="306" t="s">
        <v>716</v>
      </c>
    </row>
    <row r="68" spans="1:11" s="85" customFormat="1" x14ac:dyDescent="0.2">
      <c r="A68" s="322" t="s">
        <v>976</v>
      </c>
      <c r="B68" s="301" t="s">
        <v>957</v>
      </c>
      <c r="C68" s="100" t="s">
        <v>860</v>
      </c>
      <c r="D68" s="603">
        <v>5</v>
      </c>
      <c r="E68" s="302" t="s">
        <v>350</v>
      </c>
      <c r="F68" s="301"/>
      <c r="G68" s="301"/>
      <c r="H68" s="301"/>
      <c r="I68" s="301" t="s">
        <v>670</v>
      </c>
      <c r="J68" s="100" t="s">
        <v>1085</v>
      </c>
      <c r="K68" s="306" t="s">
        <v>716</v>
      </c>
    </row>
    <row r="69" spans="1:11" s="85" customFormat="1" x14ac:dyDescent="0.2">
      <c r="A69" s="323" t="s">
        <v>931</v>
      </c>
      <c r="B69" s="85" t="s">
        <v>937</v>
      </c>
      <c r="C69" s="100" t="s">
        <v>823</v>
      </c>
      <c r="D69" s="603">
        <f>ld_clop_300</f>
        <v>0.15857142857142859</v>
      </c>
      <c r="E69" s="302" t="s">
        <v>350</v>
      </c>
      <c r="F69" s="301" t="s">
        <v>350</v>
      </c>
      <c r="G69" s="301" t="s">
        <v>350</v>
      </c>
      <c r="H69" s="301" t="s">
        <v>350</v>
      </c>
      <c r="I69" s="301" t="s">
        <v>670</v>
      </c>
      <c r="J69" s="100" t="s">
        <v>708</v>
      </c>
      <c r="K69" s="100" t="s">
        <v>672</v>
      </c>
    </row>
    <row r="70" spans="1:11" s="85" customFormat="1" x14ac:dyDescent="0.2">
      <c r="A70" s="323" t="s">
        <v>932</v>
      </c>
      <c r="B70" s="85" t="s">
        <v>938</v>
      </c>
      <c r="C70" s="100" t="s">
        <v>823</v>
      </c>
      <c r="D70" s="603">
        <f>ld_clop_600</f>
        <v>0.31714285714285717</v>
      </c>
      <c r="E70" s="302" t="s">
        <v>350</v>
      </c>
      <c r="F70" s="301" t="s">
        <v>350</v>
      </c>
      <c r="G70" s="301" t="s">
        <v>350</v>
      </c>
      <c r="H70" s="301" t="s">
        <v>350</v>
      </c>
      <c r="I70" s="301" t="s">
        <v>670</v>
      </c>
      <c r="J70" s="100" t="s">
        <v>708</v>
      </c>
      <c r="K70" s="100" t="s">
        <v>672</v>
      </c>
    </row>
    <row r="71" spans="1:11" s="85" customFormat="1" x14ac:dyDescent="0.2">
      <c r="A71" s="323" t="s">
        <v>933</v>
      </c>
      <c r="B71" s="85" t="s">
        <v>935</v>
      </c>
      <c r="C71" s="100" t="s">
        <v>823</v>
      </c>
      <c r="D71" s="603">
        <f>ld_pras_60</f>
        <v>1.4607142857142859</v>
      </c>
      <c r="E71" s="302" t="s">
        <v>350</v>
      </c>
      <c r="F71" s="301" t="s">
        <v>350</v>
      </c>
      <c r="G71" s="301" t="s">
        <v>350</v>
      </c>
      <c r="H71" s="301" t="s">
        <v>350</v>
      </c>
      <c r="I71" s="301" t="s">
        <v>670</v>
      </c>
      <c r="J71" s="100" t="s">
        <v>708</v>
      </c>
      <c r="K71" s="100" t="s">
        <v>672</v>
      </c>
    </row>
    <row r="72" spans="1:11" s="85" customFormat="1" x14ac:dyDescent="0.2">
      <c r="A72" s="323" t="s">
        <v>934</v>
      </c>
      <c r="B72" s="85" t="s">
        <v>936</v>
      </c>
      <c r="C72" s="100" t="s">
        <v>823</v>
      </c>
      <c r="D72" s="603">
        <f>ld_tica_180</f>
        <v>1.95</v>
      </c>
      <c r="E72" s="302" t="s">
        <v>350</v>
      </c>
      <c r="F72" s="301" t="s">
        <v>350</v>
      </c>
      <c r="G72" s="301" t="s">
        <v>350</v>
      </c>
      <c r="H72" s="301" t="s">
        <v>350</v>
      </c>
      <c r="I72" s="301" t="s">
        <v>670</v>
      </c>
      <c r="J72" s="100" t="s">
        <v>708</v>
      </c>
      <c r="K72" s="100" t="s">
        <v>672</v>
      </c>
    </row>
    <row r="73" spans="1:11" s="85" customFormat="1" x14ac:dyDescent="0.2">
      <c r="A73" s="323" t="s">
        <v>895</v>
      </c>
      <c r="B73" s="301" t="s">
        <v>939</v>
      </c>
      <c r="C73" s="100" t="s">
        <v>823</v>
      </c>
      <c r="D73" s="603">
        <f>day_cost_asa</f>
        <v>2.5714285714285714E-2</v>
      </c>
      <c r="E73" s="302" t="s">
        <v>350</v>
      </c>
      <c r="F73" s="301" t="s">
        <v>350</v>
      </c>
      <c r="G73" s="301" t="s">
        <v>350</v>
      </c>
      <c r="H73" s="301" t="s">
        <v>350</v>
      </c>
      <c r="I73" s="301" t="s">
        <v>670</v>
      </c>
      <c r="J73" s="100" t="s">
        <v>708</v>
      </c>
      <c r="K73" s="100" t="s">
        <v>672</v>
      </c>
    </row>
    <row r="74" spans="1:11" s="85" customFormat="1" x14ac:dyDescent="0.2">
      <c r="A74" s="323" t="s">
        <v>941</v>
      </c>
      <c r="B74" s="85" t="s">
        <v>940</v>
      </c>
      <c r="C74" s="100" t="s">
        <v>823</v>
      </c>
      <c r="D74" s="603">
        <f>day_cost_clop</f>
        <v>3.9642857142857146E-2</v>
      </c>
      <c r="E74" s="302" t="s">
        <v>350</v>
      </c>
      <c r="F74" s="301" t="s">
        <v>350</v>
      </c>
      <c r="G74" s="301" t="s">
        <v>350</v>
      </c>
      <c r="H74" s="301" t="s">
        <v>350</v>
      </c>
      <c r="I74" s="301" t="s">
        <v>670</v>
      </c>
      <c r="J74" s="100" t="s">
        <v>708</v>
      </c>
      <c r="K74" s="100" t="s">
        <v>672</v>
      </c>
    </row>
    <row r="75" spans="1:11" s="85" customFormat="1" x14ac:dyDescent="0.2">
      <c r="A75" s="324" t="s">
        <v>942</v>
      </c>
      <c r="B75" s="85" t="s">
        <v>863</v>
      </c>
      <c r="C75" s="100" t="s">
        <v>823</v>
      </c>
      <c r="D75" s="603">
        <v>0.15</v>
      </c>
      <c r="E75" s="302"/>
      <c r="F75" s="301" t="s">
        <v>350</v>
      </c>
      <c r="G75" s="301" t="s">
        <v>350</v>
      </c>
      <c r="H75" s="301" t="s">
        <v>350</v>
      </c>
      <c r="I75" s="301" t="s">
        <v>671</v>
      </c>
      <c r="J75" s="100" t="s">
        <v>708</v>
      </c>
      <c r="K75" s="100" t="s">
        <v>672</v>
      </c>
    </row>
    <row r="76" spans="1:11" s="85" customFormat="1" x14ac:dyDescent="0.2">
      <c r="A76" s="324" t="s">
        <v>944</v>
      </c>
      <c r="B76" s="85" t="s">
        <v>945</v>
      </c>
      <c r="C76" s="100" t="s">
        <v>823</v>
      </c>
      <c r="D76" s="603">
        <f>(day_cost_pras_5mg*prop_pras_5mg)+(day_cost_pras_10mg*(1-prop_pras_5mg))</f>
        <v>0.29330357142857144</v>
      </c>
      <c r="E76" s="302"/>
      <c r="F76" s="301" t="s">
        <v>350</v>
      </c>
      <c r="G76" s="301" t="s">
        <v>350</v>
      </c>
      <c r="H76" s="301" t="s">
        <v>350</v>
      </c>
      <c r="I76" s="301" t="s">
        <v>671</v>
      </c>
      <c r="J76" s="100" t="s">
        <v>708</v>
      </c>
      <c r="K76" s="100" t="s">
        <v>672</v>
      </c>
    </row>
    <row r="77" spans="1:11" s="85" customFormat="1" x14ac:dyDescent="0.2">
      <c r="A77" s="324" t="s">
        <v>943</v>
      </c>
      <c r="B77" s="85" t="s">
        <v>946</v>
      </c>
      <c r="C77" s="100" t="s">
        <v>823</v>
      </c>
      <c r="D77" s="603">
        <f>day_cost_tica</f>
        <v>1.95</v>
      </c>
      <c r="E77" s="302"/>
      <c r="F77" s="301" t="s">
        <v>350</v>
      </c>
      <c r="G77" s="301" t="s">
        <v>350</v>
      </c>
      <c r="H77" s="301" t="s">
        <v>350</v>
      </c>
      <c r="I77" s="301" t="s">
        <v>671</v>
      </c>
      <c r="J77" s="100" t="s">
        <v>708</v>
      </c>
      <c r="K77" s="100" t="s">
        <v>672</v>
      </c>
    </row>
    <row r="78" spans="1:11" ht="10" customHeight="1" x14ac:dyDescent="0.2">
      <c r="A78" s="137"/>
    </row>
    <row r="79" spans="1:11" s="85" customFormat="1" x14ac:dyDescent="0.2">
      <c r="A79" s="321" t="s">
        <v>567</v>
      </c>
      <c r="B79" s="301" t="s">
        <v>567</v>
      </c>
      <c r="C79" s="100" t="s">
        <v>823</v>
      </c>
      <c r="D79" s="603">
        <v>3125.0915228454801</v>
      </c>
      <c r="E79" s="302" t="s">
        <v>350</v>
      </c>
      <c r="F79" s="301" t="s">
        <v>350</v>
      </c>
      <c r="G79" s="301" t="s">
        <v>350</v>
      </c>
      <c r="H79" s="301" t="s">
        <v>350</v>
      </c>
      <c r="I79" s="301" t="s">
        <v>671</v>
      </c>
      <c r="J79" s="100" t="s">
        <v>658</v>
      </c>
      <c r="K79" s="297" t="s">
        <v>696</v>
      </c>
    </row>
    <row r="80" spans="1:11" s="85" customFormat="1" x14ac:dyDescent="0.2">
      <c r="A80" s="321" t="s">
        <v>896</v>
      </c>
      <c r="B80" s="301" t="s">
        <v>693</v>
      </c>
      <c r="C80" s="100" t="s">
        <v>823</v>
      </c>
      <c r="D80" s="603">
        <f>c_noevent_tree</f>
        <v>2003.9049186967752</v>
      </c>
      <c r="E80" s="302" t="s">
        <v>350</v>
      </c>
      <c r="F80" s="301" t="s">
        <v>350</v>
      </c>
      <c r="G80" s="301" t="s">
        <v>350</v>
      </c>
      <c r="H80" s="301" t="s">
        <v>350</v>
      </c>
      <c r="I80" s="301" t="s">
        <v>671</v>
      </c>
      <c r="J80" s="100" t="s">
        <v>802</v>
      </c>
      <c r="K80" s="297" t="s">
        <v>696</v>
      </c>
    </row>
    <row r="81" spans="1:11" s="85" customFormat="1" x14ac:dyDescent="0.2">
      <c r="A81" s="321" t="s">
        <v>690</v>
      </c>
      <c r="B81" s="301" t="s">
        <v>690</v>
      </c>
      <c r="C81" s="100" t="s">
        <v>823</v>
      </c>
      <c r="D81" s="603">
        <f>c_mi_tree</f>
        <v>6798.6140046517412</v>
      </c>
      <c r="E81" s="302" t="s">
        <v>350</v>
      </c>
      <c r="F81" s="301" t="s">
        <v>350</v>
      </c>
      <c r="G81" s="301" t="s">
        <v>350</v>
      </c>
      <c r="H81" s="301" t="s">
        <v>350</v>
      </c>
      <c r="I81" s="301" t="s">
        <v>671</v>
      </c>
      <c r="J81" s="100" t="s">
        <v>802</v>
      </c>
      <c r="K81" s="297" t="s">
        <v>696</v>
      </c>
    </row>
    <row r="82" spans="1:11" s="85" customFormat="1" x14ac:dyDescent="0.2">
      <c r="A82" s="321" t="s">
        <v>691</v>
      </c>
      <c r="B82" s="301" t="s">
        <v>691</v>
      </c>
      <c r="C82" s="100" t="s">
        <v>823</v>
      </c>
      <c r="D82" s="603">
        <f>c_stk_tree</f>
        <v>18576.442974967726</v>
      </c>
      <c r="E82" s="302" t="s">
        <v>350</v>
      </c>
      <c r="F82" s="301" t="s">
        <v>350</v>
      </c>
      <c r="G82" s="301" t="s">
        <v>350</v>
      </c>
      <c r="H82" s="301" t="s">
        <v>350</v>
      </c>
      <c r="I82" s="301" t="s">
        <v>671</v>
      </c>
      <c r="J82" s="100" t="s">
        <v>802</v>
      </c>
      <c r="K82" s="297" t="s">
        <v>696</v>
      </c>
    </row>
    <row r="83" spans="1:11" s="85" customFormat="1" x14ac:dyDescent="0.2">
      <c r="A83" s="321" t="s">
        <v>692</v>
      </c>
      <c r="B83" s="301" t="s">
        <v>692</v>
      </c>
      <c r="C83" s="100" t="s">
        <v>823</v>
      </c>
      <c r="D83" s="603">
        <f>c_dead_tree</f>
        <v>1427.1713079498984</v>
      </c>
      <c r="E83" s="302" t="s">
        <v>350</v>
      </c>
      <c r="F83" s="301" t="s">
        <v>350</v>
      </c>
      <c r="G83" s="301" t="s">
        <v>350</v>
      </c>
      <c r="H83" s="301" t="s">
        <v>350</v>
      </c>
      <c r="I83" s="301" t="s">
        <v>671</v>
      </c>
      <c r="J83" s="100" t="s">
        <v>802</v>
      </c>
      <c r="K83" s="297" t="s">
        <v>696</v>
      </c>
    </row>
    <row r="84" spans="1:11" s="85" customFormat="1" x14ac:dyDescent="0.2">
      <c r="A84" s="321" t="s">
        <v>897</v>
      </c>
      <c r="B84" s="301" t="s">
        <v>1099</v>
      </c>
      <c r="C84" s="100" t="s">
        <v>823</v>
      </c>
      <c r="D84" s="603">
        <f>c_min_bleed</f>
        <v>215</v>
      </c>
      <c r="E84" s="302" t="s">
        <v>350</v>
      </c>
      <c r="F84" s="301" t="s">
        <v>350</v>
      </c>
      <c r="G84" s="301" t="s">
        <v>350</v>
      </c>
      <c r="H84" s="301" t="s">
        <v>350</v>
      </c>
      <c r="I84" s="301" t="s">
        <v>671</v>
      </c>
      <c r="J84" s="100" t="s">
        <v>802</v>
      </c>
      <c r="K84" s="297" t="s">
        <v>696</v>
      </c>
    </row>
    <row r="85" spans="1:11" s="85" customFormat="1" x14ac:dyDescent="0.2">
      <c r="A85" s="321" t="s">
        <v>898</v>
      </c>
      <c r="B85" s="301" t="s">
        <v>1100</v>
      </c>
      <c r="C85" s="100" t="s">
        <v>823</v>
      </c>
      <c r="D85" s="603">
        <f>c_maj_bleed</f>
        <v>2388.8012902757291</v>
      </c>
      <c r="E85" s="302" t="s">
        <v>350</v>
      </c>
      <c r="F85" s="301" t="s">
        <v>350</v>
      </c>
      <c r="G85" s="301" t="s">
        <v>350</v>
      </c>
      <c r="H85" s="301" t="s">
        <v>350</v>
      </c>
      <c r="I85" s="301" t="s">
        <v>671</v>
      </c>
      <c r="J85" s="100" t="s">
        <v>802</v>
      </c>
      <c r="K85" s="297" t="s">
        <v>696</v>
      </c>
    </row>
    <row r="86" spans="1:11" s="85" customFormat="1" x14ac:dyDescent="0.2">
      <c r="A86" s="321" t="s">
        <v>948</v>
      </c>
      <c r="B86" s="301" t="s">
        <v>949</v>
      </c>
      <c r="C86" s="100" t="s">
        <v>823</v>
      </c>
      <c r="D86" s="603">
        <f>(prob_maj_bleed_ac*c_maj_bleed)+(prob_min_bleed_ac*c_min_bleed)</f>
        <v>65.668628386066032</v>
      </c>
      <c r="E86" s="302" t="s">
        <v>350</v>
      </c>
      <c r="F86" s="301"/>
      <c r="G86" s="301"/>
      <c r="H86" s="301"/>
      <c r="I86" s="301" t="s">
        <v>671</v>
      </c>
      <c r="J86" s="100" t="s">
        <v>802</v>
      </c>
      <c r="K86" s="297" t="s">
        <v>696</v>
      </c>
    </row>
    <row r="87" spans="1:11" s="85" customFormat="1" x14ac:dyDescent="0.2">
      <c r="A87" s="321" t="s">
        <v>952</v>
      </c>
      <c r="B87" s="301" t="s">
        <v>950</v>
      </c>
      <c r="C87" s="100" t="s">
        <v>823</v>
      </c>
      <c r="D87" s="603">
        <f>(prob_maj_bleed_at*c_maj_bleed)+(prob_min_bleed_at*c_min_bleed)</f>
        <v>72.178691865340539</v>
      </c>
      <c r="E87" s="302" t="s">
        <v>350</v>
      </c>
      <c r="F87" s="301"/>
      <c r="G87" s="301"/>
      <c r="H87" s="301"/>
      <c r="I87" s="301" t="s">
        <v>671</v>
      </c>
      <c r="J87" s="100" t="s">
        <v>802</v>
      </c>
      <c r="K87" s="297" t="s">
        <v>696</v>
      </c>
    </row>
    <row r="88" spans="1:11" s="85" customFormat="1" x14ac:dyDescent="0.2">
      <c r="A88" s="321" t="s">
        <v>953</v>
      </c>
      <c r="B88" s="301" t="s">
        <v>951</v>
      </c>
      <c r="C88" s="100" t="s">
        <v>823</v>
      </c>
      <c r="D88" s="603">
        <f>(prob_maj_bleed_ap*c_maj_bleed)+(prob_min_bleed_ap*c_min_bleed)</f>
        <v>99.932081895729993</v>
      </c>
      <c r="E88" s="302" t="s">
        <v>350</v>
      </c>
      <c r="F88" s="301"/>
      <c r="G88" s="301"/>
      <c r="H88" s="301"/>
      <c r="I88" s="301" t="s">
        <v>671</v>
      </c>
      <c r="J88" s="100" t="s">
        <v>802</v>
      </c>
      <c r="K88" s="297" t="s">
        <v>696</v>
      </c>
    </row>
    <row r="89" spans="1:11" ht="8.5" customHeight="1" x14ac:dyDescent="0.2">
      <c r="A89" s="267"/>
      <c r="D89" s="606"/>
      <c r="E89" s="166"/>
    </row>
    <row r="90" spans="1:11" s="85" customFormat="1" x14ac:dyDescent="0.2">
      <c r="A90" s="321" t="s">
        <v>899</v>
      </c>
      <c r="B90" s="301" t="s">
        <v>685</v>
      </c>
      <c r="C90" s="100" t="s">
        <v>823</v>
      </c>
      <c r="D90" s="603">
        <f>c_noevent_markov</f>
        <v>1152.2453282506456</v>
      </c>
      <c r="E90" s="302" t="s">
        <v>350</v>
      </c>
      <c r="F90" s="301" t="s">
        <v>350</v>
      </c>
      <c r="G90" s="301" t="s">
        <v>350</v>
      </c>
      <c r="H90" s="301" t="s">
        <v>350</v>
      </c>
      <c r="I90" s="301" t="s">
        <v>671</v>
      </c>
      <c r="J90" s="100" t="s">
        <v>802</v>
      </c>
      <c r="K90" s="297" t="s">
        <v>696</v>
      </c>
    </row>
    <row r="91" spans="1:11" s="85" customFormat="1" x14ac:dyDescent="0.2">
      <c r="A91" s="321" t="s">
        <v>686</v>
      </c>
      <c r="B91" s="301" t="s">
        <v>686</v>
      </c>
      <c r="C91" s="100" t="s">
        <v>823</v>
      </c>
      <c r="D91" s="603">
        <f>c_stk_mkv</f>
        <v>22631.90664884248</v>
      </c>
      <c r="E91" s="302" t="s">
        <v>350</v>
      </c>
      <c r="F91" s="301" t="s">
        <v>350</v>
      </c>
      <c r="G91" s="301" t="s">
        <v>350</v>
      </c>
      <c r="H91" s="301" t="s">
        <v>350</v>
      </c>
      <c r="I91" s="301" t="s">
        <v>671</v>
      </c>
      <c r="J91" s="100" t="s">
        <v>802</v>
      </c>
      <c r="K91" s="297" t="s">
        <v>696</v>
      </c>
    </row>
    <row r="92" spans="1:11" s="85" customFormat="1" x14ac:dyDescent="0.2">
      <c r="A92" s="321" t="s">
        <v>900</v>
      </c>
      <c r="B92" s="301" t="s">
        <v>687</v>
      </c>
      <c r="C92" s="100" t="s">
        <v>823</v>
      </c>
      <c r="D92" s="603">
        <f>c_post_stk_mkv</f>
        <v>8035.1699666768254</v>
      </c>
      <c r="E92" s="302" t="s">
        <v>350</v>
      </c>
      <c r="F92" s="301" t="s">
        <v>350</v>
      </c>
      <c r="G92" s="301" t="s">
        <v>350</v>
      </c>
      <c r="H92" s="301" t="s">
        <v>350</v>
      </c>
      <c r="I92" s="301" t="s">
        <v>671</v>
      </c>
      <c r="J92" s="100" t="s">
        <v>802</v>
      </c>
      <c r="K92" s="297" t="s">
        <v>696</v>
      </c>
    </row>
    <row r="93" spans="1:11" s="85" customFormat="1" x14ac:dyDescent="0.2">
      <c r="A93" s="321" t="s">
        <v>688</v>
      </c>
      <c r="B93" s="301" t="s">
        <v>688</v>
      </c>
      <c r="C93" s="100" t="s">
        <v>823</v>
      </c>
      <c r="D93" s="603">
        <f>c_rinfar_mkv</f>
        <v>6236.5431128221589</v>
      </c>
      <c r="E93" s="302" t="s">
        <v>350</v>
      </c>
      <c r="F93" s="301" t="s">
        <v>350</v>
      </c>
      <c r="G93" s="301" t="s">
        <v>350</v>
      </c>
      <c r="H93" s="301" t="s">
        <v>350</v>
      </c>
      <c r="I93" s="301" t="s">
        <v>671</v>
      </c>
      <c r="J93" s="100" t="s">
        <v>802</v>
      </c>
      <c r="K93" s="297" t="s">
        <v>696</v>
      </c>
    </row>
    <row r="94" spans="1:11" s="85" customFormat="1" x14ac:dyDescent="0.2">
      <c r="A94" s="321" t="s">
        <v>901</v>
      </c>
      <c r="B94" s="301" t="s">
        <v>689</v>
      </c>
      <c r="C94" s="100" t="s">
        <v>823</v>
      </c>
      <c r="D94" s="603">
        <f>c_post_rinfar_mkv</f>
        <v>1728.9789389975226</v>
      </c>
      <c r="E94" s="302" t="s">
        <v>350</v>
      </c>
      <c r="F94" s="301" t="s">
        <v>350</v>
      </c>
      <c r="G94" s="301" t="s">
        <v>350</v>
      </c>
      <c r="H94" s="301" t="s">
        <v>350</v>
      </c>
      <c r="I94" s="301" t="s">
        <v>671</v>
      </c>
      <c r="J94" s="100" t="s">
        <v>802</v>
      </c>
      <c r="K94" s="297" t="s">
        <v>696</v>
      </c>
    </row>
    <row r="95" spans="1:11" ht="9" customHeight="1" x14ac:dyDescent="0.2">
      <c r="B95" s="103"/>
      <c r="D95" s="606"/>
      <c r="E95" s="166"/>
      <c r="F95" s="103"/>
      <c r="G95" s="103"/>
      <c r="H95" s="103"/>
    </row>
    <row r="96" spans="1:11" s="85" customFormat="1" x14ac:dyDescent="0.2">
      <c r="A96" s="325" t="s">
        <v>1134</v>
      </c>
      <c r="B96" s="301" t="s">
        <v>1136</v>
      </c>
      <c r="C96" s="100" t="s">
        <v>350</v>
      </c>
      <c r="D96" s="603">
        <v>3.5000000000000003E-2</v>
      </c>
      <c r="E96" s="302" t="s">
        <v>350</v>
      </c>
      <c r="F96" s="301" t="s">
        <v>350</v>
      </c>
      <c r="G96" s="301" t="s">
        <v>350</v>
      </c>
      <c r="H96" s="301" t="s">
        <v>350</v>
      </c>
      <c r="I96" s="301"/>
      <c r="J96" s="100" t="s">
        <v>715</v>
      </c>
      <c r="K96" s="306" t="s">
        <v>716</v>
      </c>
    </row>
    <row r="97" spans="1:11" s="85" customFormat="1" x14ac:dyDescent="0.2">
      <c r="A97" s="325" t="s">
        <v>1135</v>
      </c>
      <c r="B97" s="301" t="s">
        <v>1137</v>
      </c>
      <c r="C97" s="100" t="s">
        <v>350</v>
      </c>
      <c r="D97" s="603">
        <v>3.5000000000000003E-2</v>
      </c>
      <c r="E97" s="302" t="s">
        <v>350</v>
      </c>
      <c r="F97" s="301" t="s">
        <v>350</v>
      </c>
      <c r="G97" s="301" t="s">
        <v>350</v>
      </c>
      <c r="H97" s="301" t="s">
        <v>350</v>
      </c>
      <c r="I97" s="301"/>
      <c r="J97" s="100" t="s">
        <v>717</v>
      </c>
      <c r="K97" s="306" t="s">
        <v>716</v>
      </c>
    </row>
    <row r="98" spans="1:11" s="85" customFormat="1" x14ac:dyDescent="0.2">
      <c r="A98" s="321" t="s">
        <v>1138</v>
      </c>
      <c r="B98" s="85" t="s">
        <v>721</v>
      </c>
      <c r="C98" s="100"/>
      <c r="D98" s="603">
        <v>20000</v>
      </c>
      <c r="E98" s="302" t="s">
        <v>350</v>
      </c>
      <c r="F98" s="301" t="s">
        <v>350</v>
      </c>
      <c r="G98" s="301" t="s">
        <v>350</v>
      </c>
      <c r="H98" s="301" t="s">
        <v>350</v>
      </c>
      <c r="I98" s="301"/>
      <c r="J98" s="100" t="s">
        <v>722</v>
      </c>
      <c r="K98" s="306" t="s">
        <v>716</v>
      </c>
    </row>
    <row r="99" spans="1:11" ht="11.5" customHeight="1" x14ac:dyDescent="0.2">
      <c r="A99" s="137"/>
    </row>
    <row r="100" spans="1:11" s="85" customFormat="1" x14ac:dyDescent="0.2">
      <c r="A100" s="326" t="s">
        <v>902</v>
      </c>
      <c r="B100" s="85" t="s">
        <v>797</v>
      </c>
      <c r="C100" s="100" t="s">
        <v>822</v>
      </c>
      <c r="D100" s="607">
        <f>or_dead_tica_clop</f>
        <v>0.77</v>
      </c>
      <c r="E100" s="312">
        <v>4012</v>
      </c>
      <c r="F100" s="309">
        <v>6.5772731964821363E-2</v>
      </c>
      <c r="G100" s="327">
        <v>0.68</v>
      </c>
      <c r="H100" s="327">
        <v>0.88</v>
      </c>
      <c r="I100" s="309" t="s">
        <v>592</v>
      </c>
      <c r="J100" s="100" t="s">
        <v>366</v>
      </c>
      <c r="K100" s="297" t="s">
        <v>696</v>
      </c>
    </row>
    <row r="101" spans="1:11" s="85" customFormat="1" x14ac:dyDescent="0.2">
      <c r="A101" s="326" t="s">
        <v>903</v>
      </c>
      <c r="B101" s="85" t="s">
        <v>798</v>
      </c>
      <c r="C101" s="100" t="s">
        <v>822</v>
      </c>
      <c r="D101" s="607">
        <f>or_mi_tica_clop</f>
        <v>0.82</v>
      </c>
      <c r="E101" s="312">
        <v>4237</v>
      </c>
      <c r="F101" s="309">
        <v>5.901253466853297E-2</v>
      </c>
      <c r="G101" s="327">
        <v>0.73</v>
      </c>
      <c r="H101" s="327">
        <v>0.92</v>
      </c>
      <c r="I101" s="309" t="s">
        <v>592</v>
      </c>
      <c r="J101" s="100" t="s">
        <v>366</v>
      </c>
      <c r="K101" s="297" t="s">
        <v>696</v>
      </c>
    </row>
    <row r="102" spans="1:11" s="85" customFormat="1" x14ac:dyDescent="0.2">
      <c r="A102" s="326" t="s">
        <v>904</v>
      </c>
      <c r="B102" s="85" t="s">
        <v>799</v>
      </c>
      <c r="C102" s="100" t="s">
        <v>822</v>
      </c>
      <c r="D102" s="607">
        <f>or_stk_tica_clop</f>
        <v>1.1299999999999999</v>
      </c>
      <c r="E102" s="312">
        <v>4387</v>
      </c>
      <c r="F102" s="309">
        <v>0.12274921679690325</v>
      </c>
      <c r="G102" s="327">
        <v>0.89</v>
      </c>
      <c r="H102" s="327">
        <v>1.44</v>
      </c>
      <c r="I102" s="309" t="s">
        <v>592</v>
      </c>
      <c r="J102" s="100" t="s">
        <v>366</v>
      </c>
      <c r="K102" s="297" t="s">
        <v>696</v>
      </c>
    </row>
    <row r="103" spans="1:11" s="85" customFormat="1" x14ac:dyDescent="0.2">
      <c r="A103" s="326" t="s">
        <v>905</v>
      </c>
      <c r="B103" s="85" t="s">
        <v>800</v>
      </c>
      <c r="C103" s="100" t="s">
        <v>822</v>
      </c>
      <c r="D103" s="607">
        <f>or_maj_bleed_tica_clop</f>
        <v>1.04</v>
      </c>
      <c r="E103" s="312">
        <v>4387</v>
      </c>
      <c r="F103" s="309">
        <v>4.6510601222947597E-2</v>
      </c>
      <c r="G103" s="327">
        <v>0.95</v>
      </c>
      <c r="H103" s="327">
        <v>1.1399999999999999</v>
      </c>
      <c r="I103" s="309" t="s">
        <v>592</v>
      </c>
      <c r="J103" s="100" t="s">
        <v>366</v>
      </c>
      <c r="K103" s="297" t="s">
        <v>696</v>
      </c>
    </row>
    <row r="104" spans="1:11" s="85" customFormat="1" x14ac:dyDescent="0.2">
      <c r="A104" s="328" t="s">
        <v>906</v>
      </c>
      <c r="B104" s="85" t="s">
        <v>801</v>
      </c>
      <c r="C104" s="100" t="s">
        <v>822</v>
      </c>
      <c r="D104" s="608">
        <f>or_min_bleed_tica_clop</f>
        <v>1.37</v>
      </c>
      <c r="E104" s="312">
        <v>4387</v>
      </c>
      <c r="F104" s="309">
        <v>7.0694467407341519E-2</v>
      </c>
      <c r="G104" s="329">
        <v>1.19</v>
      </c>
      <c r="H104" s="329">
        <v>1.57</v>
      </c>
      <c r="I104" s="309" t="s">
        <v>592</v>
      </c>
      <c r="J104" s="100" t="s">
        <v>366</v>
      </c>
      <c r="K104" s="297" t="s">
        <v>696</v>
      </c>
    </row>
    <row r="105" spans="1:11" ht="8.25" customHeight="1" x14ac:dyDescent="0.2">
      <c r="A105" s="137"/>
      <c r="I105" s="3"/>
    </row>
    <row r="106" spans="1:11" s="85" customFormat="1" x14ac:dyDescent="0.2">
      <c r="A106" s="326" t="s">
        <v>907</v>
      </c>
      <c r="B106" s="85" t="s">
        <v>803</v>
      </c>
      <c r="C106" s="100" t="s">
        <v>822</v>
      </c>
      <c r="D106" s="607">
        <f>or_dead_pras_clop</f>
        <v>1</v>
      </c>
      <c r="E106" s="312">
        <v>1769</v>
      </c>
      <c r="F106" s="302">
        <v>9.616069841840387E-2</v>
      </c>
      <c r="G106" s="327">
        <v>0.83</v>
      </c>
      <c r="H106" s="327">
        <v>1.21</v>
      </c>
      <c r="I106" s="309" t="s">
        <v>592</v>
      </c>
      <c r="J106" s="100" t="s">
        <v>366</v>
      </c>
      <c r="K106" s="297" t="s">
        <v>696</v>
      </c>
    </row>
    <row r="107" spans="1:11" s="85" customFormat="1" x14ac:dyDescent="0.2">
      <c r="A107" s="326" t="s">
        <v>908</v>
      </c>
      <c r="B107" s="85" t="s">
        <v>804</v>
      </c>
      <c r="C107" s="100" t="s">
        <v>822</v>
      </c>
      <c r="D107" s="607">
        <f>or_mi_pras_clop</f>
        <v>0.75</v>
      </c>
      <c r="E107" s="312">
        <v>1769</v>
      </c>
      <c r="F107" s="302">
        <v>6.1520932861451015E-2</v>
      </c>
      <c r="G107" s="327">
        <v>0.66</v>
      </c>
      <c r="H107" s="327">
        <v>0.84</v>
      </c>
      <c r="I107" s="309" t="s">
        <v>592</v>
      </c>
      <c r="J107" s="100" t="s">
        <v>366</v>
      </c>
      <c r="K107" s="297" t="s">
        <v>696</v>
      </c>
    </row>
    <row r="108" spans="1:11" s="85" customFormat="1" x14ac:dyDescent="0.2">
      <c r="A108" s="326" t="s">
        <v>909</v>
      </c>
      <c r="B108" s="85" t="s">
        <v>805</v>
      </c>
      <c r="C108" s="100" t="s">
        <v>822</v>
      </c>
      <c r="D108" s="607">
        <f>or_stk_pras_clop</f>
        <v>0.93</v>
      </c>
      <c r="E108" s="312">
        <v>1769</v>
      </c>
      <c r="F108" s="302">
        <v>0.16909230384301435</v>
      </c>
      <c r="G108" s="327">
        <v>0.67</v>
      </c>
      <c r="H108" s="327">
        <v>1.3</v>
      </c>
      <c r="I108" s="309" t="s">
        <v>592</v>
      </c>
      <c r="J108" s="100" t="s">
        <v>366</v>
      </c>
      <c r="K108" s="297" t="s">
        <v>696</v>
      </c>
    </row>
    <row r="109" spans="1:11" s="85" customFormat="1" x14ac:dyDescent="0.2">
      <c r="A109" s="326" t="s">
        <v>910</v>
      </c>
      <c r="B109" s="85" t="s">
        <v>806</v>
      </c>
      <c r="C109" s="100" t="s">
        <v>822</v>
      </c>
      <c r="D109" s="607">
        <f>or_maj_bleed_pras_clop</f>
        <v>1.43</v>
      </c>
      <c r="E109" s="312">
        <v>1023</v>
      </c>
      <c r="F109" s="302">
        <v>0.11509881567506626</v>
      </c>
      <c r="G109" s="327">
        <v>1.1399999999999999</v>
      </c>
      <c r="H109" s="327">
        <v>1.79</v>
      </c>
      <c r="I109" s="309" t="s">
        <v>592</v>
      </c>
      <c r="J109" s="100" t="s">
        <v>366</v>
      </c>
      <c r="K109" s="297" t="s">
        <v>696</v>
      </c>
    </row>
    <row r="110" spans="1:11" s="85" customFormat="1" x14ac:dyDescent="0.2">
      <c r="A110" s="328" t="s">
        <v>911</v>
      </c>
      <c r="B110" s="85" t="s">
        <v>807</v>
      </c>
      <c r="C110" s="100" t="s">
        <v>822</v>
      </c>
      <c r="D110" s="608">
        <f>or_min_bleed_pras_clop</f>
        <v>2.0699999999999998</v>
      </c>
      <c r="E110" s="312">
        <v>1023</v>
      </c>
      <c r="F110" s="302">
        <v>0.43646104811336311</v>
      </c>
      <c r="G110" s="329">
        <v>0.88</v>
      </c>
      <c r="H110" s="329">
        <v>4.87</v>
      </c>
      <c r="I110" s="309" t="s">
        <v>592</v>
      </c>
      <c r="J110" s="100" t="s">
        <v>366</v>
      </c>
      <c r="K110" s="297" t="s">
        <v>696</v>
      </c>
    </row>
    <row r="111" spans="1:11" ht="7.5" customHeight="1" x14ac:dyDescent="0.2">
      <c r="A111" s="137"/>
      <c r="I111" s="3"/>
    </row>
    <row r="112" spans="1:11" s="85" customFormat="1" x14ac:dyDescent="0.2">
      <c r="A112" s="319" t="s">
        <v>1240</v>
      </c>
      <c r="B112" s="85" t="s">
        <v>1243</v>
      </c>
      <c r="C112" s="100" t="s">
        <v>822</v>
      </c>
      <c r="D112" s="604">
        <v>1</v>
      </c>
      <c r="E112" s="312">
        <v>3554</v>
      </c>
      <c r="F112" s="302">
        <f t="shared" ref="F112:F115" si="0">(LN(H112)-LN(G112))/(2*1.96)</f>
        <v>0.11384875067051517</v>
      </c>
      <c r="G112" s="295">
        <v>0.8</v>
      </c>
      <c r="H112" s="295">
        <v>1.25</v>
      </c>
      <c r="I112" s="309" t="s">
        <v>592</v>
      </c>
      <c r="J112" s="100" t="s">
        <v>1247</v>
      </c>
      <c r="K112" s="85" t="s">
        <v>1248</v>
      </c>
    </row>
    <row r="113" spans="1:11" s="85" customFormat="1" x14ac:dyDescent="0.2">
      <c r="A113" s="319" t="s">
        <v>1241</v>
      </c>
      <c r="B113" s="85" t="s">
        <v>1244</v>
      </c>
      <c r="C113" s="100" t="s">
        <v>822</v>
      </c>
      <c r="D113" s="604">
        <v>1</v>
      </c>
      <c r="E113" s="312">
        <v>3554</v>
      </c>
      <c r="F113" s="302">
        <f t="shared" si="0"/>
        <v>0.11384875067051517</v>
      </c>
      <c r="G113" s="295">
        <v>0.8</v>
      </c>
      <c r="H113" s="295">
        <v>1.25</v>
      </c>
      <c r="I113" s="309" t="s">
        <v>592</v>
      </c>
      <c r="J113" s="100" t="s">
        <v>1247</v>
      </c>
      <c r="K113" s="85" t="s">
        <v>1248</v>
      </c>
    </row>
    <row r="114" spans="1:11" s="85" customFormat="1" x14ac:dyDescent="0.2">
      <c r="A114" s="319" t="s">
        <v>1242</v>
      </c>
      <c r="B114" s="85" t="s">
        <v>1245</v>
      </c>
      <c r="C114" s="100" t="s">
        <v>822</v>
      </c>
      <c r="D114" s="604">
        <v>1</v>
      </c>
      <c r="E114" s="312">
        <v>3554</v>
      </c>
      <c r="F114" s="302">
        <f t="shared" si="0"/>
        <v>0.11384875067051517</v>
      </c>
      <c r="G114" s="295">
        <v>0.8</v>
      </c>
      <c r="H114" s="295">
        <v>1.25</v>
      </c>
      <c r="I114" s="309" t="s">
        <v>592</v>
      </c>
      <c r="J114" s="100" t="s">
        <v>1247</v>
      </c>
      <c r="K114" s="85" t="s">
        <v>1248</v>
      </c>
    </row>
    <row r="115" spans="1:11" s="85" customFormat="1" x14ac:dyDescent="0.2">
      <c r="A115" s="85" t="s">
        <v>1238</v>
      </c>
      <c r="B115" s="85" t="s">
        <v>1246</v>
      </c>
      <c r="C115" s="100" t="s">
        <v>822</v>
      </c>
      <c r="D115" s="604">
        <v>1</v>
      </c>
      <c r="E115" s="312">
        <v>1023</v>
      </c>
      <c r="F115" s="302">
        <f t="shared" si="0"/>
        <v>7.7112467314523869E-2</v>
      </c>
      <c r="G115" s="295">
        <v>0.85</v>
      </c>
      <c r="H115" s="295">
        <v>1.1499999999999999</v>
      </c>
      <c r="I115" s="309" t="s">
        <v>592</v>
      </c>
      <c r="J115" s="100" t="s">
        <v>1247</v>
      </c>
      <c r="K115" s="85" t="s">
        <v>1248</v>
      </c>
    </row>
    <row r="116" spans="1:11" s="85" customFormat="1" x14ac:dyDescent="0.2">
      <c r="A116" s="85" t="s">
        <v>1239</v>
      </c>
      <c r="B116" s="85" t="s">
        <v>824</v>
      </c>
      <c r="C116" s="100" t="s">
        <v>822</v>
      </c>
      <c r="D116" s="604">
        <v>1</v>
      </c>
      <c r="E116" s="312">
        <v>1023</v>
      </c>
      <c r="F116" s="302">
        <f>(LN(H116)-LN(G116))/(2*1.96)</f>
        <v>7.7112467314523869E-2</v>
      </c>
      <c r="G116" s="295">
        <v>0.85</v>
      </c>
      <c r="H116" s="295">
        <v>1.1499999999999999</v>
      </c>
      <c r="I116" s="309" t="s">
        <v>592</v>
      </c>
      <c r="J116" s="100" t="s">
        <v>1247</v>
      </c>
      <c r="K116" s="85" t="s">
        <v>1248</v>
      </c>
    </row>
    <row r="117" spans="1:11" ht="8.25" customHeight="1" x14ac:dyDescent="0.2">
      <c r="I117" s="3"/>
    </row>
    <row r="118" spans="1:11" s="85" customFormat="1" x14ac:dyDescent="0.2">
      <c r="A118" s="319" t="s">
        <v>1067</v>
      </c>
      <c r="B118" s="85" t="s">
        <v>1058</v>
      </c>
      <c r="C118" s="100" t="s">
        <v>855</v>
      </c>
      <c r="D118" s="603">
        <v>7.8E-2</v>
      </c>
      <c r="E118" s="302">
        <v>4387</v>
      </c>
      <c r="F118" s="330">
        <f>SQRT(prob_dys_ac * (1 - prob_dys_ac) / E118)</f>
        <v>4.0488244290034824E-3</v>
      </c>
      <c r="G118" s="330">
        <f>prob_dys_ac-(1.96*F118)</f>
        <v>7.0064304119153181E-2</v>
      </c>
      <c r="H118" s="330">
        <f>prob_dys_ac+(1.96*G118)</f>
        <v>0.21532603607354023</v>
      </c>
      <c r="I118" s="309" t="s">
        <v>592</v>
      </c>
      <c r="J118" s="100" t="s">
        <v>366</v>
      </c>
      <c r="K118" s="297" t="s">
        <v>696</v>
      </c>
    </row>
    <row r="119" spans="1:11" s="85" customFormat="1" x14ac:dyDescent="0.2">
      <c r="A119" s="319" t="s">
        <v>1068</v>
      </c>
      <c r="B119" s="85" t="s">
        <v>1059</v>
      </c>
      <c r="C119" s="100" t="s">
        <v>855</v>
      </c>
      <c r="D119" s="603">
        <f xml:space="preserve"> (or_dys_at_ac * prob_dys_ac) / (1 - prob_dys_ac + (or_dys_at_ac * prob_dys_ac))</f>
        <v>0.13023791106163801</v>
      </c>
      <c r="E119" s="302">
        <v>4387</v>
      </c>
      <c r="F119" s="307">
        <f>(H119-G119)/2*1.96</f>
        <v>2.9408707039566544E-2</v>
      </c>
      <c r="G119" s="330">
        <f>(((prob_dys_ac/(1-prob_dys_ac)))*G121)/(1+(((prob_dys_ac/(1-prob_dys_ac)))*G121))</f>
        <v>0.1205311152657484</v>
      </c>
      <c r="H119" s="330">
        <f>(((prob_dys_ac/(1-prob_dys_ac)))*H121)/(1+(((prob_dys_ac/(1-prob_dys_ac)))))</f>
        <v>0.15053999999999998</v>
      </c>
      <c r="I119" s="309" t="s">
        <v>592</v>
      </c>
      <c r="J119" s="100" t="s">
        <v>366</v>
      </c>
      <c r="K119" s="297" t="s">
        <v>696</v>
      </c>
    </row>
    <row r="120" spans="1:11" s="85" customFormat="1" x14ac:dyDescent="0.2">
      <c r="A120" s="319" t="s">
        <v>1069</v>
      </c>
      <c r="B120" s="85" t="s">
        <v>1060</v>
      </c>
      <c r="C120" s="100" t="s">
        <v>855</v>
      </c>
      <c r="D120" s="603">
        <v>7.8E-2</v>
      </c>
      <c r="E120" s="302">
        <v>4387</v>
      </c>
      <c r="F120" s="330">
        <f>SQRT(prob_dys_ac * (1 - prob_dys_ac) / E120)</f>
        <v>4.0488244290034824E-3</v>
      </c>
      <c r="G120" s="330">
        <f>prob_dys_ac-(1.96*F120)</f>
        <v>7.0064304119153181E-2</v>
      </c>
      <c r="H120" s="330">
        <f>prob_dys_ac+(1.96*G120)</f>
        <v>0.21532603607354023</v>
      </c>
      <c r="I120" s="309" t="s">
        <v>592</v>
      </c>
      <c r="J120" s="100" t="s">
        <v>366</v>
      </c>
      <c r="K120" s="297" t="s">
        <v>696</v>
      </c>
    </row>
    <row r="121" spans="1:11" s="85" customFormat="1" x14ac:dyDescent="0.2">
      <c r="A121" s="85" t="s">
        <v>1070</v>
      </c>
      <c r="B121" s="85" t="s">
        <v>1061</v>
      </c>
      <c r="C121" s="100" t="s">
        <v>822</v>
      </c>
      <c r="D121" s="603">
        <v>1.77</v>
      </c>
      <c r="E121" s="302">
        <v>4387</v>
      </c>
      <c r="F121" s="295" t="s">
        <v>350</v>
      </c>
      <c r="G121" s="295">
        <v>1.62</v>
      </c>
      <c r="H121" s="295">
        <v>1.93</v>
      </c>
      <c r="I121" s="309" t="s">
        <v>592</v>
      </c>
      <c r="J121" s="100" t="s">
        <v>366</v>
      </c>
      <c r="K121" s="297" t="s">
        <v>696</v>
      </c>
    </row>
    <row r="122" spans="1:11" ht="7.5" customHeight="1" x14ac:dyDescent="0.2"/>
    <row r="123" spans="1:11" s="85" customFormat="1" x14ac:dyDescent="0.2">
      <c r="A123" s="301" t="s">
        <v>1071</v>
      </c>
      <c r="B123" s="301" t="s">
        <v>1055</v>
      </c>
      <c r="C123" s="301" t="s">
        <v>823</v>
      </c>
      <c r="D123" s="603">
        <v>44.5</v>
      </c>
      <c r="E123" s="305" t="s">
        <v>350</v>
      </c>
      <c r="F123" s="305" t="s">
        <v>350</v>
      </c>
      <c r="G123" s="305" t="s">
        <v>350</v>
      </c>
      <c r="H123" s="305" t="s">
        <v>350</v>
      </c>
      <c r="I123" s="100" t="s">
        <v>671</v>
      </c>
      <c r="J123" s="100" t="s">
        <v>366</v>
      </c>
      <c r="K123" s="297" t="s">
        <v>696</v>
      </c>
    </row>
    <row r="124" spans="1:11" s="85" customFormat="1" x14ac:dyDescent="0.2">
      <c r="A124" s="301" t="s">
        <v>1072</v>
      </c>
      <c r="B124" s="301" t="s">
        <v>1062</v>
      </c>
      <c r="C124" s="301" t="s">
        <v>823</v>
      </c>
      <c r="D124" s="603">
        <f>c_dys_pp*prob_dys_ac</f>
        <v>3.4710000000000001</v>
      </c>
      <c r="E124" s="305" t="s">
        <v>350</v>
      </c>
      <c r="F124" s="305" t="s">
        <v>350</v>
      </c>
      <c r="G124" s="305" t="s">
        <v>350</v>
      </c>
      <c r="H124" s="305" t="s">
        <v>350</v>
      </c>
      <c r="I124" s="100" t="s">
        <v>671</v>
      </c>
      <c r="J124" s="100" t="s">
        <v>366</v>
      </c>
      <c r="K124" s="297" t="s">
        <v>696</v>
      </c>
    </row>
    <row r="125" spans="1:11" s="85" customFormat="1" x14ac:dyDescent="0.2">
      <c r="A125" s="301" t="s">
        <v>1073</v>
      </c>
      <c r="B125" s="301" t="s">
        <v>1063</v>
      </c>
      <c r="C125" s="301" t="s">
        <v>823</v>
      </c>
      <c r="D125" s="603">
        <f>c_dys_pp*prob_dys_at</f>
        <v>5.7955870422428912</v>
      </c>
      <c r="E125" s="305" t="s">
        <v>350</v>
      </c>
      <c r="F125" s="305" t="s">
        <v>350</v>
      </c>
      <c r="G125" s="305" t="s">
        <v>350</v>
      </c>
      <c r="H125" s="305" t="s">
        <v>350</v>
      </c>
      <c r="I125" s="100" t="s">
        <v>671</v>
      </c>
      <c r="J125" s="100" t="s">
        <v>366</v>
      </c>
      <c r="K125" s="297" t="s">
        <v>696</v>
      </c>
    </row>
    <row r="126" spans="1:11" s="85" customFormat="1" x14ac:dyDescent="0.2">
      <c r="A126" s="301" t="s">
        <v>1074</v>
      </c>
      <c r="B126" s="301" t="s">
        <v>1064</v>
      </c>
      <c r="C126" s="301" t="s">
        <v>823</v>
      </c>
      <c r="D126" s="603">
        <f>c_dys_pp*prob_dys_ap</f>
        <v>3.4710000000000001</v>
      </c>
      <c r="E126" s="305" t="s">
        <v>350</v>
      </c>
      <c r="F126" s="305" t="s">
        <v>350</v>
      </c>
      <c r="G126" s="305" t="s">
        <v>350</v>
      </c>
      <c r="H126" s="305" t="s">
        <v>350</v>
      </c>
      <c r="I126" s="100" t="s">
        <v>671</v>
      </c>
      <c r="J126" s="100" t="s">
        <v>366</v>
      </c>
      <c r="K126" s="297" t="s">
        <v>696</v>
      </c>
    </row>
    <row r="127" spans="1:11" ht="8.25" customHeight="1" x14ac:dyDescent="0.2">
      <c r="I127" s="3"/>
    </row>
    <row r="128" spans="1:11" s="85" customFormat="1" x14ac:dyDescent="0.2">
      <c r="A128" s="301" t="s">
        <v>1075</v>
      </c>
      <c r="B128" s="301" t="s">
        <v>1065</v>
      </c>
      <c r="C128" s="100"/>
      <c r="D128" s="603">
        <v>4.9000000000000002E-2</v>
      </c>
      <c r="E128" s="305" t="s">
        <v>350</v>
      </c>
      <c r="F128" s="305" t="s">
        <v>350</v>
      </c>
      <c r="G128" s="305" t="s">
        <v>350</v>
      </c>
      <c r="H128" s="305" t="s">
        <v>350</v>
      </c>
      <c r="I128" s="309" t="s">
        <v>720</v>
      </c>
      <c r="J128" s="100" t="s">
        <v>366</v>
      </c>
      <c r="K128" s="297" t="s">
        <v>696</v>
      </c>
    </row>
    <row r="129" spans="1:11" s="85" customFormat="1" x14ac:dyDescent="0.2">
      <c r="A129" s="301" t="s">
        <v>1076</v>
      </c>
      <c r="B129" s="301" t="s">
        <v>1066</v>
      </c>
      <c r="C129" s="100"/>
      <c r="D129" s="603">
        <v>30</v>
      </c>
      <c r="E129" s="305" t="s">
        <v>350</v>
      </c>
      <c r="F129" s="305" t="s">
        <v>350</v>
      </c>
      <c r="G129" s="305" t="s">
        <v>350</v>
      </c>
      <c r="H129" s="305" t="s">
        <v>350</v>
      </c>
      <c r="I129" s="309" t="s">
        <v>1050</v>
      </c>
      <c r="J129" s="100" t="s">
        <v>366</v>
      </c>
      <c r="K129" s="297" t="s">
        <v>696</v>
      </c>
    </row>
    <row r="130" spans="1:11" s="85" customFormat="1" x14ac:dyDescent="0.2">
      <c r="A130" s="301" t="s">
        <v>1077</v>
      </c>
      <c r="B130" s="301" t="s">
        <v>1047</v>
      </c>
      <c r="C130" s="100"/>
      <c r="D130" s="603">
        <f>u_dec_dys*(duration_dys/365)*prob_dys_ac</f>
        <v>3.1413698630136986E-4</v>
      </c>
      <c r="E130" s="305" t="s">
        <v>350</v>
      </c>
      <c r="F130" s="305" t="s">
        <v>350</v>
      </c>
      <c r="G130" s="305" t="s">
        <v>350</v>
      </c>
      <c r="H130" s="305" t="s">
        <v>350</v>
      </c>
      <c r="I130" s="309" t="s">
        <v>720</v>
      </c>
      <c r="J130" s="100" t="s">
        <v>366</v>
      </c>
      <c r="K130" s="297" t="s">
        <v>696</v>
      </c>
    </row>
    <row r="131" spans="1:11" s="85" customFormat="1" x14ac:dyDescent="0.2">
      <c r="A131" s="301" t="s">
        <v>1078</v>
      </c>
      <c r="B131" s="301" t="s">
        <v>1048</v>
      </c>
      <c r="C131" s="100"/>
      <c r="D131" s="603">
        <f>u_dec_dys*(duration_dys/365)*prob_dys_at</f>
        <v>5.2451980619344629E-4</v>
      </c>
      <c r="E131" s="305" t="s">
        <v>350</v>
      </c>
      <c r="F131" s="305" t="s">
        <v>350</v>
      </c>
      <c r="G131" s="305" t="s">
        <v>350</v>
      </c>
      <c r="H131" s="305" t="s">
        <v>350</v>
      </c>
      <c r="I131" s="309" t="s">
        <v>720</v>
      </c>
      <c r="J131" s="100" t="s">
        <v>366</v>
      </c>
      <c r="K131" s="297" t="s">
        <v>696</v>
      </c>
    </row>
    <row r="132" spans="1:11" s="85" customFormat="1" x14ac:dyDescent="0.2">
      <c r="A132" s="301" t="s">
        <v>1079</v>
      </c>
      <c r="B132" s="301" t="s">
        <v>1049</v>
      </c>
      <c r="C132" s="100"/>
      <c r="D132" s="603">
        <f>u_dec_dys*(duration_dys/365)*prob_dys_ap</f>
        <v>3.1413698630136986E-4</v>
      </c>
      <c r="E132" s="305" t="s">
        <v>350</v>
      </c>
      <c r="F132" s="305" t="s">
        <v>350</v>
      </c>
      <c r="G132" s="305" t="s">
        <v>350</v>
      </c>
      <c r="H132" s="305" t="s">
        <v>350</v>
      </c>
      <c r="I132" s="309" t="s">
        <v>720</v>
      </c>
      <c r="J132" s="100" t="s">
        <v>366</v>
      </c>
      <c r="K132" s="297" t="s">
        <v>696</v>
      </c>
    </row>
    <row r="133" spans="1:11" ht="8.25" customHeight="1" x14ac:dyDescent="0.2"/>
    <row r="134" spans="1:11" x14ac:dyDescent="0.2">
      <c r="A134" s="355" t="s">
        <v>1152</v>
      </c>
      <c r="B134" s="353" t="s">
        <v>1146</v>
      </c>
      <c r="C134" s="351" t="s">
        <v>818</v>
      </c>
      <c r="D134" s="609">
        <v>0.26</v>
      </c>
      <c r="J134" s="3" t="s">
        <v>1151</v>
      </c>
    </row>
    <row r="135" spans="1:11" x14ac:dyDescent="0.2">
      <c r="A135" s="355" t="s">
        <v>1153</v>
      </c>
      <c r="B135" s="353" t="s">
        <v>1147</v>
      </c>
      <c r="C135" s="351" t="s">
        <v>818</v>
      </c>
      <c r="D135" s="609">
        <v>0.65629999999999999</v>
      </c>
      <c r="J135" s="3" t="s">
        <v>1151</v>
      </c>
    </row>
    <row r="136" spans="1:11" x14ac:dyDescent="0.2">
      <c r="A136" s="355" t="s">
        <v>1154</v>
      </c>
      <c r="B136" s="353" t="s">
        <v>1148</v>
      </c>
      <c r="C136" s="351" t="s">
        <v>818</v>
      </c>
      <c r="D136" s="609">
        <v>8.4000000000000005E-2</v>
      </c>
      <c r="J136" s="3" t="s">
        <v>1151</v>
      </c>
    </row>
    <row r="137" spans="1:11" x14ac:dyDescent="0.2">
      <c r="A137" s="355" t="s">
        <v>1155</v>
      </c>
      <c r="B137" s="353" t="s">
        <v>1149</v>
      </c>
      <c r="C137" s="351" t="s">
        <v>855</v>
      </c>
      <c r="D137" s="609">
        <v>0.89</v>
      </c>
      <c r="J137" s="3" t="s">
        <v>1020</v>
      </c>
    </row>
    <row r="138" spans="1:11" ht="16" x14ac:dyDescent="0.2">
      <c r="A138" s="355" t="s">
        <v>1156</v>
      </c>
      <c r="B138" s="353" t="s">
        <v>1150</v>
      </c>
      <c r="C138" s="351" t="s">
        <v>855</v>
      </c>
      <c r="D138" s="609">
        <v>0.69899999999999995</v>
      </c>
      <c r="J138" s="135" t="s">
        <v>1091</v>
      </c>
    </row>
    <row r="139" spans="1:11" x14ac:dyDescent="0.2">
      <c r="A139" s="355" t="s">
        <v>1157</v>
      </c>
      <c r="B139" s="356" t="s">
        <v>1158</v>
      </c>
      <c r="C139" s="356" t="s">
        <v>818</v>
      </c>
      <c r="D139" s="609">
        <v>0.56799999999999995</v>
      </c>
      <c r="J139" s="3" t="s">
        <v>648</v>
      </c>
    </row>
    <row r="140" spans="1:11" ht="8.25" customHeight="1" x14ac:dyDescent="0.2"/>
    <row r="141" spans="1:11" ht="16" x14ac:dyDescent="0.2">
      <c r="A141" s="355" t="s">
        <v>1162</v>
      </c>
      <c r="B141" s="350" t="s">
        <v>1022</v>
      </c>
      <c r="C141" s="351"/>
      <c r="D141" s="610">
        <v>7.1999999999999998E-3</v>
      </c>
      <c r="J141" s="135" t="s">
        <v>1023</v>
      </c>
    </row>
    <row r="142" spans="1:11" ht="16" x14ac:dyDescent="0.2">
      <c r="A142" s="355" t="s">
        <v>1161</v>
      </c>
      <c r="B142" s="350" t="s">
        <v>1026</v>
      </c>
      <c r="C142" s="351"/>
      <c r="D142" s="610">
        <f>0.066*0.82</f>
        <v>5.4120000000000001E-2</v>
      </c>
      <c r="J142" s="135" t="s">
        <v>1024</v>
      </c>
      <c r="K142" s="139" t="s">
        <v>1025</v>
      </c>
    </row>
    <row r="143" spans="1:11" ht="16" x14ac:dyDescent="0.2">
      <c r="A143" s="355" t="s">
        <v>1165</v>
      </c>
      <c r="B143" s="350" t="s">
        <v>1163</v>
      </c>
      <c r="C143" s="351" t="s">
        <v>822</v>
      </c>
      <c r="D143" s="610">
        <f>smr_noevent*0.8</f>
        <v>1.6</v>
      </c>
      <c r="J143" s="135" t="s">
        <v>1030</v>
      </c>
    </row>
    <row r="144" spans="1:11" x14ac:dyDescent="0.2">
      <c r="A144" s="355" t="s">
        <v>1164</v>
      </c>
      <c r="B144" s="350" t="s">
        <v>1166</v>
      </c>
      <c r="C144" s="351" t="s">
        <v>822</v>
      </c>
      <c r="D144" s="610">
        <f>smr_rinfar*0.8</f>
        <v>3.6</v>
      </c>
      <c r="J144" s="135"/>
    </row>
    <row r="145" spans="1:10" ht="16" x14ac:dyDescent="0.2">
      <c r="A145" s="355" t="s">
        <v>1167</v>
      </c>
      <c r="B145" s="350" t="s">
        <v>1168</v>
      </c>
      <c r="C145" s="351" t="s">
        <v>822</v>
      </c>
      <c r="D145" s="610">
        <f>smr_post_rinfar*0.8</f>
        <v>2.4000000000000004</v>
      </c>
      <c r="J145" s="135" t="s">
        <v>1033</v>
      </c>
    </row>
    <row r="146" spans="1:10" ht="8.25" customHeight="1" x14ac:dyDescent="0.2">
      <c r="A146" s="357"/>
      <c r="J146" s="135"/>
    </row>
    <row r="147" spans="1:10" ht="14.5" customHeight="1" x14ac:dyDescent="0.2">
      <c r="A147" s="349" t="s">
        <v>1145</v>
      </c>
      <c r="B147" s="350" t="s">
        <v>1130</v>
      </c>
      <c r="C147" s="351" t="s">
        <v>823</v>
      </c>
      <c r="D147" s="610">
        <v>893.20396071179425</v>
      </c>
      <c r="J147" s="135" t="s">
        <v>1033</v>
      </c>
    </row>
    <row r="148" spans="1:10" ht="14.5" customHeight="1" x14ac:dyDescent="0.2">
      <c r="A148" s="349" t="s">
        <v>1144</v>
      </c>
      <c r="B148" s="350" t="s">
        <v>1264</v>
      </c>
      <c r="C148" s="351" t="s">
        <v>823</v>
      </c>
      <c r="D148" s="610">
        <v>3528.2167394737421</v>
      </c>
      <c r="J148" s="135" t="s">
        <v>1033</v>
      </c>
    </row>
    <row r="149" spans="1:10" ht="14.5" customHeight="1" x14ac:dyDescent="0.2">
      <c r="A149" s="349" t="s">
        <v>1143</v>
      </c>
      <c r="B149" s="350" t="s">
        <v>1131</v>
      </c>
      <c r="C149" s="351" t="s">
        <v>823</v>
      </c>
      <c r="D149" s="610">
        <v>3848.9637157895368</v>
      </c>
      <c r="J149" s="135" t="s">
        <v>1033</v>
      </c>
    </row>
    <row r="150" spans="1:10" ht="14.5" customHeight="1" x14ac:dyDescent="0.2">
      <c r="A150" s="349" t="s">
        <v>1142</v>
      </c>
      <c r="B150" s="350" t="s">
        <v>1132</v>
      </c>
      <c r="C150" s="351" t="s">
        <v>823</v>
      </c>
      <c r="D150" s="610">
        <v>4169.7106921053319</v>
      </c>
      <c r="J150" s="135" t="s">
        <v>1033</v>
      </c>
    </row>
    <row r="151" spans="1:10" ht="14.5" customHeight="1" x14ac:dyDescent="0.2">
      <c r="A151" s="349" t="s">
        <v>1141</v>
      </c>
      <c r="B151" s="350" t="s">
        <v>1133</v>
      </c>
      <c r="C151" s="351" t="s">
        <v>823</v>
      </c>
      <c r="D151" s="610">
        <v>4490.4576684211261</v>
      </c>
      <c r="J151" s="135" t="s">
        <v>1033</v>
      </c>
    </row>
    <row r="152" spans="1:10" ht="8.25" customHeight="1" x14ac:dyDescent="0.2">
      <c r="B152" s="103"/>
      <c r="C152" s="341"/>
    </row>
    <row r="153" spans="1:10" ht="16" x14ac:dyDescent="0.2">
      <c r="A153" s="349" t="s">
        <v>1170</v>
      </c>
      <c r="B153" s="349" t="s">
        <v>1169</v>
      </c>
      <c r="C153" s="352" t="s">
        <v>1175</v>
      </c>
      <c r="D153" s="610">
        <v>0.84199999999999997</v>
      </c>
      <c r="J153" s="135" t="s">
        <v>1033</v>
      </c>
    </row>
    <row r="154" spans="1:10" ht="16" x14ac:dyDescent="0.2">
      <c r="A154" s="349" t="s">
        <v>1171</v>
      </c>
      <c r="B154" s="349" t="s">
        <v>1169</v>
      </c>
      <c r="C154" s="352" t="s">
        <v>1175</v>
      </c>
      <c r="D154" s="610">
        <v>0.77900000000000003</v>
      </c>
      <c r="H154" s="173"/>
      <c r="J154" s="135" t="s">
        <v>1033</v>
      </c>
    </row>
    <row r="155" spans="1:10" ht="16" x14ac:dyDescent="0.2">
      <c r="A155" s="349" t="s">
        <v>1172</v>
      </c>
      <c r="B155" s="349" t="s">
        <v>1169</v>
      </c>
      <c r="C155" s="352" t="s">
        <v>1175</v>
      </c>
      <c r="D155" s="610">
        <v>0.82099999999999995</v>
      </c>
      <c r="J155" s="135" t="s">
        <v>1033</v>
      </c>
    </row>
    <row r="156" spans="1:10" ht="16" x14ac:dyDescent="0.2">
      <c r="A156" s="349" t="s">
        <v>1174</v>
      </c>
      <c r="B156" s="349" t="s">
        <v>1169</v>
      </c>
      <c r="C156" s="352" t="s">
        <v>1175</v>
      </c>
      <c r="D156" s="610">
        <v>0.70299999999999996</v>
      </c>
      <c r="J156" s="135" t="s">
        <v>1033</v>
      </c>
    </row>
    <row r="157" spans="1:10" ht="16" x14ac:dyDescent="0.2">
      <c r="A157" s="349" t="s">
        <v>1173</v>
      </c>
      <c r="B157" s="349" t="s">
        <v>1169</v>
      </c>
      <c r="C157" s="352" t="s">
        <v>1175</v>
      </c>
      <c r="D157" s="610">
        <v>0.70299999999999996</v>
      </c>
      <c r="J157" s="135" t="s">
        <v>1033</v>
      </c>
    </row>
    <row r="158" spans="1:10" ht="16" x14ac:dyDescent="0.2">
      <c r="A158" s="354" t="s">
        <v>1140</v>
      </c>
      <c r="B158" s="350" t="s">
        <v>1159</v>
      </c>
      <c r="C158" s="352" t="s">
        <v>1175</v>
      </c>
      <c r="D158" s="609">
        <v>1.4999999999999999E-2</v>
      </c>
      <c r="J158" s="135" t="s">
        <v>1033</v>
      </c>
    </row>
    <row r="159" spans="1:10" ht="16" x14ac:dyDescent="0.2">
      <c r="A159" s="354" t="s">
        <v>1139</v>
      </c>
      <c r="B159" s="350" t="s">
        <v>1160</v>
      </c>
      <c r="C159" s="352" t="s">
        <v>1175</v>
      </c>
      <c r="D159" s="609">
        <v>1.4999999999999999E-2</v>
      </c>
      <c r="J159" s="135" t="s">
        <v>1033</v>
      </c>
    </row>
  </sheetData>
  <mergeCells count="1">
    <mergeCell ref="K13:Q13"/>
  </mergeCells>
  <phoneticPr fontId="4" type="noConversion"/>
  <hyperlinks>
    <hyperlink ref="K7" r:id="rId1" display="https://doi.org/10.1161/jaha.124.034414" xr:uid="{87B888CF-C254-43A4-B687-6E0E14D14D9D}"/>
    <hyperlink ref="K8:K9" r:id="rId2" display="https://doi.org/10.1161/jaha.124.034414" xr:uid="{34E7070D-C8E9-4281-9EB2-228C28D4D65D}"/>
    <hyperlink ref="K3" r:id="rId3" display="https://www.ncbi.nlm.nih.gov/books/NBK565353/" xr:uid="{11E96574-D2FC-4989-9A31-F3AD52E27AC7}"/>
    <hyperlink ref="K6" r:id="rId4" display="https://www.ncbi.nlm.nih.gov/books/NBK565353/" xr:uid="{E4D8AA0A-F5DF-49BA-98F9-4B2A909F5A1E}"/>
    <hyperlink ref="K14" r:id="rId5" display="https://doi.org/10.1136/openhrt-2018-000951" xr:uid="{02B81B32-B658-4E1F-AB91-BC848C7A9D10}"/>
    <hyperlink ref="K15" r:id="rId6" display="https://doi.org/10.1093/eurheartj/ehx515" xr:uid="{F936F48D-4A78-4E64-B4D2-5493E445BFCE}"/>
    <hyperlink ref="K19" r:id="rId7" display="https://www.ncbi.nlm.nih.gov/books/NBK565353/" xr:uid="{55CD8380-D3FD-4EEA-8FA7-5AAAE86E5E9C}"/>
    <hyperlink ref="K20:K23" r:id="rId8" display="https://www.ncbi.nlm.nih.gov/books/NBK565353/" xr:uid="{D730A298-1680-4F5E-BFAD-AD483B118089}"/>
    <hyperlink ref="K25" r:id="rId9" display="https://www.ncbi.nlm.nih.gov/books/NBK565353/" xr:uid="{1A92CCA6-D01F-43AB-A032-77F60ADB268B}"/>
    <hyperlink ref="K26:K29" r:id="rId10" display="https://www.ncbi.nlm.nih.gov/books/NBK565353/" xr:uid="{0470DC79-BF63-462A-8D0C-CADFEAE783EA}"/>
    <hyperlink ref="K31" r:id="rId11" display="https://doi.org/10.1111/cts.12830" xr:uid="{A009EBC2-AB84-4EA2-BE42-CEC2963111C8}"/>
    <hyperlink ref="K32" r:id="rId12" display="https://doi.org/10.1111/cts.12830" xr:uid="{102D8442-69D3-40BB-BA44-4E0109EF1773}"/>
    <hyperlink ref="K43" r:id="rId13" display="https://doi.org/10.1056/nejmoa0904327" xr:uid="{C5DB8040-C879-43A5-A97E-4A1606D24FB7}"/>
    <hyperlink ref="K42" r:id="rId14" display="https://doi.org/10.1056/nejmoa0904327" xr:uid="{93C6B207-7AF6-4D06-AE23-F3E1DA1270D4}"/>
    <hyperlink ref="K44" r:id="rId15" display="https://doi.org/10.1056/nejmoa0904327" xr:uid="{D02D67CC-D4C3-48D1-9812-B127DFAFCA39}"/>
    <hyperlink ref="K45" r:id="rId16" display="https://hqlo.biomedcentral.com/articles/10.1186/s12955-018-1019-3" xr:uid="{9B27ABB7-D38C-48C8-8A97-1BB80F2C44BD}"/>
    <hyperlink ref="K46" r:id="rId17" display="https://hqlo.biomedcentral.com/articles/10.1186/s12955-018-1019-3" xr:uid="{976B669B-31B7-4B58-8926-527B87757BD2}"/>
    <hyperlink ref="K47" r:id="rId18" display="https://hqlo.biomedcentral.com/articles/10.1186/s12955-018-1019-3" xr:uid="{B952C32E-4069-4F71-AC86-CF91EE417FAC}"/>
    <hyperlink ref="K48" r:id="rId19" display="https://hqlo.biomedcentral.com/articles/10.1186/s12955-018-1019-3" xr:uid="{DF4EF952-5E79-4834-933C-4E12A5160537}"/>
    <hyperlink ref="K56" r:id="rId20" display="https://doi.org/10.1161/circoutcomes.111.964700" xr:uid="{B6328660-FC3D-490A-88D4-322E3DD886FC}"/>
    <hyperlink ref="K57" r:id="rId21" display="https://doi.org/10.1161/circoutcomes.111.964700" xr:uid="{5A7CBC63-52C3-4ED6-8197-A5107760492F}"/>
    <hyperlink ref="K58" r:id="rId22" display="https://doi.org/10.1161/circoutcomes.111.964700" xr:uid="{FEDCD1E6-1E28-4967-8436-EE768C249DD8}"/>
    <hyperlink ref="K59" r:id="rId23" display="https://doi.org/10.1191/135248506ms1280oa" xr:uid="{33D9A45B-B263-4B06-934B-13EE66F43279}"/>
    <hyperlink ref="K60" r:id="rId24" display="https://doi.org/10.1191/135248506ms1280oa" xr:uid="{BC74B3F2-1230-40DB-A312-8F7DB3263D4C}"/>
    <hyperlink ref="K79" r:id="rId25" display="https://www.ncbi.nlm.nih.gov/books/NBK565353/" xr:uid="{427CD000-1C24-4909-AA73-9B9629B88C00}"/>
    <hyperlink ref="K80:K85" r:id="rId26" display="https://www.ncbi.nlm.nih.gov/books/NBK565353/" xr:uid="{A9718F34-7338-4790-9C07-B7A62FAA1D37}"/>
    <hyperlink ref="K90" r:id="rId27" display="https://www.ncbi.nlm.nih.gov/books/NBK565353/" xr:uid="{277308BA-69EB-4972-9798-A1728091FB85}"/>
    <hyperlink ref="K91:K94" r:id="rId28" display="https://www.ncbi.nlm.nih.gov/books/NBK565353/" xr:uid="{FE5FC674-D016-4A07-8064-3203D3D2141E}"/>
    <hyperlink ref="K96" r:id="rId29" location="discounting" xr:uid="{6C0DECBD-209C-45C6-9D73-6FB0AA66ABAA}"/>
    <hyperlink ref="K97" r:id="rId30" location="discounting" xr:uid="{AD07A73F-AD58-4546-98B9-02A7C8D7C523}"/>
    <hyperlink ref="K98" r:id="rId31" location="discounting" xr:uid="{362DB97B-6538-44DA-A48A-773458EC8F0D}"/>
    <hyperlink ref="K100:K104" r:id="rId32" display="https://www.ncbi.nlm.nih.gov/books/NBK565353/" xr:uid="{475695C7-EFD1-4C52-A8C4-C626A2FE429D}"/>
    <hyperlink ref="K106:K110" r:id="rId33" display="https://www.ncbi.nlm.nih.gov/books/NBK565353/" xr:uid="{240F7018-02FC-4FCB-8D96-52AAD5E116BC}"/>
    <hyperlink ref="K86:K88" r:id="rId34" display="https://www.ncbi.nlm.nih.gov/books/NBK565353/" xr:uid="{32154B00-877D-4507-A3D1-1FBE60B2F949}"/>
    <hyperlink ref="K118:K121" r:id="rId35" display="https://www.ncbi.nlm.nih.gov/books/NBK565353/" xr:uid="{3FD44E28-6FDF-4C3A-B266-458709371F65}"/>
    <hyperlink ref="K4" r:id="rId36" display="https://doi.org/10.1161/jaha.124.034414" xr:uid="{F6365DC8-A048-4F3D-97BA-0EC4F07CBF40}"/>
    <hyperlink ref="K5" r:id="rId37" display="https://www.ncbi.nlm.nih.gov/books/NBK565353/" xr:uid="{8883F7C0-4A98-414B-AA19-EB69AB406B21}"/>
    <hyperlink ref="K64" r:id="rId38" location="discounting" xr:uid="{A9C1C102-0D66-48D2-9E50-20AC8A73F072}"/>
    <hyperlink ref="K65:K68" r:id="rId39" location="discounting" display="https://www.nice.org.uk/process/pmg36/chapter/economic-evaluation-2#discounting" xr:uid="{3323E273-495D-4F67-A3E6-CD4D71871723}"/>
    <hyperlink ref="K49:K54" r:id="rId40" display="https://hqlo.biomedcentral.com/articles/10.1186/s12955-018-1019-3" xr:uid="{7916D866-2E4D-439C-B605-070562F0090E}"/>
    <hyperlink ref="K123:K126" r:id="rId41" display="https://www.ncbi.nlm.nih.gov/books/NBK565353/" xr:uid="{40FEEDA4-B722-4AAF-859F-FD224CD70A82}"/>
    <hyperlink ref="K128:K132" r:id="rId42" display="https://www.ncbi.nlm.nih.gov/books/NBK565353/" xr:uid="{9748C98F-0EA8-4D01-AC6D-034DA43AF951}"/>
    <hyperlink ref="K33" r:id="rId43" display="https://doi.org/10.1161/jaha.124.034414" xr:uid="{24AE4660-B7C8-48FD-B677-9D75F314E4AB}"/>
    <hyperlink ref="K34" r:id="rId44" display="https://doi.org/10.1161/jaha.124.034414" xr:uid="{A9A88402-62BB-4738-993D-07B656C36AF4}"/>
    <hyperlink ref="K142" r:id="rId45" display="https://www.nice.org.uk/guidance/TA236" xr:uid="{BD96DECB-8F99-4CE0-AFCA-1EE66CAE1322}"/>
    <hyperlink ref="K10" r:id="rId46" display="https://doi.org/10.1038/s41397-024-00344-z" xr:uid="{3E9BFF55-D481-46D7-93D1-271CD9ECB17A}"/>
    <hyperlink ref="K11" r:id="rId47" display="https://doi.org/10.1038/s41397-024-00344-z" xr:uid="{D52D6470-8E96-4B54-B85F-1D9960B63AAB}"/>
  </hyperlinks>
  <pageMargins left="0.7" right="0.7" top="0.75" bottom="0.75" header="0.3" footer="0.3"/>
  <pageSetup paperSize="9" orientation="portrait" r:id="rId48"/>
  <ignoredErrors>
    <ignoredError sqref="F119:H119" formula="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439A-DFC3-4665-BAC4-85C807B18135}">
  <sheetPr codeName="Sheet8"/>
  <dimension ref="C3:BS42"/>
  <sheetViews>
    <sheetView topLeftCell="X1" zoomScale="84" workbookViewId="0">
      <selection activeCell="AI10" sqref="AI10"/>
    </sheetView>
  </sheetViews>
  <sheetFormatPr baseColWidth="10" defaultColWidth="9.5" defaultRowHeight="15" x14ac:dyDescent="0.2"/>
  <cols>
    <col min="3" max="3" width="24.1640625" customWidth="1"/>
    <col min="4" max="4" width="10.5" bestFit="1" customWidth="1"/>
    <col min="5" max="5" width="11.1640625" customWidth="1"/>
    <col min="6" max="6" width="12.5" customWidth="1"/>
    <col min="11" max="11" width="5.5" customWidth="1"/>
    <col min="12" max="12" width="17.5" customWidth="1"/>
    <col min="13" max="13" width="9.83203125" customWidth="1"/>
    <col min="14" max="14" width="14.5" customWidth="1"/>
    <col min="15" max="15" width="11.1640625" customWidth="1"/>
    <col min="16" max="19" width="9.5" customWidth="1"/>
    <col min="20" max="20" width="7.5" customWidth="1"/>
    <col min="21" max="21" width="5.5" customWidth="1"/>
    <col min="22" max="22" width="16.83203125" customWidth="1"/>
    <col min="23" max="23" width="11.1640625" customWidth="1"/>
    <col min="24" max="24" width="7.83203125" customWidth="1"/>
    <col min="25" max="26" width="10.83203125" customWidth="1"/>
    <col min="27" max="27" width="12" customWidth="1"/>
    <col min="28" max="28" width="5.5" customWidth="1"/>
    <col min="29" max="29" width="16.83203125" customWidth="1"/>
    <col min="30" max="30" width="9.1640625" customWidth="1"/>
    <col min="31" max="31" width="14.5" customWidth="1"/>
    <col min="32" max="32" width="10.1640625" customWidth="1"/>
    <col min="33" max="33" width="8.5" customWidth="1"/>
    <col min="34" max="34" width="8.1640625" customWidth="1"/>
    <col min="35" max="35" width="7.83203125" customWidth="1"/>
    <col min="36" max="36" width="13.5" customWidth="1"/>
    <col min="37" max="37" width="10.5" customWidth="1"/>
    <col min="42" max="42" width="5.5" customWidth="1"/>
    <col min="43" max="43" width="41.5" customWidth="1"/>
    <col min="44" max="44" width="7.5" customWidth="1"/>
    <col min="45" max="45" width="13.1640625" customWidth="1"/>
    <col min="46" max="46" width="6.1640625" customWidth="1"/>
    <col min="47" max="47" width="5.83203125" customWidth="1"/>
    <col min="48" max="48" width="9.1640625" customWidth="1"/>
    <col min="50" max="50" width="20.1640625" customWidth="1"/>
    <col min="51" max="51" width="10.5" customWidth="1"/>
    <col min="53" max="53" width="9.5" bestFit="1" customWidth="1"/>
    <col min="55" max="55" width="13.83203125" customWidth="1"/>
    <col min="60" max="60" width="11.1640625" customWidth="1"/>
    <col min="64" max="64" width="18.83203125" customWidth="1"/>
    <col min="65" max="65" width="13.5" customWidth="1"/>
    <col min="1997" max="1997" width="2.5" customWidth="1"/>
    <col min="2000" max="2000" width="2.5" customWidth="1"/>
  </cols>
  <sheetData>
    <row r="3" spans="3:71" ht="23" x14ac:dyDescent="0.2">
      <c r="K3" s="50"/>
      <c r="AG3" s="537"/>
      <c r="AH3" s="537"/>
      <c r="AI3" s="537"/>
      <c r="AJ3" s="537"/>
    </row>
    <row r="4" spans="3:71" x14ac:dyDescent="0.2">
      <c r="C4" s="182" t="s">
        <v>616</v>
      </c>
      <c r="D4" s="121"/>
      <c r="E4" s="121"/>
      <c r="F4" s="121"/>
      <c r="G4" s="121"/>
      <c r="H4" s="121"/>
      <c r="I4" s="121"/>
      <c r="J4" s="122"/>
      <c r="L4" s="188" t="s">
        <v>623</v>
      </c>
      <c r="M4" s="189"/>
      <c r="N4" s="189"/>
      <c r="O4" s="189"/>
      <c r="P4" s="189"/>
      <c r="Q4" s="189"/>
      <c r="R4" s="189"/>
      <c r="S4" s="189"/>
      <c r="T4" s="190"/>
      <c r="V4" s="188" t="s">
        <v>632</v>
      </c>
      <c r="W4" s="189"/>
      <c r="X4" s="189"/>
      <c r="Y4" s="189"/>
      <c r="Z4" s="189"/>
      <c r="AA4" s="190"/>
      <c r="AB4" s="192"/>
      <c r="AC4" s="188" t="s">
        <v>633</v>
      </c>
      <c r="AD4" s="121"/>
      <c r="AE4" s="121"/>
      <c r="AF4" s="121"/>
      <c r="AG4" s="121"/>
      <c r="AH4" s="121"/>
      <c r="AI4" s="121"/>
      <c r="AJ4" s="121"/>
      <c r="AK4" s="121"/>
      <c r="AL4" s="121"/>
      <c r="AM4" s="121"/>
      <c r="AN4" s="121"/>
      <c r="AO4" s="122"/>
      <c r="AT4" s="217"/>
      <c r="AX4" s="188" t="s">
        <v>655</v>
      </c>
      <c r="AY4" s="121"/>
      <c r="AZ4" s="212"/>
      <c r="BA4" s="212"/>
      <c r="BB4" s="212"/>
      <c r="BC4" s="121"/>
      <c r="BD4" s="121"/>
      <c r="BE4" s="121"/>
      <c r="BF4" s="121"/>
      <c r="BG4" s="122"/>
      <c r="BL4" s="287" t="s">
        <v>1051</v>
      </c>
      <c r="BM4" s="121"/>
      <c r="BN4" s="121"/>
      <c r="BO4" s="121"/>
      <c r="BP4" s="121"/>
      <c r="BQ4" s="121"/>
      <c r="BR4" s="121"/>
      <c r="BS4" s="122"/>
    </row>
    <row r="5" spans="3:71" ht="32.25" customHeight="1" x14ac:dyDescent="0.2">
      <c r="C5" s="130" t="s">
        <v>614</v>
      </c>
      <c r="D5" s="173" t="s">
        <v>341</v>
      </c>
      <c r="E5" s="173" t="s">
        <v>343</v>
      </c>
      <c r="F5" s="173" t="s">
        <v>342</v>
      </c>
      <c r="G5" s="173" t="s">
        <v>615</v>
      </c>
      <c r="H5" s="173" t="s">
        <v>341</v>
      </c>
      <c r="I5" s="173" t="s">
        <v>343</v>
      </c>
      <c r="J5" s="140" t="s">
        <v>342</v>
      </c>
      <c r="L5" s="191"/>
      <c r="M5" s="145" t="s">
        <v>335</v>
      </c>
      <c r="N5" s="145" t="s">
        <v>336</v>
      </c>
      <c r="O5" s="145" t="s">
        <v>332</v>
      </c>
      <c r="P5" s="145" t="s">
        <v>333</v>
      </c>
      <c r="Q5" s="145" t="s">
        <v>334</v>
      </c>
      <c r="R5" s="145" t="s">
        <v>625</v>
      </c>
      <c r="S5" s="145" t="s">
        <v>333</v>
      </c>
      <c r="T5" s="147" t="s">
        <v>334</v>
      </c>
      <c r="V5" s="176"/>
      <c r="W5" s="186" t="s">
        <v>348</v>
      </c>
      <c r="X5" s="186" t="s">
        <v>349</v>
      </c>
      <c r="Y5" s="104" t="s">
        <v>626</v>
      </c>
      <c r="Z5" s="104" t="s">
        <v>627</v>
      </c>
      <c r="AA5" s="208" t="s">
        <v>383</v>
      </c>
      <c r="AB5" s="145"/>
      <c r="AC5" s="216" t="s">
        <v>354</v>
      </c>
      <c r="AD5" s="186" t="s">
        <v>634</v>
      </c>
      <c r="AE5" s="186" t="s">
        <v>635</v>
      </c>
      <c r="AF5" s="186" t="s">
        <v>636</v>
      </c>
      <c r="AG5" s="186" t="s">
        <v>638</v>
      </c>
      <c r="AH5" s="186" t="s">
        <v>639</v>
      </c>
      <c r="AI5" s="186" t="s">
        <v>640</v>
      </c>
      <c r="AJ5" s="186" t="s">
        <v>641</v>
      </c>
      <c r="AK5" s="186" t="s">
        <v>637</v>
      </c>
      <c r="AL5" s="186" t="s">
        <v>638</v>
      </c>
      <c r="AM5" s="186" t="s">
        <v>639</v>
      </c>
      <c r="AN5" s="186" t="s">
        <v>645</v>
      </c>
      <c r="AO5" s="187" t="s">
        <v>646</v>
      </c>
      <c r="AQ5" s="224" t="s">
        <v>414</v>
      </c>
      <c r="AR5" s="121"/>
      <c r="AS5" s="121"/>
      <c r="AT5" s="121"/>
      <c r="AU5" s="121"/>
      <c r="AV5" s="122"/>
      <c r="AX5" s="226" t="s">
        <v>450</v>
      </c>
      <c r="AY5" s="104" t="s">
        <v>634</v>
      </c>
      <c r="AZ5" s="167" t="s">
        <v>656</v>
      </c>
      <c r="BA5" s="104" t="s">
        <v>355</v>
      </c>
      <c r="BB5" s="104" t="s">
        <v>356</v>
      </c>
      <c r="BC5" s="104" t="s">
        <v>1011</v>
      </c>
      <c r="BD5" s="104" t="s">
        <v>335</v>
      </c>
      <c r="BE5" s="104" t="s">
        <v>377</v>
      </c>
      <c r="BF5" s="104" t="s">
        <v>355</v>
      </c>
      <c r="BG5" s="208" t="s">
        <v>356</v>
      </c>
      <c r="BH5" s="104"/>
      <c r="BL5" s="176" t="s">
        <v>1037</v>
      </c>
      <c r="BN5" s="287" t="s">
        <v>642</v>
      </c>
      <c r="BP5" s="3"/>
      <c r="BQ5" s="3"/>
      <c r="BS5" s="124"/>
    </row>
    <row r="6" spans="3:71" ht="17.25" customHeight="1" x14ac:dyDescent="0.2">
      <c r="C6" s="174" t="s">
        <v>463</v>
      </c>
      <c r="D6" s="3"/>
      <c r="E6" s="3"/>
      <c r="F6" s="3"/>
      <c r="G6" s="3"/>
      <c r="H6" s="3"/>
      <c r="I6" s="3"/>
      <c r="J6" s="175"/>
      <c r="L6" s="146" t="s">
        <v>463</v>
      </c>
      <c r="M6" s="192"/>
      <c r="N6" s="192"/>
      <c r="O6" s="192"/>
      <c r="P6" s="192"/>
      <c r="Q6" s="192"/>
      <c r="R6" s="192"/>
      <c r="S6" s="192"/>
      <c r="T6" s="193"/>
      <c r="V6" s="123" t="s">
        <v>463</v>
      </c>
      <c r="Y6" s="207"/>
      <c r="AB6" s="192"/>
      <c r="AC6" s="191" t="s">
        <v>813</v>
      </c>
      <c r="AD6" s="199">
        <f>prob_dead_ac</f>
        <v>9.7253633201505679E-2</v>
      </c>
      <c r="AE6" s="199">
        <f>AD6/(1-AD6)</f>
        <v>0.10773084974731785</v>
      </c>
      <c r="AF6" s="195">
        <v>0.77</v>
      </c>
      <c r="AG6" s="195">
        <v>0.68</v>
      </c>
      <c r="AH6" s="195">
        <v>0.88</v>
      </c>
      <c r="AI6" s="199">
        <f>EXP((LN(AE6)+LN(AF6)))/(1+EXP(LN(AE6)+LN(AF6)))</f>
        <v>7.6598682607015037E-2</v>
      </c>
      <c r="AJ6" s="199">
        <f>(LN(AH6)-LN(AG6))/(2*1.96)</f>
        <v>6.5772731964821363E-2</v>
      </c>
      <c r="AK6" s="195">
        <v>1</v>
      </c>
      <c r="AL6" s="195">
        <v>0.83</v>
      </c>
      <c r="AM6" s="195">
        <v>1.21</v>
      </c>
      <c r="AN6" s="199">
        <f>(EXP(LN(AE6)+LN(AK6)))/(1+EXP(LN(AE6)+LN(AK6)))</f>
        <v>9.7253633201505651E-2</v>
      </c>
      <c r="AO6" s="205">
        <f>(LN(AM6)-LN(AL6))/(2*1.96)</f>
        <v>9.616069841840387E-2</v>
      </c>
      <c r="AQ6" s="123" t="s">
        <v>410</v>
      </c>
      <c r="AR6" s="221">
        <v>0.28699999999999998</v>
      </c>
      <c r="AS6" t="s">
        <v>647</v>
      </c>
      <c r="AV6" s="124"/>
      <c r="AX6" s="123" t="s">
        <v>451</v>
      </c>
      <c r="AY6" s="164">
        <v>9.7000000000000003E-2</v>
      </c>
      <c r="AZ6">
        <v>1.88</v>
      </c>
      <c r="BA6" s="164">
        <v>1.18</v>
      </c>
      <c r="BB6" s="164">
        <v>3.01</v>
      </c>
      <c r="BC6" s="164">
        <f>AY6/AZ6</f>
        <v>5.1595744680851069E-2</v>
      </c>
      <c r="BD6" s="164">
        <v>2561</v>
      </c>
      <c r="BE6" s="225">
        <f>SQRT((BC6 * (1 - BC6)) / BD6)</f>
        <v>4.3711821099711263E-3</v>
      </c>
      <c r="BF6" s="164">
        <f>BC6-(1.96*BE6)</f>
        <v>4.3028227745307665E-2</v>
      </c>
      <c r="BG6" s="183">
        <f>BC6+(1.96*BF6)</f>
        <v>0.13593107106165409</v>
      </c>
      <c r="BL6" s="123" t="s">
        <v>1038</v>
      </c>
      <c r="BM6" s="3">
        <v>49</v>
      </c>
      <c r="BN6" s="186" t="s">
        <v>354</v>
      </c>
      <c r="BO6" t="s">
        <v>796</v>
      </c>
      <c r="BP6" t="s">
        <v>461</v>
      </c>
      <c r="BQ6" t="s">
        <v>377</v>
      </c>
      <c r="BR6" t="s">
        <v>378</v>
      </c>
      <c r="BS6" s="124" t="s">
        <v>462</v>
      </c>
    </row>
    <row r="7" spans="3:71" x14ac:dyDescent="0.2">
      <c r="C7" s="176">
        <v>2014</v>
      </c>
      <c r="D7" s="3">
        <v>6673</v>
      </c>
      <c r="E7" s="3">
        <v>8455</v>
      </c>
      <c r="F7" s="3">
        <v>2953</v>
      </c>
      <c r="G7" s="3">
        <v>18081</v>
      </c>
      <c r="H7" s="144">
        <f>D7/G7</f>
        <v>0.36906144571649796</v>
      </c>
      <c r="I7" s="144">
        <f>E7/G7</f>
        <v>0.46761794148553731</v>
      </c>
      <c r="J7" s="152">
        <f>F7/G7</f>
        <v>0.16332061279796473</v>
      </c>
      <c r="L7" s="194" t="s">
        <v>329</v>
      </c>
      <c r="M7" s="195">
        <v>31066</v>
      </c>
      <c r="N7" s="196">
        <f>M7/M9</f>
        <v>0.7401248391861629</v>
      </c>
      <c r="O7" s="195">
        <v>0.91600000000000004</v>
      </c>
      <c r="P7" s="195">
        <v>0.91300000000000003</v>
      </c>
      <c r="Q7" s="195">
        <v>0.91900000000000004</v>
      </c>
      <c r="R7" s="195">
        <f>1-O7</f>
        <v>8.3999999999999964E-2</v>
      </c>
      <c r="S7" s="195">
        <f>1-Q7</f>
        <v>8.0999999999999961E-2</v>
      </c>
      <c r="T7" s="197">
        <f>1-P7</f>
        <v>8.6999999999999966E-2</v>
      </c>
      <c r="V7" s="123"/>
      <c r="W7" s="195">
        <v>6.5500000000000003E-2</v>
      </c>
      <c r="X7" s="195">
        <v>1.2500000000000001E-2</v>
      </c>
      <c r="Y7" s="195">
        <v>3.4599999999999999E-2</v>
      </c>
      <c r="Z7" s="195">
        <v>2.6100000000000002E-2</v>
      </c>
      <c r="AA7" s="193" t="s">
        <v>631</v>
      </c>
      <c r="AB7" s="192"/>
      <c r="AC7" s="191" t="s">
        <v>348</v>
      </c>
      <c r="AD7" s="199">
        <f>prob_mi_ac</f>
        <v>6.5500000000000003E-2</v>
      </c>
      <c r="AE7" s="199">
        <f>AD7/(1-AD7)</f>
        <v>7.0090957731407166E-2</v>
      </c>
      <c r="AF7" s="195">
        <v>0.82</v>
      </c>
      <c r="AG7" s="195">
        <v>0.73</v>
      </c>
      <c r="AH7" s="195">
        <v>0.92</v>
      </c>
      <c r="AI7" s="199">
        <f>EXP((LN(AE7)+LN(AF7)))/(1+EXP(LN(AE7)+LN(AF7)))</f>
        <v>5.4350795883466051E-2</v>
      </c>
      <c r="AJ7" s="199">
        <f>(LN(AH7)-LN(AG7))/(2*1.96)</f>
        <v>5.901253466853297E-2</v>
      </c>
      <c r="AK7" s="195">
        <v>0.75</v>
      </c>
      <c r="AL7" s="195">
        <v>0.66</v>
      </c>
      <c r="AM7" s="195">
        <v>0.84</v>
      </c>
      <c r="AN7" s="199">
        <f>(EXP(LN(AE7)+LN(AK7)))/(1+EXP(LN(AE7)+LN(AK7)))</f>
        <v>4.9942813572245517E-2</v>
      </c>
      <c r="AO7" s="205">
        <f>(LN(AM7)-LN(AL7))/(2*1.96)</f>
        <v>6.1520932861451015E-2</v>
      </c>
      <c r="AQ7" s="123" t="s">
        <v>415</v>
      </c>
      <c r="AR7" s="221">
        <v>0.58799999999999997</v>
      </c>
      <c r="AS7" t="s">
        <v>411</v>
      </c>
      <c r="AV7" s="124"/>
      <c r="AX7" s="123" t="s">
        <v>348</v>
      </c>
      <c r="AY7" s="164">
        <v>6.553398058252427E-2</v>
      </c>
      <c r="AZ7">
        <v>1.67</v>
      </c>
      <c r="BA7" s="164">
        <v>1.21</v>
      </c>
      <c r="BB7" s="164">
        <v>2.31</v>
      </c>
      <c r="BC7" s="164">
        <f>AY7/AZ7</f>
        <v>3.9241904540433699E-2</v>
      </c>
      <c r="BD7" s="164">
        <v>2696</v>
      </c>
      <c r="BE7" s="225">
        <f>SQRT((BC7 * (1 - BC7)) / BD7)</f>
        <v>3.7395739072244466E-3</v>
      </c>
      <c r="BF7" s="164">
        <f>BC7-(1.96*BE7)</f>
        <v>3.1912339682273784E-2</v>
      </c>
      <c r="BG7" s="183">
        <f>BC7+(1.96*BF7)</f>
        <v>0.10179009031769032</v>
      </c>
      <c r="BL7" s="123" t="s">
        <v>1039</v>
      </c>
      <c r="BM7" s="3">
        <v>53</v>
      </c>
      <c r="BN7" s="192" t="s">
        <v>1040</v>
      </c>
      <c r="BO7" s="164">
        <v>7.8E-2</v>
      </c>
      <c r="BP7" s="3">
        <v>4387</v>
      </c>
      <c r="BQ7" s="164">
        <f>(BS7-BR7)/1.96</f>
        <v>0.15816326530612237</v>
      </c>
      <c r="BR7" s="164">
        <v>1.62</v>
      </c>
      <c r="BS7" s="183">
        <v>1.93</v>
      </c>
    </row>
    <row r="8" spans="3:71" x14ac:dyDescent="0.2">
      <c r="C8" s="176">
        <v>2015</v>
      </c>
      <c r="D8" s="3">
        <v>6226</v>
      </c>
      <c r="E8" s="3">
        <v>9632</v>
      </c>
      <c r="F8" s="3">
        <v>2378</v>
      </c>
      <c r="G8" s="3">
        <v>18236</v>
      </c>
      <c r="H8" s="144">
        <f t="shared" ref="H8:H15" si="0">D8/G8</f>
        <v>0.34141259048036848</v>
      </c>
      <c r="I8" s="144">
        <f t="shared" ref="I8:I15" si="1">E8/G8</f>
        <v>0.528186005703005</v>
      </c>
      <c r="J8" s="152">
        <f t="shared" ref="J8:J15" si="2">F8/G8</f>
        <v>0.13040140381662646</v>
      </c>
      <c r="L8" s="194" t="s">
        <v>330</v>
      </c>
      <c r="M8" s="195">
        <v>10908</v>
      </c>
      <c r="N8" s="196">
        <f>M8/M9</f>
        <v>0.25987516081383716</v>
      </c>
      <c r="O8" s="195">
        <v>0.86499999999999999</v>
      </c>
      <c r="P8" s="195">
        <v>0.85799999999999998</v>
      </c>
      <c r="Q8" s="195">
        <v>0.871</v>
      </c>
      <c r="R8" s="195">
        <f>1-O8</f>
        <v>0.13500000000000001</v>
      </c>
      <c r="S8" s="195">
        <f>1-Q8</f>
        <v>0.129</v>
      </c>
      <c r="T8" s="197">
        <f>1-P8</f>
        <v>0.14200000000000002</v>
      </c>
      <c r="V8" s="123"/>
      <c r="W8" s="195">
        <v>2.5999999999999999E-2</v>
      </c>
      <c r="X8" s="195">
        <v>2E-3</v>
      </c>
      <c r="Y8" s="195">
        <v>2.1999999999999999E-2</v>
      </c>
      <c r="Z8" s="195">
        <v>6.0999999999999999E-2</v>
      </c>
      <c r="AA8" s="193" t="s">
        <v>346</v>
      </c>
      <c r="AB8" s="192"/>
      <c r="AC8" s="191" t="s">
        <v>582</v>
      </c>
      <c r="AD8" s="199">
        <f>prob_stk_ac</f>
        <v>1.24E-2</v>
      </c>
      <c r="AE8" s="199">
        <f>AD8/(1-AD8)</f>
        <v>1.2555690562980963E-2</v>
      </c>
      <c r="AF8" s="195">
        <v>1.1299999999999999</v>
      </c>
      <c r="AG8" s="195">
        <v>0.89</v>
      </c>
      <c r="AH8" s="195">
        <v>1.44</v>
      </c>
      <c r="AI8" s="199">
        <f>EXP((LN(AE8)+LN(AF8)))/(1+EXP(LN(AE8)+LN(AF8)))</f>
        <v>1.3989449008198778E-2</v>
      </c>
      <c r="AJ8" s="199">
        <f>(LN(AH8)-LN(AG8))/(2*1.96)</f>
        <v>0.12274921679690325</v>
      </c>
      <c r="AK8" s="195">
        <v>0.93</v>
      </c>
      <c r="AL8" s="195">
        <v>0.67</v>
      </c>
      <c r="AM8" s="195">
        <v>1.3</v>
      </c>
      <c r="AN8" s="199">
        <f>(EXP(LN(AE8)+LN(AK8)))/(1+EXP(LN(AE8)+LN(AK8)))</f>
        <v>1.1542018472033721E-2</v>
      </c>
      <c r="AO8" s="205">
        <f>(LN(AM8)-LN(AL8))/(2*1.96)</f>
        <v>0.16909230384301435</v>
      </c>
      <c r="AQ8" s="123" t="s">
        <v>412</v>
      </c>
      <c r="AR8" s="221">
        <v>0.31900000000000001</v>
      </c>
      <c r="AS8" t="s">
        <v>648</v>
      </c>
      <c r="AV8" s="124"/>
      <c r="AX8" s="123" t="s">
        <v>349</v>
      </c>
      <c r="AY8" s="164">
        <v>1.2500000000000001E-2</v>
      </c>
      <c r="AZ8">
        <v>1</v>
      </c>
      <c r="BA8" s="164">
        <v>0.79</v>
      </c>
      <c r="BB8" s="164">
        <v>2.3199999999999998</v>
      </c>
      <c r="BC8" s="164">
        <f t="shared" ref="BC8" si="3">AY8/AZ8</f>
        <v>1.2500000000000001E-2</v>
      </c>
      <c r="BD8" s="164">
        <v>2696</v>
      </c>
      <c r="BE8" s="225">
        <f>SQRT((BC8 * (1 - BC8)) / BD8)</f>
        <v>2.1397528560248421E-3</v>
      </c>
      <c r="BF8" s="164">
        <f>BC8-(1.96*BE8)</f>
        <v>8.3060844021913098E-3</v>
      </c>
      <c r="BG8" s="183">
        <f>BC8+(1.96*BF8)</f>
        <v>2.8779925428294967E-2</v>
      </c>
      <c r="BH8" t="s">
        <v>986</v>
      </c>
      <c r="BL8" s="123" t="s">
        <v>1052</v>
      </c>
      <c r="BM8" s="144">
        <v>7.85E-2</v>
      </c>
      <c r="BN8" s="192"/>
      <c r="BO8" s="164"/>
      <c r="BP8" s="3"/>
      <c r="BQ8" s="164"/>
      <c r="BR8" s="164"/>
      <c r="BS8" s="183"/>
    </row>
    <row r="9" spans="3:71" x14ac:dyDescent="0.2">
      <c r="C9" s="176">
        <v>2016</v>
      </c>
      <c r="D9" s="3">
        <v>5475</v>
      </c>
      <c r="E9" s="3">
        <v>9646</v>
      </c>
      <c r="F9" s="3">
        <v>2161</v>
      </c>
      <c r="G9" s="3">
        <v>17282</v>
      </c>
      <c r="H9" s="144">
        <f t="shared" si="0"/>
        <v>0.31680361069320678</v>
      </c>
      <c r="I9" s="144">
        <f t="shared" si="1"/>
        <v>0.55815299155190368</v>
      </c>
      <c r="J9" s="152">
        <f t="shared" si="2"/>
        <v>0.12504339775488948</v>
      </c>
      <c r="L9" s="194" t="s">
        <v>331</v>
      </c>
      <c r="M9" s="195">
        <f>M7+M8</f>
        <v>41974</v>
      </c>
      <c r="N9" s="195">
        <f>SUM(N7:N8)</f>
        <v>1</v>
      </c>
      <c r="O9" s="198">
        <f t="shared" ref="O9:T9" si="4">(O7*$N$7)+(O8*$N$8)</f>
        <v>0.90274636679849429</v>
      </c>
      <c r="P9" s="198">
        <f t="shared" si="4"/>
        <v>0.89870686615523909</v>
      </c>
      <c r="Q9" s="198">
        <f t="shared" si="4"/>
        <v>0.90652599228093589</v>
      </c>
      <c r="R9" s="199">
        <f>(R7*$N$7)+(R8*$N$8)</f>
        <v>9.7253633201505679E-2</v>
      </c>
      <c r="S9" s="198">
        <f t="shared" si="4"/>
        <v>9.3474007719064167E-2</v>
      </c>
      <c r="T9" s="200">
        <f t="shared" si="4"/>
        <v>0.10129313384476103</v>
      </c>
      <c r="V9" s="123"/>
      <c r="W9" s="195">
        <v>3.2000000000000001E-2</v>
      </c>
      <c r="X9" s="195">
        <v>0.02</v>
      </c>
      <c r="Y9" s="195">
        <v>5.7000000000000002E-2</v>
      </c>
      <c r="Z9" s="195" t="s">
        <v>347</v>
      </c>
      <c r="AA9" s="193" t="s">
        <v>353</v>
      </c>
      <c r="AC9" s="191" t="s">
        <v>814</v>
      </c>
      <c r="AD9" s="199">
        <f>prob_maj_bleed_ac</f>
        <v>2.1999999999999999E-2</v>
      </c>
      <c r="AE9" s="199">
        <f>AD9/(1-AD9)</f>
        <v>2.2494887525562373E-2</v>
      </c>
      <c r="AF9" s="195">
        <v>1.04</v>
      </c>
      <c r="AG9" s="195">
        <v>0.95</v>
      </c>
      <c r="AH9" s="195">
        <v>1.1399999999999999</v>
      </c>
      <c r="AI9" s="199">
        <f>EXP((LN(AE9)+LN(AF9)))/(1+EXP(LN(AE9)+LN(AF9)))</f>
        <v>2.2859883302693625E-2</v>
      </c>
      <c r="AJ9" s="199">
        <f>(LN(AH9)-LN(AG9))/(2*1.96)</f>
        <v>4.6510601222947597E-2</v>
      </c>
      <c r="AK9" s="195">
        <v>1.43</v>
      </c>
      <c r="AL9" s="195">
        <v>1.1399999999999999</v>
      </c>
      <c r="AM9" s="195">
        <v>1.79</v>
      </c>
      <c r="AN9" s="199">
        <f>(EXP(LN(AE9)+LN(AK9)))/(1+EXP(LN(AE9)+LN(AK9)))</f>
        <v>3.1165177421591746E-2</v>
      </c>
      <c r="AO9" s="205">
        <f>(LN(AM9)-LN(AL9))/(2*1.96)</f>
        <v>0.11509881567506626</v>
      </c>
      <c r="AQ9" s="123" t="s">
        <v>416</v>
      </c>
      <c r="AR9" s="221">
        <v>0.56999999999999995</v>
      </c>
      <c r="AS9" t="s">
        <v>649</v>
      </c>
      <c r="AV9" s="124"/>
      <c r="AX9" s="123"/>
      <c r="BG9" s="124"/>
      <c r="BL9" s="123" t="s">
        <v>1053</v>
      </c>
      <c r="BM9" s="3"/>
      <c r="BN9" s="192"/>
      <c r="BO9" s="164"/>
      <c r="BP9" s="3"/>
      <c r="BR9" s="164"/>
      <c r="BS9" s="183"/>
    </row>
    <row r="10" spans="3:71" x14ac:dyDescent="0.2">
      <c r="C10" s="176">
        <v>2017</v>
      </c>
      <c r="D10" s="3">
        <v>4797</v>
      </c>
      <c r="E10" s="3">
        <v>11303</v>
      </c>
      <c r="F10" s="3">
        <v>1610</v>
      </c>
      <c r="G10" s="3">
        <v>17710</v>
      </c>
      <c r="H10" s="144">
        <f t="shared" si="0"/>
        <v>0.27086391869000565</v>
      </c>
      <c r="I10" s="144">
        <f t="shared" si="1"/>
        <v>0.63822699040090347</v>
      </c>
      <c r="J10" s="152">
        <f t="shared" si="2"/>
        <v>9.0909090909090912E-2</v>
      </c>
      <c r="L10" s="201" t="s">
        <v>383</v>
      </c>
      <c r="M10" s="544" t="s">
        <v>624</v>
      </c>
      <c r="N10" s="544"/>
      <c r="O10" s="544"/>
      <c r="P10" s="544"/>
      <c r="Q10" s="203"/>
      <c r="R10" s="203"/>
      <c r="S10" s="203"/>
      <c r="T10" s="204"/>
      <c r="V10" s="176" t="s">
        <v>383</v>
      </c>
      <c r="W10" s="3" t="s">
        <v>630</v>
      </c>
      <c r="X10" s="3"/>
      <c r="Y10" s="3"/>
      <c r="Z10" s="3"/>
      <c r="AA10" s="175"/>
      <c r="AC10" s="201" t="s">
        <v>815</v>
      </c>
      <c r="AD10" s="214">
        <f>prob_min_bleed_ac</f>
        <v>6.0999999999999999E-2</v>
      </c>
      <c r="AE10" s="214">
        <f>AD10/(1-AD10)</f>
        <v>6.4962726304579332E-2</v>
      </c>
      <c r="AF10" s="202">
        <v>1.37</v>
      </c>
      <c r="AG10" s="202">
        <v>1.19</v>
      </c>
      <c r="AH10" s="202">
        <v>1.57</v>
      </c>
      <c r="AI10" s="214">
        <f>EXP((LN(AE10)+LN(AF10)))/(1+EXP(LN(AE10)+LN(AF10)))</f>
        <v>8.1725456447969344E-2</v>
      </c>
      <c r="AJ10" s="214">
        <f>(LN(AH10)-LN(AG10))/(2*1.96)</f>
        <v>7.0694467407341519E-2</v>
      </c>
      <c r="AK10" s="202">
        <v>2.0699999999999998</v>
      </c>
      <c r="AL10" s="202">
        <v>0.88</v>
      </c>
      <c r="AM10" s="202">
        <v>4.87</v>
      </c>
      <c r="AN10" s="214">
        <f>(EXP(LN(AE10)+LN(AK10)))/(1+EXP(LN(AE10)+LN(AK10)))</f>
        <v>0.11853332957841677</v>
      </c>
      <c r="AO10" s="206">
        <f>(LN(AM10)-LN(AL10))/(2*1.96)</f>
        <v>0.43646104811336311</v>
      </c>
      <c r="AQ10" s="123"/>
      <c r="AV10" s="124"/>
      <c r="AX10" s="129" t="s">
        <v>383</v>
      </c>
      <c r="AY10" s="127"/>
      <c r="AZ10" s="127"/>
      <c r="BA10" s="127"/>
      <c r="BB10" s="127"/>
      <c r="BC10" s="127"/>
      <c r="BD10" s="127"/>
      <c r="BE10" s="127"/>
      <c r="BF10" s="127"/>
      <c r="BG10" s="128"/>
      <c r="BL10" s="123" t="s">
        <v>1054</v>
      </c>
      <c r="BM10" s="3"/>
      <c r="BN10" s="192"/>
      <c r="BO10" s="164"/>
      <c r="BP10" s="3"/>
      <c r="BQ10" s="164"/>
      <c r="BR10" s="164"/>
      <c r="BS10" s="183"/>
    </row>
    <row r="11" spans="3:71" ht="16.5" customHeight="1" x14ac:dyDescent="0.2">
      <c r="C11" s="176">
        <v>2018</v>
      </c>
      <c r="D11" s="3">
        <v>4485</v>
      </c>
      <c r="E11" s="3">
        <v>10606</v>
      </c>
      <c r="F11" s="3">
        <v>1407</v>
      </c>
      <c r="G11" s="3">
        <v>16498</v>
      </c>
      <c r="H11" s="144">
        <f t="shared" si="0"/>
        <v>0.2718511334707237</v>
      </c>
      <c r="I11" s="144">
        <f t="shared" si="1"/>
        <v>0.64286580191538367</v>
      </c>
      <c r="J11" s="152">
        <f t="shared" si="2"/>
        <v>8.5283064613892595E-2</v>
      </c>
      <c r="M11" s="139"/>
      <c r="V11" s="191" t="s">
        <v>352</v>
      </c>
      <c r="W11" t="s">
        <v>624</v>
      </c>
      <c r="AA11" s="124"/>
      <c r="AQ11" s="123"/>
      <c r="AR11" s="545"/>
      <c r="AS11" s="545"/>
      <c r="AV11" s="124"/>
      <c r="BL11" s="123" t="s">
        <v>1041</v>
      </c>
      <c r="BM11" s="172">
        <v>0.8</v>
      </c>
      <c r="BN11" s="192"/>
      <c r="BO11" s="164"/>
      <c r="BP11" s="3"/>
      <c r="BQ11" s="164"/>
      <c r="BR11" s="164"/>
      <c r="BS11" s="183"/>
    </row>
    <row r="12" spans="3:71" x14ac:dyDescent="0.2">
      <c r="C12" s="176">
        <v>2019</v>
      </c>
      <c r="D12" s="3">
        <v>4342</v>
      </c>
      <c r="E12" s="3">
        <v>10932</v>
      </c>
      <c r="F12" s="3">
        <v>1382</v>
      </c>
      <c r="G12" s="3">
        <v>16656</v>
      </c>
      <c r="H12" s="144">
        <f t="shared" si="0"/>
        <v>0.26068683957732947</v>
      </c>
      <c r="I12" s="144">
        <f t="shared" si="1"/>
        <v>0.65634005763688763</v>
      </c>
      <c r="J12" s="152">
        <f t="shared" si="2"/>
        <v>8.2973102785782904E-2</v>
      </c>
      <c r="V12" s="191" t="s">
        <v>346</v>
      </c>
      <c r="W12" t="s">
        <v>629</v>
      </c>
      <c r="AA12" s="124"/>
      <c r="AJ12" s="120"/>
      <c r="AQ12" s="134" t="s">
        <v>417</v>
      </c>
      <c r="AR12" s="75" t="s">
        <v>418</v>
      </c>
      <c r="AS12" s="75" t="s">
        <v>419</v>
      </c>
      <c r="AT12" s="75" t="s">
        <v>420</v>
      </c>
      <c r="AU12" s="75" t="s">
        <v>421</v>
      </c>
      <c r="AV12" s="151" t="s">
        <v>466</v>
      </c>
      <c r="BL12" s="123" t="s">
        <v>1042</v>
      </c>
      <c r="BM12" s="172">
        <v>0.3</v>
      </c>
      <c r="BS12" s="124"/>
    </row>
    <row r="13" spans="3:71" x14ac:dyDescent="0.2">
      <c r="C13" s="176">
        <v>2020</v>
      </c>
      <c r="D13" s="3">
        <v>3716</v>
      </c>
      <c r="E13" s="3">
        <v>9320</v>
      </c>
      <c r="F13" s="3">
        <v>2355</v>
      </c>
      <c r="G13" s="3">
        <v>15391</v>
      </c>
      <c r="H13" s="144">
        <f t="shared" si="0"/>
        <v>0.24143980248196997</v>
      </c>
      <c r="I13" s="144">
        <f t="shared" si="1"/>
        <v>0.60554869729062444</v>
      </c>
      <c r="J13" s="152">
        <f t="shared" si="2"/>
        <v>0.15301150022740562</v>
      </c>
      <c r="V13" s="201" t="s">
        <v>353</v>
      </c>
      <c r="W13" s="127" t="s">
        <v>628</v>
      </c>
      <c r="X13" s="209"/>
      <c r="Y13" s="209"/>
      <c r="Z13" s="127"/>
      <c r="AA13" s="128"/>
      <c r="AC13" s="188" t="s">
        <v>642</v>
      </c>
      <c r="AD13" s="121"/>
      <c r="AE13" s="212"/>
      <c r="AF13" s="212"/>
      <c r="AG13" s="121"/>
      <c r="AH13" s="122"/>
      <c r="AJ13" s="120"/>
      <c r="AK13" s="195"/>
      <c r="AL13" s="120"/>
      <c r="AM13" s="195"/>
      <c r="AN13" s="195"/>
      <c r="AQ13" s="222" t="s">
        <v>422</v>
      </c>
      <c r="AR13" s="75"/>
      <c r="AS13" s="75"/>
      <c r="AT13" s="75"/>
      <c r="AU13" s="75"/>
      <c r="AV13" s="151"/>
      <c r="BL13" s="123" t="s">
        <v>1043</v>
      </c>
      <c r="BM13" s="288">
        <f>BM7/3</f>
        <v>17.666666666666668</v>
      </c>
      <c r="BS13" s="124"/>
    </row>
    <row r="14" spans="3:71" x14ac:dyDescent="0.2">
      <c r="C14" s="176">
        <v>2021</v>
      </c>
      <c r="D14" s="3">
        <v>3568</v>
      </c>
      <c r="E14" s="3">
        <v>8974</v>
      </c>
      <c r="F14" s="3">
        <v>3723</v>
      </c>
      <c r="G14" s="3">
        <v>16265</v>
      </c>
      <c r="H14" s="144">
        <f t="shared" si="0"/>
        <v>0.21936673839532739</v>
      </c>
      <c r="I14" s="144">
        <f t="shared" si="1"/>
        <v>0.55173685828466035</v>
      </c>
      <c r="J14" s="152">
        <f t="shared" si="2"/>
        <v>0.22889640332001229</v>
      </c>
      <c r="L14" s="188" t="s">
        <v>644</v>
      </c>
      <c r="M14" s="212"/>
      <c r="N14" s="212"/>
      <c r="O14" s="212"/>
      <c r="P14" s="212"/>
      <c r="Q14" s="213"/>
      <c r="R14" s="3"/>
      <c r="T14" s="3"/>
      <c r="U14" s="3"/>
      <c r="V14" s="3"/>
      <c r="W14" s="3"/>
      <c r="X14" s="3"/>
      <c r="Y14" s="195"/>
      <c r="AC14" s="216" t="s">
        <v>354</v>
      </c>
      <c r="AD14" t="s">
        <v>796</v>
      </c>
      <c r="AE14" t="s">
        <v>461</v>
      </c>
      <c r="AF14" t="s">
        <v>377</v>
      </c>
      <c r="AG14" t="s">
        <v>378</v>
      </c>
      <c r="AH14" s="124" t="s">
        <v>462</v>
      </c>
      <c r="AJ14" s="120"/>
      <c r="AK14" s="143" t="s">
        <v>954</v>
      </c>
      <c r="AL14" s="143"/>
      <c r="AM14" s="143"/>
      <c r="AN14" s="195"/>
      <c r="AQ14" s="222" t="s">
        <v>423</v>
      </c>
      <c r="AR14" s="75">
        <v>1.1000000000000001</v>
      </c>
      <c r="AS14" s="218">
        <v>644900</v>
      </c>
      <c r="AT14" s="75" t="s">
        <v>424</v>
      </c>
      <c r="AU14" s="219">
        <v>53.316300000000005</v>
      </c>
      <c r="AV14" s="126">
        <f>AU14*AR14/100</f>
        <v>0.58647930000000015</v>
      </c>
      <c r="BL14" s="123" t="s">
        <v>1044</v>
      </c>
      <c r="BM14" s="3">
        <f>BM6*BM11</f>
        <v>39.200000000000003</v>
      </c>
      <c r="BS14" s="124"/>
    </row>
    <row r="15" spans="3:71" x14ac:dyDescent="0.2">
      <c r="C15" s="176">
        <v>2022</v>
      </c>
      <c r="D15" s="3">
        <v>701</v>
      </c>
      <c r="E15" s="3">
        <v>2086</v>
      </c>
      <c r="F15" s="3">
        <v>974</v>
      </c>
      <c r="G15" s="3">
        <v>3761</v>
      </c>
      <c r="H15" s="144">
        <f t="shared" si="0"/>
        <v>0.1863865993086945</v>
      </c>
      <c r="I15" s="144">
        <f t="shared" si="1"/>
        <v>0.55463972347779844</v>
      </c>
      <c r="J15" s="152">
        <f t="shared" si="2"/>
        <v>0.25897367721350706</v>
      </c>
      <c r="L15" s="191" t="s">
        <v>354</v>
      </c>
      <c r="M15" s="195" t="s">
        <v>460</v>
      </c>
      <c r="N15" s="195" t="s">
        <v>387</v>
      </c>
      <c r="O15" s="195" t="s">
        <v>377</v>
      </c>
      <c r="P15" s="195" t="s">
        <v>378</v>
      </c>
      <c r="Q15" s="197" t="s">
        <v>379</v>
      </c>
      <c r="R15" s="165"/>
      <c r="S15" s="165"/>
      <c r="U15" s="165"/>
      <c r="V15" s="165"/>
      <c r="W15" s="165"/>
      <c r="X15" s="165"/>
      <c r="Y15" s="195"/>
      <c r="AC15" s="191" t="s">
        <v>813</v>
      </c>
      <c r="AD15" s="164">
        <v>7.6598682607015037E-2</v>
      </c>
      <c r="AE15" s="3">
        <v>4012</v>
      </c>
      <c r="AF15" s="164">
        <f t="shared" ref="AF15:AF19" si="5">SQRT((AD15 * (1 - AD15)) / AE15)</f>
        <v>4.1988023630102362E-3</v>
      </c>
      <c r="AG15" s="164">
        <f>AD15-(1.96*AF15)</f>
        <v>6.8369029975514972E-2</v>
      </c>
      <c r="AH15" s="183">
        <f>AD15+(1.96*AF15)</f>
        <v>8.4828335238515101E-2</v>
      </c>
      <c r="AK15" s="195"/>
      <c r="AL15" s="120"/>
      <c r="AM15" s="195"/>
      <c r="AN15" s="195"/>
      <c r="AQ15" s="222" t="s">
        <v>425</v>
      </c>
      <c r="AR15" s="75">
        <v>0.7</v>
      </c>
      <c r="AS15" s="218">
        <v>445646</v>
      </c>
      <c r="AT15" s="75" t="s">
        <v>426</v>
      </c>
      <c r="AU15" s="75">
        <v>56.8</v>
      </c>
      <c r="AV15" s="126">
        <f t="shared" ref="AV15:AV36" si="6">AU15*AR15/100</f>
        <v>0.39759999999999995</v>
      </c>
      <c r="BL15" s="123" t="s">
        <v>1045</v>
      </c>
      <c r="BM15" s="3">
        <f>BM13*BM12</f>
        <v>5.3</v>
      </c>
      <c r="BS15" s="124"/>
    </row>
    <row r="16" spans="3:71" x14ac:dyDescent="0.2">
      <c r="C16" s="174" t="s">
        <v>617</v>
      </c>
      <c r="D16" s="3"/>
      <c r="E16" s="3"/>
      <c r="F16" s="3"/>
      <c r="G16" s="3"/>
      <c r="H16" s="3"/>
      <c r="I16" s="3"/>
      <c r="J16" s="175"/>
      <c r="L16" s="191" t="s">
        <v>351</v>
      </c>
      <c r="M16" s="199">
        <v>9.7253633201505679E-2</v>
      </c>
      <c r="N16" s="195">
        <v>41974</v>
      </c>
      <c r="O16" s="199">
        <f t="shared" ref="O16:O18" si="7">SQRT((M16 * (1 - M16)) / N16)</f>
        <v>1.4462574624860389E-3</v>
      </c>
      <c r="P16" s="199">
        <v>9.3474007719064167E-2</v>
      </c>
      <c r="Q16" s="205">
        <v>0.10129313384476103</v>
      </c>
      <c r="R16" s="132"/>
      <c r="S16" s="132"/>
      <c r="T16" s="76"/>
      <c r="U16" s="76"/>
      <c r="Y16" s="195"/>
      <c r="AC16" s="191" t="s">
        <v>348</v>
      </c>
      <c r="AD16" s="164">
        <v>5.4379328977747207E-2</v>
      </c>
      <c r="AE16" s="3">
        <v>4237</v>
      </c>
      <c r="AF16" s="164">
        <f t="shared" si="5"/>
        <v>3.4837434784263611E-3</v>
      </c>
      <c r="AG16" s="164">
        <f t="shared" ref="AG16:AG19" si="8">AD16-(1.96*AF16)</f>
        <v>4.7551191760031537E-2</v>
      </c>
      <c r="AH16" s="183">
        <f t="shared" ref="AH16:AH19" si="9">AD16+(1.96*AF16)</f>
        <v>6.1207466195462877E-2</v>
      </c>
      <c r="AJ16" s="120"/>
      <c r="AK16" s="195"/>
      <c r="AL16" s="120"/>
      <c r="AM16" s="195"/>
      <c r="AN16" s="195"/>
      <c r="AQ16" s="222" t="s">
        <v>427</v>
      </c>
      <c r="AR16" s="75">
        <v>3.1</v>
      </c>
      <c r="AS16" s="218">
        <v>1864304</v>
      </c>
      <c r="AT16" s="75" t="s">
        <v>424</v>
      </c>
      <c r="AU16" s="219">
        <v>53.316300000000005</v>
      </c>
      <c r="AV16" s="126">
        <f t="shared" si="6"/>
        <v>1.6528053000000003</v>
      </c>
      <c r="BL16" s="123" t="s">
        <v>1055</v>
      </c>
      <c r="BM16" s="3">
        <f>BM14+BM15</f>
        <v>44.5</v>
      </c>
      <c r="BS16" s="124"/>
    </row>
    <row r="17" spans="3:71" x14ac:dyDescent="0.2">
      <c r="C17" s="176">
        <v>2014</v>
      </c>
      <c r="D17" s="3">
        <v>17374</v>
      </c>
      <c r="E17" s="3">
        <v>8943</v>
      </c>
      <c r="F17" s="3">
        <v>504</v>
      </c>
      <c r="G17" s="3">
        <v>26821</v>
      </c>
      <c r="H17" s="172">
        <f>D17/G17</f>
        <v>0.64777599642071515</v>
      </c>
      <c r="I17" s="172">
        <f>E17/G17</f>
        <v>0.33343275791357518</v>
      </c>
      <c r="J17" s="177">
        <f>F17/G17</f>
        <v>1.8791245665709704E-2</v>
      </c>
      <c r="L17" s="191" t="s">
        <v>348</v>
      </c>
      <c r="M17" s="199">
        <v>6.5533980582524201E-2</v>
      </c>
      <c r="N17" s="195">
        <v>1648</v>
      </c>
      <c r="O17" s="199">
        <f t="shared" si="7"/>
        <v>6.0958802523251579E-3</v>
      </c>
      <c r="P17" s="199">
        <v>5.3586055287966901E-2</v>
      </c>
      <c r="Q17" s="205">
        <v>7.7481905877081494E-2</v>
      </c>
      <c r="R17" s="132"/>
      <c r="S17" s="132"/>
      <c r="T17" s="76"/>
      <c r="U17" s="76"/>
      <c r="AC17" s="191" t="s">
        <v>582</v>
      </c>
      <c r="AD17" s="164">
        <v>1.4102084113315859E-2</v>
      </c>
      <c r="AE17" s="3">
        <v>4387</v>
      </c>
      <c r="AF17" s="164">
        <f t="shared" si="5"/>
        <v>1.780220539464367E-3</v>
      </c>
      <c r="AG17" s="164">
        <f t="shared" si="8"/>
        <v>1.0612851855965701E-2</v>
      </c>
      <c r="AH17" s="183">
        <f t="shared" si="9"/>
        <v>1.7591316370666018E-2</v>
      </c>
      <c r="AJ17" s="120"/>
      <c r="AK17" s="195"/>
      <c r="AL17" s="120"/>
      <c r="AM17" s="195"/>
      <c r="AN17" s="195"/>
      <c r="AQ17" s="222" t="s">
        <v>428</v>
      </c>
      <c r="AR17" s="75">
        <v>2.7</v>
      </c>
      <c r="AS17" s="218">
        <v>1587822</v>
      </c>
      <c r="AT17" s="75" t="s">
        <v>424</v>
      </c>
      <c r="AU17" s="219">
        <v>53.316300000000005</v>
      </c>
      <c r="AV17" s="126">
        <f t="shared" si="6"/>
        <v>1.4395401000000001</v>
      </c>
      <c r="BL17" s="123" t="s">
        <v>1056</v>
      </c>
      <c r="BM17" s="3">
        <v>4.9000000000000002E-2</v>
      </c>
      <c r="BS17" s="124"/>
    </row>
    <row r="18" spans="3:71" x14ac:dyDescent="0.2">
      <c r="C18" s="176">
        <v>2015</v>
      </c>
      <c r="D18" s="3">
        <v>16185</v>
      </c>
      <c r="E18" s="3">
        <v>10645</v>
      </c>
      <c r="F18" s="3">
        <v>500</v>
      </c>
      <c r="G18" s="3">
        <v>27330</v>
      </c>
      <c r="H18" s="172">
        <f t="shared" ref="H18:H25" si="10">D18/G18</f>
        <v>0.59220636663007686</v>
      </c>
      <c r="I18" s="172">
        <f t="shared" ref="I18:I25" si="11">E18/G18</f>
        <v>0.38949871935601904</v>
      </c>
      <c r="J18" s="177">
        <f t="shared" ref="J18:J25" si="12">F18/G18</f>
        <v>1.8294914013904134E-2</v>
      </c>
      <c r="L18" s="191" t="s">
        <v>349</v>
      </c>
      <c r="M18" s="210">
        <v>1.24221995061186E-2</v>
      </c>
      <c r="N18" s="211">
        <v>11653</v>
      </c>
      <c r="O18" s="199">
        <f t="shared" si="7"/>
        <v>1.0260441208098795E-3</v>
      </c>
      <c r="P18" s="199">
        <v>1.1299999999999999E-2</v>
      </c>
      <c r="Q18" s="205">
        <v>1.2699999999999999E-2</v>
      </c>
      <c r="R18" s="132"/>
      <c r="S18" s="132"/>
      <c r="T18" s="76"/>
      <c r="U18" s="76"/>
      <c r="AC18" s="191" t="s">
        <v>814</v>
      </c>
      <c r="AD18" s="164">
        <v>2.2859883302693625E-2</v>
      </c>
      <c r="AE18" s="3">
        <v>4387</v>
      </c>
      <c r="AF18" s="164">
        <f t="shared" si="5"/>
        <v>2.2564806266275154E-3</v>
      </c>
      <c r="AG18" s="164">
        <f t="shared" si="8"/>
        <v>1.8437181274503694E-2</v>
      </c>
      <c r="AH18" s="183">
        <f t="shared" si="9"/>
        <v>2.7282585330883555E-2</v>
      </c>
      <c r="AJ18" s="120"/>
      <c r="AQ18" s="222" t="s">
        <v>429</v>
      </c>
      <c r="AR18" s="75">
        <v>1.6</v>
      </c>
      <c r="AS18" s="218">
        <v>972783</v>
      </c>
      <c r="AT18" s="75" t="s">
        <v>424</v>
      </c>
      <c r="AU18" s="219">
        <v>53.316300000000005</v>
      </c>
      <c r="AV18" s="126">
        <f t="shared" si="6"/>
        <v>0.85306080000000006</v>
      </c>
      <c r="BL18" s="129" t="s">
        <v>1057</v>
      </c>
      <c r="BM18" s="184" t="s">
        <v>1046</v>
      </c>
      <c r="BN18" s="127"/>
      <c r="BO18" s="127"/>
      <c r="BP18" s="127"/>
      <c r="BQ18" s="127"/>
      <c r="BR18" s="127"/>
      <c r="BS18" s="128"/>
    </row>
    <row r="19" spans="3:71" x14ac:dyDescent="0.2">
      <c r="C19" s="176">
        <v>2016</v>
      </c>
      <c r="D19" s="3">
        <v>16148</v>
      </c>
      <c r="E19" s="3">
        <v>11775</v>
      </c>
      <c r="F19" s="3">
        <v>357</v>
      </c>
      <c r="G19" s="3">
        <v>28280</v>
      </c>
      <c r="H19" s="172">
        <f t="shared" si="10"/>
        <v>0.57100424328147104</v>
      </c>
      <c r="I19" s="172">
        <f t="shared" si="11"/>
        <v>0.41637199434229138</v>
      </c>
      <c r="J19" s="177">
        <f t="shared" si="12"/>
        <v>1.2623762376237625E-2</v>
      </c>
      <c r="L19" s="191" t="s">
        <v>385</v>
      </c>
      <c r="M19" s="195">
        <v>2.1999999999999999E-2</v>
      </c>
      <c r="N19" s="195">
        <v>1023</v>
      </c>
      <c r="O19" s="199">
        <f>SQRT((M19 * (1 - M19)) / N19)</f>
        <v>4.5860939877542988E-3</v>
      </c>
      <c r="P19" s="199">
        <f>M19 - (1.96 * O19)</f>
        <v>1.3011255784001573E-2</v>
      </c>
      <c r="Q19" s="205">
        <f>M19 + (1.96 * O19)</f>
        <v>3.0988744215998426E-2</v>
      </c>
      <c r="R19" s="132"/>
      <c r="S19" s="132"/>
      <c r="T19" s="76"/>
      <c r="U19" s="76"/>
      <c r="AC19" s="201" t="s">
        <v>815</v>
      </c>
      <c r="AD19" s="215">
        <v>8.6305323455729055E-2</v>
      </c>
      <c r="AE19" s="184">
        <v>4387</v>
      </c>
      <c r="AF19" s="215">
        <f t="shared" si="5"/>
        <v>4.2397038584785236E-3</v>
      </c>
      <c r="AG19" s="215">
        <f t="shared" si="8"/>
        <v>7.7995503893111148E-2</v>
      </c>
      <c r="AH19" s="185">
        <f t="shared" si="9"/>
        <v>9.4615143018346962E-2</v>
      </c>
      <c r="AQ19" s="222" t="s">
        <v>430</v>
      </c>
      <c r="AR19" s="75"/>
      <c r="AS19" s="137"/>
      <c r="AT19" s="75"/>
      <c r="AU19" s="75"/>
      <c r="AV19" s="126"/>
    </row>
    <row r="20" spans="3:71" x14ac:dyDescent="0.2">
      <c r="C20" s="176">
        <v>2017</v>
      </c>
      <c r="D20" s="3">
        <v>14726</v>
      </c>
      <c r="E20" s="3">
        <v>13568</v>
      </c>
      <c r="F20" s="3">
        <v>329</v>
      </c>
      <c r="G20" s="3">
        <v>28623</v>
      </c>
      <c r="H20" s="172">
        <f t="shared" si="10"/>
        <v>0.51448136114313658</v>
      </c>
      <c r="I20" s="172">
        <f t="shared" si="11"/>
        <v>0.47402438598330016</v>
      </c>
      <c r="J20" s="177">
        <f t="shared" si="12"/>
        <v>1.1494252873563218E-2</v>
      </c>
      <c r="L20" s="201" t="s">
        <v>386</v>
      </c>
      <c r="M20" s="202">
        <v>6.0999999999999999E-2</v>
      </c>
      <c r="N20" s="202">
        <v>1023</v>
      </c>
      <c r="O20" s="214">
        <f>SQRT((M20 * (1 - M20)) / N20)</f>
        <v>7.4827269324786311E-3</v>
      </c>
      <c r="P20" s="214">
        <f>M20 - (1.96 * O20)</f>
        <v>4.633385521234188E-2</v>
      </c>
      <c r="Q20" s="206">
        <f>M20 + (1.96 * O20)</f>
        <v>7.566614478765811E-2</v>
      </c>
      <c r="R20" s="132"/>
      <c r="S20" s="132"/>
      <c r="T20" s="76"/>
      <c r="U20" s="76"/>
      <c r="AE20" s="3"/>
      <c r="AF20" s="3"/>
      <c r="AG20" s="3"/>
      <c r="AH20" s="3"/>
      <c r="AQ20" s="222" t="s">
        <v>431</v>
      </c>
      <c r="AR20" s="75">
        <v>2.5</v>
      </c>
      <c r="AS20" s="218">
        <v>1488387</v>
      </c>
      <c r="AT20" s="75" t="s">
        <v>432</v>
      </c>
      <c r="AU20" s="219">
        <v>31.132899999999996</v>
      </c>
      <c r="AV20" s="126">
        <f t="shared" si="6"/>
        <v>0.77832249999999992</v>
      </c>
    </row>
    <row r="21" spans="3:71" x14ac:dyDescent="0.2">
      <c r="C21" s="176">
        <v>2018</v>
      </c>
      <c r="D21" s="3">
        <v>13506</v>
      </c>
      <c r="E21" s="3">
        <v>13359</v>
      </c>
      <c r="F21" s="3">
        <v>289</v>
      </c>
      <c r="G21" s="3">
        <v>27154</v>
      </c>
      <c r="H21" s="172">
        <f t="shared" si="10"/>
        <v>0.49738528393606835</v>
      </c>
      <c r="I21" s="172">
        <f t="shared" si="11"/>
        <v>0.49197171687412539</v>
      </c>
      <c r="J21" s="177">
        <f t="shared" si="12"/>
        <v>1.0642999189806291E-2</v>
      </c>
      <c r="AC21" s="188" t="s">
        <v>643</v>
      </c>
      <c r="AD21" s="121"/>
      <c r="AE21" s="212"/>
      <c r="AF21" s="212"/>
      <c r="AG21" s="212"/>
      <c r="AH21" s="213"/>
      <c r="AK21" s="195"/>
      <c r="AL21" s="195"/>
      <c r="AM21" s="195"/>
      <c r="AN21" s="76"/>
      <c r="AQ21" s="222" t="s">
        <v>433</v>
      </c>
      <c r="AR21" s="75">
        <v>1</v>
      </c>
      <c r="AS21" s="218">
        <v>623115</v>
      </c>
      <c r="AT21" s="75" t="s">
        <v>432</v>
      </c>
      <c r="AU21" s="219">
        <v>31.132899999999996</v>
      </c>
      <c r="AV21" s="126">
        <f t="shared" si="6"/>
        <v>0.31132899999999997</v>
      </c>
    </row>
    <row r="22" spans="3:71" x14ac:dyDescent="0.2">
      <c r="C22" s="176">
        <v>2019</v>
      </c>
      <c r="D22" s="3">
        <v>13809</v>
      </c>
      <c r="E22" s="3">
        <v>14450</v>
      </c>
      <c r="F22" s="3">
        <v>270</v>
      </c>
      <c r="G22" s="3">
        <v>28529</v>
      </c>
      <c r="H22" s="172">
        <f t="shared" si="10"/>
        <v>0.48403379017841497</v>
      </c>
      <c r="I22" s="172">
        <f t="shared" si="11"/>
        <v>0.50650215570121626</v>
      </c>
      <c r="J22" s="177">
        <f t="shared" si="12"/>
        <v>9.4640541203687475E-3</v>
      </c>
      <c r="AC22" s="216" t="s">
        <v>354</v>
      </c>
      <c r="AD22" t="s">
        <v>796</v>
      </c>
      <c r="AE22" s="3" t="s">
        <v>461</v>
      </c>
      <c r="AF22" s="3" t="s">
        <v>377</v>
      </c>
      <c r="AG22" s="3" t="s">
        <v>378</v>
      </c>
      <c r="AH22" s="175" t="s">
        <v>462</v>
      </c>
      <c r="AK22" s="195"/>
      <c r="AL22" s="195"/>
      <c r="AM22" s="195"/>
      <c r="AN22" s="76"/>
      <c r="AQ22" s="222" t="s">
        <v>434</v>
      </c>
      <c r="AR22" s="75">
        <v>0.5</v>
      </c>
      <c r="AS22" s="218">
        <v>297781</v>
      </c>
      <c r="AT22" s="75" t="s">
        <v>432</v>
      </c>
      <c r="AU22" s="219">
        <v>31.132899999999996</v>
      </c>
      <c r="AV22" s="126">
        <f t="shared" si="6"/>
        <v>0.15566449999999998</v>
      </c>
    </row>
    <row r="23" spans="3:71" x14ac:dyDescent="0.2">
      <c r="C23" s="176">
        <v>2020</v>
      </c>
      <c r="D23" s="3">
        <v>12230</v>
      </c>
      <c r="E23" s="3">
        <v>12743</v>
      </c>
      <c r="F23" s="3">
        <v>578</v>
      </c>
      <c r="G23" s="3">
        <v>25551</v>
      </c>
      <c r="H23" s="172">
        <f t="shared" si="10"/>
        <v>0.47865054205314861</v>
      </c>
      <c r="I23" s="172">
        <f t="shared" si="11"/>
        <v>0.49872803412782279</v>
      </c>
      <c r="J23" s="177">
        <f t="shared" si="12"/>
        <v>2.262142381902861E-2</v>
      </c>
      <c r="L23" s="272"/>
      <c r="M23" s="199"/>
      <c r="AC23" s="191" t="s">
        <v>367</v>
      </c>
      <c r="AD23" s="164">
        <v>9.7253633201505651E-2</v>
      </c>
      <c r="AE23" s="3">
        <v>1769</v>
      </c>
      <c r="AF23" s="164">
        <f>SQRT((AD23 * (1 - AD23)) / AE23)</f>
        <v>7.0448520280021361E-3</v>
      </c>
      <c r="AG23" s="164">
        <f>AD23-(1.96*AF23)</f>
        <v>8.3445723226621471E-2</v>
      </c>
      <c r="AH23" s="183">
        <f>AD23+(1.96*AF23)</f>
        <v>0.11106154317638983</v>
      </c>
      <c r="AK23" s="195"/>
      <c r="AL23" s="195"/>
      <c r="AM23" s="195"/>
      <c r="AN23" s="76"/>
      <c r="AQ23" s="222" t="s">
        <v>435</v>
      </c>
      <c r="AR23" s="75"/>
      <c r="AS23" s="137"/>
      <c r="AT23" s="75"/>
      <c r="AU23" s="75"/>
      <c r="AV23" s="126">
        <f t="shared" si="6"/>
        <v>0</v>
      </c>
    </row>
    <row r="24" spans="3:71" x14ac:dyDescent="0.2">
      <c r="C24" s="176">
        <v>2021</v>
      </c>
      <c r="D24" s="3">
        <v>13228</v>
      </c>
      <c r="E24" s="3">
        <v>12349</v>
      </c>
      <c r="F24" s="3">
        <v>784</v>
      </c>
      <c r="G24" s="3">
        <v>26361</v>
      </c>
      <c r="H24" s="172">
        <f t="shared" si="10"/>
        <v>0.50180190432836391</v>
      </c>
      <c r="I24" s="172">
        <f t="shared" si="11"/>
        <v>0.46845719054664087</v>
      </c>
      <c r="J24" s="177">
        <f t="shared" si="12"/>
        <v>2.9740905124995259E-2</v>
      </c>
      <c r="L24" s="272"/>
      <c r="M24" s="273"/>
      <c r="N24" s="171"/>
      <c r="O24" s="171"/>
      <c r="P24" s="546"/>
      <c r="Q24" s="546"/>
      <c r="R24" s="546"/>
      <c r="S24" s="546"/>
      <c r="T24" s="167"/>
      <c r="U24" s="167"/>
      <c r="V24" s="167"/>
      <c r="W24" s="167"/>
      <c r="X24" s="167"/>
      <c r="Y24" s="546"/>
      <c r="Z24" s="546"/>
      <c r="AA24" s="546"/>
      <c r="AB24" s="546"/>
      <c r="AC24" s="191" t="s">
        <v>348</v>
      </c>
      <c r="AD24" s="164">
        <v>4.9969154842689711E-2</v>
      </c>
      <c r="AE24" s="3">
        <v>1769</v>
      </c>
      <c r="AF24" s="164">
        <f t="shared" ref="AF24:AF27" si="13">SQRT((AD24 * (1 - AD24)) / AE24)</f>
        <v>5.1803122542955935E-3</v>
      </c>
      <c r="AG24" s="164">
        <f t="shared" ref="AG24:AG27" si="14">AD24-(1.96*AF24)</f>
        <v>3.9815742824270348E-2</v>
      </c>
      <c r="AH24" s="183">
        <f t="shared" ref="AH24:AH27" si="15">AD24+(1.96*AF24)</f>
        <v>6.0122566861109075E-2</v>
      </c>
      <c r="AK24" s="195"/>
      <c r="AL24" s="195"/>
      <c r="AM24" s="195"/>
      <c r="AN24" s="76"/>
      <c r="AQ24" s="222" t="s">
        <v>436</v>
      </c>
      <c r="AR24" s="75">
        <v>0.8</v>
      </c>
      <c r="AS24" s="218">
        <v>488228</v>
      </c>
      <c r="AT24" s="75" t="s">
        <v>437</v>
      </c>
      <c r="AU24" s="219">
        <v>26.287100000000006</v>
      </c>
      <c r="AV24" s="126">
        <f t="shared" si="6"/>
        <v>0.21029680000000006</v>
      </c>
    </row>
    <row r="25" spans="3:71" x14ac:dyDescent="0.2">
      <c r="C25" s="176">
        <v>2022</v>
      </c>
      <c r="D25" s="3">
        <v>3135</v>
      </c>
      <c r="E25" s="3">
        <v>2970</v>
      </c>
      <c r="F25" s="3">
        <v>158</v>
      </c>
      <c r="G25" s="3">
        <v>6263</v>
      </c>
      <c r="H25" s="172">
        <f t="shared" si="10"/>
        <v>0.5005588376177551</v>
      </c>
      <c r="I25" s="172">
        <f t="shared" si="11"/>
        <v>0.47421363563787322</v>
      </c>
      <c r="J25" s="177">
        <f t="shared" si="12"/>
        <v>2.5227526744371707E-2</v>
      </c>
      <c r="L25" s="272"/>
      <c r="M25" s="273"/>
      <c r="N25" s="171"/>
      <c r="O25" s="171"/>
      <c r="P25" s="168"/>
      <c r="Q25" s="168"/>
      <c r="R25" s="168"/>
      <c r="S25" s="168"/>
      <c r="T25" s="168"/>
      <c r="U25" s="168"/>
      <c r="V25" s="168"/>
      <c r="W25" s="168"/>
      <c r="X25" s="168"/>
      <c r="Y25" s="168"/>
      <c r="Z25" s="168"/>
      <c r="AA25" s="168"/>
      <c r="AB25" s="168"/>
      <c r="AC25" s="191" t="s">
        <v>349</v>
      </c>
      <c r="AD25" s="164">
        <v>1.1635180783185286E-2</v>
      </c>
      <c r="AE25" s="3">
        <v>1769</v>
      </c>
      <c r="AF25" s="164">
        <f t="shared" si="13"/>
        <v>2.5496542457632007E-3</v>
      </c>
      <c r="AG25" s="164">
        <f t="shared" si="14"/>
        <v>6.6378584614894126E-3</v>
      </c>
      <c r="AH25" s="183">
        <f t="shared" si="15"/>
        <v>1.6632503104881159E-2</v>
      </c>
      <c r="AK25" s="195"/>
      <c r="AL25" s="195"/>
      <c r="AM25" s="195"/>
      <c r="AN25" s="76"/>
      <c r="AQ25" s="222" t="s">
        <v>438</v>
      </c>
      <c r="AR25" s="75">
        <v>0.4</v>
      </c>
      <c r="AS25" s="218">
        <v>249593</v>
      </c>
      <c r="AT25" s="75" t="s">
        <v>437</v>
      </c>
      <c r="AU25" s="219">
        <v>26.287100000000006</v>
      </c>
      <c r="AV25" s="126">
        <f t="shared" si="6"/>
        <v>0.10514840000000003</v>
      </c>
    </row>
    <row r="26" spans="3:71" ht="15" customHeight="1" x14ac:dyDescent="0.2">
      <c r="C26" s="178" t="s">
        <v>383</v>
      </c>
      <c r="D26" s="542" t="s">
        <v>618</v>
      </c>
      <c r="E26" s="542"/>
      <c r="F26" s="542"/>
      <c r="G26" s="542"/>
      <c r="H26" s="542"/>
      <c r="I26" s="542"/>
      <c r="J26" s="543"/>
      <c r="L26" s="272"/>
      <c r="M26" s="195"/>
      <c r="N26" s="169"/>
      <c r="O26" s="169"/>
      <c r="P26" s="169"/>
      <c r="Q26" s="169"/>
      <c r="R26" s="169"/>
      <c r="S26" s="169"/>
      <c r="T26" s="169"/>
      <c r="U26" s="169"/>
      <c r="V26" s="169"/>
      <c r="W26" s="169"/>
      <c r="X26" s="169"/>
      <c r="Y26" s="170"/>
      <c r="Z26" s="170"/>
      <c r="AA26" s="170"/>
      <c r="AB26" s="170"/>
      <c r="AC26" s="191" t="s">
        <v>369</v>
      </c>
      <c r="AD26" s="164">
        <v>3.1165177421591746E-2</v>
      </c>
      <c r="AE26" s="3">
        <v>1023</v>
      </c>
      <c r="AF26" s="164">
        <f t="shared" si="13"/>
        <v>5.4327767021908327E-3</v>
      </c>
      <c r="AG26" s="164">
        <f t="shared" si="14"/>
        <v>2.0516935085297713E-2</v>
      </c>
      <c r="AH26" s="183">
        <f t="shared" si="15"/>
        <v>4.1813419757885779E-2</v>
      </c>
      <c r="AQ26" s="222" t="s">
        <v>439</v>
      </c>
      <c r="AR26" s="75">
        <v>0.9</v>
      </c>
      <c r="AS26" s="218">
        <v>513040</v>
      </c>
      <c r="AT26" s="75" t="s">
        <v>437</v>
      </c>
      <c r="AU26" s="219">
        <v>26.287100000000006</v>
      </c>
      <c r="AV26" s="126">
        <f t="shared" si="6"/>
        <v>0.23658390000000004</v>
      </c>
    </row>
    <row r="27" spans="3:71" x14ac:dyDescent="0.2">
      <c r="L27" s="272"/>
      <c r="M27" s="195"/>
      <c r="N27" s="169"/>
      <c r="O27" s="169"/>
      <c r="P27" s="169"/>
      <c r="Q27" s="169"/>
      <c r="R27" s="169"/>
      <c r="S27" s="169"/>
      <c r="T27" s="169"/>
      <c r="U27" s="169"/>
      <c r="V27" s="169"/>
      <c r="W27" s="169"/>
      <c r="X27" s="169"/>
      <c r="Y27" s="170"/>
      <c r="Z27" s="170"/>
      <c r="AA27" s="170"/>
      <c r="AB27" s="170"/>
      <c r="AC27" s="201" t="s">
        <v>370</v>
      </c>
      <c r="AD27" s="215">
        <v>0.12489534758632949</v>
      </c>
      <c r="AE27" s="184">
        <v>1023</v>
      </c>
      <c r="AF27" s="215">
        <f t="shared" si="13"/>
        <v>1.0336304860998012E-2</v>
      </c>
      <c r="AG27" s="215">
        <f t="shared" si="14"/>
        <v>0.10463619005877339</v>
      </c>
      <c r="AH27" s="185">
        <f t="shared" si="15"/>
        <v>0.14515450511388558</v>
      </c>
      <c r="AQ27" s="222" t="s">
        <v>440</v>
      </c>
      <c r="AR27" s="75">
        <v>0.8</v>
      </c>
      <c r="AS27" s="218">
        <v>467116</v>
      </c>
      <c r="AT27" s="75" t="s">
        <v>437</v>
      </c>
      <c r="AU27" s="219">
        <v>26.287100000000006</v>
      </c>
      <c r="AV27" s="126">
        <f t="shared" si="6"/>
        <v>0.21029680000000006</v>
      </c>
    </row>
    <row r="28" spans="3:71" x14ac:dyDescent="0.2">
      <c r="E28" s="289"/>
      <c r="F28" s="274"/>
      <c r="L28" s="168"/>
      <c r="M28" s="169"/>
      <c r="N28" s="169"/>
      <c r="O28" s="169"/>
      <c r="P28" s="169"/>
      <c r="Q28" s="169"/>
      <c r="R28" s="169"/>
      <c r="S28" s="169"/>
      <c r="T28" s="169"/>
      <c r="U28" s="169"/>
      <c r="V28" s="169"/>
      <c r="W28" s="169"/>
      <c r="X28" s="169"/>
      <c r="Y28" s="170"/>
      <c r="Z28" s="170"/>
      <c r="AA28" s="170"/>
      <c r="AB28" s="170"/>
      <c r="AQ28" s="222" t="s">
        <v>413</v>
      </c>
      <c r="AR28" s="75"/>
      <c r="AS28" s="137"/>
      <c r="AT28" s="75"/>
      <c r="AU28" s="219"/>
      <c r="AV28" s="126"/>
    </row>
    <row r="29" spans="3:71" x14ac:dyDescent="0.2">
      <c r="D29" s="217"/>
      <c r="E29" s="217"/>
      <c r="L29" s="168"/>
      <c r="M29" s="169"/>
      <c r="N29" s="169"/>
      <c r="O29" s="169"/>
      <c r="P29" s="169"/>
      <c r="Q29" s="169"/>
      <c r="R29" s="169"/>
      <c r="S29" s="169"/>
      <c r="T29" s="169"/>
      <c r="U29" s="169"/>
      <c r="V29" s="169"/>
      <c r="W29" s="169"/>
      <c r="X29" s="169"/>
      <c r="Y29" s="170"/>
      <c r="Z29" s="170"/>
      <c r="AA29" s="170"/>
      <c r="AB29" s="170"/>
      <c r="AD29" s="120"/>
      <c r="AQ29" s="222" t="s">
        <v>441</v>
      </c>
      <c r="AR29" s="75">
        <v>0.1</v>
      </c>
      <c r="AS29" s="218">
        <v>67757</v>
      </c>
      <c r="AT29" s="75" t="s">
        <v>442</v>
      </c>
      <c r="AU29" s="219">
        <v>27.128499999999995</v>
      </c>
      <c r="AV29" s="126">
        <f t="shared" si="6"/>
        <v>2.7128499999999996E-2</v>
      </c>
    </row>
    <row r="30" spans="3:71" x14ac:dyDescent="0.2">
      <c r="D30" s="217"/>
      <c r="E30" s="217"/>
      <c r="L30" s="168"/>
      <c r="M30" s="169"/>
      <c r="N30" s="169"/>
      <c r="O30" s="169"/>
      <c r="P30" s="169"/>
      <c r="Q30" s="169"/>
      <c r="R30" s="169"/>
      <c r="S30" s="169"/>
      <c r="T30" s="169"/>
      <c r="U30" s="169"/>
      <c r="V30" s="169"/>
      <c r="W30" s="169"/>
      <c r="X30" s="169"/>
      <c r="Y30" s="170"/>
      <c r="Z30" s="170"/>
      <c r="AA30" s="170"/>
      <c r="AB30" s="170"/>
      <c r="AD30" s="120"/>
      <c r="AQ30" s="222" t="s">
        <v>443</v>
      </c>
      <c r="AR30" s="75">
        <v>0.2</v>
      </c>
      <c r="AS30" s="218">
        <v>100964</v>
      </c>
      <c r="AT30" s="75" t="s">
        <v>442</v>
      </c>
      <c r="AU30" s="219">
        <v>27.128499999999995</v>
      </c>
      <c r="AV30" s="126">
        <f t="shared" si="6"/>
        <v>5.4256999999999993E-2</v>
      </c>
    </row>
    <row r="31" spans="3:71" x14ac:dyDescent="0.2">
      <c r="D31" s="217"/>
      <c r="E31" s="217"/>
      <c r="AD31" s="120"/>
      <c r="AQ31" s="222" t="s">
        <v>444</v>
      </c>
      <c r="AR31" s="75">
        <v>74.400000000000006</v>
      </c>
      <c r="AS31" s="218">
        <v>44355044</v>
      </c>
      <c r="AT31" s="75" t="s">
        <v>442</v>
      </c>
      <c r="AU31" s="219">
        <v>27.128499999999995</v>
      </c>
      <c r="AV31" s="126">
        <f t="shared" si="6"/>
        <v>20.183603999999999</v>
      </c>
    </row>
    <row r="32" spans="3:71" x14ac:dyDescent="0.2">
      <c r="AD32" s="120"/>
      <c r="AQ32" s="222" t="s">
        <v>445</v>
      </c>
      <c r="AR32" s="75">
        <v>0.9</v>
      </c>
      <c r="AS32" s="218">
        <v>507473</v>
      </c>
      <c r="AT32" s="75" t="s">
        <v>442</v>
      </c>
      <c r="AU32" s="219">
        <v>27.128499999999995</v>
      </c>
      <c r="AV32" s="126">
        <f t="shared" si="6"/>
        <v>0.24415649999999997</v>
      </c>
    </row>
    <row r="33" spans="30:48" x14ac:dyDescent="0.2">
      <c r="AD33" s="120"/>
      <c r="AQ33" s="222" t="s">
        <v>446</v>
      </c>
      <c r="AR33" s="75">
        <v>6.2</v>
      </c>
      <c r="AS33" s="218">
        <v>3667993</v>
      </c>
      <c r="AT33" s="75" t="s">
        <v>442</v>
      </c>
      <c r="AU33" s="219">
        <v>27.128499999999995</v>
      </c>
      <c r="AV33" s="126">
        <f t="shared" si="6"/>
        <v>1.6819669999999995</v>
      </c>
    </row>
    <row r="34" spans="30:48" x14ac:dyDescent="0.2">
      <c r="AQ34" s="222" t="s">
        <v>437</v>
      </c>
      <c r="AR34" s="75"/>
      <c r="AS34" s="75"/>
      <c r="AT34" s="75"/>
      <c r="AU34" s="219"/>
      <c r="AV34" s="126"/>
    </row>
    <row r="35" spans="30:48" x14ac:dyDescent="0.2">
      <c r="AD35" s="120"/>
      <c r="AQ35" s="222" t="s">
        <v>447</v>
      </c>
      <c r="AR35" s="75">
        <v>0.6</v>
      </c>
      <c r="AS35" s="220">
        <v>331856</v>
      </c>
      <c r="AT35" s="75" t="s">
        <v>448</v>
      </c>
      <c r="AU35" s="219">
        <v>26.287100000000006</v>
      </c>
      <c r="AV35" s="126">
        <f t="shared" si="6"/>
        <v>0.15772260000000002</v>
      </c>
    </row>
    <row r="36" spans="30:48" x14ac:dyDescent="0.2">
      <c r="AD36" s="120"/>
      <c r="AQ36" s="222" t="s">
        <v>654</v>
      </c>
      <c r="AR36" s="75">
        <v>1.6</v>
      </c>
      <c r="AS36" s="220">
        <v>923776</v>
      </c>
      <c r="AT36" s="75" t="s">
        <v>448</v>
      </c>
      <c r="AU36" s="219">
        <v>26.287100000000006</v>
      </c>
      <c r="AV36" s="126">
        <f t="shared" si="6"/>
        <v>0.42059360000000012</v>
      </c>
    </row>
    <row r="37" spans="30:48" x14ac:dyDescent="0.2">
      <c r="AD37" s="120"/>
      <c r="AQ37" s="134" t="s">
        <v>449</v>
      </c>
      <c r="AR37" s="75"/>
      <c r="AS37" s="75"/>
      <c r="AT37" s="75"/>
      <c r="AU37" s="75"/>
      <c r="AV37" s="126">
        <f>SUM(AV14:AV36)</f>
        <v>29.706556599999999</v>
      </c>
    </row>
    <row r="38" spans="30:48" x14ac:dyDescent="0.2">
      <c r="AD38" s="120"/>
      <c r="AQ38" s="123"/>
      <c r="AV38" s="124"/>
    </row>
    <row r="39" spans="30:48" x14ac:dyDescent="0.2">
      <c r="AD39" s="120"/>
      <c r="AQ39" s="123" t="s">
        <v>647</v>
      </c>
      <c r="AR39" t="s">
        <v>653</v>
      </c>
      <c r="AV39" s="124"/>
    </row>
    <row r="40" spans="30:48" x14ac:dyDescent="0.2">
      <c r="AQ40" s="123" t="s">
        <v>411</v>
      </c>
      <c r="AR40" s="223" t="s">
        <v>652</v>
      </c>
      <c r="AV40" s="124"/>
    </row>
    <row r="41" spans="30:48" x14ac:dyDescent="0.2">
      <c r="AQ41" s="123" t="s">
        <v>648</v>
      </c>
      <c r="AR41" s="223" t="s">
        <v>650</v>
      </c>
      <c r="AV41" s="124"/>
    </row>
    <row r="42" spans="30:48" x14ac:dyDescent="0.2">
      <c r="AQ42" s="129" t="s">
        <v>649</v>
      </c>
      <c r="AR42" s="127" t="s">
        <v>651</v>
      </c>
      <c r="AS42" s="127"/>
      <c r="AT42" s="127"/>
      <c r="AU42" s="127"/>
      <c r="AV42" s="128"/>
    </row>
  </sheetData>
  <mergeCells count="7">
    <mergeCell ref="D26:J26"/>
    <mergeCell ref="M10:P10"/>
    <mergeCell ref="AR11:AS11"/>
    <mergeCell ref="AG3:AJ3"/>
    <mergeCell ref="Y24:AB24"/>
    <mergeCell ref="P24:Q24"/>
    <mergeCell ref="R24:S24"/>
  </mergeCells>
  <hyperlinks>
    <hyperlink ref="D26" r:id="rId1" display="https://doi.org/10.1161/jaha.124.034414" xr:uid="{74D8E13B-E546-461B-83E8-E6ED49FA12A2}"/>
    <hyperlink ref="AR41" r:id="rId2" display="https://doi.org/10.1111/cts.12830" xr:uid="{D484D76B-243D-4863-8457-692893D7FA31}"/>
    <hyperlink ref="AR40" r:id="rId3" display="https://doi.org/10.1016/j.jns.2016.08.025" xr:uid="{03C68187-FA64-4A09-A722-78D911D787FA}"/>
  </hyperlinks>
  <pageMargins left="0.7" right="0.7" top="0.75" bottom="0.75" header="0.3" footer="0.3"/>
  <pageSetup paperSize="9" orientation="portrait" r:id="rId4"/>
  <legacy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C243C-C82C-4A3A-BF64-B6D95F1AF4A1}">
  <dimension ref="A1:AS106"/>
  <sheetViews>
    <sheetView showGridLines="0" topLeftCell="U1" workbookViewId="0">
      <pane ySplit="2" topLeftCell="A3" activePane="bottomLeft" state="frozen"/>
      <selection pane="bottomLeft" activeCell="AC16" sqref="AC16"/>
    </sheetView>
  </sheetViews>
  <sheetFormatPr baseColWidth="10" defaultColWidth="8.83203125" defaultRowHeight="15" x14ac:dyDescent="0.2"/>
  <cols>
    <col min="1" max="1" width="2.1640625" customWidth="1"/>
    <col min="2" max="2" width="64.83203125" customWidth="1"/>
    <col min="3" max="4" width="0.83203125" customWidth="1"/>
    <col min="5" max="5" width="9.1640625" style="3" customWidth="1"/>
    <col min="6" max="6" width="1.83203125" style="3" customWidth="1"/>
    <col min="7" max="7" width="9.1640625" style="3" customWidth="1"/>
    <col min="8" max="8" width="0.83203125" style="3" customWidth="1"/>
    <col min="9" max="9" width="11.5" customWidth="1"/>
    <col min="10" max="10" width="1.1640625" customWidth="1"/>
    <col min="11" max="11" width="11.83203125" customWidth="1"/>
    <col min="12" max="12" width="0.83203125" customWidth="1"/>
    <col min="13" max="13" width="1.5" style="3" customWidth="1"/>
    <col min="14" max="14" width="14.1640625" style="3" customWidth="1"/>
    <col min="15" max="15" width="1.83203125" style="3" customWidth="1"/>
    <col min="16" max="16" width="14.1640625" style="3" customWidth="1"/>
    <col min="17" max="17" width="1.83203125" style="3" customWidth="1"/>
    <col min="18" max="18" width="14.1640625" style="3" customWidth="1"/>
    <col min="19" max="19" width="1.83203125" style="3" customWidth="1"/>
    <col min="20" max="20" width="16.5" style="3" customWidth="1"/>
    <col min="21" max="21" width="12.5" style="3" customWidth="1"/>
    <col min="22" max="22" width="1.33203125" style="3" customWidth="1"/>
    <col min="23" max="23" width="11.1640625" customWidth="1"/>
    <col min="24" max="24" width="1.33203125" customWidth="1"/>
    <col min="25" max="25" width="12.5" customWidth="1"/>
    <col min="26" max="26" width="0.83203125" customWidth="1"/>
    <col min="27" max="27" width="13.5" customWidth="1"/>
    <col min="28" max="28" width="0.83203125" customWidth="1"/>
    <col min="29" max="29" width="14.1640625" customWidth="1"/>
    <col min="30" max="30" width="0.5" customWidth="1"/>
    <col min="31" max="31" width="14.5" customWidth="1"/>
    <col min="32" max="32" width="0.83203125" customWidth="1"/>
    <col min="33" max="33" width="14.83203125" customWidth="1"/>
    <col min="34" max="34" width="0.83203125" customWidth="1"/>
    <col min="35" max="35" width="13.83203125" customWidth="1"/>
    <col min="36" max="36" width="1.5" customWidth="1"/>
    <col min="37" max="37" width="25.1640625" customWidth="1"/>
    <col min="38" max="38" width="1.5" customWidth="1"/>
    <col min="39" max="39" width="14.5" customWidth="1"/>
    <col min="40" max="40" width="1.83203125" customWidth="1"/>
    <col min="41" max="41" width="9.83203125" customWidth="1"/>
    <col min="42" max="42" width="20" customWidth="1"/>
    <col min="43" max="43" width="13.83203125" customWidth="1"/>
    <col min="45" max="45" width="54.83203125" customWidth="1"/>
    <col min="2000" max="2001" width="2.5" customWidth="1"/>
    <col min="2003" max="2003" width="2.5" customWidth="1"/>
    <col min="2024" max="2024" width="2.5" customWidth="1"/>
    <col min="2029" max="2029" width="2.5" customWidth="1"/>
  </cols>
  <sheetData>
    <row r="1" spans="1:45" x14ac:dyDescent="0.2">
      <c r="B1" s="271"/>
      <c r="E1" s="143"/>
    </row>
    <row r="2" spans="1:45" s="269" customFormat="1" ht="38.5" customHeight="1" x14ac:dyDescent="0.2">
      <c r="A2" s="145"/>
      <c r="B2" s="278" t="s">
        <v>1004</v>
      </c>
      <c r="C2" s="145"/>
      <c r="D2" s="145"/>
      <c r="E2" s="269" t="s">
        <v>955</v>
      </c>
      <c r="F2" s="145"/>
      <c r="G2" s="269" t="s">
        <v>1005</v>
      </c>
      <c r="H2" s="145"/>
      <c r="I2" s="269" t="s">
        <v>1006</v>
      </c>
      <c r="J2" s="145"/>
      <c r="K2" s="269" t="s">
        <v>1007</v>
      </c>
      <c r="L2" s="145"/>
      <c r="M2" s="145"/>
      <c r="N2" s="269" t="s">
        <v>1008</v>
      </c>
      <c r="O2" s="145"/>
      <c r="P2" s="269" t="s">
        <v>1009</v>
      </c>
      <c r="Q2" s="145"/>
      <c r="R2" s="269" t="s">
        <v>1010</v>
      </c>
      <c r="S2" s="145"/>
      <c r="T2" s="145"/>
      <c r="U2" s="145"/>
      <c r="V2" s="145"/>
      <c r="W2" s="269" t="s">
        <v>956</v>
      </c>
      <c r="X2" s="145"/>
      <c r="Y2" s="269" t="s">
        <v>978</v>
      </c>
      <c r="Z2" s="145"/>
      <c r="AA2" s="269" t="s">
        <v>979</v>
      </c>
      <c r="AB2" s="145"/>
      <c r="AC2" s="269" t="s">
        <v>980</v>
      </c>
      <c r="AD2" s="145"/>
      <c r="AE2" s="269" t="s">
        <v>1237</v>
      </c>
      <c r="AF2" s="145"/>
      <c r="AG2" s="269" t="s">
        <v>1236</v>
      </c>
      <c r="AH2" s="145"/>
      <c r="AI2" s="379"/>
      <c r="AJ2" s="145"/>
      <c r="AK2" s="145"/>
      <c r="AL2" s="145"/>
      <c r="AM2" s="145"/>
      <c r="AN2" s="145"/>
      <c r="AO2" s="145"/>
      <c r="AP2" s="145"/>
      <c r="AQ2" s="269" t="s">
        <v>865</v>
      </c>
    </row>
    <row r="3" spans="1:45" s="275" customFormat="1" ht="10" customHeight="1" x14ac:dyDescent="0.2">
      <c r="B3" s="145"/>
      <c r="E3" s="145"/>
      <c r="F3" s="145"/>
      <c r="G3" s="145"/>
      <c r="K3" s="145"/>
      <c r="M3" s="145"/>
      <c r="N3" s="145"/>
      <c r="O3" s="145"/>
      <c r="P3" s="145"/>
      <c r="Q3" s="145"/>
      <c r="R3" s="145"/>
      <c r="S3" s="145"/>
      <c r="T3" s="145"/>
      <c r="U3" s="145"/>
      <c r="V3" s="145"/>
      <c r="W3" s="145"/>
      <c r="X3" s="145"/>
      <c r="AA3" s="145"/>
      <c r="AE3" s="145"/>
      <c r="AF3" s="145"/>
      <c r="AG3" s="145"/>
      <c r="AI3" s="379"/>
    </row>
    <row r="4" spans="1:45" ht="16.5" customHeight="1" x14ac:dyDescent="0.2">
      <c r="B4" s="488" t="s">
        <v>826</v>
      </c>
      <c r="C4" s="488"/>
      <c r="D4" s="489"/>
      <c r="E4" s="514">
        <f>stemi_size*prop_ac_st*(1-prob_mi_ac-prob_stk_ac-prob_dead_ac)</f>
        <v>180.64135432887025</v>
      </c>
      <c r="F4" s="514"/>
      <c r="G4" s="515">
        <f>prop_ac_st*(1-prob_mi_ac-prob_stk_ac-prob_dead_ac)</f>
        <v>0.18064135432887027</v>
      </c>
      <c r="H4" s="514"/>
      <c r="I4" s="514">
        <f>(ld_clop_600 + ((day_cost_asa + day_cost_clop)*md_328_day))</f>
        <v>21.754285714285718</v>
      </c>
      <c r="J4" s="514"/>
      <c r="K4" s="514">
        <f>((c_pci)+(c_drug_ac_noevent_st)+(c_bleed_ac)+(c_dys_ac)+(c_noevent_tree))</f>
        <v>5219.8903556426067</v>
      </c>
      <c r="L4" s="514"/>
      <c r="M4" s="514"/>
      <c r="N4" s="514">
        <f>G4*K4</f>
        <v>942.9280632914888</v>
      </c>
      <c r="O4" s="514"/>
      <c r="P4" s="515">
        <f>u_noevent_tree - u_dec_bleed_ac -u_dec_dys_ac</f>
        <v>0.68581428565273972</v>
      </c>
      <c r="Q4" s="515"/>
      <c r="R4" s="515">
        <f t="shared" ref="R4:R15" si="0">G4*P4</f>
        <v>0.1238864213783976</v>
      </c>
      <c r="S4" s="268"/>
      <c r="T4" s="378" t="s">
        <v>1212</v>
      </c>
      <c r="U4" s="276">
        <f>G4+G8+G12</f>
        <v>0.84528395780831422</v>
      </c>
      <c r="V4" s="268"/>
      <c r="W4" s="270">
        <f>N4+N5+N6+N7+N8+N9+N10+N11+N12+N13+N14+N15</f>
        <v>6023.0185979710986</v>
      </c>
      <c r="X4" s="283"/>
      <c r="Y4" s="270">
        <f>SUM(N17:N30)</f>
        <v>5931.6582418497455</v>
      </c>
      <c r="AA4" s="387">
        <f>SUM(R4:R15)</f>
        <v>0.65404087040372982</v>
      </c>
      <c r="AB4" s="277"/>
      <c r="AC4" s="387">
        <f>SUM(R17:R30)</f>
        <v>0.65639014582140331</v>
      </c>
      <c r="AD4" s="268"/>
      <c r="AE4" s="270">
        <f>c_poc_tree-c_st_tree</f>
        <v>-91.360356121353107</v>
      </c>
      <c r="AF4" s="283"/>
      <c r="AG4" s="387">
        <f>qaly_poc_tree-qaly_st_tree</f>
        <v>2.3492754176734909E-3</v>
      </c>
      <c r="AH4" s="268"/>
      <c r="AI4" s="283">
        <f>AE4/AG4</f>
        <v>-38888.737963226173</v>
      </c>
      <c r="AJ4" s="268"/>
      <c r="AN4" s="268"/>
      <c r="AO4" s="268"/>
      <c r="AP4" s="268"/>
      <c r="AQ4" t="s">
        <v>864</v>
      </c>
      <c r="AR4" s="52" t="s">
        <v>959</v>
      </c>
    </row>
    <row r="5" spans="1:45" x14ac:dyDescent="0.2">
      <c r="B5" s="488" t="s">
        <v>850</v>
      </c>
      <c r="C5" s="488"/>
      <c r="D5" s="490"/>
      <c r="E5" s="515">
        <f>stemi_size*prop_ac_st*prob_mi_ac</f>
        <v>14.3445</v>
      </c>
      <c r="F5" s="515"/>
      <c r="G5" s="515">
        <f>prop_ac_st*prob_mi_ac</f>
        <v>1.4344500000000001E-2</v>
      </c>
      <c r="H5" s="515"/>
      <c r="I5" s="515">
        <f>(ld_clop_600 + ((day_cost_asa + day_cost_clop)*md_365_day))</f>
        <v>24.172500000000003</v>
      </c>
      <c r="J5" s="515"/>
      <c r="K5" s="514">
        <f>((c_pci)+(c_drug_ac_mi_st)+(c_bleed_ac)+(c_dys_ac)+(c_mi_tree))</f>
        <v>10017.017655883286</v>
      </c>
      <c r="L5" s="514"/>
      <c r="M5" s="514"/>
      <c r="N5" s="514">
        <f t="shared" ref="N5:N7" si="1">G5*K5</f>
        <v>143.6891097648178</v>
      </c>
      <c r="O5" s="514"/>
      <c r="P5" s="515">
        <f>((u_noevent_tree*0.5)+(u_rinfar_tree*0.5 ))- u_dec_bleed_ac -u_dec_dys_ac</f>
        <v>0.66014046186523967</v>
      </c>
      <c r="Q5" s="515"/>
      <c r="R5" s="515">
        <f t="shared" si="0"/>
        <v>9.4693848552259308E-3</v>
      </c>
      <c r="S5" s="268"/>
      <c r="T5" s="378" t="s">
        <v>1213</v>
      </c>
      <c r="U5" s="276">
        <f>G5+G9+G13</f>
        <v>5.5783043635717483E-2</v>
      </c>
      <c r="V5" s="268"/>
      <c r="AA5" s="277"/>
      <c r="AB5" s="268"/>
      <c r="AC5" s="277"/>
      <c r="AD5" s="268"/>
      <c r="AH5" s="268"/>
      <c r="AJ5" s="268"/>
      <c r="AN5" s="268"/>
      <c r="AO5" s="268"/>
      <c r="AP5" s="268"/>
      <c r="AQ5" s="249"/>
      <c r="AR5" s="52" t="s">
        <v>959</v>
      </c>
    </row>
    <row r="6" spans="1:45" x14ac:dyDescent="0.2">
      <c r="B6" s="488" t="s">
        <v>827</v>
      </c>
      <c r="C6" s="488"/>
      <c r="D6" s="490"/>
      <c r="E6" s="515">
        <f>stemi_size*prop_ac_st*prob_stk_ac</f>
        <v>2.7155999999999998</v>
      </c>
      <c r="F6" s="515"/>
      <c r="G6" s="515">
        <f>prop_ac_st*prob_stk_ac</f>
        <v>2.7155999999999999E-3</v>
      </c>
      <c r="H6" s="515"/>
      <c r="I6" s="515">
        <f>(ld_clop_600 + ((day_cost_asa + day_cost_clop)*md_365_day))</f>
        <v>24.172500000000003</v>
      </c>
      <c r="J6" s="515"/>
      <c r="K6" s="514">
        <f>((c_pci)+(c_drug_ac_stk_st)+(c_bleed_ac)+(c_dys_ac)+(c_stk_tree))</f>
        <v>21794.846626199273</v>
      </c>
      <c r="L6" s="514"/>
      <c r="M6" s="514"/>
      <c r="N6" s="514">
        <f t="shared" si="1"/>
        <v>59.186085498106742</v>
      </c>
      <c r="O6" s="514"/>
      <c r="P6" s="515">
        <f>((u_noevent_tree*0.5)+(u_stk_tree*0.5)) - u_dec_bleed_ac-u_dec_dys_ac</f>
        <v>0.62916886491523971</v>
      </c>
      <c r="Q6" s="515"/>
      <c r="R6" s="515">
        <f t="shared" si="0"/>
        <v>1.7085709695638248E-3</v>
      </c>
      <c r="S6" s="268"/>
      <c r="T6" s="378" t="s">
        <v>1214</v>
      </c>
      <c r="U6" s="276">
        <f>G6+G10+G14</f>
        <v>1.3080898082621447E-2</v>
      </c>
      <c r="V6" s="268"/>
      <c r="AC6" s="110"/>
      <c r="AJ6" s="268"/>
      <c r="AM6" s="280"/>
      <c r="AN6" s="275"/>
      <c r="AO6" s="280"/>
      <c r="AP6" s="268"/>
      <c r="AQ6" s="249"/>
      <c r="AR6" s="52" t="s">
        <v>960</v>
      </c>
    </row>
    <row r="7" spans="1:45" x14ac:dyDescent="0.2">
      <c r="B7" s="488" t="s">
        <v>828</v>
      </c>
      <c r="C7" s="488"/>
      <c r="D7" s="490"/>
      <c r="E7" s="515">
        <f>stemi_size*prop_ac_st*prob_dead_ac</f>
        <v>21.298545671129745</v>
      </c>
      <c r="F7" s="515"/>
      <c r="G7" s="515">
        <f>prop_ac_st*prob_dead_ac</f>
        <v>2.1298545671129744E-2</v>
      </c>
      <c r="H7" s="515"/>
      <c r="I7" s="515">
        <f>(ld_clop_600 + ((day_cost_asa + day_cost_clop)*md_halfway))</f>
        <v>12.244821428571429</v>
      </c>
      <c r="J7" s="515"/>
      <c r="K7" s="514">
        <f>((c_pci)+(c_drug_ac_dead_st)+(c_bleed_ac)+(c_dys_ac)+(c_dead_tree))</f>
        <v>4633.6472806100155</v>
      </c>
      <c r="L7" s="514"/>
      <c r="M7" s="514"/>
      <c r="N7" s="514">
        <f t="shared" si="1"/>
        <v>98.689948229978555</v>
      </c>
      <c r="O7" s="514"/>
      <c r="P7" s="515">
        <f>(u_noevent_tree*0.5)- u_dec_bleed_ac-u_dec_dys_ac</f>
        <v>0.34268159312773971</v>
      </c>
      <c r="Q7" s="515"/>
      <c r="R7" s="515">
        <f t="shared" si="0"/>
        <v>7.2986195618866649E-3</v>
      </c>
      <c r="S7" s="268"/>
      <c r="T7" s="378" t="s">
        <v>1215</v>
      </c>
      <c r="U7" s="276">
        <f>G7+G11+G15</f>
        <v>8.5852100473346848E-2</v>
      </c>
      <c r="V7" s="268"/>
      <c r="W7" s="275"/>
      <c r="X7" s="275"/>
      <c r="Y7" s="275"/>
      <c r="Z7" s="275"/>
      <c r="AA7" s="275"/>
      <c r="AB7" s="275"/>
      <c r="AC7" s="275"/>
      <c r="AD7" s="275"/>
      <c r="AE7" s="275"/>
      <c r="AF7" s="275"/>
      <c r="AG7" s="275"/>
      <c r="AH7" s="275"/>
      <c r="AI7" s="275"/>
      <c r="AJ7" s="275"/>
      <c r="AK7" s="275"/>
      <c r="AL7" s="275"/>
      <c r="AM7" s="275"/>
      <c r="AN7" s="268"/>
      <c r="AO7" s="280"/>
      <c r="AP7" s="268"/>
      <c r="AQ7" s="249"/>
      <c r="AR7" s="52" t="s">
        <v>958</v>
      </c>
    </row>
    <row r="8" spans="1:45" ht="14.5" customHeight="1" x14ac:dyDescent="0.2">
      <c r="B8" s="491" t="s">
        <v>838</v>
      </c>
      <c r="C8" s="491"/>
      <c r="D8" s="492"/>
      <c r="E8" s="516">
        <f>stemi_size*prop_at_st*(1-prob_mi_at-prob_stk_at-prob_dead_at)</f>
        <v>471.99371202072871</v>
      </c>
      <c r="F8" s="517"/>
      <c r="G8" s="517">
        <f>prop_at_st*(1-prob_mi_at-prob_stk_at-prob_dead_at)</f>
        <v>0.47199371202072876</v>
      </c>
      <c r="H8" s="517"/>
      <c r="I8" s="517">
        <f>(ld_tica_180 + ((day_cost_asa + day_cost_tica)*md_328_day))</f>
        <v>649.98428571428576</v>
      </c>
      <c r="J8" s="517"/>
      <c r="K8" s="517">
        <f>((c_pci)+(c_drug_at_noevent_st)+(c_bleed_at)+(c_dys_at)+(c_noevent_tree))</f>
        <v>5856.9550061641248</v>
      </c>
      <c r="L8" s="516"/>
      <c r="M8" s="516"/>
      <c r="N8" s="516">
        <f t="shared" ref="N8:N15" si="2">G8*K8</f>
        <v>2764.4459344977954</v>
      </c>
      <c r="O8" s="516"/>
      <c r="P8" s="517">
        <f>u_noevent_tree - u_dec_bleed_at-u_dec_dys_at</f>
        <v>0.68558862018255562</v>
      </c>
      <c r="Q8" s="517"/>
      <c r="R8" s="517">
        <f t="shared" si="0"/>
        <v>0.32359351775913398</v>
      </c>
      <c r="S8" s="268"/>
      <c r="T8" s="487"/>
      <c r="U8" s="143"/>
      <c r="V8" s="164"/>
      <c r="Z8" s="275"/>
      <c r="AA8" s="275"/>
      <c r="AB8" s="275"/>
      <c r="AC8" s="275"/>
      <c r="AD8" s="275"/>
      <c r="AE8" s="275"/>
      <c r="AF8" s="275"/>
      <c r="AG8" s="275"/>
      <c r="AH8" s="275"/>
      <c r="AI8" s="275"/>
      <c r="AJ8" s="275"/>
      <c r="AK8" s="275"/>
      <c r="AL8" s="275"/>
      <c r="AM8" s="275"/>
      <c r="AN8" s="268"/>
      <c r="AO8" s="281"/>
      <c r="AP8" s="264"/>
      <c r="AR8" s="52" t="s">
        <v>961</v>
      </c>
    </row>
    <row r="9" spans="1:45" x14ac:dyDescent="0.2">
      <c r="B9" s="491" t="s">
        <v>849</v>
      </c>
      <c r="C9" s="491"/>
      <c r="D9" s="493"/>
      <c r="E9" s="517">
        <f>stemi_size*prop_at_st*prob_mi_at</f>
        <v>30.00163932767326</v>
      </c>
      <c r="F9" s="517"/>
      <c r="G9" s="517">
        <f>prop_at_st*prob_mi_at</f>
        <v>3.0001639327673264E-2</v>
      </c>
      <c r="H9" s="517"/>
      <c r="I9" s="517">
        <f>(ld_tica_180 + ((day_cost_asa + day_cost_tica)*md_365_day))</f>
        <v>723.0857142857144</v>
      </c>
      <c r="J9" s="517"/>
      <c r="K9" s="517">
        <f>((c_pci)+(c_drug_at_mi_st)+(c_bleed_at)+(c_dys_at)+(c_mi_tree))</f>
        <v>10724.765520690518</v>
      </c>
      <c r="L9" s="516"/>
      <c r="M9" s="516"/>
      <c r="N9" s="516">
        <f t="shared" si="2"/>
        <v>321.76054702562288</v>
      </c>
      <c r="O9" s="516"/>
      <c r="P9" s="517">
        <f>((u_noevent_tree*0.5)+(u_rinfar_tree*0.5 ))- u_dec_bleed_at-u_dec_dys_at</f>
        <v>0.65991479639505557</v>
      </c>
      <c r="Q9" s="517"/>
      <c r="R9" s="517">
        <f t="shared" si="0"/>
        <v>1.9798525708439395E-2</v>
      </c>
      <c r="S9" s="268"/>
      <c r="T9" s="378"/>
      <c r="U9" s="143"/>
      <c r="V9" s="164"/>
      <c r="Z9" s="275"/>
      <c r="AA9" s="275"/>
      <c r="AB9" s="275"/>
      <c r="AC9" s="275"/>
      <c r="AD9" s="275"/>
      <c r="AE9" s="275"/>
      <c r="AF9" s="275"/>
      <c r="AG9" s="275"/>
      <c r="AH9" s="275"/>
      <c r="AI9" s="275"/>
      <c r="AJ9" s="275"/>
      <c r="AK9" s="275"/>
      <c r="AL9" s="275"/>
      <c r="AM9" s="275"/>
      <c r="AN9" s="268"/>
      <c r="AO9" s="282"/>
      <c r="AP9" s="143"/>
      <c r="AR9" s="52" t="s">
        <v>962</v>
      </c>
    </row>
    <row r="10" spans="1:45" x14ac:dyDescent="0.2">
      <c r="B10" s="491" t="s">
        <v>839</v>
      </c>
      <c r="C10" s="491"/>
      <c r="D10" s="493"/>
      <c r="E10" s="517">
        <f>stemi_size*prop_at_st*prob_stk_at</f>
        <v>7.7221758525257256</v>
      </c>
      <c r="F10" s="517"/>
      <c r="G10" s="517">
        <f>prop_at_st*prob_stk_at</f>
        <v>7.7221758525257258E-3</v>
      </c>
      <c r="H10" s="517"/>
      <c r="I10" s="517">
        <f>(ld_tica_180 + ((day_cost_asa + day_cost_tica)*md_365_day))</f>
        <v>723.0857142857144</v>
      </c>
      <c r="J10" s="517"/>
      <c r="K10" s="517">
        <f>((c_pci)+(c_drug_at_stk_st)+(c_bleed_at)+(c_dys_at)+(c_stk_tree))</f>
        <v>22502.594491006505</v>
      </c>
      <c r="L10" s="516"/>
      <c r="M10" s="516"/>
      <c r="N10" s="516">
        <f t="shared" si="2"/>
        <v>173.76899179762884</v>
      </c>
      <c r="O10" s="516"/>
      <c r="P10" s="517">
        <f>((u_noevent_tree*0.5)+(u_stk_tree*0.5)) - u_dec_bleed_at-u_dec_dys_at</f>
        <v>0.62894319944505561</v>
      </c>
      <c r="Q10" s="517"/>
      <c r="R10" s="517">
        <f t="shared" si="0"/>
        <v>4.8568099873648801E-3</v>
      </c>
      <c r="S10" s="268"/>
      <c r="T10"/>
      <c r="U10" s="143"/>
      <c r="V10" s="164"/>
      <c r="Z10" s="275"/>
      <c r="AA10" s="275"/>
      <c r="AB10" s="275"/>
      <c r="AC10" s="275"/>
      <c r="AD10" s="275"/>
      <c r="AE10" s="275"/>
      <c r="AF10" s="275"/>
      <c r="AG10" s="275"/>
      <c r="AH10" s="275"/>
      <c r="AI10" s="275"/>
      <c r="AJ10" s="275"/>
      <c r="AK10" s="275"/>
      <c r="AL10" s="275"/>
      <c r="AM10" s="275"/>
      <c r="AN10" s="268"/>
      <c r="AO10" s="282"/>
      <c r="AP10" s="143"/>
      <c r="AR10" s="52" t="s">
        <v>963</v>
      </c>
    </row>
    <row r="11" spans="1:45" x14ac:dyDescent="0.2">
      <c r="B11" s="491" t="s">
        <v>840</v>
      </c>
      <c r="C11" s="491"/>
      <c r="D11" s="493"/>
      <c r="E11" s="517">
        <f>stemi_size*prop_at_st*prob_dead_at</f>
        <v>42.282472799072302</v>
      </c>
      <c r="F11" s="517"/>
      <c r="G11" s="517">
        <f>prop_at_st*prob_dead_at</f>
        <v>4.2282472799072303E-2</v>
      </c>
      <c r="H11" s="517"/>
      <c r="I11" s="517">
        <f>(ld_tica_180 + ((day_cost_asa + day_cost_tica)*md_halfway))</f>
        <v>362.51785714285717</v>
      </c>
      <c r="J11" s="517"/>
      <c r="K11" s="517">
        <f>((c_pci)+(c_drug_at_dead_st)+(c_bleed_at)+(c_dys_at)+(c_dead_tree))</f>
        <v>4992.7549668458196</v>
      </c>
      <c r="L11" s="516"/>
      <c r="M11" s="516"/>
      <c r="N11" s="516">
        <f t="shared" si="2"/>
        <v>211.1060260780915</v>
      </c>
      <c r="O11" s="516"/>
      <c r="P11" s="517">
        <f>(u_noevent_tree*0.5)- u_dec_bleed_at-u_dec_dys_at</f>
        <v>0.34245592765755556</v>
      </c>
      <c r="Q11" s="517"/>
      <c r="R11" s="517">
        <f t="shared" si="0"/>
        <v>1.4479883446061666E-2</v>
      </c>
      <c r="S11" s="268"/>
      <c r="T11" s="378"/>
      <c r="U11" s="143"/>
      <c r="V11" s="164"/>
      <c r="Y11" s="275"/>
      <c r="Z11" s="275"/>
      <c r="AA11" s="275"/>
      <c r="AB11" s="275"/>
      <c r="AC11" s="275"/>
      <c r="AD11" s="275"/>
      <c r="AE11" s="275"/>
      <c r="AF11" s="275"/>
      <c r="AG11" s="275"/>
      <c r="AH11" s="275"/>
      <c r="AI11" s="275"/>
      <c r="AJ11" s="275"/>
      <c r="AK11" s="275"/>
      <c r="AL11" s="275"/>
      <c r="AM11" s="275"/>
      <c r="AN11" s="143"/>
      <c r="AO11" s="282"/>
      <c r="AP11" s="143"/>
      <c r="AR11" s="52" t="s">
        <v>962</v>
      </c>
    </row>
    <row r="12" spans="1:45" ht="12" customHeight="1" x14ac:dyDescent="0.2">
      <c r="B12" s="494" t="s">
        <v>841</v>
      </c>
      <c r="C12" s="494"/>
      <c r="D12" s="495"/>
      <c r="E12" s="518">
        <f>stemi_size*prop_ap_st*(1-prob_mi_ap-prob_stk_ap-prob_dead_ap)</f>
        <v>192.64889145871527</v>
      </c>
      <c r="F12" s="518"/>
      <c r="G12" s="518">
        <f>prop_ap_st*(1-prob_mi_ap-prob_stk_ap-prob_dead_ap)</f>
        <v>0.19264889145871528</v>
      </c>
      <c r="H12" s="518"/>
      <c r="I12" s="518">
        <f>(ld_pras_60 + ((day_cost_asa + day_cost_pras)*md_328_day))</f>
        <v>106.09857142857143</v>
      </c>
      <c r="J12" s="518"/>
      <c r="K12" s="518">
        <f>((c_pci)+(c_drug_ap_noevent_st)+(c_bleed_ap)+(c_dys_ap)+(c_noevent_tree))</f>
        <v>5338.498094866557</v>
      </c>
      <c r="L12" s="519"/>
      <c r="M12" s="519"/>
      <c r="N12" s="519">
        <f t="shared" si="2"/>
        <v>1028.4557400305057</v>
      </c>
      <c r="O12" s="519"/>
      <c r="P12" s="518">
        <f>u_noevent_tree - u_dec_bleed_ap-u_dec_dys_ap</f>
        <v>0.68573983802403404</v>
      </c>
      <c r="Q12" s="518"/>
      <c r="R12" s="518">
        <f t="shared" si="0"/>
        <v>0.13210701962440913</v>
      </c>
      <c r="S12" s="268"/>
      <c r="T12" s="268"/>
      <c r="U12" s="268"/>
      <c r="V12" s="268"/>
      <c r="X12" s="275"/>
      <c r="Y12" s="275"/>
      <c r="Z12" s="275"/>
      <c r="AA12" s="275"/>
      <c r="AB12" s="275"/>
      <c r="AC12" s="275"/>
      <c r="AD12" s="275"/>
      <c r="AE12" s="275"/>
      <c r="AF12" s="275"/>
      <c r="AG12" s="275"/>
      <c r="AH12" s="275"/>
      <c r="AI12" s="275"/>
      <c r="AJ12" s="275"/>
      <c r="AK12" s="275"/>
      <c r="AL12" s="275"/>
      <c r="AM12" s="275"/>
      <c r="AN12" s="264"/>
      <c r="AO12" s="264"/>
      <c r="AP12" s="264"/>
      <c r="AR12" s="52" t="s">
        <v>965</v>
      </c>
      <c r="AS12" s="264" t="s">
        <v>862</v>
      </c>
    </row>
    <row r="13" spans="1:45" x14ac:dyDescent="0.2">
      <c r="B13" s="494" t="s">
        <v>848</v>
      </c>
      <c r="C13" s="494"/>
      <c r="D13" s="496"/>
      <c r="E13" s="518">
        <f>stemi_size*prop_ap_st*prob_mi_ap</f>
        <v>11.436904308044223</v>
      </c>
      <c r="F13" s="518"/>
      <c r="G13" s="518">
        <f>prop_ap_st*prob_mi_ap</f>
        <v>1.1436904308044223E-2</v>
      </c>
      <c r="H13" s="518"/>
      <c r="I13" s="518">
        <f>(ld_pras_60 + ((day_cost_asa + day_cost_pras)*md_365_day))</f>
        <v>117.90223214285714</v>
      </c>
      <c r="J13" s="518"/>
      <c r="K13" s="518">
        <f>((c_pci)+(c_drug_ap_mi_st)+(c_bleed_ap)+(c_dys_ap)+(c_mi_tree))</f>
        <v>10145.010841535808</v>
      </c>
      <c r="L13" s="519"/>
      <c r="M13" s="519"/>
      <c r="N13" s="519">
        <f t="shared" si="2"/>
        <v>116.02751819871624</v>
      </c>
      <c r="O13" s="519"/>
      <c r="P13" s="518">
        <f>((u_noevent_tree*0.5)+(u_rinfar_tree*0.5 ))- u_dec_bleed_ap-u_dec_dys_ap</f>
        <v>0.66006601423653399</v>
      </c>
      <c r="Q13" s="518"/>
      <c r="R13" s="518">
        <f t="shared" si="0"/>
        <v>7.549111841815395E-3</v>
      </c>
      <c r="S13" s="268"/>
      <c r="T13" s="268"/>
      <c r="U13" s="268"/>
      <c r="V13" s="268"/>
      <c r="X13" s="275"/>
      <c r="Y13" s="275"/>
      <c r="Z13" s="275"/>
      <c r="AA13" s="275"/>
      <c r="AB13" s="275"/>
      <c r="AC13" s="275"/>
      <c r="AD13" s="275"/>
      <c r="AE13" s="275"/>
      <c r="AF13" s="275"/>
      <c r="AG13" s="275"/>
      <c r="AH13" s="275"/>
      <c r="AI13" s="275"/>
      <c r="AJ13" s="275"/>
      <c r="AK13" s="275"/>
      <c r="AL13" s="275"/>
      <c r="AM13" s="275"/>
      <c r="AN13" s="143"/>
      <c r="AO13" s="143"/>
      <c r="AP13" s="143"/>
      <c r="AR13" s="52" t="s">
        <v>964</v>
      </c>
    </row>
    <row r="14" spans="1:45" x14ac:dyDescent="0.2">
      <c r="B14" s="494" t="s">
        <v>842</v>
      </c>
      <c r="C14" s="494"/>
      <c r="D14" s="496"/>
      <c r="E14" s="518">
        <f>stemi_size*prop_ap_st*prob_stk_ap</f>
        <v>2.643122230095722</v>
      </c>
      <c r="F14" s="518"/>
      <c r="G14" s="518">
        <f>prop_ap_st*prob_stk_ap</f>
        <v>2.6431222300957219E-3</v>
      </c>
      <c r="H14" s="518"/>
      <c r="I14" s="518">
        <f>(ld_pras_60 + ((day_cost_asa + day_cost_pras)*md_365_day))</f>
        <v>117.90223214285714</v>
      </c>
      <c r="J14" s="518"/>
      <c r="K14" s="518">
        <f>((c_pci)+(c_drug_ap_stk_st)+(c_bleed_ap)+(c_dys_ap)+(c_stk_tree))</f>
        <v>21922.839811851794</v>
      </c>
      <c r="L14" s="519"/>
      <c r="M14" s="519"/>
      <c r="N14" s="519">
        <f t="shared" si="2"/>
        <v>57.944745253532993</v>
      </c>
      <c r="O14" s="519"/>
      <c r="P14" s="518">
        <f>((u_noevent_tree*0.5)+(u_stk_tree*0.5)) - u_dec_bleed_ap-u_dec_dys_ap</f>
        <v>0.62909441728653404</v>
      </c>
      <c r="Q14" s="518"/>
      <c r="R14" s="518">
        <f t="shared" si="0"/>
        <v>1.6627734391591526E-3</v>
      </c>
      <c r="S14" s="268"/>
      <c r="T14" s="268"/>
      <c r="U14" s="268"/>
      <c r="V14" s="268"/>
      <c r="AA14" s="143"/>
      <c r="AB14" s="143"/>
      <c r="AF14" s="143"/>
      <c r="AG14" s="143"/>
      <c r="AH14" s="143"/>
      <c r="AI14" s="277"/>
      <c r="AJ14" s="143"/>
      <c r="AK14" s="164"/>
      <c r="AL14" s="143"/>
      <c r="AM14" s="143"/>
      <c r="AN14" s="143"/>
      <c r="AO14" s="143"/>
      <c r="AP14" s="143"/>
      <c r="AR14" s="52" t="s">
        <v>964</v>
      </c>
    </row>
    <row r="15" spans="1:45" x14ac:dyDescent="0.2">
      <c r="B15" s="494" t="s">
        <v>843</v>
      </c>
      <c r="C15" s="494"/>
      <c r="D15" s="496"/>
      <c r="E15" s="518">
        <f>stemi_size*prop_ap_st*prob_dead_ap</f>
        <v>22.271082003144794</v>
      </c>
      <c r="F15" s="518"/>
      <c r="G15" s="518">
        <f>prop_ap_st*prob_dead_ap</f>
        <v>2.2271082003144795E-2</v>
      </c>
      <c r="H15" s="518"/>
      <c r="I15" s="518">
        <f>(ld_pras_60 + ((day_cost_asa + day_cost_pras)*md_halfway))</f>
        <v>59.681473214285717</v>
      </c>
      <c r="J15" s="518"/>
      <c r="K15" s="518">
        <f>((c_pci)+(c_drug_ap_dead_st)+(c_bleed_ap)+(c_dys_ap)+(c_dead_tree))</f>
        <v>4715.3473859053938</v>
      </c>
      <c r="L15" s="519"/>
      <c r="M15" s="519"/>
      <c r="N15" s="519">
        <f t="shared" si="2"/>
        <v>105.01588830481347</v>
      </c>
      <c r="O15" s="519"/>
      <c r="P15" s="518">
        <f>(u_noevent_tree*0.5)- u_dec_bleed_ap-u_dec_dys_ap</f>
        <v>0.34260714549903398</v>
      </c>
      <c r="Q15" s="518"/>
      <c r="R15" s="518">
        <f t="shared" si="0"/>
        <v>7.630231832272346E-3</v>
      </c>
      <c r="S15" s="268"/>
      <c r="T15" s="268"/>
      <c r="U15" s="268"/>
      <c r="V15" s="268"/>
      <c r="AA15" s="143"/>
      <c r="AB15" s="143"/>
      <c r="AF15" s="143"/>
      <c r="AG15" s="143"/>
      <c r="AH15" s="143"/>
      <c r="AI15" s="143"/>
      <c r="AJ15" s="143"/>
      <c r="AK15" s="143"/>
      <c r="AL15" s="143"/>
      <c r="AM15" s="268"/>
      <c r="AO15" s="143"/>
      <c r="AP15" s="143"/>
      <c r="AR15" s="52" t="s">
        <v>966</v>
      </c>
    </row>
    <row r="16" spans="1:45" ht="8.25" customHeight="1" x14ac:dyDescent="0.2">
      <c r="S16" s="143"/>
      <c r="T16" s="143"/>
      <c r="U16" s="143"/>
      <c r="V16" s="143"/>
      <c r="Z16" s="143"/>
      <c r="AM16" s="268"/>
      <c r="AN16" s="268"/>
      <c r="AR16" s="52"/>
    </row>
    <row r="17" spans="2:44" ht="15" customHeight="1" x14ac:dyDescent="0.2">
      <c r="B17" s="497" t="s">
        <v>846</v>
      </c>
      <c r="C17" s="49"/>
      <c r="D17" s="498"/>
      <c r="E17" s="520">
        <f>stemi_size*prob_test_order*prob_test_follow*prev_lof_base*prop_at_lof*(1-prob_mi_at-prob_stk_at-prob_dead_at)</f>
        <v>155.24139100312203</v>
      </c>
      <c r="F17" s="520"/>
      <c r="G17" s="520">
        <f>prob_test_order*prob_test_follow*prev_lof_base*prop_at_lof*(1-prob_mi_at-prob_stk_at-prob_dead_at)</f>
        <v>0.15524139100312204</v>
      </c>
      <c r="H17" s="521"/>
      <c r="I17" s="520">
        <f>ld_tica_180+((day_cost_asa + day_cost_tica)*md_328_day)</f>
        <v>649.98428571428576</v>
      </c>
      <c r="J17" s="520"/>
      <c r="K17" s="520">
        <f>c_poc_test + c_pci +c_drug_at_noevent_pc+ c_bleed_at+c_dys_at+c_noevent_tree</f>
        <v>5981.9550061641248</v>
      </c>
      <c r="L17" s="522"/>
      <c r="M17" s="521"/>
      <c r="N17" s="520">
        <f t="shared" ref="N17:N30" si="3">G17*K17</f>
        <v>928.6470160750082</v>
      </c>
      <c r="O17" s="520"/>
      <c r="P17" s="521">
        <f>u_noevent_tree - u_dec_bleed_at-u_dec_dys_at</f>
        <v>0.68558862018255562</v>
      </c>
      <c r="Q17" s="521"/>
      <c r="R17" s="521">
        <f t="shared" ref="R17:R29" si="4">G17*P17</f>
        <v>0.10643173105305104</v>
      </c>
      <c r="S17" s="143"/>
      <c r="T17" s="186" t="s">
        <v>1216</v>
      </c>
      <c r="U17" s="279">
        <f>G17+G21+G25</f>
        <v>0.73946937309542982</v>
      </c>
      <c r="V17" s="164"/>
      <c r="W17" s="279">
        <f>U17/U21</f>
        <v>0.85497672921196621</v>
      </c>
      <c r="Z17" s="264"/>
      <c r="AA17" s="264"/>
      <c r="AB17" s="264"/>
      <c r="AF17" s="264"/>
      <c r="AG17" s="264"/>
      <c r="AH17" s="264"/>
      <c r="AI17" s="277"/>
      <c r="AJ17" s="143"/>
      <c r="AK17" s="277"/>
      <c r="AL17" s="143"/>
      <c r="AM17" s="268"/>
      <c r="AN17" s="268"/>
      <c r="AO17" s="264"/>
      <c r="AP17" s="264"/>
      <c r="AQ17" t="s">
        <v>867</v>
      </c>
      <c r="AR17" s="52" t="s">
        <v>968</v>
      </c>
    </row>
    <row r="18" spans="2:44" x14ac:dyDescent="0.2">
      <c r="B18" s="497" t="s">
        <v>847</v>
      </c>
      <c r="C18" s="49"/>
      <c r="D18" s="498"/>
      <c r="E18" s="520">
        <f>stemi_size*prob_test_order*prob_test_follow*prev_lof_base*prop_at_lof*prob_mi_at</f>
        <v>9.8677081981918917</v>
      </c>
      <c r="F18" s="520"/>
      <c r="G18" s="520">
        <f>prob_test_order*prob_test_follow*prev_lof_base*prop_at_lof*prob_mi_at</f>
        <v>9.8677081981918928E-3</v>
      </c>
      <c r="H18" s="521"/>
      <c r="I18" s="520">
        <f>ld_tica_180+ (day_cost_asa + day_cost_tica)*md_365_day</f>
        <v>723.0857142857144</v>
      </c>
      <c r="J18" s="520"/>
      <c r="K18" s="520">
        <f>c_poc_test + c_pci + c_drug_at_mi_poc + c_bleed_at+ c_dys_at+c_mi_tree</f>
        <v>10849.765520690518</v>
      </c>
      <c r="L18" s="522"/>
      <c r="M18" s="521"/>
      <c r="N18" s="520">
        <f t="shared" si="3"/>
        <v>107.06232017697756</v>
      </c>
      <c r="O18" s="520"/>
      <c r="P18" s="521">
        <f>((u_noevent_tree*0.5)+(u_rinfar_tree*0.5 ))- u_dec_bleed_at-u_dec_dys_at</f>
        <v>0.65991479639505557</v>
      </c>
      <c r="Q18" s="521"/>
      <c r="R18" s="521">
        <f t="shared" si="4"/>
        <v>6.5118466464956235E-3</v>
      </c>
      <c r="S18" s="143"/>
      <c r="T18" s="186" t="s">
        <v>1217</v>
      </c>
      <c r="U18" s="279">
        <f>G18+G22+G26</f>
        <v>4.6675996820177035E-2</v>
      </c>
      <c r="V18" s="164"/>
      <c r="W18" s="279">
        <f>U18/U21</f>
        <v>5.3966928916842433E-2</v>
      </c>
      <c r="Z18" s="264"/>
      <c r="AA18" s="264"/>
      <c r="AB18" s="264"/>
      <c r="AF18" s="264"/>
      <c r="AG18" s="264"/>
      <c r="AH18" s="264"/>
      <c r="AI18" s="277"/>
      <c r="AJ18" s="143"/>
      <c r="AK18" s="164"/>
      <c r="AL18" s="143"/>
      <c r="AM18" s="268"/>
      <c r="AN18" s="264"/>
      <c r="AO18" s="264"/>
      <c r="AP18" s="264"/>
      <c r="AR18" s="52" t="s">
        <v>967</v>
      </c>
    </row>
    <row r="19" spans="2:44" x14ac:dyDescent="0.2">
      <c r="B19" s="497" t="s">
        <v>829</v>
      </c>
      <c r="C19" s="49"/>
      <c r="D19" s="498"/>
      <c r="E19" s="520">
        <f>stemi_size*prob_test_order*prob_test_follow*prev_lof_base*prop_at_lof*prob_stk_at</f>
        <v>2.5398671431117821</v>
      </c>
      <c r="F19" s="520"/>
      <c r="G19" s="520">
        <f>prob_test_order*prob_test_follow*prev_lof_base*prop_at_lof*prob_stk_at</f>
        <v>2.5398671431117819E-3</v>
      </c>
      <c r="H19" s="521"/>
      <c r="I19" s="520">
        <f>ld_tica_180+(day_cost_asa + day_cost_tica)*md_365_day</f>
        <v>723.0857142857144</v>
      </c>
      <c r="J19" s="520"/>
      <c r="K19" s="520">
        <f>c_poc_test + c_pci + c_drug_at_stk_poc + c_bleed_at+ c_dys_at+c_stk_tree</f>
        <v>22627.594491006505</v>
      </c>
      <c r="L19" s="522"/>
      <c r="M19" s="521"/>
      <c r="N19" s="520">
        <f t="shared" si="3"/>
        <v>57.471083775364583</v>
      </c>
      <c r="O19" s="520"/>
      <c r="P19" s="521">
        <f>((u_noevent_tree*0.5)+(u_stk_tree*0.5)) - u_dec_bleed_at-u_dec_dys_at</f>
        <v>0.62894319944505561</v>
      </c>
      <c r="Q19" s="521"/>
      <c r="R19" s="521">
        <f t="shared" si="4"/>
        <v>1.597432167154097E-3</v>
      </c>
      <c r="S19" s="143"/>
      <c r="T19" s="186" t="s">
        <v>1218</v>
      </c>
      <c r="U19" s="279">
        <f>G19+G23+G27</f>
        <v>1.0948711215419731E-2</v>
      </c>
      <c r="V19" s="164"/>
      <c r="W19" s="279">
        <f>U19/U21</f>
        <v>1.2658933073672942E-2</v>
      </c>
      <c r="Z19" s="264"/>
      <c r="AA19" s="264"/>
      <c r="AB19" s="264"/>
      <c r="AF19" s="264"/>
      <c r="AG19" s="264"/>
      <c r="AH19" s="264"/>
      <c r="AI19" s="277"/>
      <c r="AJ19" s="143"/>
      <c r="AK19" s="164"/>
      <c r="AL19" s="143"/>
      <c r="AM19" s="268"/>
      <c r="AN19" s="264"/>
      <c r="AO19" s="264"/>
      <c r="AP19" s="264"/>
      <c r="AR19" s="52" t="s">
        <v>968</v>
      </c>
    </row>
    <row r="20" spans="2:44" x14ac:dyDescent="0.2">
      <c r="B20" s="497" t="s">
        <v>830</v>
      </c>
      <c r="C20" s="49"/>
      <c r="D20" s="498"/>
      <c r="E20" s="520">
        <f>stemi_size*prob_test_order*prob_test_follow*prev_lof_base*prop_at_lof*prob_dead_at</f>
        <v>13.906943514729242</v>
      </c>
      <c r="F20" s="520"/>
      <c r="G20" s="520">
        <f>prob_test_order*prob_test_follow*prev_lof_base*prop_at_lof*prob_dead_at</f>
        <v>1.3906943514729243E-2</v>
      </c>
      <c r="H20" s="521"/>
      <c r="I20" s="520">
        <f>ld_tica_180 + (day_cost_asa + day_cost_tica)* md_halfway</f>
        <v>362.51785714285717</v>
      </c>
      <c r="J20" s="520"/>
      <c r="K20" s="520">
        <f>c_poc_test + c_pci + c_drug_at_dead_poc + c_bleed_at+ c_dys_at+c_dead_tree</f>
        <v>5117.7549668458196</v>
      </c>
      <c r="L20" s="522"/>
      <c r="M20" s="521"/>
      <c r="N20" s="520">
        <f t="shared" si="3"/>
        <v>71.172329246149843</v>
      </c>
      <c r="O20" s="520"/>
      <c r="P20" s="521">
        <f>(u_noevent_tree*0.5)- u_dec_bleed_at-u_dec_dys_at</f>
        <v>0.34245592765755556</v>
      </c>
      <c r="Q20" s="521"/>
      <c r="R20" s="521">
        <f t="shared" si="4"/>
        <v>4.7625152422178293E-3</v>
      </c>
      <c r="S20" s="143"/>
      <c r="T20" s="186" t="s">
        <v>1219</v>
      </c>
      <c r="U20" s="279">
        <f>G20+G24+G28</f>
        <v>6.7805918868973636E-2</v>
      </c>
      <c r="V20" s="164"/>
      <c r="W20" s="279">
        <f>U20/U21</f>
        <v>7.8397408797518345E-2</v>
      </c>
      <c r="Z20" s="264"/>
      <c r="AA20" s="264"/>
      <c r="AB20" s="264"/>
      <c r="AC20" s="264"/>
      <c r="AD20" s="264"/>
      <c r="AE20" s="264"/>
      <c r="AF20" s="264"/>
      <c r="AG20" s="264"/>
      <c r="AH20" s="264"/>
      <c r="AI20" s="277"/>
      <c r="AJ20" s="143"/>
      <c r="AK20" s="164"/>
      <c r="AL20" s="143"/>
      <c r="AM20" s="268"/>
      <c r="AN20" s="264"/>
      <c r="AO20" s="264"/>
      <c r="AP20" s="264"/>
      <c r="AR20" s="52" t="s">
        <v>969</v>
      </c>
    </row>
    <row r="21" spans="2:44" x14ac:dyDescent="0.2">
      <c r="B21" s="499" t="s">
        <v>831</v>
      </c>
      <c r="C21" s="500"/>
      <c r="D21" s="501"/>
      <c r="E21" s="523">
        <f>stemi_size*prob_test_order*prob_test_follow*prev_lof_base*(prop_ap_lof)*(1-prob_mi_ap-prob_stk_ap-prob_dead_ap)</f>
        <v>63.363305746638829</v>
      </c>
      <c r="F21" s="523"/>
      <c r="G21" s="523">
        <f>prob_test_order*prob_test_follow*prev_lof_base*(prop_ap_lof)*(1-prob_mi_ap-prob_stk_ap-prob_dead_ap)</f>
        <v>6.3363305746638829E-2</v>
      </c>
      <c r="H21" s="524"/>
      <c r="I21" s="523">
        <f>ld_pras_60+(day_cost_asa + day_cost_pras)*md_328_day</f>
        <v>106.09857142857143</v>
      </c>
      <c r="J21" s="523"/>
      <c r="K21" s="523">
        <f>c_poc_test + c_pci +c_drug_ap_noevent_pc+ c_bleed_ap+ c_dys_ap+c_noevent_tree</f>
        <v>5463.498094866557</v>
      </c>
      <c r="L21" s="525"/>
      <c r="M21" s="524"/>
      <c r="N21" s="523">
        <f t="shared" si="3"/>
        <v>346.18530023120843</v>
      </c>
      <c r="O21" s="523"/>
      <c r="P21" s="524">
        <f>u_noevent_tree - u_dec_bleed_ap-u_dec_dys_ap</f>
        <v>0.68573983802403404</v>
      </c>
      <c r="Q21" s="524"/>
      <c r="R21" s="524">
        <f t="shared" si="4"/>
        <v>4.3450743019367459E-2</v>
      </c>
      <c r="S21" s="143"/>
      <c r="T21" s="143"/>
      <c r="U21" s="279">
        <f>U17+U18+U19+U20</f>
        <v>0.86490000000000022</v>
      </c>
      <c r="V21" s="143"/>
      <c r="W21" s="279">
        <f>W17+W18+W19+W20</f>
        <v>0.99999999999999989</v>
      </c>
      <c r="Z21" s="264"/>
      <c r="AA21" s="264"/>
      <c r="AB21" s="264"/>
      <c r="AC21" s="264"/>
      <c r="AD21" s="264"/>
      <c r="AE21" s="264"/>
      <c r="AF21" s="264"/>
      <c r="AG21" s="264"/>
      <c r="AH21" s="264"/>
      <c r="AI21" s="277"/>
      <c r="AJ21" s="143"/>
      <c r="AK21" s="277"/>
      <c r="AL21" s="143"/>
      <c r="AM21" s="268"/>
      <c r="AN21" s="264"/>
      <c r="AO21" s="264"/>
      <c r="AP21" s="264"/>
      <c r="AR21" s="52" t="s">
        <v>971</v>
      </c>
    </row>
    <row r="22" spans="2:44" x14ac:dyDescent="0.2">
      <c r="B22" s="499" t="s">
        <v>852</v>
      </c>
      <c r="C22" s="502"/>
      <c r="D22" s="501"/>
      <c r="E22" s="523">
        <f>stemi_size*prob_test_order*prob_test_follow*prev_lof_base*(prop_ap_lof)*prob_mi_ap</f>
        <v>3.7616622601794525</v>
      </c>
      <c r="F22" s="523"/>
      <c r="G22" s="523">
        <f>prob_test_order*prob_test_follow*prev_lof_base*(prop_ap_lof)*prob_mi_ap</f>
        <v>3.7616622601794525E-3</v>
      </c>
      <c r="H22" s="524"/>
      <c r="I22" s="523">
        <f>ld_pras_60+(day_cost_asa + day_cost_pras)*md_365_day</f>
        <v>117.90223214285714</v>
      </c>
      <c r="J22" s="523"/>
      <c r="K22" s="523">
        <f>c_poc_test + c_pci +c_drug_ap_mi_poc+ c_bleed_ap+ c_dys_ap+c_mi_tree</f>
        <v>10270.010841535808</v>
      </c>
      <c r="L22" s="525"/>
      <c r="M22" s="524"/>
      <c r="N22" s="523">
        <f t="shared" si="3"/>
        <v>38.63231219423907</v>
      </c>
      <c r="O22" s="523"/>
      <c r="P22" s="524">
        <f>((u_noevent_tree*0.5)+(u_rinfar_tree*0.5 ))- u_dec_bleed_ap-u_dec_dys_ap</f>
        <v>0.66006601423653399</v>
      </c>
      <c r="Q22" s="524"/>
      <c r="R22" s="524">
        <f t="shared" si="4"/>
        <v>2.482945414980643E-3</v>
      </c>
      <c r="S22" s="143"/>
      <c r="T22" s="143"/>
      <c r="U22" s="143"/>
      <c r="V22" s="143"/>
      <c r="Z22" s="264"/>
      <c r="AA22" s="264"/>
      <c r="AB22" s="264"/>
      <c r="AC22" s="264"/>
      <c r="AD22" s="264"/>
      <c r="AE22" s="264"/>
      <c r="AF22" s="264"/>
      <c r="AG22" s="264"/>
      <c r="AH22" s="264"/>
      <c r="AI22" s="277"/>
      <c r="AJ22" s="143"/>
      <c r="AK22" s="164"/>
      <c r="AL22" s="143"/>
      <c r="AM22" s="268"/>
      <c r="AN22" s="264"/>
      <c r="AO22" s="264"/>
      <c r="AP22" s="264"/>
      <c r="AR22" s="52" t="s">
        <v>970</v>
      </c>
    </row>
    <row r="23" spans="2:44" x14ac:dyDescent="0.2">
      <c r="B23" s="499" t="s">
        <v>832</v>
      </c>
      <c r="C23" s="502"/>
      <c r="D23" s="501"/>
      <c r="E23" s="523">
        <f>stemi_size*prob_test_order*prob_test_follow*prev_lof_base*(prop_ap_lof)*prob_stk_ap</f>
        <v>0.86933779230794828</v>
      </c>
      <c r="F23" s="523"/>
      <c r="G23" s="523">
        <f>prob_test_order*prob_test_follow*prev_lof_base*(prop_ap_lof)*prob_stk_ap</f>
        <v>8.6933779230794828E-4</v>
      </c>
      <c r="H23" s="524"/>
      <c r="I23" s="523">
        <f>ld_pras_60+(day_cost_asa + day_cost_pras)*md_365_day</f>
        <v>117.90223214285714</v>
      </c>
      <c r="J23" s="523"/>
      <c r="K23" s="523">
        <f>c_poc_test + c_pci +c_drug_ap_stk_poc+ c_bleed_ap+ c_dys_ap+c_stk_tree</f>
        <v>22047.839811851794</v>
      </c>
      <c r="L23" s="525"/>
      <c r="M23" s="524"/>
      <c r="N23" s="523">
        <f t="shared" si="3"/>
        <v>19.16702038719453</v>
      </c>
      <c r="O23" s="523"/>
      <c r="P23" s="524">
        <f>((u_noevent_tree*0.5)+(u_stk_tree*0.5)) - u_dec_bleed_ap-u_dec_dys_ap</f>
        <v>0.62909441728653404</v>
      </c>
      <c r="Q23" s="524"/>
      <c r="R23" s="524">
        <f t="shared" si="4"/>
        <v>5.4689555187713062E-4</v>
      </c>
      <c r="S23" s="143"/>
      <c r="T23" s="143"/>
      <c r="U23" s="143"/>
      <c r="V23" s="143"/>
      <c r="Z23" s="264"/>
      <c r="AA23" s="264"/>
      <c r="AB23" s="264"/>
      <c r="AC23" s="264"/>
      <c r="AD23" s="264"/>
      <c r="AE23" s="264"/>
      <c r="AF23" s="264"/>
      <c r="AG23" s="264"/>
      <c r="AH23" s="264"/>
      <c r="AI23" s="277"/>
      <c r="AJ23" s="143"/>
      <c r="AK23" s="164"/>
      <c r="AL23" s="143"/>
      <c r="AM23" s="268"/>
      <c r="AN23" s="264"/>
      <c r="AO23" s="264"/>
      <c r="AP23" s="264"/>
      <c r="AR23" s="52" t="s">
        <v>972</v>
      </c>
    </row>
    <row r="24" spans="2:44" x14ac:dyDescent="0.2">
      <c r="B24" s="499" t="s">
        <v>833</v>
      </c>
      <c r="C24" s="502"/>
      <c r="D24" s="501"/>
      <c r="E24" s="523">
        <f>stemi_size*prob_test_order*prob_test_follow*prev_lof_base*(prop_ap_lof)*prob_dead_ap</f>
        <v>7.3250843417188474</v>
      </c>
      <c r="F24" s="523"/>
      <c r="G24" s="523">
        <f>prob_test_order*prob_test_follow*prev_lof_base*(prop_ap_lof)*prob_dead_ap</f>
        <v>7.3250843417188476E-3</v>
      </c>
      <c r="H24" s="524"/>
      <c r="I24" s="523">
        <f>ld_pras_60+(day_cost_asa + day_cost_pras)*md_halfway</f>
        <v>59.681473214285717</v>
      </c>
      <c r="J24" s="523"/>
      <c r="K24" s="526">
        <f>c_poc_test + c_pci +c_drug_ap_dead_poc+ c_bleed_ap+ c_dys_ap+c_dead_tree</f>
        <v>4840.3473859053938</v>
      </c>
      <c r="L24" s="525"/>
      <c r="M24" s="524"/>
      <c r="N24" s="523">
        <f t="shared" si="3"/>
        <v>35.455952844975357</v>
      </c>
      <c r="O24" s="523"/>
      <c r="P24" s="524">
        <f>(u_noevent_tree*0.5)- u_dec_bleed_ap-u_dec_dys_ap</f>
        <v>0.34260714549903398</v>
      </c>
      <c r="Q24" s="524"/>
      <c r="R24" s="524">
        <f t="shared" si="4"/>
        <v>2.5096262368559646E-3</v>
      </c>
      <c r="S24" s="143"/>
      <c r="T24" s="143"/>
      <c r="U24" s="143"/>
      <c r="V24" s="143"/>
      <c r="Z24" s="264"/>
      <c r="AA24" s="264"/>
      <c r="AB24" s="264"/>
      <c r="AC24" s="264"/>
      <c r="AD24" s="264"/>
      <c r="AE24" s="264"/>
      <c r="AF24" s="264"/>
      <c r="AG24" s="264"/>
      <c r="AH24" s="264"/>
      <c r="AI24" s="277"/>
      <c r="AJ24" s="143"/>
      <c r="AK24" s="164"/>
      <c r="AL24" s="143"/>
      <c r="AM24" s="268"/>
      <c r="AN24" s="264"/>
      <c r="AO24" s="264"/>
      <c r="AP24" s="264"/>
      <c r="AR24" s="52" t="s">
        <v>970</v>
      </c>
    </row>
    <row r="25" spans="2:44" x14ac:dyDescent="0.2">
      <c r="B25" s="503" t="s">
        <v>834</v>
      </c>
      <c r="C25" s="353"/>
      <c r="D25" s="504"/>
      <c r="E25" s="527">
        <f>stemi_size*prob_test_order*prob_test_follow*(1-prev_lof_base)*(1-prob_mi_ac_nlof-prob_stk_ac_nlof-prob_dead_ac_nlof)</f>
        <v>520.86467634566895</v>
      </c>
      <c r="F25" s="527"/>
      <c r="G25" s="527">
        <f>prob_test_order*prob_test_follow*(1-prev_lof_base)*(1-prob_mi_ac_nlof-prob_stk_ac_nlof-prob_dead_ac_nlof)</f>
        <v>0.52086467634566891</v>
      </c>
      <c r="H25" s="351"/>
      <c r="I25" s="527">
        <f>ld_clop_600+(day_cost_asa + day_cost_clop)*md_328_day</f>
        <v>21.754285714285718</v>
      </c>
      <c r="J25" s="527"/>
      <c r="K25" s="527">
        <f>c_poc_test + c_pci +c_drug_ac_noevent_poc+ c_bleed_ac+c_dys_ac+c_noevent_tree</f>
        <v>5344.8903556426067</v>
      </c>
      <c r="L25" s="350"/>
      <c r="M25" s="351"/>
      <c r="N25" s="527">
        <f t="shared" si="3"/>
        <v>2783.9645851948735</v>
      </c>
      <c r="O25" s="527"/>
      <c r="P25" s="351">
        <f>u_noevent_tree - u_dec_bleed_ac-u_dec_dys_ac</f>
        <v>0.68581428565273972</v>
      </c>
      <c r="Q25" s="351"/>
      <c r="R25" s="351">
        <f t="shared" si="4"/>
        <v>0.35721643592975039</v>
      </c>
      <c r="S25" s="143"/>
      <c r="T25" s="143"/>
      <c r="U25" s="143"/>
      <c r="V25" s="143"/>
      <c r="Z25" s="143"/>
      <c r="AA25" s="143"/>
      <c r="AB25" s="143"/>
      <c r="AC25" s="143"/>
      <c r="AD25" s="143"/>
      <c r="AE25" s="143"/>
      <c r="AF25" s="143"/>
      <c r="AG25" s="143"/>
      <c r="AH25" s="143"/>
      <c r="AI25" s="143"/>
      <c r="AJ25" s="143"/>
      <c r="AK25" s="143"/>
      <c r="AL25" s="143"/>
      <c r="AM25" s="143"/>
      <c r="AN25" s="143"/>
      <c r="AO25" s="143"/>
      <c r="AP25" s="143"/>
      <c r="AR25" s="52" t="s">
        <v>973</v>
      </c>
    </row>
    <row r="26" spans="2:44" x14ac:dyDescent="0.2">
      <c r="B26" s="503" t="s">
        <v>835</v>
      </c>
      <c r="C26" s="353"/>
      <c r="D26" s="504"/>
      <c r="E26" s="527">
        <f>stemi_size*prob_test_order*prob_test_follow*(1-prev_lof_base)*prob_mi_ac_nlof</f>
        <v>33.046626361805693</v>
      </c>
      <c r="F26" s="527"/>
      <c r="G26" s="527">
        <f>prob_test_order*prob_test_follow*(1-prev_lof_base)*prob_mi_ac_nlof</f>
        <v>3.3046626361805685E-2</v>
      </c>
      <c r="H26" s="351"/>
      <c r="I26" s="527">
        <f>ld_clop_600+(day_cost_asa + day_cost_clop)*md_365_day</f>
        <v>24.172500000000003</v>
      </c>
      <c r="J26" s="527"/>
      <c r="K26" s="527">
        <f>c_poc_test+ c_pci +c_drug_ac_mi_poc+ c_bleed_ac+ c_dys_ac+c_mi_tree</f>
        <v>10142.017655883286</v>
      </c>
      <c r="L26" s="350"/>
      <c r="M26" s="351"/>
      <c r="N26" s="527">
        <f t="shared" si="3"/>
        <v>335.15946802881132</v>
      </c>
      <c r="O26" s="527"/>
      <c r="P26" s="351">
        <f>((u_noevent_tree*0.5)+(u_rinfar_tree*0.5 ))- u_dec_bleed_ac-u_dec_dys_ac</f>
        <v>0.66014046186523967</v>
      </c>
      <c r="Q26" s="351"/>
      <c r="R26" s="351">
        <f>G26*P26</f>
        <v>2.1815415189570409E-2</v>
      </c>
      <c r="S26" s="143"/>
      <c r="T26" s="143"/>
      <c r="U26" s="143"/>
      <c r="V26" s="143"/>
      <c r="Z26" s="143"/>
      <c r="AA26" s="143"/>
      <c r="AB26" s="143"/>
      <c r="AC26" s="143"/>
      <c r="AD26" s="143"/>
      <c r="AE26" s="143"/>
      <c r="AF26" s="143"/>
      <c r="AG26" s="143"/>
      <c r="AH26" s="143"/>
      <c r="AI26" s="143"/>
      <c r="AJ26" s="143"/>
      <c r="AK26" s="143"/>
      <c r="AL26" s="143"/>
      <c r="AM26" s="143"/>
      <c r="AN26" s="143"/>
      <c r="AO26" s="143"/>
      <c r="AP26" s="143"/>
      <c r="AR26" s="52" t="s">
        <v>974</v>
      </c>
    </row>
    <row r="27" spans="2:44" x14ac:dyDescent="0.2">
      <c r="B27" s="503" t="s">
        <v>836</v>
      </c>
      <c r="C27" s="353"/>
      <c r="D27" s="504"/>
      <c r="E27" s="527">
        <f>stemi_size*prob_test_order*prob_test_follow*(1-prev_lof_base)*prob_stk_ac_nlof</f>
        <v>7.5395062800000021</v>
      </c>
      <c r="F27" s="527"/>
      <c r="G27" s="527">
        <f>prob_test_order*prob_test_follow*(1-prev_lof_base)*prob_stk_ac_nlof</f>
        <v>7.5395062800000011E-3</v>
      </c>
      <c r="H27" s="351"/>
      <c r="I27" s="527">
        <f>ld_clop_600+(day_cost_asa + day_cost_clop)*md_365_day</f>
        <v>24.172500000000003</v>
      </c>
      <c r="J27" s="527"/>
      <c r="K27" s="527">
        <f>c_poc_test + c_pci +c_drug_ac_stk_poc+ c_bleed_ac+ c_dys_ac+c_stk_tree</f>
        <v>21919.846626199273</v>
      </c>
      <c r="L27" s="350"/>
      <c r="M27" s="351"/>
      <c r="N27" s="527">
        <f t="shared" si="3"/>
        <v>165.26482129486627</v>
      </c>
      <c r="O27" s="527"/>
      <c r="P27" s="351">
        <f>((u_noevent_tree*0.5)+(u_stk_tree*0.5)) - u_dec_bleed_ac-u_dec_dys_ac</f>
        <v>0.62916886491523971</v>
      </c>
      <c r="Q27" s="351"/>
      <c r="R27" s="351">
        <f t="shared" si="4"/>
        <v>4.7436226082089219E-3</v>
      </c>
      <c r="S27" s="143"/>
      <c r="T27" s="143"/>
      <c r="U27" s="143"/>
      <c r="V27" s="143"/>
      <c r="Z27" s="143"/>
      <c r="AA27" s="143"/>
      <c r="AB27" s="143"/>
      <c r="AC27" s="143"/>
      <c r="AD27" s="143"/>
      <c r="AE27" s="143"/>
      <c r="AF27" s="143"/>
      <c r="AG27" s="143"/>
      <c r="AH27" s="143"/>
      <c r="AI27" s="143"/>
      <c r="AJ27" s="143"/>
      <c r="AK27" s="143"/>
      <c r="AL27" s="143"/>
      <c r="AM27" s="143"/>
      <c r="AN27" s="143"/>
      <c r="AO27" s="143"/>
      <c r="AP27" s="143"/>
      <c r="AR27" s="52" t="s">
        <v>974</v>
      </c>
    </row>
    <row r="28" spans="2:44" x14ac:dyDescent="0.2">
      <c r="B28" s="503" t="s">
        <v>837</v>
      </c>
      <c r="C28" s="353"/>
      <c r="D28" s="504"/>
      <c r="E28" s="527">
        <f>stemi_size*prob_test_order*prob_test_follow*(1-prev_lof_base)*prob_dead_ac_nlof</f>
        <v>46.57389101252555</v>
      </c>
      <c r="F28" s="527"/>
      <c r="G28" s="527">
        <f>prob_test_order*prob_test_follow*(1-prev_lof_base)*prob_dead_ac_nlof</f>
        <v>4.6573891012525542E-2</v>
      </c>
      <c r="H28" s="351"/>
      <c r="I28" s="527">
        <f>ld_clop_600+(day_cost_asa + day_cost_clop)*md_halfway</f>
        <v>12.244821428571429</v>
      </c>
      <c r="J28" s="527"/>
      <c r="K28" s="527">
        <f>c_poc_test + c_pci +c_drug_ac_dead_poc+ c_bleed_ac+ c_dys_ac+c_dead_tree</f>
        <v>4758.6472806100155</v>
      </c>
      <c r="L28" s="350"/>
      <c r="M28" s="351"/>
      <c r="N28" s="527">
        <f t="shared" si="3"/>
        <v>221.62871981418192</v>
      </c>
      <c r="O28" s="527"/>
      <c r="P28" s="351">
        <f>(u_noevent_tree*0.5)- u_dec_bleed_ac-u_dec_dys_ac</f>
        <v>0.34268159312773971</v>
      </c>
      <c r="Q28" s="351"/>
      <c r="R28" s="351">
        <f t="shared" si="4"/>
        <v>1.596001517032997E-2</v>
      </c>
      <c r="S28" s="143"/>
      <c r="T28" s="143"/>
      <c r="U28" s="143"/>
      <c r="V28" s="143"/>
      <c r="Z28" s="143"/>
      <c r="AA28" s="143"/>
      <c r="AB28" s="143"/>
      <c r="AC28" s="143"/>
      <c r="AD28" s="143"/>
      <c r="AE28" s="143"/>
      <c r="AF28" s="143"/>
      <c r="AG28" s="143"/>
      <c r="AH28" s="143"/>
      <c r="AI28" s="143"/>
      <c r="AJ28" s="143"/>
      <c r="AK28" s="143"/>
      <c r="AL28" s="143"/>
      <c r="AM28" s="143"/>
      <c r="AN28" s="143"/>
      <c r="AO28" s="143"/>
      <c r="AP28" s="143"/>
      <c r="AR28" s="52" t="s">
        <v>975</v>
      </c>
    </row>
    <row r="29" spans="2:44" x14ac:dyDescent="0.2">
      <c r="B29" s="505" t="s">
        <v>851</v>
      </c>
      <c r="C29" s="506"/>
      <c r="D29" s="507"/>
      <c r="E29" s="528">
        <f>stemi_size*(prob_test_order)*(1-prob_test_follow)</f>
        <v>65.099999999999952</v>
      </c>
      <c r="F29" s="528"/>
      <c r="G29" s="528">
        <f>prob_test_order*(1-prob_test_follow)</f>
        <v>6.5099999999999963E-2</v>
      </c>
      <c r="H29" s="529"/>
      <c r="I29" s="528" t="s">
        <v>350</v>
      </c>
      <c r="J29" s="528"/>
      <c r="K29" s="528">
        <f>c_poc_test+c_st_tree</f>
        <v>6148.0185979710986</v>
      </c>
      <c r="L29" s="507"/>
      <c r="M29" s="529"/>
      <c r="N29" s="528">
        <f t="shared" si="3"/>
        <v>400.23601072791831</v>
      </c>
      <c r="O29" s="528"/>
      <c r="P29" s="529">
        <f>qaly_st_tree</f>
        <v>0.65404087040372982</v>
      </c>
      <c r="Q29" s="529"/>
      <c r="R29" s="529">
        <f t="shared" si="4"/>
        <v>4.2578060663282791E-2</v>
      </c>
    </row>
    <row r="30" spans="2:44" ht="16" customHeight="1" x14ac:dyDescent="0.2">
      <c r="B30" s="508" t="s">
        <v>977</v>
      </c>
      <c r="C30" s="509"/>
      <c r="D30" s="509"/>
      <c r="E30" s="530">
        <f>stemi_size*(1-prob_test_order)</f>
        <v>69.999999999999957</v>
      </c>
      <c r="F30" s="530"/>
      <c r="G30" s="530">
        <f>1-prob_test_order</f>
        <v>6.9999999999999951E-2</v>
      </c>
      <c r="H30" s="531"/>
      <c r="I30" s="530" t="s">
        <v>350</v>
      </c>
      <c r="J30" s="530"/>
      <c r="K30" s="530">
        <f>c_st_tree</f>
        <v>6023.0185979710986</v>
      </c>
      <c r="L30" s="509"/>
      <c r="M30" s="531"/>
      <c r="N30" s="530">
        <f t="shared" si="3"/>
        <v>421.61130185797663</v>
      </c>
      <c r="O30" s="530"/>
      <c r="P30" s="531">
        <f>qaly_st_tree</f>
        <v>0.65404087040372982</v>
      </c>
      <c r="Q30" s="531"/>
      <c r="R30" s="531">
        <f t="shared" ref="R30" si="5">G30*P30</f>
        <v>4.5782860928261053E-2</v>
      </c>
    </row>
    <row r="32" spans="2:44" x14ac:dyDescent="0.2">
      <c r="B32" s="163"/>
      <c r="C32" s="163"/>
    </row>
    <row r="33" spans="2:43" x14ac:dyDescent="0.2">
      <c r="G33" s="164">
        <f>SUM(G17:G28)</f>
        <v>0.86490000000000011</v>
      </c>
      <c r="I33">
        <f>prop_at_lof</f>
        <v>0.70678617157490398</v>
      </c>
      <c r="M33"/>
      <c r="N33" s="3">
        <f>day_cost_asa + day_cost_tica</f>
        <v>1.9757142857142858</v>
      </c>
      <c r="Y33" s="271"/>
      <c r="Z33" s="271"/>
      <c r="AD33" s="277"/>
      <c r="AF33" s="277"/>
      <c r="AG33" s="277"/>
      <c r="AH33" s="120"/>
      <c r="AI33" s="120"/>
      <c r="AJ33" s="120"/>
      <c r="AK33" s="120"/>
      <c r="AL33" s="120"/>
      <c r="AM33" s="120"/>
      <c r="AN33" s="120"/>
      <c r="AO33" s="120"/>
      <c r="AP33" s="120"/>
      <c r="AQ33" s="271"/>
    </row>
    <row r="34" spans="2:43" x14ac:dyDescent="0.2">
      <c r="B34" s="163"/>
      <c r="C34" s="163"/>
      <c r="I34">
        <f>prob_test_follow</f>
        <v>0.93</v>
      </c>
      <c r="W34" s="271"/>
      <c r="X34" s="271"/>
    </row>
    <row r="35" spans="2:43" x14ac:dyDescent="0.2">
      <c r="I35">
        <f>prob_test_order</f>
        <v>0.93</v>
      </c>
      <c r="N35" s="3">
        <f>c_dys_pp</f>
        <v>44.5</v>
      </c>
      <c r="R35" s="3">
        <f>G26*P26</f>
        <v>2.1815415189570409E-2</v>
      </c>
      <c r="AA35" s="143"/>
      <c r="AB35" s="143"/>
      <c r="AC35" s="143"/>
      <c r="AD35" s="143"/>
      <c r="AE35" s="143"/>
      <c r="AF35" s="143"/>
      <c r="AG35" s="143"/>
    </row>
    <row r="36" spans="2:43" x14ac:dyDescent="0.2">
      <c r="G36" s="3">
        <f>u_stk_tree</f>
        <v>0.57297454357499999</v>
      </c>
      <c r="AA36" s="143"/>
      <c r="AB36" s="143"/>
      <c r="AC36" s="143"/>
      <c r="AD36" s="143"/>
      <c r="AE36" s="143"/>
      <c r="AF36" s="143"/>
      <c r="AG36" s="143"/>
    </row>
    <row r="37" spans="2:43" x14ac:dyDescent="0.2">
      <c r="N37" s="3">
        <f>c_poc_test + c_pci +c_bleed_at+c_dys_at+c_noevent_tree</f>
        <v>5331.9707204498391</v>
      </c>
      <c r="R37" s="164">
        <f>R26</f>
        <v>2.1815415189570409E-2</v>
      </c>
      <c r="AA37" s="143"/>
      <c r="AB37" s="143"/>
      <c r="AC37" s="143"/>
      <c r="AD37" s="143"/>
      <c r="AE37" s="143"/>
      <c r="AF37" s="143"/>
      <c r="AG37" s="143"/>
    </row>
    <row r="38" spans="2:43" x14ac:dyDescent="0.2">
      <c r="B38" s="163"/>
      <c r="C38" s="163"/>
      <c r="AA38" s="143"/>
      <c r="AB38" s="143"/>
      <c r="AC38" s="143"/>
      <c r="AD38" s="143"/>
      <c r="AE38" s="143"/>
      <c r="AF38" s="143"/>
      <c r="AG38" s="143"/>
    </row>
    <row r="39" spans="2:43" x14ac:dyDescent="0.2">
      <c r="AA39" s="143"/>
      <c r="AB39" s="143"/>
      <c r="AC39" s="143"/>
      <c r="AD39" s="143"/>
      <c r="AE39" s="143"/>
      <c r="AF39" s="143"/>
      <c r="AG39" s="143"/>
    </row>
    <row r="40" spans="2:43" x14ac:dyDescent="0.2">
      <c r="B40" s="163"/>
      <c r="C40" s="163"/>
      <c r="AA40" s="143"/>
      <c r="AB40" s="143"/>
      <c r="AC40" s="143"/>
      <c r="AD40" s="143"/>
      <c r="AE40" s="143"/>
      <c r="AF40" s="143"/>
      <c r="AG40" s="143"/>
    </row>
    <row r="41" spans="2:43" x14ac:dyDescent="0.2">
      <c r="AA41" s="143"/>
      <c r="AB41" s="143"/>
      <c r="AC41" s="143"/>
      <c r="AD41" s="143"/>
      <c r="AE41" s="143"/>
      <c r="AF41" s="143"/>
      <c r="AG41" s="143"/>
    </row>
    <row r="42" spans="2:43" x14ac:dyDescent="0.2">
      <c r="B42" s="163"/>
      <c r="C42" s="163"/>
    </row>
    <row r="44" spans="2:43" x14ac:dyDescent="0.2">
      <c r="B44" s="163"/>
      <c r="C44" s="163"/>
    </row>
    <row r="46" spans="2:43" x14ac:dyDescent="0.2">
      <c r="B46" s="163"/>
      <c r="C46" s="163"/>
    </row>
    <row r="48" spans="2:43" x14ac:dyDescent="0.2">
      <c r="B48" s="163"/>
      <c r="C48" s="163"/>
    </row>
    <row r="50" spans="2:3" x14ac:dyDescent="0.2">
      <c r="B50" s="163"/>
      <c r="C50" s="163"/>
    </row>
    <row r="52" spans="2:3" x14ac:dyDescent="0.2">
      <c r="B52" s="163"/>
      <c r="C52" s="163"/>
    </row>
    <row r="54" spans="2:3" x14ac:dyDescent="0.2">
      <c r="B54" s="163"/>
      <c r="C54" s="163"/>
    </row>
    <row r="56" spans="2:3" x14ac:dyDescent="0.2">
      <c r="B56" s="163"/>
      <c r="C56" s="163"/>
    </row>
    <row r="58" spans="2:3" x14ac:dyDescent="0.2">
      <c r="B58" s="163"/>
      <c r="C58" s="163"/>
    </row>
    <row r="60" spans="2:3" x14ac:dyDescent="0.2">
      <c r="B60" s="163"/>
      <c r="C60" s="163"/>
    </row>
    <row r="62" spans="2:3" x14ac:dyDescent="0.2">
      <c r="B62" s="163"/>
      <c r="C62" s="163"/>
    </row>
    <row r="64" spans="2:3" x14ac:dyDescent="0.2">
      <c r="B64" s="163"/>
      <c r="C64" s="163"/>
    </row>
    <row r="66" spans="2:3" x14ac:dyDescent="0.2">
      <c r="B66" s="163"/>
      <c r="C66" s="163"/>
    </row>
    <row r="68" spans="2:3" x14ac:dyDescent="0.2">
      <c r="B68" s="163"/>
      <c r="C68" s="163"/>
    </row>
    <row r="70" spans="2:3" x14ac:dyDescent="0.2">
      <c r="B70" s="163"/>
      <c r="C70" s="163"/>
    </row>
    <row r="72" spans="2:3" x14ac:dyDescent="0.2">
      <c r="B72" s="163"/>
      <c r="C72" s="163"/>
    </row>
    <row r="74" spans="2:3" x14ac:dyDescent="0.2">
      <c r="B74" s="163"/>
      <c r="C74" s="163"/>
    </row>
    <row r="76" spans="2:3" x14ac:dyDescent="0.2">
      <c r="B76" s="163"/>
      <c r="C76" s="163"/>
    </row>
    <row r="78" spans="2:3" x14ac:dyDescent="0.2">
      <c r="B78" s="163"/>
      <c r="C78" s="163"/>
    </row>
    <row r="80" spans="2:3" x14ac:dyDescent="0.2">
      <c r="B80" s="163"/>
      <c r="C80" s="163"/>
    </row>
    <row r="82" spans="2:3" x14ac:dyDescent="0.2">
      <c r="B82" s="163"/>
      <c r="C82" s="163"/>
    </row>
    <row r="84" spans="2:3" x14ac:dyDescent="0.2">
      <c r="B84" s="163"/>
      <c r="C84" s="163"/>
    </row>
    <row r="86" spans="2:3" x14ac:dyDescent="0.2">
      <c r="B86" s="163"/>
      <c r="C86" s="163"/>
    </row>
    <row r="88" spans="2:3" x14ac:dyDescent="0.2">
      <c r="B88" s="163"/>
      <c r="C88" s="163"/>
    </row>
    <row r="90" spans="2:3" x14ac:dyDescent="0.2">
      <c r="B90" s="163"/>
      <c r="C90" s="163"/>
    </row>
    <row r="92" spans="2:3" x14ac:dyDescent="0.2">
      <c r="B92" s="163"/>
      <c r="C92" s="163"/>
    </row>
    <row r="94" spans="2:3" x14ac:dyDescent="0.2">
      <c r="B94" s="163"/>
      <c r="C94" s="163"/>
    </row>
    <row r="96" spans="2:3" x14ac:dyDescent="0.2">
      <c r="B96" s="163"/>
      <c r="C96" s="163"/>
    </row>
    <row r="98" spans="2:3" x14ac:dyDescent="0.2">
      <c r="B98" s="163"/>
      <c r="C98" s="163"/>
    </row>
    <row r="100" spans="2:3" x14ac:dyDescent="0.2">
      <c r="B100" s="163"/>
      <c r="C100" s="163"/>
    </row>
    <row r="102" spans="2:3" x14ac:dyDescent="0.2">
      <c r="B102" s="163"/>
      <c r="C102" s="163"/>
    </row>
    <row r="104" spans="2:3" x14ac:dyDescent="0.2">
      <c r="B104" s="163"/>
      <c r="C104" s="163"/>
    </row>
    <row r="106" spans="2:3" x14ac:dyDescent="0.2">
      <c r="B106" s="163"/>
      <c r="C106" s="163"/>
    </row>
  </sheetData>
  <phoneticPr fontId="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2C9B6-7642-4109-8AD1-4B6F55099A2B}">
  <dimension ref="B1:DZ382"/>
  <sheetViews>
    <sheetView showGridLines="0" tabSelected="1" topLeftCell="CB1" zoomScale="163" zoomScaleNormal="85" workbookViewId="0">
      <pane ySplit="7" topLeftCell="A38" activePane="bottomLeft" state="frozen"/>
      <selection pane="bottomLeft" activeCell="CP50" sqref="CP50"/>
    </sheetView>
  </sheetViews>
  <sheetFormatPr baseColWidth="10" defaultColWidth="8.6640625" defaultRowHeight="12" x14ac:dyDescent="0.15"/>
  <cols>
    <col min="1" max="1" width="7" style="358" customWidth="1"/>
    <col min="2" max="2" width="16.6640625" style="358" customWidth="1"/>
    <col min="3" max="3" width="4.5" style="358" customWidth="1"/>
    <col min="4" max="4" width="4.33203125" style="358" customWidth="1"/>
    <col min="5" max="11" width="6.6640625" style="358" customWidth="1"/>
    <col min="12" max="12" width="1.83203125" style="358" customWidth="1"/>
    <col min="13" max="13" width="1.5" style="359" customWidth="1"/>
    <col min="14" max="21" width="6.6640625" style="358" customWidth="1"/>
    <col min="22" max="22" width="1.6640625" style="372" customWidth="1"/>
    <col min="23" max="23" width="1.33203125" style="358" customWidth="1"/>
    <col min="24" max="31" width="6.6640625" style="358" customWidth="1"/>
    <col min="32" max="32" width="1.5" style="358" customWidth="1"/>
    <col min="33" max="33" width="1.33203125" style="372" customWidth="1"/>
    <col min="34" max="39" width="6.6640625" style="358" customWidth="1"/>
    <col min="40" max="40" width="1.5" style="358" customWidth="1"/>
    <col min="41" max="41" width="1.5" style="359" customWidth="1"/>
    <col min="42" max="47" width="6.6640625" style="358" customWidth="1"/>
    <col min="48" max="49" width="6.6640625" style="367" customWidth="1"/>
    <col min="50" max="50" width="1.83203125" style="373" customWidth="1"/>
    <col min="51" max="58" width="6.6640625" style="367" customWidth="1"/>
    <col min="59" max="59" width="1.33203125" style="367" customWidth="1"/>
    <col min="60" max="60" width="1.5" style="366" customWidth="1"/>
    <col min="61" max="61" width="1.83203125" style="358" customWidth="1"/>
    <col min="62" max="68" width="6.6640625" style="358" customWidth="1"/>
    <col min="69" max="69" width="1.5" style="430" customWidth="1"/>
    <col min="70" max="76" width="6.6640625" style="358" customWidth="1"/>
    <col min="77" max="77" width="1.33203125" style="358" customWidth="1"/>
    <col min="78" max="78" width="1.5" style="372" customWidth="1"/>
    <col min="79" max="85" width="6.6640625" style="358" customWidth="1"/>
    <col min="86" max="86" width="1.1640625" style="358" customWidth="1"/>
    <col min="87" max="87" width="1.33203125" style="359" customWidth="1"/>
    <col min="88" max="94" width="6.6640625" style="358" customWidth="1"/>
    <col min="95" max="95" width="1.33203125" style="359" customWidth="1"/>
    <col min="96" max="101" width="6.6640625" style="358" customWidth="1"/>
    <col min="102" max="102" width="6.6640625" style="367" customWidth="1"/>
    <col min="103" max="103" width="1.83203125" style="367" customWidth="1"/>
    <col min="104" max="104" width="1.83203125" style="366" customWidth="1"/>
    <col min="105" max="111" width="6.6640625" style="367" customWidth="1"/>
    <col min="112" max="112" width="2.1640625" style="358" customWidth="1"/>
    <col min="113" max="113" width="1.6640625" style="359" customWidth="1"/>
    <col min="114" max="120" width="6.6640625" style="358" customWidth="1"/>
    <col min="121" max="121" width="1.5" style="359" customWidth="1"/>
    <col min="122" max="122" width="1.83203125" style="358" customWidth="1"/>
    <col min="123" max="129" width="6.6640625" style="358" customWidth="1"/>
    <col min="130" max="130" width="1.83203125" style="359" customWidth="1"/>
    <col min="131" max="1999" width="8.6640625" style="358"/>
    <col min="2000" max="2000" width="2.1640625" style="358" customWidth="1"/>
    <col min="2001" max="2026" width="8.6640625" style="358"/>
    <col min="2027" max="2027" width="2.1640625" style="358" customWidth="1"/>
    <col min="2028" max="2036" width="8.6640625" style="358"/>
    <col min="2037" max="2037" width="2.1640625" style="358" customWidth="1"/>
    <col min="2038" max="2038" width="8.6640625" style="358"/>
    <col min="2039" max="2040" width="2.1640625" style="358" customWidth="1"/>
    <col min="2041" max="2054" width="8.6640625" style="358"/>
    <col min="2055" max="2055" width="2.1640625" style="358" customWidth="1"/>
    <col min="2056" max="16384" width="8.6640625" style="358"/>
  </cols>
  <sheetData>
    <row r="1" spans="2:129" s="359" customFormat="1" x14ac:dyDescent="0.15">
      <c r="V1" s="372"/>
      <c r="AF1" s="372"/>
      <c r="AG1" s="372"/>
      <c r="AV1" s="366"/>
      <c r="AW1" s="366"/>
      <c r="AX1" s="372"/>
      <c r="AY1" s="366"/>
      <c r="AZ1" s="366"/>
      <c r="BA1" s="366"/>
      <c r="BB1" s="366"/>
      <c r="BC1" s="366"/>
      <c r="BD1" s="366"/>
      <c r="BE1" s="366"/>
      <c r="BF1" s="366"/>
      <c r="BG1" s="366"/>
      <c r="BH1" s="366"/>
      <c r="BQ1" s="430"/>
      <c r="BZ1" s="372"/>
      <c r="CX1" s="366"/>
      <c r="CY1" s="366"/>
      <c r="CZ1" s="366"/>
      <c r="DA1" s="366"/>
      <c r="DB1" s="366"/>
      <c r="DC1" s="366"/>
      <c r="DD1" s="366"/>
      <c r="DE1" s="366"/>
      <c r="DF1" s="366"/>
      <c r="DG1" s="366"/>
    </row>
    <row r="2" spans="2:129" s="359" customFormat="1" x14ac:dyDescent="0.15">
      <c r="E2" s="485"/>
      <c r="V2" s="372"/>
      <c r="AF2" s="372"/>
      <c r="AG2" s="372"/>
      <c r="AV2" s="366"/>
      <c r="AW2" s="366"/>
      <c r="AX2" s="373"/>
      <c r="AY2" s="366"/>
      <c r="AZ2" s="366"/>
      <c r="BA2" s="366"/>
      <c r="BB2" s="366"/>
      <c r="BC2" s="366"/>
      <c r="BD2" s="366"/>
      <c r="BE2" s="366"/>
      <c r="BF2" s="366"/>
      <c r="BG2" s="366"/>
      <c r="BH2" s="366"/>
      <c r="BQ2" s="430"/>
      <c r="BZ2" s="372"/>
      <c r="CX2" s="366"/>
      <c r="CY2" s="366"/>
      <c r="CZ2" s="366"/>
      <c r="DA2" s="366"/>
      <c r="DB2" s="366"/>
      <c r="DC2" s="366"/>
      <c r="DD2" s="366"/>
      <c r="DE2" s="366"/>
      <c r="DF2" s="366"/>
      <c r="DG2" s="366"/>
    </row>
    <row r="3" spans="2:129" s="359" customFormat="1" x14ac:dyDescent="0.15">
      <c r="V3" s="372"/>
      <c r="AF3" s="372"/>
      <c r="AG3" s="372"/>
      <c r="AV3" s="366"/>
      <c r="AW3" s="366"/>
      <c r="AX3" s="373"/>
      <c r="AY3" s="366"/>
      <c r="AZ3" s="366"/>
      <c r="BA3" s="366"/>
      <c r="BB3" s="366"/>
      <c r="BC3" s="366"/>
      <c r="BD3" s="366"/>
      <c r="BE3" s="366"/>
      <c r="BF3" s="366"/>
      <c r="BG3" s="366"/>
      <c r="BH3" s="366"/>
      <c r="BQ3" s="430"/>
      <c r="BZ3" s="372"/>
      <c r="CX3" s="366"/>
      <c r="CY3" s="366"/>
      <c r="CZ3" s="366"/>
      <c r="DA3" s="366"/>
      <c r="DB3" s="366"/>
      <c r="DC3" s="366"/>
      <c r="DD3" s="366"/>
      <c r="DE3" s="366"/>
      <c r="DF3" s="366"/>
      <c r="DG3" s="366"/>
    </row>
    <row r="4" spans="2:129" s="359" customFormat="1" ht="15" customHeight="1" x14ac:dyDescent="0.15">
      <c r="D4" s="361"/>
      <c r="E4" s="361"/>
      <c r="F4" s="361"/>
      <c r="G4" s="361"/>
      <c r="H4" s="361"/>
      <c r="I4" s="361"/>
      <c r="J4" s="361"/>
      <c r="K4" s="360"/>
      <c r="L4" s="360"/>
      <c r="V4" s="372"/>
      <c r="AF4" s="372"/>
      <c r="AG4" s="372"/>
      <c r="AV4" s="366"/>
      <c r="AW4" s="366"/>
      <c r="AX4" s="373"/>
      <c r="AY4" s="366"/>
      <c r="AZ4" s="366"/>
      <c r="BA4" s="366"/>
      <c r="BB4" s="366"/>
      <c r="BC4" s="366"/>
      <c r="BD4" s="366"/>
      <c r="BE4" s="366"/>
      <c r="BF4" s="366"/>
      <c r="BG4" s="366"/>
      <c r="BH4" s="366"/>
      <c r="BQ4" s="430"/>
      <c r="BZ4" s="372"/>
      <c r="CX4" s="366"/>
      <c r="CY4" s="366"/>
      <c r="CZ4" s="366"/>
      <c r="DA4" s="366"/>
      <c r="DB4" s="366"/>
      <c r="DC4" s="366"/>
      <c r="DD4" s="366"/>
      <c r="DE4" s="366"/>
      <c r="DF4" s="366"/>
      <c r="DG4" s="366"/>
    </row>
    <row r="5" spans="2:129" s="449" customFormat="1" ht="14.5" customHeight="1" x14ac:dyDescent="0.2">
      <c r="C5" s="548" t="s">
        <v>1221</v>
      </c>
      <c r="D5" s="548"/>
      <c r="E5" s="548"/>
      <c r="F5" s="548"/>
      <c r="G5" s="548"/>
      <c r="H5" s="548"/>
      <c r="I5" s="548"/>
      <c r="J5" s="548"/>
      <c r="K5" s="548"/>
      <c r="N5" s="550" t="s">
        <v>1222</v>
      </c>
      <c r="O5" s="551"/>
      <c r="P5" s="551"/>
      <c r="Q5" s="551"/>
      <c r="R5" s="551"/>
      <c r="S5" s="551"/>
      <c r="T5" s="551"/>
      <c r="U5" s="552"/>
      <c r="V5" s="450"/>
      <c r="W5" s="451"/>
      <c r="X5" s="548" t="s">
        <v>1259</v>
      </c>
      <c r="Y5" s="548"/>
      <c r="Z5" s="548"/>
      <c r="AA5" s="548"/>
      <c r="AB5" s="548"/>
      <c r="AC5" s="548"/>
      <c r="AD5" s="548"/>
      <c r="AE5" s="548"/>
      <c r="AF5" s="452"/>
      <c r="AG5" s="450"/>
      <c r="AH5" s="548" t="s">
        <v>1228</v>
      </c>
      <c r="AI5" s="548"/>
      <c r="AJ5" s="548"/>
      <c r="AK5" s="548"/>
      <c r="AL5" s="548"/>
      <c r="AM5" s="548"/>
      <c r="AN5" s="453"/>
      <c r="AP5" s="550" t="s">
        <v>1223</v>
      </c>
      <c r="AQ5" s="551"/>
      <c r="AR5" s="551"/>
      <c r="AS5" s="551"/>
      <c r="AT5" s="551"/>
      <c r="AU5" s="551"/>
      <c r="AV5" s="551"/>
      <c r="AW5" s="552"/>
      <c r="AX5" s="450"/>
      <c r="AY5" s="550" t="s">
        <v>1262</v>
      </c>
      <c r="AZ5" s="551"/>
      <c r="BA5" s="551"/>
      <c r="BB5" s="551"/>
      <c r="BC5" s="551"/>
      <c r="BD5" s="551"/>
      <c r="BE5" s="551"/>
      <c r="BF5" s="552"/>
      <c r="BG5" s="454"/>
      <c r="BH5" s="454"/>
      <c r="BJ5" s="550" t="s">
        <v>1220</v>
      </c>
      <c r="BK5" s="551"/>
      <c r="BL5" s="551"/>
      <c r="BM5" s="551"/>
      <c r="BN5" s="551"/>
      <c r="BO5" s="551"/>
      <c r="BP5" s="552"/>
      <c r="BQ5" s="455"/>
      <c r="BR5" s="550" t="s">
        <v>1257</v>
      </c>
      <c r="BS5" s="551"/>
      <c r="BT5" s="551"/>
      <c r="BU5" s="551"/>
      <c r="BV5" s="551"/>
      <c r="BW5" s="551"/>
      <c r="BX5" s="552"/>
      <c r="BZ5" s="452"/>
      <c r="CA5" s="550" t="s">
        <v>1225</v>
      </c>
      <c r="CB5" s="551"/>
      <c r="CC5" s="551"/>
      <c r="CD5" s="551"/>
      <c r="CE5" s="551"/>
      <c r="CF5" s="551"/>
      <c r="CG5" s="552"/>
      <c r="CH5" s="451"/>
      <c r="CJ5" s="550" t="s">
        <v>1258</v>
      </c>
      <c r="CK5" s="551"/>
      <c r="CL5" s="551"/>
      <c r="CM5" s="551"/>
      <c r="CN5" s="551"/>
      <c r="CO5" s="551"/>
      <c r="CP5" s="552"/>
      <c r="CR5" s="550" t="s">
        <v>1226</v>
      </c>
      <c r="CS5" s="551"/>
      <c r="CT5" s="551"/>
      <c r="CU5" s="551"/>
      <c r="CV5" s="551"/>
      <c r="CW5" s="551"/>
      <c r="CX5" s="552"/>
      <c r="CY5" s="451"/>
      <c r="CZ5" s="454"/>
      <c r="DA5" s="550" t="s">
        <v>1260</v>
      </c>
      <c r="DB5" s="551"/>
      <c r="DC5" s="551"/>
      <c r="DD5" s="551"/>
      <c r="DE5" s="551"/>
      <c r="DF5" s="551"/>
      <c r="DG5" s="552"/>
      <c r="DJ5" s="548" t="s">
        <v>1227</v>
      </c>
      <c r="DK5" s="548"/>
      <c r="DL5" s="548"/>
      <c r="DM5" s="548"/>
      <c r="DN5" s="548"/>
      <c r="DO5" s="548"/>
      <c r="DP5" s="548"/>
      <c r="DQ5" s="451"/>
      <c r="DS5" s="548" t="s">
        <v>1261</v>
      </c>
      <c r="DT5" s="548"/>
      <c r="DU5" s="548"/>
      <c r="DV5" s="548"/>
      <c r="DW5" s="548"/>
      <c r="DX5" s="548"/>
      <c r="DY5" s="548"/>
    </row>
    <row r="6" spans="2:129" s="359" customFormat="1" x14ac:dyDescent="0.15">
      <c r="C6" s="392"/>
      <c r="D6" s="392"/>
      <c r="E6" s="392"/>
      <c r="F6" s="393" t="s">
        <v>1202</v>
      </c>
      <c r="G6" s="392"/>
      <c r="H6" s="393" t="s">
        <v>1202</v>
      </c>
      <c r="I6" s="392"/>
      <c r="J6" s="392"/>
      <c r="K6" s="392"/>
      <c r="N6" s="392"/>
      <c r="O6" s="393" t="s">
        <v>1202</v>
      </c>
      <c r="P6" s="392"/>
      <c r="Q6" s="393" t="s">
        <v>1202</v>
      </c>
      <c r="R6" s="392"/>
      <c r="S6" s="392"/>
      <c r="T6" s="392"/>
      <c r="U6" s="392"/>
      <c r="V6" s="372"/>
      <c r="X6" s="392"/>
      <c r="Y6" s="393" t="s">
        <v>1202</v>
      </c>
      <c r="Z6" s="392"/>
      <c r="AA6" s="393" t="s">
        <v>1202</v>
      </c>
      <c r="AB6" s="392"/>
      <c r="AC6" s="392"/>
      <c r="AD6" s="392"/>
      <c r="AE6" s="392"/>
      <c r="AF6" s="372"/>
      <c r="AG6" s="372"/>
      <c r="AH6" s="392"/>
      <c r="AI6" s="393" t="s">
        <v>1202</v>
      </c>
      <c r="AJ6" s="392"/>
      <c r="AK6" s="393" t="s">
        <v>1202</v>
      </c>
      <c r="AL6" s="392"/>
      <c r="AM6" s="392"/>
      <c r="AP6" s="392"/>
      <c r="AQ6" s="393" t="s">
        <v>1202</v>
      </c>
      <c r="AR6" s="392"/>
      <c r="AS6" s="393" t="s">
        <v>1202</v>
      </c>
      <c r="AT6" s="392"/>
      <c r="AU6" s="392"/>
      <c r="AV6" s="393"/>
      <c r="AW6" s="393"/>
      <c r="AX6" s="373"/>
      <c r="AY6" s="392"/>
      <c r="AZ6" s="393" t="s">
        <v>1202</v>
      </c>
      <c r="BA6" s="392"/>
      <c r="BB6" s="393" t="s">
        <v>1202</v>
      </c>
      <c r="BC6" s="392"/>
      <c r="BD6" s="392"/>
      <c r="BE6" s="393"/>
      <c r="BF6" s="393"/>
      <c r="BG6" s="366"/>
      <c r="BH6" s="366"/>
      <c r="BJ6" s="392"/>
      <c r="BK6" s="393" t="s">
        <v>1202</v>
      </c>
      <c r="BL6" s="392"/>
      <c r="BM6" s="393" t="s">
        <v>1202</v>
      </c>
      <c r="BN6" s="392"/>
      <c r="BO6" s="392"/>
      <c r="BP6" s="392"/>
      <c r="BQ6" s="430"/>
      <c r="BR6" s="392"/>
      <c r="BS6" s="393" t="s">
        <v>1202</v>
      </c>
      <c r="BT6" s="392"/>
      <c r="BU6" s="393" t="s">
        <v>1202</v>
      </c>
      <c r="BV6" s="392"/>
      <c r="BW6" s="392"/>
      <c r="BX6" s="392"/>
      <c r="BZ6" s="372"/>
      <c r="CA6" s="392"/>
      <c r="CB6" s="393" t="s">
        <v>1202</v>
      </c>
      <c r="CC6" s="392"/>
      <c r="CD6" s="393" t="s">
        <v>1202</v>
      </c>
      <c r="CE6" s="392"/>
      <c r="CF6" s="392"/>
      <c r="CG6" s="392"/>
      <c r="CJ6" s="392"/>
      <c r="CK6" s="393" t="s">
        <v>1202</v>
      </c>
      <c r="CL6" s="392"/>
      <c r="CM6" s="393" t="s">
        <v>1202</v>
      </c>
      <c r="CN6" s="392"/>
      <c r="CO6" s="392"/>
      <c r="CP6" s="392"/>
      <c r="CR6" s="392"/>
      <c r="CS6" s="393" t="s">
        <v>1202</v>
      </c>
      <c r="CT6" s="392"/>
      <c r="CU6" s="393" t="s">
        <v>1202</v>
      </c>
      <c r="CV6" s="392"/>
      <c r="CW6" s="392"/>
      <c r="CX6" s="393"/>
      <c r="CY6" s="366"/>
      <c r="CZ6" s="366"/>
      <c r="DA6" s="392"/>
      <c r="DB6" s="393" t="s">
        <v>1202</v>
      </c>
      <c r="DC6" s="392"/>
      <c r="DD6" s="393" t="s">
        <v>1202</v>
      </c>
      <c r="DE6" s="392"/>
      <c r="DF6" s="392"/>
      <c r="DG6" s="393"/>
      <c r="DJ6" s="392"/>
      <c r="DK6" s="393" t="s">
        <v>1202</v>
      </c>
      <c r="DL6" s="392"/>
      <c r="DM6" s="393" t="s">
        <v>1202</v>
      </c>
      <c r="DN6" s="392"/>
      <c r="DO6" s="392"/>
      <c r="DP6" s="392"/>
      <c r="DS6" s="392"/>
      <c r="DT6" s="393" t="s">
        <v>1202</v>
      </c>
      <c r="DU6" s="392"/>
      <c r="DV6" s="393" t="s">
        <v>1202</v>
      </c>
      <c r="DW6" s="392"/>
      <c r="DX6" s="392"/>
      <c r="DY6" s="392"/>
    </row>
    <row r="7" spans="2:129" s="432" customFormat="1" ht="36" x14ac:dyDescent="0.15">
      <c r="C7" s="434" t="s">
        <v>674</v>
      </c>
      <c r="D7" s="434" t="s">
        <v>1198</v>
      </c>
      <c r="E7" s="434" t="s">
        <v>1204</v>
      </c>
      <c r="F7" s="434" t="s">
        <v>1203</v>
      </c>
      <c r="G7" s="434" t="s">
        <v>1205</v>
      </c>
      <c r="H7" s="434" t="s">
        <v>1208</v>
      </c>
      <c r="I7" s="434" t="s">
        <v>1209</v>
      </c>
      <c r="J7" s="434" t="s">
        <v>1210</v>
      </c>
      <c r="K7" s="434" t="s">
        <v>1211</v>
      </c>
      <c r="L7" s="433"/>
      <c r="M7" s="433"/>
      <c r="N7" s="434" t="s">
        <v>1197</v>
      </c>
      <c r="O7" s="434" t="s">
        <v>1199</v>
      </c>
      <c r="P7" s="434" t="s">
        <v>1200</v>
      </c>
      <c r="Q7" s="434" t="s">
        <v>582</v>
      </c>
      <c r="R7" s="434" t="s">
        <v>1201</v>
      </c>
      <c r="S7" s="434" t="s">
        <v>1206</v>
      </c>
      <c r="T7" s="434" t="s">
        <v>1224</v>
      </c>
      <c r="U7" s="434" t="s">
        <v>1234</v>
      </c>
      <c r="V7" s="435"/>
      <c r="W7" s="433"/>
      <c r="X7" s="434" t="s">
        <v>1197</v>
      </c>
      <c r="Y7" s="434" t="s">
        <v>1199</v>
      </c>
      <c r="Z7" s="434" t="s">
        <v>1200</v>
      </c>
      <c r="AA7" s="434" t="s">
        <v>582</v>
      </c>
      <c r="AB7" s="434" t="s">
        <v>1201</v>
      </c>
      <c r="AC7" s="434" t="s">
        <v>1206</v>
      </c>
      <c r="AD7" s="434" t="s">
        <v>1224</v>
      </c>
      <c r="AE7" s="434" t="s">
        <v>1234</v>
      </c>
      <c r="AF7" s="436"/>
      <c r="AG7" s="435"/>
      <c r="AH7" s="434" t="s">
        <v>1197</v>
      </c>
      <c r="AI7" s="434" t="s">
        <v>1199</v>
      </c>
      <c r="AJ7" s="434" t="s">
        <v>1200</v>
      </c>
      <c r="AK7" s="434" t="s">
        <v>582</v>
      </c>
      <c r="AL7" s="434" t="s">
        <v>1201</v>
      </c>
      <c r="AM7" s="434" t="s">
        <v>1206</v>
      </c>
      <c r="AO7" s="433"/>
      <c r="AP7" s="434" t="s">
        <v>1197</v>
      </c>
      <c r="AQ7" s="434" t="s">
        <v>1199</v>
      </c>
      <c r="AR7" s="434" t="s">
        <v>1200</v>
      </c>
      <c r="AS7" s="434" t="s">
        <v>582</v>
      </c>
      <c r="AT7" s="434" t="s">
        <v>1201</v>
      </c>
      <c r="AU7" s="434" t="s">
        <v>1206</v>
      </c>
      <c r="AV7" s="434" t="s">
        <v>1207</v>
      </c>
      <c r="AW7" s="434" t="s">
        <v>1234</v>
      </c>
      <c r="AX7" s="435"/>
      <c r="AY7" s="434" t="s">
        <v>1197</v>
      </c>
      <c r="AZ7" s="434" t="s">
        <v>1199</v>
      </c>
      <c r="BA7" s="434" t="s">
        <v>1200</v>
      </c>
      <c r="BB7" s="434" t="s">
        <v>582</v>
      </c>
      <c r="BC7" s="434" t="s">
        <v>1201</v>
      </c>
      <c r="BD7" s="434" t="s">
        <v>1206</v>
      </c>
      <c r="BE7" s="434" t="s">
        <v>1207</v>
      </c>
      <c r="BF7" s="434" t="s">
        <v>1234</v>
      </c>
      <c r="BG7" s="366"/>
      <c r="BH7" s="366"/>
      <c r="BJ7" s="434" t="s">
        <v>1197</v>
      </c>
      <c r="BK7" s="434" t="s">
        <v>1199</v>
      </c>
      <c r="BL7" s="434" t="s">
        <v>1200</v>
      </c>
      <c r="BM7" s="434" t="s">
        <v>582</v>
      </c>
      <c r="BN7" s="434" t="s">
        <v>1201</v>
      </c>
      <c r="BO7" s="434" t="s">
        <v>1206</v>
      </c>
      <c r="BP7" s="434" t="s">
        <v>331</v>
      </c>
      <c r="BQ7" s="437"/>
      <c r="BR7" s="434" t="s">
        <v>1197</v>
      </c>
      <c r="BS7" s="434" t="s">
        <v>1199</v>
      </c>
      <c r="BT7" s="434" t="s">
        <v>1200</v>
      </c>
      <c r="BU7" s="434" t="s">
        <v>582</v>
      </c>
      <c r="BV7" s="434" t="s">
        <v>1201</v>
      </c>
      <c r="BW7" s="434" t="s">
        <v>1206</v>
      </c>
      <c r="BX7" s="434" t="s">
        <v>331</v>
      </c>
      <c r="BZ7" s="436"/>
      <c r="CA7" s="434" t="s">
        <v>1197</v>
      </c>
      <c r="CB7" s="434" t="s">
        <v>1199</v>
      </c>
      <c r="CC7" s="434" t="s">
        <v>1200</v>
      </c>
      <c r="CD7" s="434" t="s">
        <v>582</v>
      </c>
      <c r="CE7" s="434" t="s">
        <v>1201</v>
      </c>
      <c r="CF7" s="434" t="s">
        <v>1206</v>
      </c>
      <c r="CG7" s="434" t="s">
        <v>331</v>
      </c>
      <c r="CH7" s="433"/>
      <c r="CI7" s="433"/>
      <c r="CJ7" s="434" t="s">
        <v>1197</v>
      </c>
      <c r="CK7" s="434" t="s">
        <v>1199</v>
      </c>
      <c r="CL7" s="434" t="s">
        <v>1200</v>
      </c>
      <c r="CM7" s="434" t="s">
        <v>582</v>
      </c>
      <c r="CN7" s="434" t="s">
        <v>1201</v>
      </c>
      <c r="CO7" s="434" t="s">
        <v>1206</v>
      </c>
      <c r="CP7" s="434" t="s">
        <v>331</v>
      </c>
      <c r="CR7" s="434" t="s">
        <v>1197</v>
      </c>
      <c r="CS7" s="434" t="s">
        <v>1199</v>
      </c>
      <c r="CT7" s="434" t="s">
        <v>1200</v>
      </c>
      <c r="CU7" s="434" t="s">
        <v>582</v>
      </c>
      <c r="CV7" s="434" t="s">
        <v>1201</v>
      </c>
      <c r="CW7" s="434" t="s">
        <v>1206</v>
      </c>
      <c r="CX7" s="434" t="s">
        <v>1229</v>
      </c>
      <c r="CY7" s="433"/>
      <c r="CZ7" s="433"/>
      <c r="DA7" s="434" t="s">
        <v>1197</v>
      </c>
      <c r="DB7" s="434" t="s">
        <v>1199</v>
      </c>
      <c r="DC7" s="434" t="s">
        <v>1200</v>
      </c>
      <c r="DD7" s="434" t="s">
        <v>582</v>
      </c>
      <c r="DE7" s="434" t="s">
        <v>1201</v>
      </c>
      <c r="DF7" s="434" t="s">
        <v>1206</v>
      </c>
      <c r="DG7" s="434" t="s">
        <v>1229</v>
      </c>
      <c r="DJ7" s="434" t="s">
        <v>1197</v>
      </c>
      <c r="DK7" s="434" t="s">
        <v>1199</v>
      </c>
      <c r="DL7" s="434" t="s">
        <v>1200</v>
      </c>
      <c r="DM7" s="434" t="s">
        <v>582</v>
      </c>
      <c r="DN7" s="434" t="s">
        <v>1201</v>
      </c>
      <c r="DO7" s="434" t="s">
        <v>1206</v>
      </c>
      <c r="DP7" s="434" t="s">
        <v>331</v>
      </c>
      <c r="DQ7" s="433"/>
      <c r="DS7" s="434" t="s">
        <v>1197</v>
      </c>
      <c r="DT7" s="434" t="s">
        <v>1199</v>
      </c>
      <c r="DU7" s="434" t="s">
        <v>1200</v>
      </c>
      <c r="DV7" s="434" t="s">
        <v>582</v>
      </c>
      <c r="DW7" s="434" t="s">
        <v>1201</v>
      </c>
      <c r="DX7" s="434" t="s">
        <v>1206</v>
      </c>
      <c r="DY7" s="434" t="s">
        <v>331</v>
      </c>
    </row>
    <row r="8" spans="2:129" s="359" customFormat="1" ht="6.5" customHeight="1" x14ac:dyDescent="0.15">
      <c r="C8" s="360"/>
      <c r="D8" s="360"/>
      <c r="E8" s="360"/>
      <c r="F8" s="360"/>
      <c r="G8" s="360"/>
      <c r="H8" s="360"/>
      <c r="I8" s="360"/>
      <c r="J8" s="360"/>
      <c r="K8" s="360"/>
      <c r="L8" s="360"/>
      <c r="M8" s="360"/>
      <c r="N8" s="360"/>
      <c r="O8" s="360"/>
      <c r="P8" s="360"/>
      <c r="Q8" s="360"/>
      <c r="R8" s="360"/>
      <c r="S8" s="360"/>
      <c r="T8" s="360"/>
      <c r="U8" s="360"/>
      <c r="V8" s="374"/>
      <c r="W8" s="360"/>
      <c r="X8" s="360"/>
      <c r="Y8" s="360"/>
      <c r="Z8" s="360"/>
      <c r="AA8" s="360"/>
      <c r="AB8" s="360"/>
      <c r="AC8" s="360"/>
      <c r="AD8" s="360"/>
      <c r="AE8" s="360"/>
      <c r="AF8" s="372"/>
      <c r="AG8" s="374"/>
      <c r="AH8" s="360"/>
      <c r="AI8" s="360"/>
      <c r="AJ8" s="360"/>
      <c r="AK8" s="360"/>
      <c r="AL8" s="360"/>
      <c r="AM8" s="360"/>
      <c r="AO8" s="360"/>
      <c r="AV8" s="366"/>
      <c r="AW8" s="366"/>
      <c r="AX8" s="373"/>
      <c r="AY8" s="366"/>
      <c r="AZ8" s="366"/>
      <c r="BA8" s="366"/>
      <c r="BB8" s="366"/>
      <c r="BC8" s="366"/>
      <c r="BD8" s="366"/>
      <c r="BE8" s="366"/>
      <c r="BF8" s="366"/>
      <c r="BG8" s="366"/>
      <c r="BH8" s="366"/>
      <c r="BQ8" s="430"/>
      <c r="BZ8" s="372"/>
      <c r="CX8" s="366"/>
      <c r="CY8" s="366"/>
      <c r="CZ8" s="366"/>
      <c r="DA8" s="366"/>
      <c r="DB8" s="366"/>
      <c r="DC8" s="366"/>
      <c r="DD8" s="366"/>
      <c r="DE8" s="366"/>
      <c r="DF8" s="366"/>
      <c r="DG8" s="366"/>
    </row>
    <row r="9" spans="2:129" x14ac:dyDescent="0.15">
      <c r="B9" s="442" t="s">
        <v>587</v>
      </c>
      <c r="C9" s="443">
        <v>0</v>
      </c>
      <c r="D9" s="443">
        <v>62</v>
      </c>
      <c r="E9" s="444">
        <v>4.2999999999999997E-2</v>
      </c>
      <c r="F9" s="444">
        <v>1.12E-2</v>
      </c>
      <c r="G9" s="445">
        <v>2.2034500000000002E-2</v>
      </c>
      <c r="H9" s="445">
        <v>4.9577625E-2</v>
      </c>
      <c r="I9" s="445">
        <v>3.3051750000000005E-2</v>
      </c>
      <c r="J9" s="445">
        <v>5.2111592500000012E-2</v>
      </c>
      <c r="K9" s="445">
        <v>2.5560019999999996E-2</v>
      </c>
      <c r="L9" s="445"/>
      <c r="M9" s="442"/>
      <c r="N9" s="445">
        <f>dist_nevent_st_tree</f>
        <v>0.84528395780831422</v>
      </c>
      <c r="O9" s="445">
        <f>0</f>
        <v>0</v>
      </c>
      <c r="P9" s="445">
        <f>dist_rinfarc_st_tree</f>
        <v>5.5783043635717483E-2</v>
      </c>
      <c r="Q9" s="445">
        <f>0</f>
        <v>0</v>
      </c>
      <c r="R9" s="445">
        <f>dist_stk_st_tree</f>
        <v>1.3080898082621447E-2</v>
      </c>
      <c r="S9" s="445">
        <f>dist_dead_st_tree</f>
        <v>8.5852100473346848E-2</v>
      </c>
      <c r="T9" s="445">
        <f t="shared" ref="T9:T48" si="0">N9+O9+P9+Q9+R9+S9</f>
        <v>1</v>
      </c>
      <c r="U9" s="445">
        <f t="shared" ref="U9:U48" si="1">N9+O9+P9+Q9+R9</f>
        <v>0.91414789952665321</v>
      </c>
      <c r="V9" s="445"/>
      <c r="W9" s="445"/>
      <c r="X9" s="445">
        <f>dist_nevent_st_tree</f>
        <v>0.84528395780831422</v>
      </c>
      <c r="Y9" s="445">
        <f>0</f>
        <v>0</v>
      </c>
      <c r="Z9" s="445">
        <f>dist_rinfarc_st_tree</f>
        <v>5.5783043635717483E-2</v>
      </c>
      <c r="AA9" s="445">
        <f>0</f>
        <v>0</v>
      </c>
      <c r="AB9" s="445">
        <f>dist_stk_st_tree</f>
        <v>1.3080898082621447E-2</v>
      </c>
      <c r="AC9" s="445">
        <f>dist_dead_st_tree</f>
        <v>8.5852100473346848E-2</v>
      </c>
      <c r="AD9" s="445">
        <f>AC9+AB9+AA9+Z9+Y9+X9</f>
        <v>1</v>
      </c>
      <c r="AE9" s="363">
        <f t="shared" ref="AE9:AE48" si="2">X9+Y9+Z9+AA9+AB9</f>
        <v>0.91414789952665321</v>
      </c>
      <c r="AF9" s="445"/>
      <c r="AG9" s="445"/>
      <c r="AH9" s="445" t="s">
        <v>350</v>
      </c>
      <c r="AI9" s="445" t="s">
        <v>350</v>
      </c>
      <c r="AJ9" s="445" t="s">
        <v>350</v>
      </c>
      <c r="AK9" s="445" t="s">
        <v>350</v>
      </c>
      <c r="AL9" s="445" t="s">
        <v>350</v>
      </c>
      <c r="AM9" s="445" t="s">
        <v>350</v>
      </c>
      <c r="AN9" s="446"/>
      <c r="AO9" s="442"/>
      <c r="AP9" s="445">
        <f>dist_nevent_pc_tree</f>
        <v>0.85497672921196621</v>
      </c>
      <c r="AQ9" s="445">
        <f>0%</f>
        <v>0</v>
      </c>
      <c r="AR9" s="445">
        <f>dist_rinfarc_pc_tree</f>
        <v>5.3966928916842433E-2</v>
      </c>
      <c r="AS9" s="445">
        <f>0%</f>
        <v>0</v>
      </c>
      <c r="AT9" s="445">
        <f>dist_stk_pc_tree</f>
        <v>1.2658933073672942E-2</v>
      </c>
      <c r="AU9" s="445">
        <f>dist_dead_pc_tree</f>
        <v>7.8397408797518345E-2</v>
      </c>
      <c r="AV9" s="445">
        <f t="shared" ref="AV9:AV48" si="3">AP9+AQ9+AR9+AS9+AT9+AU9</f>
        <v>0.99999999999999989</v>
      </c>
      <c r="AW9" s="445">
        <f t="shared" ref="AW9:AW48" si="4">AP9+AQ9+AR9+AS9+AT9</f>
        <v>0.92160259120248156</v>
      </c>
      <c r="AX9" s="447"/>
      <c r="AY9" s="445">
        <f>dist_nevent_pc_tree</f>
        <v>0.85497672921196621</v>
      </c>
      <c r="AZ9" s="445">
        <f>0%</f>
        <v>0</v>
      </c>
      <c r="BA9" s="445">
        <f>dist_rinfarc_pc_tree</f>
        <v>5.3966928916842433E-2</v>
      </c>
      <c r="BB9" s="445">
        <f>0%</f>
        <v>0</v>
      </c>
      <c r="BC9" s="445">
        <f>dist_stk_pc_tree</f>
        <v>1.2658933073672942E-2</v>
      </c>
      <c r="BD9" s="445">
        <f>dist_dead_pc_tree</f>
        <v>7.8397408797518345E-2</v>
      </c>
      <c r="BE9" s="445">
        <f>AY9+AZ9+BA9+BB9+BC9+BD9</f>
        <v>0.99999999999999989</v>
      </c>
      <c r="BF9" s="445">
        <f>AY9+AZ9+BA9+BB9+BC9</f>
        <v>0.92160259120248156</v>
      </c>
      <c r="BG9" s="447"/>
      <c r="BH9" s="439"/>
      <c r="BJ9" s="369">
        <f>N9*c_st_tree</f>
        <v>5091.1609984460938</v>
      </c>
      <c r="BK9" s="369">
        <f>(P9*c_st_tree)</f>
        <v>335.98230926935975</v>
      </c>
      <c r="BL9" s="369">
        <v>0</v>
      </c>
      <c r="BM9" s="369">
        <f>(R9*c_st_tree)</f>
        <v>78.786492429793455</v>
      </c>
      <c r="BN9" s="369">
        <v>0</v>
      </c>
      <c r="BO9" s="369">
        <f>S9*c_st_tree</f>
        <v>517.08879782585143</v>
      </c>
      <c r="BP9" s="369">
        <f t="shared" ref="BP9:BP48" si="5">BJ9+BK9+BL9+BM9+BN9+BO9</f>
        <v>6023.0185979710986</v>
      </c>
      <c r="BQ9" s="431"/>
      <c r="BR9" s="369">
        <f>X9*c_st_tree</f>
        <v>5091.1609984460938</v>
      </c>
      <c r="BS9" s="369">
        <f>(Y9*c_st_tree)</f>
        <v>0</v>
      </c>
      <c r="BT9" s="369">
        <f>Z9*c_st_tree</f>
        <v>335.98230926935975</v>
      </c>
      <c r="BU9" s="369">
        <f>(AA9*c_st_tree)</f>
        <v>0</v>
      </c>
      <c r="BV9" s="369">
        <f>(AB9*c_st_tree)</f>
        <v>78.786492429793455</v>
      </c>
      <c r="BW9" s="369">
        <f>AC9*c_st_tree</f>
        <v>517.08879782585143</v>
      </c>
      <c r="BX9" s="371">
        <f>BR9+BS9+BT9+BU9+BV9+BW9</f>
        <v>6023.0185979710986</v>
      </c>
      <c r="BY9" s="371"/>
      <c r="CA9" s="363">
        <f>dist_nevent_pc_tree*c_poc_tree</f>
        <v>5071.4297624198971</v>
      </c>
      <c r="CB9" s="369">
        <f>AQ9*c_poc_tree</f>
        <v>0</v>
      </c>
      <c r="CC9" s="369">
        <f>AR9*c_poc_tree</f>
        <v>320.11337869690777</v>
      </c>
      <c r="CD9" s="369">
        <f>AS9*c_poc_tree</f>
        <v>0</v>
      </c>
      <c r="CE9" s="369">
        <f>AT9*c_poc_tree</f>
        <v>75.088464699476432</v>
      </c>
      <c r="CF9" s="369">
        <f>AU9*c_poc_tree</f>
        <v>465.02663603346343</v>
      </c>
      <c r="CG9" s="369">
        <f>SUM(CA9:CF9)</f>
        <v>5931.6582418497446</v>
      </c>
      <c r="CH9" s="369"/>
      <c r="CI9" s="384"/>
      <c r="CJ9" s="363">
        <f>dist_nevent_pc_tree*c_poc_tree</f>
        <v>5071.4297624198971</v>
      </c>
      <c r="CK9" s="369">
        <f>AZ9*c_poc_tree</f>
        <v>0</v>
      </c>
      <c r="CL9" s="369">
        <f>BA9*c_poc_tree</f>
        <v>320.11337869690777</v>
      </c>
      <c r="CM9" s="369">
        <f>BB9*c_poc_tree</f>
        <v>0</v>
      </c>
      <c r="CN9" s="369">
        <f>BC9*c_poc_tree</f>
        <v>75.088464699476432</v>
      </c>
      <c r="CO9" s="369">
        <f>BD9*c_poc_tree</f>
        <v>465.02663603346343</v>
      </c>
      <c r="CP9" s="369">
        <f>SUM(CJ9:CO9)</f>
        <v>5931.6582418497446</v>
      </c>
      <c r="CR9" s="363">
        <f>(N9*qaly_st_tree)</f>
        <v>0.5528502555032595</v>
      </c>
      <c r="CS9" s="363">
        <f>(P9*qaly_st_tree)</f>
        <v>3.6484390413273907E-2</v>
      </c>
      <c r="CT9" s="363">
        <v>0</v>
      </c>
      <c r="CU9" s="363">
        <f>(R9*qaly_st_tree)</f>
        <v>8.5554419676202118E-3</v>
      </c>
      <c r="CV9" s="363">
        <v>0</v>
      </c>
      <c r="CW9" s="363">
        <f>(S9*qaly_st_tree)</f>
        <v>5.6150782519576239E-2</v>
      </c>
      <c r="CX9" s="363">
        <f t="shared" ref="CX9:CX48" si="6">CR9+CS9+CT9+CU9+CV9+CW9</f>
        <v>0.65404087040372993</v>
      </c>
      <c r="CY9" s="363"/>
      <c r="CZ9" s="440"/>
      <c r="DA9" s="363">
        <f>(N9*qaly_st_tree)</f>
        <v>0.5528502555032595</v>
      </c>
      <c r="DB9" s="363">
        <f>(P9*qaly_st_tree)</f>
        <v>3.6484390413273907E-2</v>
      </c>
      <c r="DC9" s="363">
        <v>0</v>
      </c>
      <c r="DD9" s="363">
        <f>(R9*qaly_st_tree)</f>
        <v>8.5554419676202118E-3</v>
      </c>
      <c r="DE9" s="363">
        <v>0</v>
      </c>
      <c r="DF9" s="363">
        <f>(S9*qaly_st_tree)</f>
        <v>5.6150782519576239E-2</v>
      </c>
      <c r="DG9" s="363">
        <f>DA9+DB9+DC9+DD9+DE9+DF9</f>
        <v>0.65404087040372993</v>
      </c>
      <c r="DJ9" s="363">
        <f>(AP9*qaly_poc_tree)</f>
        <v>0.56119829996134896</v>
      </c>
      <c r="DK9" s="363">
        <f>(AR9*qaly_poc_tree)</f>
        <v>3.5423360341259515E-2</v>
      </c>
      <c r="DL9" s="363">
        <v>0</v>
      </c>
      <c r="DM9" s="363">
        <f>(AT9*qaly_poc_tree)</f>
        <v>8.3091989261715668E-3</v>
      </c>
      <c r="DN9" s="363">
        <v>0</v>
      </c>
      <c r="DO9" s="363">
        <f>AU9*qaly_poc_tree</f>
        <v>5.1459286592623235E-2</v>
      </c>
      <c r="DP9" s="388">
        <f>DJ9+DK9+DL9+DM9+DN9+DO9</f>
        <v>0.6563901458214032</v>
      </c>
      <c r="DQ9" s="441"/>
      <c r="DS9" s="363">
        <f>(AY9*qaly_poc_tree)</f>
        <v>0.56119829996134896</v>
      </c>
      <c r="DT9" s="363">
        <f>(AZ9*qaly_poc_tree)</f>
        <v>0</v>
      </c>
      <c r="DU9" s="363">
        <f>(BA9*qaly_poc_tree)</f>
        <v>3.5423360341259515E-2</v>
      </c>
      <c r="DV9" s="363">
        <v>0</v>
      </c>
      <c r="DW9" s="363">
        <f>BC9*qaly_poc_tree</f>
        <v>8.3091989261715668E-3</v>
      </c>
      <c r="DX9" s="363">
        <f>BD9*qaly_poc_tree</f>
        <v>5.1459286592623235E-2</v>
      </c>
      <c r="DY9" s="388">
        <f>DS9+DT9+DU9+DV9+DW9+DX9</f>
        <v>0.6563901458214032</v>
      </c>
    </row>
    <row r="10" spans="2:129" x14ac:dyDescent="0.15">
      <c r="B10" s="448" t="s">
        <v>588</v>
      </c>
      <c r="C10" s="238">
        <v>1</v>
      </c>
      <c r="D10" s="238">
        <v>63</v>
      </c>
      <c r="E10" s="444">
        <f t="shared" ref="E10:E48" si="7">prob_nevent_to_reinfarc</f>
        <v>4.2999999999999997E-2</v>
      </c>
      <c r="F10" s="364">
        <v>1.12E-2</v>
      </c>
      <c r="G10" s="363">
        <f t="shared" ref="G10:G48" si="8">VLOOKUP(D10,prob_dead_noevent,4)</f>
        <v>2.2034500000000002E-2</v>
      </c>
      <c r="H10" s="363">
        <f t="shared" ref="H10:H48" si="9">VLOOKUP(D10,prob_dead_reinfarction,4)</f>
        <v>4.9577625E-2</v>
      </c>
      <c r="I10" s="363">
        <f t="shared" ref="I10:I48" si="10">VLOOKUP(D10,prob_dead_pos_reinfarct,4)</f>
        <v>3.3051750000000005E-2</v>
      </c>
      <c r="J10" s="363">
        <f t="shared" ref="J10:J48" si="11">VLOOKUP(D10,prob_dead_stk,4)</f>
        <v>5.2111592500000012E-2</v>
      </c>
      <c r="K10" s="363">
        <f t="shared" ref="K10:K48" si="12">VLOOKUP(D10,prob_dead_pstk,4)</f>
        <v>2.5560019999999996E-2</v>
      </c>
      <c r="L10" s="363"/>
      <c r="N10" s="363">
        <f>N9-((N9*E9)+(N9*F9)+(N9*G9))</f>
        <v>0.78084415792677631</v>
      </c>
      <c r="O10" s="363">
        <f>N9*E9</f>
        <v>3.6347210185757511E-2</v>
      </c>
      <c r="P10" s="363">
        <f>(O9-(O9*H9))+(P9-(P9*I9))</f>
        <v>5.393931642323066E-2</v>
      </c>
      <c r="Q10" s="363">
        <f>N9*F9</f>
        <v>9.4671803274531188E-3</v>
      </c>
      <c r="R10" s="363">
        <f>(Q9-(Q9*J9))+(R9-(R9*K9))</f>
        <v>1.2746550066011681E-2</v>
      </c>
      <c r="S10" s="363">
        <f>S9+(N9*G9)+(O9*H9)+(P9*I9)+(Q9*J9)+(R9*K9)</f>
        <v>0.10665558507077073</v>
      </c>
      <c r="T10" s="363">
        <f t="shared" si="0"/>
        <v>1</v>
      </c>
      <c r="U10" s="363">
        <f t="shared" si="1"/>
        <v>0.89334441492922922</v>
      </c>
      <c r="V10" s="376"/>
      <c r="W10" s="363"/>
      <c r="X10" s="363">
        <f t="shared" ref="X10:X48" si="13">0.5*(N10+N11)</f>
        <v>0.75108052594804198</v>
      </c>
      <c r="Y10" s="363">
        <f t="shared" ref="Y10:Y48" si="14">0.5*(O10+O11)</f>
        <v>3.496175448830445E-2</v>
      </c>
      <c r="Z10" s="363">
        <f t="shared" ref="Z10:Z48" si="15">0.5*(P10+P11)</f>
        <v>7.0320522937120822E-2</v>
      </c>
      <c r="AA10" s="363">
        <f t="shared" ref="AA10:AA48" si="16">0.5*(Q10+Q11)</f>
        <v>9.1063174481165066E-3</v>
      </c>
      <c r="AB10" s="363">
        <f t="shared" ref="AB10:AB48" si="17">0.5*(R10+R11)</f>
        <v>1.7070564270754984E-2</v>
      </c>
      <c r="AC10" s="363">
        <f t="shared" ref="AC10:AC48" si="18">0.5*(S10+S11)</f>
        <v>0.11746031490766137</v>
      </c>
      <c r="AD10" s="363">
        <f t="shared" ref="AD10:AD48" si="19">AC10+AB10+AA10+Z10+Y10+X10</f>
        <v>1</v>
      </c>
      <c r="AE10" s="363">
        <f t="shared" si="2"/>
        <v>0.8825396850923386</v>
      </c>
      <c r="AF10" s="363"/>
      <c r="AG10" s="376"/>
      <c r="AH10" s="363">
        <f t="shared" ref="AH10:AH48" si="20">VLOOKUP(D10,adj_u_noevent,4)</f>
        <v>0.68245541925000008</v>
      </c>
      <c r="AI10" s="363">
        <f t="shared" ref="AI10:AI48" si="21">VLOOKUP(D10,adj_u_rinfarc,4)</f>
        <v>0.6313928403750001</v>
      </c>
      <c r="AJ10" s="363">
        <f t="shared" ref="AJ10:AJ48" si="22">VLOOKUP(D10,adj_u_posrinfarc,4)</f>
        <v>0.66543455962500009</v>
      </c>
      <c r="AK10" s="363">
        <f t="shared" ref="AK10:AK48" si="23">VLOOKUP(D10,adj_u_stk,4)</f>
        <v>0.56979353887499995</v>
      </c>
      <c r="AL10" s="363">
        <f t="shared" ref="AL10:AL48" si="24">VLOOKUP(D10, adj_u_pos_stk,4)</f>
        <v>0.56979353887499995</v>
      </c>
      <c r="AM10" s="363">
        <v>0</v>
      </c>
      <c r="AN10" s="368"/>
      <c r="AP10" s="363">
        <f t="shared" ref="AP10:AP48" si="25">AP9 -((AP9*E9)+(AP9*F9)+(AP9*G9))</f>
        <v>0.78979800574885661</v>
      </c>
      <c r="AQ10" s="363">
        <f t="shared" ref="AQ10:AQ48" si="26">AP9*E9</f>
        <v>3.6763999356114546E-2</v>
      </c>
      <c r="AR10" s="363">
        <f t="shared" ref="AR10:AR48" si="27">(AQ9-(AQ9*H9))+(AR9-(AR9*I9))</f>
        <v>5.2183227474015187E-2</v>
      </c>
      <c r="AS10" s="363">
        <f t="shared" ref="AS10:AS48" si="28">AP9*F9</f>
        <v>9.5757393671740219E-3</v>
      </c>
      <c r="AT10" s="363">
        <f t="shared" ref="AT10:AT48" si="29">(AS9-(AS9*J9))+(AT9-(AT9*K9))</f>
        <v>1.23353704911312E-2</v>
      </c>
      <c r="AU10" s="363">
        <f t="shared" ref="AU10:AU48" si="30">AU9+(AP9*G9)+(AQ9*H9)+(AR9*I9)+(AS9*J9)+(AT9*K9)</f>
        <v>9.9343657562708396E-2</v>
      </c>
      <c r="AV10" s="363">
        <f t="shared" si="3"/>
        <v>0.99999999999999989</v>
      </c>
      <c r="AW10" s="363">
        <f t="shared" si="4"/>
        <v>0.90065634243729153</v>
      </c>
      <c r="AX10" s="375"/>
      <c r="AY10" s="363">
        <f>0.5*(AP10+AP11)</f>
        <v>0.75969307771422601</v>
      </c>
      <c r="AZ10" s="363">
        <f t="shared" ref="AZ10:BD10" si="31">0.5*(AQ10+AQ11)</f>
        <v>3.5362656801657691E-2</v>
      </c>
      <c r="BA10" s="363">
        <f t="shared" si="31"/>
        <v>6.879151777095148E-2</v>
      </c>
      <c r="BB10" s="363">
        <f t="shared" si="31"/>
        <v>9.2107385157806088E-3</v>
      </c>
      <c r="BC10" s="363">
        <f t="shared" si="31"/>
        <v>1.6716090502593657E-2</v>
      </c>
      <c r="BD10" s="363">
        <f t="shared" si="31"/>
        <v>0.11022591869479052</v>
      </c>
      <c r="BE10" s="363">
        <f t="shared" ref="BE10:BE48" si="32">AY10+AZ10+BA10+BB10+BC10+BD10</f>
        <v>1</v>
      </c>
      <c r="BF10" s="363">
        <f t="shared" ref="BF10:BF48" si="33">AY10+AZ10+BA10+BB10+BC10</f>
        <v>0.88977408130520952</v>
      </c>
      <c r="BG10" s="438"/>
      <c r="BH10" s="439"/>
      <c r="BJ10" s="369">
        <f>(N10*c_noevent_markov)/(1+disc_cost)^C10</f>
        <v>869.29858266950475</v>
      </c>
      <c r="BK10" s="369">
        <f t="shared" ref="BK10:BK48" si="34">(O10*c_rinfar_mkv)/(1+disc_cost)^C10</f>
        <v>219.01540420703907</v>
      </c>
      <c r="BL10" s="369">
        <f t="shared" ref="BL10:BL48" si="35">(P10*c_post_rinfar_mkv)/(1+disc_cost)^C10</f>
        <v>90.106224231583582</v>
      </c>
      <c r="BM10" s="369">
        <f t="shared" ref="BM10:BM48" si="36">(Q10*c_stk_mkv)/(1+disc_cost)^C10</f>
        <v>207.01482260741736</v>
      </c>
      <c r="BN10" s="369">
        <f t="shared" ref="BN10:BN48" si="37">(R10*c_post_stk_mkv)/(1+disc_cost)^C10</f>
        <v>98.95719446295611</v>
      </c>
      <c r="BO10" s="369">
        <f t="shared" ref="BO10:BO48" si="38">S10*0</f>
        <v>0</v>
      </c>
      <c r="BP10" s="369">
        <f t="shared" si="5"/>
        <v>1484.3922281785008</v>
      </c>
      <c r="BQ10" s="431"/>
      <c r="BR10" s="369">
        <f>(X10*c_noevent_markov)/(1+disc_cost)^C10</f>
        <v>836.16331126924558</v>
      </c>
      <c r="BS10" s="369">
        <f t="shared" ref="BS10:BS48" si="39">(Y10*c_rinfar_mkv)/(1+disc_cost)^C10</f>
        <v>210.66713929102835</v>
      </c>
      <c r="BT10" s="369">
        <f t="shared" ref="BT10:BT48" si="40">(Z10*c_post_rinfar_mkv)/(1+disc_cost)^C10</f>
        <v>117.47121076094118</v>
      </c>
      <c r="BU10" s="369">
        <f t="shared" ref="BU10:BU48" si="41">(AA10*c_stk_mkv)/(1+disc_cost)^C10</f>
        <v>199.1239868603848</v>
      </c>
      <c r="BV10" s="369">
        <f t="shared" ref="BV10:BV48" si="42">(AB10*c_post_stk_mkv)/(1+disc_cost)^C10</f>
        <v>132.52645926820961</v>
      </c>
      <c r="BW10" s="369">
        <f>AC10*0</f>
        <v>0</v>
      </c>
      <c r="BX10" s="371">
        <f t="shared" ref="BX10:BX48" si="43">BR10+BS10+BT10+BU10+BV10+BW10</f>
        <v>1495.9521074498095</v>
      </c>
      <c r="BY10" s="371"/>
      <c r="CA10" s="369">
        <f>(AP10*c_noevent_markov)/(1+disc_cost)^C10</f>
        <v>879.26672694279864</v>
      </c>
      <c r="CB10" s="369">
        <f t="shared" ref="CB10:CB48" si="44">(AQ10*c_rinfar_mkv)/(1+disc_cost)^C10</f>
        <v>221.52682800403332</v>
      </c>
      <c r="CC10" s="369">
        <f>(AR10*c_post_rinfar_mkv)/(1+disc_cost)^C10</f>
        <v>87.172658233322849</v>
      </c>
      <c r="CD10" s="369">
        <f t="shared" ref="CD10:CD48" si="45">(AS10*c_stk_mkv)/(1+disc_cost)^C10</f>
        <v>209.3886371512352</v>
      </c>
      <c r="CE10" s="369">
        <f t="shared" ref="CE10:CE48" si="46">(AT10*c_post_stk_mkv)/(1+disc_cost)^C10</f>
        <v>95.765022703544915</v>
      </c>
      <c r="CF10" s="369">
        <f t="shared" ref="CF10:CF48" si="47">AU10*0</f>
        <v>0</v>
      </c>
      <c r="CG10" s="369">
        <f t="shared" ref="CG10:CG48" si="48">SUM(CA10:CF10)</f>
        <v>1493.1198730349349</v>
      </c>
      <c r="CH10" s="369"/>
      <c r="CI10" s="384"/>
      <c r="CJ10" s="369">
        <f t="shared" ref="CJ10:CJ48" si="49">(AY10*c_noevent_markov)/(1+disc_cost)^C10</f>
        <v>845.75149729523821</v>
      </c>
      <c r="CK10" s="369">
        <f t="shared" ref="CK10:CK48" si="50">(AZ10*c_rinfar_mkv)/(1+disc_cost)^C10</f>
        <v>213.08283451929657</v>
      </c>
      <c r="CL10" s="369">
        <f t="shared" ref="CL10:CL48" si="51">(BA10*c_post_rinfar_mkv)/(1+disc_cost)^C10</f>
        <v>114.91699073202795</v>
      </c>
      <c r="CM10" s="369">
        <f t="shared" ref="CM10:CM48" si="52">(BB10*c_stk_mkv)/(1+disc_cost)^C10</f>
        <v>201.40731812178231</v>
      </c>
      <c r="CN10" s="369">
        <f t="shared" ref="CN10:CN48" si="53">(BC10*c_post_stk_mkv)/(1+disc_cost)^C10</f>
        <v>129.77452016105534</v>
      </c>
      <c r="CO10" s="369">
        <f t="shared" ref="CO10:CO48" si="54">(BD10*0)/(1+disc_cost)^H10</f>
        <v>0</v>
      </c>
      <c r="CP10" s="369">
        <f>SUM(CJ10:CO10)</f>
        <v>1504.9331608294003</v>
      </c>
      <c r="CR10" s="363">
        <f t="shared" ref="CR10:CR48" si="55">(N10*AH10)/(1+disc_cost)^C10</f>
        <v>0.51487084750418499</v>
      </c>
      <c r="CS10" s="363">
        <f t="shared" ref="CS10:CS48" si="56">(O10*AI10)/(1+disc_cost)^C10</f>
        <v>2.2173302684920359E-2</v>
      </c>
      <c r="CT10" s="363">
        <f t="shared" ref="CT10:CT48" si="57">(P10*AJ10)/(1+disc_cost)^C10</f>
        <v>3.4679309440160414E-2</v>
      </c>
      <c r="CU10" s="363">
        <f t="shared" ref="CU10:CU48" si="58">(Q10*AK10)/(1+disc_cost)^C10</f>
        <v>5.2119209487413469E-3</v>
      </c>
      <c r="CV10" s="363">
        <f t="shared" ref="CV10:CV48" si="59">(R10*AL10)/(1+disc_cost)^C10</f>
        <v>7.0172964932948409E-3</v>
      </c>
      <c r="CW10" s="363">
        <v>0</v>
      </c>
      <c r="CX10" s="363">
        <f t="shared" si="6"/>
        <v>0.58395267707130194</v>
      </c>
      <c r="CY10" s="363"/>
      <c r="CZ10" s="440"/>
      <c r="DA10" s="363">
        <f t="shared" ref="DA10:DA48" si="60">(X10*AH10)/(1+disc_cost)^C10</f>
        <v>0.49524538669215612</v>
      </c>
      <c r="DB10" s="363">
        <f t="shared" ref="DB10:DB48" si="61">(Y10*AI10)/(1+disc_cost)^C10</f>
        <v>2.1328117363153581E-2</v>
      </c>
      <c r="DC10" s="363">
        <f t="shared" ref="DC10:DC48" si="62">(Z10*AJ10)/(1+disc_cost)^C10</f>
        <v>4.5211310350978466E-2</v>
      </c>
      <c r="DD10" s="363">
        <f t="shared" ref="DD10:DD48" si="63">(AA10*AK10)/(1+disc_cost)^C10</f>
        <v>5.0132568549579358E-3</v>
      </c>
      <c r="DE10" s="363">
        <f t="shared" ref="DE10:DE48" si="64">(AB10*AL10)/(1+disc_cost)^C10</f>
        <v>9.3977750979967294E-3</v>
      </c>
      <c r="DF10" s="363">
        <v>0</v>
      </c>
      <c r="DG10" s="363">
        <f t="shared" ref="DG10:DG48" si="65">DA10+DB10+DC10+DD10+DE10+DF10</f>
        <v>0.57619584635924281</v>
      </c>
      <c r="DJ10" s="363">
        <f t="shared" ref="DJ10:DJ48" si="66">(AP10*AH10)/(1+disc_cost)^C10</f>
        <v>0.52077481075956522</v>
      </c>
      <c r="DK10" s="363">
        <f t="shared" ref="DK10:DK48" si="67">(AQ10*AI10)/(1+disc_cost)^C10</f>
        <v>2.2427561330436562E-2</v>
      </c>
      <c r="DL10" s="363">
        <f t="shared" ref="DL10:DL48" si="68">(AR10*AJ10)/(1+disc_cost)^C10</f>
        <v>3.3550263762301934E-2</v>
      </c>
      <c r="DM10" s="363">
        <f t="shared" ref="DM10:DM48" si="69">(AS10*AK10)/(1+disc_cost)^C10</f>
        <v>5.2716854312722114E-3</v>
      </c>
      <c r="DN10" s="363">
        <f t="shared" ref="DN10:DN48" si="70">(AT10*AL10)/(1+disc_cost)^C10</f>
        <v>6.7909317927303311E-3</v>
      </c>
      <c r="DO10" s="363">
        <f t="shared" ref="DO10:DO48" si="71">AU10*0</f>
        <v>0</v>
      </c>
      <c r="DP10" s="363">
        <f>DJ10+DK10+DL10+DM10+DN10+DO10</f>
        <v>0.58881525307630633</v>
      </c>
      <c r="DQ10" s="440"/>
      <c r="DS10" s="363">
        <f t="shared" ref="DS10:DS48" si="72">(AY10*AH10)/((1+disc_effect)^C10)</f>
        <v>0.50092430710414015</v>
      </c>
      <c r="DT10" s="363">
        <f t="shared" ref="DT10:DT48" si="73">(AZ10*AI10)/((1+disc_effect)^C10)</f>
        <v>2.1572684368313978E-2</v>
      </c>
      <c r="DU10" s="363">
        <f t="shared" ref="DU10:DU48" si="74">(BA10*AJ10)/((1+disc_effect)^C10)</f>
        <v>4.4228264090674853E-2</v>
      </c>
      <c r="DV10" s="363">
        <f t="shared" ref="DV10:DV48" si="75">BB10*AK10/((1+disc_effect)^C10)</f>
        <v>5.0707432797670506E-3</v>
      </c>
      <c r="DW10" s="363">
        <f t="shared" ref="DW10:DW48" si="76">BC10*AL10/(1+disc_effect)^C10</f>
        <v>9.2026283706547023E-3</v>
      </c>
      <c r="DX10" s="363">
        <f>BD10*0</f>
        <v>0</v>
      </c>
      <c r="DY10" s="388">
        <f>DS10+DT10+DU10+DV10+DW10+DX10</f>
        <v>0.58099862721355067</v>
      </c>
    </row>
    <row r="11" spans="2:129" x14ac:dyDescent="0.15">
      <c r="B11" s="448" t="s">
        <v>588</v>
      </c>
      <c r="C11" s="238">
        <v>2</v>
      </c>
      <c r="D11" s="238">
        <v>64</v>
      </c>
      <c r="E11" s="444">
        <f t="shared" si="7"/>
        <v>4.2999999999999997E-2</v>
      </c>
      <c r="F11" s="364">
        <v>1.12E-2</v>
      </c>
      <c r="G11" s="363">
        <f t="shared" si="8"/>
        <v>2.4059999999999998E-2</v>
      </c>
      <c r="H11" s="363">
        <f t="shared" si="9"/>
        <v>5.4134999999999996E-2</v>
      </c>
      <c r="I11" s="363">
        <f t="shared" si="10"/>
        <v>3.6089999999999997E-2</v>
      </c>
      <c r="J11" s="363">
        <f t="shared" si="11"/>
        <v>5.6901900000000005E-2</v>
      </c>
      <c r="K11" s="363">
        <f t="shared" si="12"/>
        <v>2.7909599999999996E-2</v>
      </c>
      <c r="L11" s="363"/>
      <c r="N11" s="363">
        <f t="shared" ref="N11:N48" si="77">N10-((N10*E10)+(N10*F10)+(N10*G10))</f>
        <v>0.72131689396930754</v>
      </c>
      <c r="O11" s="363">
        <f t="shared" ref="O11:O48" si="78">N10*E10</f>
        <v>3.3576298790851382E-2</v>
      </c>
      <c r="P11" s="363">
        <f t="shared" ref="P11:P48" si="79">(O10-(O10*H10))+(P10-(P10*I10))</f>
        <v>8.6701729451010984E-2</v>
      </c>
      <c r="Q11" s="363">
        <f t="shared" ref="Q11:Q48" si="80">N10*F10</f>
        <v>8.7454545687798944E-3</v>
      </c>
      <c r="R11" s="363">
        <f t="shared" ref="R11:R48" si="81">(Q10-(Q10*J10))+(R10-(R10*K10))</f>
        <v>2.1394578475498287E-2</v>
      </c>
      <c r="S11" s="363">
        <f t="shared" ref="S11:S48" si="82">S10+(N10*G10)+(O10*H10)+(P10*I10)+(Q10*J10)+(R10*K10)</f>
        <v>0.128265044744552</v>
      </c>
      <c r="T11" s="363">
        <f t="shared" si="0"/>
        <v>1</v>
      </c>
      <c r="U11" s="363">
        <f t="shared" si="1"/>
        <v>0.87173495525544797</v>
      </c>
      <c r="V11" s="376"/>
      <c r="W11" s="363"/>
      <c r="X11" s="363">
        <f t="shared" si="13"/>
        <v>0.69309176390828853</v>
      </c>
      <c r="Y11" s="363">
        <f t="shared" si="14"/>
        <v>3.2296462615765797E-2</v>
      </c>
      <c r="Z11" s="363">
        <f t="shared" si="15"/>
        <v>0.1010165196709718</v>
      </c>
      <c r="AA11" s="363">
        <f t="shared" si="16"/>
        <v>8.4121018906180706E-3</v>
      </c>
      <c r="AB11" s="363">
        <f t="shared" si="17"/>
        <v>2.5219932205514724E-2</v>
      </c>
      <c r="AC11" s="363">
        <f t="shared" si="18"/>
        <v>0.13996321970884115</v>
      </c>
      <c r="AD11" s="363">
        <f t="shared" si="19"/>
        <v>1</v>
      </c>
      <c r="AE11" s="363">
        <f t="shared" si="2"/>
        <v>0.86003678029115893</v>
      </c>
      <c r="AF11" s="363"/>
      <c r="AG11" s="376"/>
      <c r="AH11" s="363">
        <f t="shared" si="20"/>
        <v>0.6785895446500001</v>
      </c>
      <c r="AI11" s="363">
        <f t="shared" si="21"/>
        <v>0.62781621767500007</v>
      </c>
      <c r="AJ11" s="363">
        <f t="shared" si="22"/>
        <v>0.66166510232500009</v>
      </c>
      <c r="AK11" s="363">
        <f t="shared" si="23"/>
        <v>0.56656585497500001</v>
      </c>
      <c r="AL11" s="363">
        <f t="shared" si="24"/>
        <v>0.56656585497500001</v>
      </c>
      <c r="AM11" s="363">
        <v>0</v>
      </c>
      <c r="AN11" s="368"/>
      <c r="AP11" s="363">
        <f t="shared" si="25"/>
        <v>0.7295881496795954</v>
      </c>
      <c r="AQ11" s="363">
        <f t="shared" si="26"/>
        <v>3.3961314247200829E-2</v>
      </c>
      <c r="AR11" s="363">
        <f t="shared" si="27"/>
        <v>8.5399808067887772E-2</v>
      </c>
      <c r="AS11" s="363">
        <f t="shared" si="28"/>
        <v>8.8457376643871939E-3</v>
      </c>
      <c r="AT11" s="363">
        <f t="shared" si="29"/>
        <v>2.1096810514056118E-2</v>
      </c>
      <c r="AU11" s="363">
        <f t="shared" si="30"/>
        <v>0.12110817982687265</v>
      </c>
      <c r="AV11" s="363">
        <f t="shared" si="3"/>
        <v>1</v>
      </c>
      <c r="AW11" s="363">
        <f t="shared" si="4"/>
        <v>0.87889182017312739</v>
      </c>
      <c r="AX11" s="375"/>
      <c r="AY11" s="363">
        <f t="shared" ref="AY11:AY48" si="83">0.5*(AP11+AP12)</f>
        <v>0.70103936538263278</v>
      </c>
      <c r="AZ11" s="363">
        <f t="shared" ref="AZ11:AZ48" si="84">0.5*(AQ11+AQ12)</f>
        <v>3.2666802341711709E-2</v>
      </c>
      <c r="BA11" s="363">
        <f t="shared" ref="BA11:BA48" si="85">0.5*(AR11+AR12)</f>
        <v>9.9920177781517044E-2</v>
      </c>
      <c r="BB11" s="363">
        <f t="shared" ref="BB11:BB48" si="86">0.5*(AS11+AS12)</f>
        <v>8.5085624703993314E-3</v>
      </c>
      <c r="BC11" s="363">
        <f t="shared" ref="BC11:BC48" si="87">0.5*(AT11+AT12)</f>
        <v>2.4973607934885567E-2</v>
      </c>
      <c r="BD11" s="363">
        <f t="shared" ref="BD11:BD48" si="88">0.5*(AU11+AU12)</f>
        <v>0.13289148408885348</v>
      </c>
      <c r="BE11" s="363">
        <f t="shared" si="32"/>
        <v>1</v>
      </c>
      <c r="BF11" s="363">
        <f t="shared" si="33"/>
        <v>0.86710851591114646</v>
      </c>
      <c r="BG11" s="438"/>
      <c r="BH11" s="439"/>
      <c r="BJ11" s="369">
        <f t="shared" ref="BJ11:BJ48" si="89">(N11*c_noevent_markov)/(1+disc_cost)^C11</f>
        <v>775.87250228887581</v>
      </c>
      <c r="BK11" s="369">
        <f t="shared" si="34"/>
        <v>195.47717330919573</v>
      </c>
      <c r="BL11" s="369">
        <f t="shared" si="35"/>
        <v>139.9383548698539</v>
      </c>
      <c r="BM11" s="369">
        <f t="shared" si="36"/>
        <v>184.7663295781181</v>
      </c>
      <c r="BN11" s="369">
        <f t="shared" si="37"/>
        <v>160.4789604574523</v>
      </c>
      <c r="BO11" s="369">
        <f t="shared" si="38"/>
        <v>0</v>
      </c>
      <c r="BP11" s="369">
        <f t="shared" si="5"/>
        <v>1456.5333205034958</v>
      </c>
      <c r="BQ11" s="431"/>
      <c r="BR11" s="369">
        <f t="shared" ref="BR11:BR48" si="90">(X11*c_noevent_markov)/(1+disc_cost)^C11</f>
        <v>745.51261127431201</v>
      </c>
      <c r="BS11" s="369">
        <f t="shared" si="39"/>
        <v>188.02612102487575</v>
      </c>
      <c r="BT11" s="369">
        <f t="shared" si="40"/>
        <v>163.04271745145905</v>
      </c>
      <c r="BU11" s="369">
        <f t="shared" si="41"/>
        <v>177.72354520200659</v>
      </c>
      <c r="BV11" s="369">
        <f t="shared" si="42"/>
        <v>189.17262182956668</v>
      </c>
      <c r="BW11" s="369">
        <f t="shared" ref="BW11:BW48" si="91">AC11*0</f>
        <v>0</v>
      </c>
      <c r="BX11" s="371">
        <f t="shared" si="43"/>
        <v>1463.4776167822201</v>
      </c>
      <c r="BY11" s="371"/>
      <c r="CA11" s="369">
        <f t="shared" ref="CA10:CA48" si="92">(AP11*c_noevent_markov)/(1+disc_cost)^C11</f>
        <v>784.76934072239419</v>
      </c>
      <c r="CB11" s="369">
        <f t="shared" si="44"/>
        <v>197.71868698991287</v>
      </c>
      <c r="CC11" s="369">
        <f>(AR11*c_post_rinfar_mkv)/(1+disc_cost)^C11</f>
        <v>137.83702727607056</v>
      </c>
      <c r="CD11" s="369">
        <f t="shared" si="45"/>
        <v>186.88502327761293</v>
      </c>
      <c r="CE11" s="369">
        <f t="shared" si="46"/>
        <v>158.24542765078823</v>
      </c>
      <c r="CF11" s="369">
        <f t="shared" si="47"/>
        <v>0</v>
      </c>
      <c r="CG11" s="369">
        <f t="shared" si="48"/>
        <v>1465.4555059167787</v>
      </c>
      <c r="CH11" s="369"/>
      <c r="CI11" s="384"/>
      <c r="CJ11" s="369">
        <f t="shared" ref="CJ11:CJ48" si="93">(AY11*c_noevent_markov)/(1+disc_cost)^C11</f>
        <v>754.06131641992681</v>
      </c>
      <c r="CK11" s="369">
        <f t="shared" ref="CK11:CK48" si="94">(AZ11*c_rinfar_mkv)/(1+disc_cost)^C11</f>
        <v>190.1821943682466</v>
      </c>
      <c r="CL11" s="369">
        <f t="shared" ref="CL11:CL48" si="95">(BA11*c_post_rinfar_mkv)/(1+disc_cost)^C11</f>
        <v>161.27319934199741</v>
      </c>
      <c r="CM11" s="369">
        <f t="shared" ref="CM11:CM48" si="96">(BB11*c_stk_mkv)/(1+disc_cost)^C11</f>
        <v>179.76148012408433</v>
      </c>
      <c r="CN11" s="369">
        <f t="shared" ref="CN11:CN48" si="97">(BC11*c_post_stk_mkv)/(1+disc_cost)^C11</f>
        <v>187.32496388522915</v>
      </c>
      <c r="CO11" s="369">
        <f t="shared" ref="CO11:CO48" si="98">(BD11*0)/(1+disc_cost)^H11</f>
        <v>0</v>
      </c>
      <c r="CP11" s="369">
        <f t="shared" ref="CP11:CP48" si="99">SUM(CJ11:CO11)</f>
        <v>1472.6031541394843</v>
      </c>
      <c r="CR11" s="363">
        <f t="shared" si="55"/>
        <v>0.45693304639733473</v>
      </c>
      <c r="CS11" s="363">
        <f t="shared" si="56"/>
        <v>1.9678167434850753E-2</v>
      </c>
      <c r="CT11" s="363">
        <f t="shared" si="57"/>
        <v>5.3553183214504578E-2</v>
      </c>
      <c r="CU11" s="363">
        <f t="shared" si="58"/>
        <v>4.6254297135576578E-3</v>
      </c>
      <c r="CV11" s="363">
        <f t="shared" si="59"/>
        <v>1.1315491746178833E-2</v>
      </c>
      <c r="CW11" s="363">
        <v>0</v>
      </c>
      <c r="CX11" s="363">
        <f t="shared" si="6"/>
        <v>0.54610531850642652</v>
      </c>
      <c r="CY11" s="363"/>
      <c r="CZ11" s="440"/>
      <c r="DA11" s="363">
        <f t="shared" si="60"/>
        <v>0.43905325629180697</v>
      </c>
      <c r="DB11" s="363">
        <f t="shared" si="61"/>
        <v>1.8928089807194681E-2</v>
      </c>
      <c r="DC11" s="363">
        <f t="shared" si="62"/>
        <v>6.2395020490194825E-2</v>
      </c>
      <c r="DD11" s="363">
        <f t="shared" si="63"/>
        <v>4.4491210528085521E-3</v>
      </c>
      <c r="DE11" s="363">
        <f t="shared" si="64"/>
        <v>1.3338703309229143E-2</v>
      </c>
      <c r="DF11" s="363">
        <v>0</v>
      </c>
      <c r="DG11" s="363">
        <f t="shared" si="65"/>
        <v>0.53816419095123424</v>
      </c>
      <c r="DJ11" s="363">
        <f t="shared" si="66"/>
        <v>0.46217264372387951</v>
      </c>
      <c r="DK11" s="363">
        <f t="shared" si="67"/>
        <v>1.9903814658871592E-2</v>
      </c>
      <c r="DL11" s="363">
        <f t="shared" si="68"/>
        <v>5.2749023541995697E-2</v>
      </c>
      <c r="DM11" s="363">
        <f t="shared" si="69"/>
        <v>4.6784689702985749E-3</v>
      </c>
      <c r="DN11" s="363">
        <f t="shared" si="70"/>
        <v>1.1158003674430464E-2</v>
      </c>
      <c r="DO11" s="363">
        <f t="shared" si="71"/>
        <v>0</v>
      </c>
      <c r="DP11" s="363">
        <f t="shared" ref="DP11:DP48" si="100">DJ11+DK11+DL11+DM11+DN11+DO11</f>
        <v>0.55066195456947575</v>
      </c>
      <c r="DQ11" s="440"/>
      <c r="DS11" s="363">
        <f t="shared" si="72"/>
        <v>0.44408782817496406</v>
      </c>
      <c r="DT11" s="363">
        <f t="shared" si="73"/>
        <v>1.9145135979565714E-2</v>
      </c>
      <c r="DU11" s="363">
        <f t="shared" si="74"/>
        <v>6.1717841402263461E-2</v>
      </c>
      <c r="DV11" s="363">
        <f t="shared" si="75"/>
        <v>4.5001385989404613E-3</v>
      </c>
      <c r="DW11" s="363">
        <f t="shared" si="76"/>
        <v>1.3208423563153293E-2</v>
      </c>
      <c r="DX11" s="363">
        <f t="shared" ref="DX11:DX48" si="101">BD11*0</f>
        <v>0</v>
      </c>
      <c r="DY11" s="388">
        <f t="shared" ref="DY11:DY48" si="102">DS11+DT11+DU11+DV11+DW11+DX11</f>
        <v>0.54265936771888701</v>
      </c>
    </row>
    <row r="12" spans="2:129" x14ac:dyDescent="0.15">
      <c r="B12" s="448" t="s">
        <v>588</v>
      </c>
      <c r="C12" s="238">
        <v>3</v>
      </c>
      <c r="D12" s="238">
        <v>65</v>
      </c>
      <c r="E12" s="444">
        <f t="shared" si="7"/>
        <v>4.2999999999999997E-2</v>
      </c>
      <c r="F12" s="364">
        <v>1.12E-2</v>
      </c>
      <c r="G12" s="363">
        <f t="shared" si="8"/>
        <v>2.6258500000000004E-2</v>
      </c>
      <c r="H12" s="363">
        <f t="shared" si="9"/>
        <v>5.9081624999999999E-2</v>
      </c>
      <c r="I12" s="363">
        <f t="shared" si="10"/>
        <v>3.9387750000000006E-2</v>
      </c>
      <c r="J12" s="363">
        <f t="shared" si="11"/>
        <v>6.2101352500000012E-2</v>
      </c>
      <c r="K12" s="363">
        <f t="shared" si="12"/>
        <v>3.0459859999999998E-2</v>
      </c>
      <c r="L12" s="363"/>
      <c r="N12" s="363">
        <f t="shared" si="77"/>
        <v>0.66486663384726952</v>
      </c>
      <c r="O12" s="363">
        <f t="shared" si="78"/>
        <v>3.101662644068022E-2</v>
      </c>
      <c r="P12" s="363">
        <f t="shared" si="79"/>
        <v>0.11533130989093263</v>
      </c>
      <c r="Q12" s="363">
        <f t="shared" si="80"/>
        <v>8.078749212456245E-3</v>
      </c>
      <c r="R12" s="363">
        <f t="shared" si="81"/>
        <v>2.9045285935531157E-2</v>
      </c>
      <c r="S12" s="363">
        <f t="shared" si="82"/>
        <v>0.15166139467313031</v>
      </c>
      <c r="T12" s="363">
        <f t="shared" si="0"/>
        <v>1</v>
      </c>
      <c r="U12" s="363">
        <f t="shared" si="1"/>
        <v>0.84833860532686978</v>
      </c>
      <c r="V12" s="376"/>
      <c r="W12" s="363"/>
      <c r="X12" s="363">
        <f t="shared" si="13"/>
        <v>0.63811954781756919</v>
      </c>
      <c r="Y12" s="363">
        <f t="shared" si="14"/>
        <v>2.9802945848056404E-2</v>
      </c>
      <c r="Z12" s="363">
        <f t="shared" si="15"/>
        <v>0.12765204636462776</v>
      </c>
      <c r="AA12" s="363">
        <f t="shared" si="16"/>
        <v>7.7626277557728317E-3</v>
      </c>
      <c r="AB12" s="363">
        <f t="shared" si="17"/>
        <v>3.2391452243830235E-2</v>
      </c>
      <c r="AC12" s="363">
        <f t="shared" si="18"/>
        <v>0.16427137997014357</v>
      </c>
      <c r="AD12" s="363">
        <f t="shared" si="19"/>
        <v>1</v>
      </c>
      <c r="AE12" s="363">
        <f t="shared" si="2"/>
        <v>0.83572862002985648</v>
      </c>
      <c r="AF12" s="363"/>
      <c r="AG12" s="376"/>
      <c r="AH12" s="363">
        <f t="shared" si="20"/>
        <v>0.67466776125000005</v>
      </c>
      <c r="AI12" s="363">
        <f t="shared" si="21"/>
        <v>0.62418786937500004</v>
      </c>
      <c r="AJ12" s="363">
        <f t="shared" si="22"/>
        <v>0.65784113062500005</v>
      </c>
      <c r="AK12" s="363">
        <f t="shared" si="23"/>
        <v>0.56329149187500005</v>
      </c>
      <c r="AL12" s="363">
        <f t="shared" si="24"/>
        <v>0.56329149187500005</v>
      </c>
      <c r="AM12" s="363">
        <v>0</v>
      </c>
      <c r="AN12" s="368"/>
      <c r="AP12" s="363">
        <f t="shared" si="25"/>
        <v>0.67249058108567028</v>
      </c>
      <c r="AQ12" s="363">
        <f t="shared" si="26"/>
        <v>3.1372290436222597E-2</v>
      </c>
      <c r="AR12" s="363">
        <f t="shared" si="27"/>
        <v>0.11444054749514632</v>
      </c>
      <c r="AS12" s="363">
        <f t="shared" si="28"/>
        <v>8.1713872764114688E-3</v>
      </c>
      <c r="AT12" s="363">
        <f t="shared" si="29"/>
        <v>2.8850405355715016E-2</v>
      </c>
      <c r="AU12" s="363">
        <f t="shared" si="30"/>
        <v>0.1446747883508343</v>
      </c>
      <c r="AV12" s="363">
        <f t="shared" si="3"/>
        <v>1</v>
      </c>
      <c r="AW12" s="363">
        <f t="shared" si="4"/>
        <v>0.85532521164916564</v>
      </c>
      <c r="AX12" s="375"/>
      <c r="AY12" s="363">
        <f t="shared" si="83"/>
        <v>0.6454367893765296</v>
      </c>
      <c r="AZ12" s="363">
        <f t="shared" si="84"/>
        <v>3.014469271145321E-2</v>
      </c>
      <c r="BA12" s="363">
        <f t="shared" si="85"/>
        <v>0.12694615192648465</v>
      </c>
      <c r="BB12" s="363">
        <f t="shared" si="86"/>
        <v>7.8516408922854886E-3</v>
      </c>
      <c r="BC12" s="363">
        <f t="shared" si="87"/>
        <v>3.2242982239048368E-2</v>
      </c>
      <c r="BD12" s="363">
        <f t="shared" si="88"/>
        <v>0.1573777428541987</v>
      </c>
      <c r="BE12" s="363">
        <f t="shared" si="32"/>
        <v>1</v>
      </c>
      <c r="BF12" s="363">
        <f t="shared" si="33"/>
        <v>0.8426222571458013</v>
      </c>
      <c r="BG12" s="438"/>
      <c r="BH12" s="439"/>
      <c r="BJ12" s="369">
        <f t="shared" si="89"/>
        <v>690.96881184516758</v>
      </c>
      <c r="BK12" s="369">
        <f t="shared" si="34"/>
        <v>174.46866544981242</v>
      </c>
      <c r="BL12" s="369">
        <f t="shared" si="35"/>
        <v>179.85225123967558</v>
      </c>
      <c r="BM12" s="369">
        <f t="shared" si="36"/>
        <v>164.90894765786965</v>
      </c>
      <c r="BN12" s="369">
        <f t="shared" si="37"/>
        <v>210.4988243494503</v>
      </c>
      <c r="BO12" s="369">
        <f t="shared" si="38"/>
        <v>0</v>
      </c>
      <c r="BP12" s="369">
        <f t="shared" si="5"/>
        <v>1420.6975005419756</v>
      </c>
      <c r="BQ12" s="431"/>
      <c r="BR12" s="369">
        <f t="shared" si="90"/>
        <v>663.17165477124524</v>
      </c>
      <c r="BS12" s="369">
        <f t="shared" si="39"/>
        <v>167.64170657076127</v>
      </c>
      <c r="BT12" s="369">
        <f t="shared" si="40"/>
        <v>199.06569981509202</v>
      </c>
      <c r="BU12" s="369">
        <f t="shared" si="41"/>
        <v>158.45606053601722</v>
      </c>
      <c r="BV12" s="369">
        <f t="shared" si="42"/>
        <v>234.74937142748911</v>
      </c>
      <c r="BW12" s="369">
        <f t="shared" si="91"/>
        <v>0</v>
      </c>
      <c r="BX12" s="371">
        <f t="shared" si="43"/>
        <v>1423.0844931206047</v>
      </c>
      <c r="BY12" s="371"/>
      <c r="CA12" s="369">
        <f t="shared" si="92"/>
        <v>698.89206967870496</v>
      </c>
      <c r="CB12" s="369">
        <f t="shared" si="44"/>
        <v>176.46927704983611</v>
      </c>
      <c r="CC12" s="369">
        <f>(AR12*c_post_rinfar_mkv)/(1+disc_cost)^C12</f>
        <v>178.4631607806032</v>
      </c>
      <c r="CD12" s="369">
        <f t="shared" si="45"/>
        <v>166.79993910198624</v>
      </c>
      <c r="CE12" s="369">
        <f t="shared" si="46"/>
        <v>209.08647354557496</v>
      </c>
      <c r="CF12" s="369">
        <f t="shared" si="47"/>
        <v>0</v>
      </c>
      <c r="CG12" s="369">
        <f t="shared" si="48"/>
        <v>1429.7109201567055</v>
      </c>
      <c r="CH12" s="369"/>
      <c r="CI12" s="384"/>
      <c r="CJ12" s="369">
        <f t="shared" si="93"/>
        <v>670.77616588458295</v>
      </c>
      <c r="CK12" s="369">
        <f t="shared" si="94"/>
        <v>169.56403423887605</v>
      </c>
      <c r="CL12" s="369">
        <f t="shared" si="95"/>
        <v>197.96489983321663</v>
      </c>
      <c r="CM12" s="369">
        <f t="shared" si="96"/>
        <v>160.27305748492554</v>
      </c>
      <c r="CN12" s="369">
        <f t="shared" si="97"/>
        <v>233.67337026409521</v>
      </c>
      <c r="CO12" s="369">
        <f t="shared" si="98"/>
        <v>0</v>
      </c>
      <c r="CP12" s="369">
        <f t="shared" si="99"/>
        <v>1432.2515277056964</v>
      </c>
      <c r="CR12" s="363">
        <f t="shared" si="55"/>
        <v>0.40457910303607303</v>
      </c>
      <c r="CS12" s="363">
        <f t="shared" si="56"/>
        <v>1.7461792949995038E-2</v>
      </c>
      <c r="CT12" s="363">
        <f t="shared" si="57"/>
        <v>6.8430103821599697E-2</v>
      </c>
      <c r="CU12" s="363">
        <f t="shared" si="58"/>
        <v>4.1044622793408652E-3</v>
      </c>
      <c r="CV12" s="363">
        <f t="shared" si="59"/>
        <v>1.4756650736384408E-2</v>
      </c>
      <c r="CW12" s="363">
        <v>0</v>
      </c>
      <c r="CX12" s="363">
        <f t="shared" si="6"/>
        <v>0.50933211282339308</v>
      </c>
      <c r="CY12" s="363"/>
      <c r="CZ12" s="440"/>
      <c r="DA12" s="363">
        <f t="shared" si="60"/>
        <v>0.38830318915525902</v>
      </c>
      <c r="DB12" s="363">
        <f t="shared" si="61"/>
        <v>1.6778512991861734E-2</v>
      </c>
      <c r="DC12" s="363">
        <f t="shared" si="62"/>
        <v>7.5740428111255698E-2</v>
      </c>
      <c r="DD12" s="363">
        <f t="shared" si="63"/>
        <v>3.9438546703502581E-3</v>
      </c>
      <c r="DE12" s="363">
        <f t="shared" si="64"/>
        <v>1.6456692788889109E-2</v>
      </c>
      <c r="DF12" s="363">
        <v>0</v>
      </c>
      <c r="DG12" s="363">
        <f t="shared" si="65"/>
        <v>0.50122267771761575</v>
      </c>
      <c r="DJ12" s="363">
        <f t="shared" si="66"/>
        <v>0.40921836387167559</v>
      </c>
      <c r="DK12" s="363">
        <f t="shared" si="67"/>
        <v>1.7662025269322437E-2</v>
      </c>
      <c r="DL12" s="363">
        <f t="shared" si="68"/>
        <v>6.7901583307251254E-2</v>
      </c>
      <c r="DM12" s="363">
        <f t="shared" si="69"/>
        <v>4.1515276639859447E-3</v>
      </c>
      <c r="DN12" s="363">
        <f t="shared" si="70"/>
        <v>1.4657640361412235E-2</v>
      </c>
      <c r="DO12" s="363">
        <f t="shared" si="71"/>
        <v>0</v>
      </c>
      <c r="DP12" s="363">
        <f t="shared" si="100"/>
        <v>0.51359114047364751</v>
      </c>
      <c r="DQ12" s="440"/>
      <c r="DS12" s="363">
        <f t="shared" si="72"/>
        <v>0.39275581600689097</v>
      </c>
      <c r="DT12" s="363">
        <f t="shared" si="73"/>
        <v>1.6970910220533854E-2</v>
      </c>
      <c r="DU12" s="363">
        <f t="shared" si="74"/>
        <v>7.5321596228266549E-2</v>
      </c>
      <c r="DV12" s="363">
        <f t="shared" si="75"/>
        <v>3.9890783864941753E-3</v>
      </c>
      <c r="DW12" s="363">
        <f t="shared" si="76"/>
        <v>1.6381261615298383E-2</v>
      </c>
      <c r="DX12" s="363">
        <f t="shared" si="101"/>
        <v>0</v>
      </c>
      <c r="DY12" s="388">
        <f t="shared" si="102"/>
        <v>0.5054186624574839</v>
      </c>
    </row>
    <row r="13" spans="2:129" x14ac:dyDescent="0.15">
      <c r="B13" s="448" t="s">
        <v>588</v>
      </c>
      <c r="C13" s="238">
        <v>4</v>
      </c>
      <c r="D13" s="238">
        <v>66</v>
      </c>
      <c r="E13" s="444">
        <f t="shared" si="7"/>
        <v>4.2999999999999997E-2</v>
      </c>
      <c r="F13" s="364">
        <v>1.12E-2</v>
      </c>
      <c r="G13" s="363">
        <f t="shared" si="8"/>
        <v>2.8965499999999998E-2</v>
      </c>
      <c r="H13" s="363">
        <f t="shared" si="9"/>
        <v>6.5172375000000005E-2</v>
      </c>
      <c r="I13" s="363">
        <f>VLOOKUP(D13,prob_dead_pos_reinfarct,4)</f>
        <v>4.3448249999999994E-2</v>
      </c>
      <c r="J13" s="363">
        <f t="shared" si="11"/>
        <v>6.8503407500000002E-2</v>
      </c>
      <c r="K13" s="363">
        <f t="shared" si="12"/>
        <v>3.3599979999999995E-2</v>
      </c>
      <c r="L13" s="363"/>
      <c r="N13" s="363">
        <f t="shared" si="77"/>
        <v>0.61137246178786897</v>
      </c>
      <c r="O13" s="363">
        <f t="shared" si="78"/>
        <v>2.8589265255432587E-2</v>
      </c>
      <c r="P13" s="363">
        <f t="shared" si="79"/>
        <v>0.1399727828383229</v>
      </c>
      <c r="Q13" s="363">
        <f t="shared" si="80"/>
        <v>7.4465062990894185E-3</v>
      </c>
      <c r="R13" s="363">
        <f t="shared" si="81"/>
        <v>3.5737618552129313E-2</v>
      </c>
      <c r="S13" s="363">
        <f t="shared" si="82"/>
        <v>0.17688136526715686</v>
      </c>
      <c r="T13" s="363">
        <f t="shared" si="0"/>
        <v>1</v>
      </c>
      <c r="U13" s="363">
        <f t="shared" si="1"/>
        <v>0.82311863473284319</v>
      </c>
      <c r="V13" s="376"/>
      <c r="W13" s="363"/>
      <c r="X13" s="363">
        <f t="shared" si="13"/>
        <v>0.58594991355245951</v>
      </c>
      <c r="Y13" s="363">
        <f t="shared" si="14"/>
        <v>2.7439140556155477E-2</v>
      </c>
      <c r="Z13" s="363">
        <f t="shared" si="15"/>
        <v>0.15029501407696086</v>
      </c>
      <c r="AA13" s="363">
        <f t="shared" si="16"/>
        <v>7.1469389355567755E-3</v>
      </c>
      <c r="AB13" s="363">
        <f t="shared" si="17"/>
        <v>3.8605424539645515E-2</v>
      </c>
      <c r="AC13" s="363">
        <f t="shared" si="18"/>
        <v>0.19056356833922197</v>
      </c>
      <c r="AD13" s="363">
        <f t="shared" si="19"/>
        <v>1</v>
      </c>
      <c r="AE13" s="363">
        <f t="shared" si="2"/>
        <v>0.80943643166077817</v>
      </c>
      <c r="AF13" s="363"/>
      <c r="AG13" s="376"/>
      <c r="AH13" s="363">
        <f t="shared" si="20"/>
        <v>0.67069006905000006</v>
      </c>
      <c r="AI13" s="363">
        <f t="shared" si="21"/>
        <v>0.62050779547500012</v>
      </c>
      <c r="AJ13" s="363">
        <f t="shared" si="22"/>
        <v>0.65396264452499997</v>
      </c>
      <c r="AK13" s="363">
        <f t="shared" si="23"/>
        <v>0.55997044957499997</v>
      </c>
      <c r="AL13" s="363">
        <f t="shared" si="24"/>
        <v>0.55997044957499997</v>
      </c>
      <c r="AM13" s="363">
        <v>0</v>
      </c>
      <c r="AN13" s="368"/>
      <c r="AP13" s="363">
        <f t="shared" si="25"/>
        <v>0.61838299766738891</v>
      </c>
      <c r="AQ13" s="363">
        <f t="shared" si="26"/>
        <v>2.8917094986683819E-2</v>
      </c>
      <c r="AR13" s="363">
        <f t="shared" si="27"/>
        <v>0.13945175635782298</v>
      </c>
      <c r="AS13" s="363">
        <f t="shared" si="28"/>
        <v>7.5318945081595074E-3</v>
      </c>
      <c r="AT13" s="363">
        <f t="shared" si="29"/>
        <v>3.5635559122381713E-2</v>
      </c>
      <c r="AU13" s="363">
        <f t="shared" si="30"/>
        <v>0.17008069735756312</v>
      </c>
      <c r="AV13" s="363">
        <f t="shared" si="3"/>
        <v>1</v>
      </c>
      <c r="AW13" s="363">
        <f t="shared" si="4"/>
        <v>0.82991930264243685</v>
      </c>
      <c r="AX13" s="375"/>
      <c r="AY13" s="363">
        <f t="shared" si="83"/>
        <v>0.59266893207113536</v>
      </c>
      <c r="AZ13" s="363">
        <f t="shared" si="84"/>
        <v>2.775378194319077E-2</v>
      </c>
      <c r="BA13" s="363">
        <f t="shared" si="85"/>
        <v>0.14993853858538658</v>
      </c>
      <c r="BB13" s="363">
        <f t="shared" si="86"/>
        <v>7.2288920410171313E-3</v>
      </c>
      <c r="BC13" s="363">
        <f t="shared" si="87"/>
        <v>3.8544849120191314E-2</v>
      </c>
      <c r="BD13" s="363">
        <f t="shared" si="88"/>
        <v>0.18386500623907895</v>
      </c>
      <c r="BE13" s="363">
        <f t="shared" si="32"/>
        <v>1.0000000000000002</v>
      </c>
      <c r="BF13" s="363">
        <f t="shared" si="33"/>
        <v>0.81613499376092125</v>
      </c>
      <c r="BG13" s="438"/>
      <c r="BH13" s="439"/>
      <c r="BJ13" s="369">
        <f t="shared" si="89"/>
        <v>613.88840357229287</v>
      </c>
      <c r="BK13" s="369">
        <f t="shared" si="34"/>
        <v>155.3765678180774</v>
      </c>
      <c r="BL13" s="369">
        <f t="shared" si="35"/>
        <v>210.89772791353477</v>
      </c>
      <c r="BM13" s="369">
        <f t="shared" si="36"/>
        <v>146.86296948228483</v>
      </c>
      <c r="BN13" s="369">
        <f t="shared" si="37"/>
        <v>250.24146715509943</v>
      </c>
      <c r="BO13" s="369">
        <f t="shared" si="38"/>
        <v>0</v>
      </c>
      <c r="BP13" s="369">
        <f t="shared" si="5"/>
        <v>1377.2671359412893</v>
      </c>
      <c r="BQ13" s="431"/>
      <c r="BR13" s="369">
        <f t="shared" si="90"/>
        <v>588.36123555864731</v>
      </c>
      <c r="BS13" s="369">
        <f t="shared" si="39"/>
        <v>149.12588502718202</v>
      </c>
      <c r="BT13" s="369">
        <f t="shared" si="40"/>
        <v>226.45028799760021</v>
      </c>
      <c r="BU13" s="369">
        <f t="shared" si="41"/>
        <v>140.9547823672396</v>
      </c>
      <c r="BV13" s="369">
        <f t="shared" si="42"/>
        <v>270.32237928374133</v>
      </c>
      <c r="BW13" s="369">
        <f t="shared" si="91"/>
        <v>0</v>
      </c>
      <c r="BX13" s="371">
        <f t="shared" si="43"/>
        <v>1375.2145702344105</v>
      </c>
      <c r="BY13" s="371"/>
      <c r="CA13" s="369">
        <f t="shared" si="92"/>
        <v>620.92778945938255</v>
      </c>
      <c r="CB13" s="369">
        <f t="shared" si="44"/>
        <v>157.15825258735842</v>
      </c>
      <c r="CC13" s="369">
        <f>(AR13*c_post_rinfar_mkv)/(1+disc_cost)^C13</f>
        <v>210.11269457568122</v>
      </c>
      <c r="CD13" s="369">
        <f t="shared" si="45"/>
        <v>148.54702982402398</v>
      </c>
      <c r="CE13" s="369">
        <f t="shared" si="46"/>
        <v>249.52682800252694</v>
      </c>
      <c r="CF13" s="369">
        <f t="shared" si="47"/>
        <v>0</v>
      </c>
      <c r="CG13" s="369">
        <f t="shared" si="48"/>
        <v>1386.272594448973</v>
      </c>
      <c r="CH13" s="369"/>
      <c r="CI13" s="384"/>
      <c r="CJ13" s="369">
        <f t="shared" si="93"/>
        <v>595.10790442224049</v>
      </c>
      <c r="CK13" s="369">
        <f t="shared" si="94"/>
        <v>150.83589395445844</v>
      </c>
      <c r="CL13" s="369">
        <f t="shared" si="95"/>
        <v>225.91318450001012</v>
      </c>
      <c r="CM13" s="369">
        <f t="shared" si="96"/>
        <v>142.57109422447587</v>
      </c>
      <c r="CN13" s="369">
        <f t="shared" si="97"/>
        <v>269.89821890451401</v>
      </c>
      <c r="CO13" s="369">
        <f t="shared" si="98"/>
        <v>0</v>
      </c>
      <c r="CP13" s="369">
        <f t="shared" si="99"/>
        <v>1384.3262960056991</v>
      </c>
      <c r="CR13" s="363">
        <f t="shared" si="55"/>
        <v>0.35732742471257212</v>
      </c>
      <c r="CS13" s="363">
        <f t="shared" si="56"/>
        <v>1.545926482365622E-2</v>
      </c>
      <c r="CT13" s="363">
        <f t="shared" si="57"/>
        <v>7.9769182122377907E-2</v>
      </c>
      <c r="CU13" s="363">
        <f t="shared" si="58"/>
        <v>3.6337602625769348E-3</v>
      </c>
      <c r="CV13" s="363">
        <f t="shared" si="59"/>
        <v>1.7439310860415124E-2</v>
      </c>
      <c r="CW13" s="363">
        <v>0</v>
      </c>
      <c r="CX13" s="363">
        <f t="shared" si="6"/>
        <v>0.47362894278159828</v>
      </c>
      <c r="CY13" s="363"/>
      <c r="CZ13" s="440"/>
      <c r="DA13" s="363">
        <f t="shared" si="60"/>
        <v>0.34246876774260543</v>
      </c>
      <c r="DB13" s="363">
        <f t="shared" si="61"/>
        <v>1.4837350194249149E-2</v>
      </c>
      <c r="DC13" s="363">
        <f t="shared" si="62"/>
        <v>8.5651725334619982E-2</v>
      </c>
      <c r="DD13" s="363">
        <f t="shared" si="63"/>
        <v>3.4875768125336615E-3</v>
      </c>
      <c r="DE13" s="363">
        <f t="shared" si="64"/>
        <v>1.8838748263629423E-2</v>
      </c>
      <c r="DF13" s="363">
        <v>0</v>
      </c>
      <c r="DG13" s="363">
        <f t="shared" si="65"/>
        <v>0.46528416834763764</v>
      </c>
      <c r="DJ13" s="363">
        <f t="shared" si="66"/>
        <v>0.361424856128371</v>
      </c>
      <c r="DK13" s="363">
        <f t="shared" si="67"/>
        <v>1.5636534389250171E-2</v>
      </c>
      <c r="DL13" s="363">
        <f t="shared" si="68"/>
        <v>7.9472253995560668E-2</v>
      </c>
      <c r="DM13" s="363">
        <f t="shared" si="69"/>
        <v>3.6754281627369659E-3</v>
      </c>
      <c r="DN13" s="363">
        <f t="shared" si="70"/>
        <v>1.7389507706379866E-2</v>
      </c>
      <c r="DO13" s="363">
        <f t="shared" si="71"/>
        <v>0</v>
      </c>
      <c r="DP13" s="363">
        <f t="shared" si="100"/>
        <v>0.47759858038229869</v>
      </c>
      <c r="DQ13" s="440"/>
      <c r="DS13" s="363">
        <f t="shared" si="72"/>
        <v>0.34639581669219899</v>
      </c>
      <c r="DT13" s="363">
        <f t="shared" si="73"/>
        <v>1.5007488338171431E-2</v>
      </c>
      <c r="DU13" s="363">
        <f t="shared" si="74"/>
        <v>8.544857328010666E-2</v>
      </c>
      <c r="DV13" s="363">
        <f t="shared" si="75"/>
        <v>3.5275684443211797E-3</v>
      </c>
      <c r="DW13" s="363">
        <f t="shared" si="76"/>
        <v>1.8809188555591771E-2</v>
      </c>
      <c r="DX13" s="363">
        <f t="shared" si="101"/>
        <v>0</v>
      </c>
      <c r="DY13" s="388">
        <f t="shared" si="102"/>
        <v>0.46918863531039007</v>
      </c>
    </row>
    <row r="14" spans="2:129" x14ac:dyDescent="0.15">
      <c r="B14" s="448" t="s">
        <v>588</v>
      </c>
      <c r="C14" s="238">
        <v>5</v>
      </c>
      <c r="D14" s="238">
        <v>67</v>
      </c>
      <c r="E14" s="444">
        <f t="shared" si="7"/>
        <v>4.2999999999999997E-2</v>
      </c>
      <c r="F14" s="364">
        <v>1.12E-2</v>
      </c>
      <c r="G14" s="363">
        <f t="shared" si="8"/>
        <v>3.1921999999999999E-2</v>
      </c>
      <c r="H14" s="363">
        <f t="shared" si="9"/>
        <v>7.1824499999999999E-2</v>
      </c>
      <c r="I14" s="363">
        <f t="shared" si="10"/>
        <v>4.7882999999999995E-2</v>
      </c>
      <c r="J14" s="363">
        <f t="shared" si="11"/>
        <v>7.5495530000000005E-2</v>
      </c>
      <c r="K14" s="363">
        <f t="shared" si="12"/>
        <v>3.7029519999999996E-2</v>
      </c>
      <c r="L14" s="363"/>
      <c r="N14" s="363">
        <f t="shared" si="77"/>
        <v>0.56052736531704994</v>
      </c>
      <c r="O14" s="363">
        <f t="shared" si="78"/>
        <v>2.6289015856878362E-2</v>
      </c>
      <c r="P14" s="363">
        <f t="shared" si="79"/>
        <v>0.16061724531559882</v>
      </c>
      <c r="Q14" s="363">
        <f t="shared" si="80"/>
        <v>6.8473715720241326E-3</v>
      </c>
      <c r="R14" s="363">
        <f t="shared" si="81"/>
        <v>4.1473230527161717E-2</v>
      </c>
      <c r="S14" s="363">
        <f t="shared" si="82"/>
        <v>0.20424577141128708</v>
      </c>
      <c r="T14" s="363">
        <f t="shared" si="0"/>
        <v>1</v>
      </c>
      <c r="U14" s="363">
        <f t="shared" si="1"/>
        <v>0.79575422858871292</v>
      </c>
      <c r="V14" s="376"/>
      <c r="W14" s="363"/>
      <c r="X14" s="363">
        <f t="shared" si="13"/>
        <v>0.53639049643913239</v>
      </c>
      <c r="Y14" s="363">
        <f t="shared" si="14"/>
        <v>2.5195846282755754E-2</v>
      </c>
      <c r="Z14" s="363">
        <f t="shared" si="15"/>
        <v>0.16897223775560841</v>
      </c>
      <c r="AA14" s="363">
        <f t="shared" si="16"/>
        <v>6.562639031787546E-3</v>
      </c>
      <c r="AB14" s="363">
        <f t="shared" si="17"/>
        <v>4.3870576430570268E-2</v>
      </c>
      <c r="AC14" s="363">
        <f t="shared" si="18"/>
        <v>0.21900820406014562</v>
      </c>
      <c r="AD14" s="363">
        <f t="shared" si="19"/>
        <v>1</v>
      </c>
      <c r="AE14" s="363">
        <f t="shared" si="2"/>
        <v>0.78099179593985435</v>
      </c>
      <c r="AF14" s="363"/>
      <c r="AG14" s="376"/>
      <c r="AH14" s="363">
        <f t="shared" si="20"/>
        <v>0.66665646805000001</v>
      </c>
      <c r="AI14" s="363">
        <f t="shared" si="21"/>
        <v>0.6167759959750001</v>
      </c>
      <c r="AJ14" s="363">
        <f t="shared" si="22"/>
        <v>0.65002964402499996</v>
      </c>
      <c r="AK14" s="363">
        <f t="shared" si="23"/>
        <v>0.55660272807500011</v>
      </c>
      <c r="AL14" s="363">
        <f t="shared" si="24"/>
        <v>0.55660272807500011</v>
      </c>
      <c r="AM14" s="363">
        <v>0</v>
      </c>
      <c r="AN14" s="368"/>
      <c r="AP14" s="363">
        <f t="shared" si="25"/>
        <v>0.56695486647488169</v>
      </c>
      <c r="AQ14" s="363">
        <f t="shared" si="26"/>
        <v>2.6590468899697722E-2</v>
      </c>
      <c r="AR14" s="363">
        <f t="shared" si="27"/>
        <v>0.16042532081295022</v>
      </c>
      <c r="AS14" s="363">
        <f t="shared" si="28"/>
        <v>6.9258895738747561E-3</v>
      </c>
      <c r="AT14" s="363">
        <f t="shared" si="29"/>
        <v>4.1454139118000916E-2</v>
      </c>
      <c r="AU14" s="363">
        <f t="shared" si="30"/>
        <v>0.19764931512059478</v>
      </c>
      <c r="AV14" s="363">
        <f t="shared" si="3"/>
        <v>1</v>
      </c>
      <c r="AW14" s="363">
        <f t="shared" si="4"/>
        <v>0.80235068487940531</v>
      </c>
      <c r="AX14" s="375"/>
      <c r="AY14" s="363">
        <f t="shared" si="83"/>
        <v>0.54254122296960683</v>
      </c>
      <c r="AZ14" s="363">
        <f t="shared" si="84"/>
        <v>2.5484764079058815E-2</v>
      </c>
      <c r="BA14" s="363">
        <f t="shared" si="85"/>
        <v>0.16892480887781267</v>
      </c>
      <c r="BB14" s="363">
        <f t="shared" si="86"/>
        <v>6.6378920391967156E-3</v>
      </c>
      <c r="BC14" s="363">
        <f t="shared" si="87"/>
        <v>4.3888133616111324E-2</v>
      </c>
      <c r="BD14" s="363">
        <f t="shared" si="88"/>
        <v>0.21252317841821375</v>
      </c>
      <c r="BE14" s="363">
        <f t="shared" si="32"/>
        <v>1.0000000000000002</v>
      </c>
      <c r="BF14" s="363">
        <f t="shared" si="33"/>
        <v>0.78747682158178645</v>
      </c>
      <c r="BG14" s="438"/>
      <c r="BH14" s="439"/>
      <c r="BJ14" s="369">
        <f t="shared" si="89"/>
        <v>543.80103144444593</v>
      </c>
      <c r="BK14" s="369">
        <f t="shared" si="34"/>
        <v>138.04367365824794</v>
      </c>
      <c r="BL14" s="369">
        <f t="shared" si="35"/>
        <v>233.8191768904982</v>
      </c>
      <c r="BM14" s="369">
        <f t="shared" si="36"/>
        <v>130.47980217603325</v>
      </c>
      <c r="BN14" s="369">
        <f t="shared" si="37"/>
        <v>280.58289025351047</v>
      </c>
      <c r="BO14" s="369">
        <f t="shared" si="38"/>
        <v>0</v>
      </c>
      <c r="BP14" s="369">
        <f t="shared" si="5"/>
        <v>1326.7265744227357</v>
      </c>
      <c r="BQ14" s="431"/>
      <c r="BR14" s="369">
        <f t="shared" si="90"/>
        <v>520.3844152294165</v>
      </c>
      <c r="BS14" s="369">
        <f t="shared" si="39"/>
        <v>132.30343808743544</v>
      </c>
      <c r="BT14" s="369">
        <f t="shared" si="40"/>
        <v>245.98198949141664</v>
      </c>
      <c r="BU14" s="369">
        <f t="shared" si="41"/>
        <v>125.0540931820978</v>
      </c>
      <c r="BV14" s="369">
        <f t="shared" si="42"/>
        <v>296.80188824247227</v>
      </c>
      <c r="BW14" s="369">
        <f t="shared" si="91"/>
        <v>0</v>
      </c>
      <c r="BX14" s="371">
        <f t="shared" si="43"/>
        <v>1320.5258242328387</v>
      </c>
      <c r="BY14" s="371"/>
      <c r="CA14" s="369">
        <f t="shared" si="92"/>
        <v>550.03673370540901</v>
      </c>
      <c r="CB14" s="369">
        <f t="shared" si="44"/>
        <v>139.62660417541883</v>
      </c>
      <c r="CC14" s="369">
        <f>(AR14*c_post_rinfar_mkv)/(1+disc_cost)^C14</f>
        <v>233.53978205250158</v>
      </c>
      <c r="CD14" s="369">
        <f t="shared" si="45"/>
        <v>131.97599867142779</v>
      </c>
      <c r="CE14" s="369">
        <f t="shared" si="46"/>
        <v>280.45372928164358</v>
      </c>
      <c r="CF14" s="369">
        <f t="shared" si="47"/>
        <v>0</v>
      </c>
      <c r="CG14" s="369">
        <f t="shared" si="48"/>
        <v>1335.6328478864007</v>
      </c>
      <c r="CH14" s="369"/>
      <c r="CI14" s="384"/>
      <c r="CJ14" s="369">
        <f t="shared" si="93"/>
        <v>526.35160191532043</v>
      </c>
      <c r="CK14" s="369">
        <f t="shared" si="94"/>
        <v>133.82054600064342</v>
      </c>
      <c r="CL14" s="369">
        <f t="shared" si="95"/>
        <v>245.9129447188877</v>
      </c>
      <c r="CM14" s="369">
        <f t="shared" si="96"/>
        <v>126.48807371267348</v>
      </c>
      <c r="CN14" s="369">
        <f t="shared" si="97"/>
        <v>296.92066958169301</v>
      </c>
      <c r="CO14" s="369">
        <f t="shared" si="98"/>
        <v>0</v>
      </c>
      <c r="CP14" s="369">
        <f t="shared" si="99"/>
        <v>1329.4938359292182</v>
      </c>
      <c r="CR14" s="363">
        <f t="shared" si="55"/>
        <v>0.31462785403096133</v>
      </c>
      <c r="CS14" s="363">
        <f t="shared" si="56"/>
        <v>1.3652118291872968E-2</v>
      </c>
      <c r="CT14" s="363">
        <f t="shared" si="57"/>
        <v>8.7907025870699054E-2</v>
      </c>
      <c r="CU14" s="363">
        <f t="shared" si="58"/>
        <v>3.2089834487533512E-3</v>
      </c>
      <c r="CV14" s="363">
        <f t="shared" si="59"/>
        <v>1.9436203940171561E-2</v>
      </c>
      <c r="CW14" s="363">
        <v>0</v>
      </c>
      <c r="CX14" s="363">
        <f t="shared" si="6"/>
        <v>0.43883218558245823</v>
      </c>
      <c r="CY14" s="363"/>
      <c r="CZ14" s="440"/>
      <c r="DA14" s="363">
        <f t="shared" si="60"/>
        <v>0.30107966400853409</v>
      </c>
      <c r="DB14" s="363">
        <f t="shared" si="61"/>
        <v>1.3084425669971587E-2</v>
      </c>
      <c r="DC14" s="363">
        <f t="shared" si="62"/>
        <v>9.2479776045378395E-2</v>
      </c>
      <c r="DD14" s="363">
        <f t="shared" si="63"/>
        <v>3.0755450922497029E-3</v>
      </c>
      <c r="DE14" s="363">
        <f t="shared" si="64"/>
        <v>2.0559707060172475E-2</v>
      </c>
      <c r="DF14" s="363">
        <v>0</v>
      </c>
      <c r="DG14" s="363">
        <f t="shared" si="65"/>
        <v>0.43027911787630624</v>
      </c>
      <c r="DJ14" s="363">
        <f t="shared" si="66"/>
        <v>0.3182356545081535</v>
      </c>
      <c r="DK14" s="363">
        <f t="shared" si="67"/>
        <v>1.3808665521423902E-2</v>
      </c>
      <c r="DL14" s="363">
        <f t="shared" si="68"/>
        <v>8.7801984147524187E-2</v>
      </c>
      <c r="DM14" s="363">
        <f t="shared" si="69"/>
        <v>3.2457804833114384E-3</v>
      </c>
      <c r="DN14" s="363">
        <f t="shared" si="70"/>
        <v>1.9427256855094319E-2</v>
      </c>
      <c r="DO14" s="363">
        <f t="shared" si="71"/>
        <v>0</v>
      </c>
      <c r="DP14" s="363">
        <f t="shared" si="100"/>
        <v>0.44251934151550731</v>
      </c>
      <c r="DQ14" s="440"/>
      <c r="DS14" s="363">
        <f t="shared" si="72"/>
        <v>0.30453210898937794</v>
      </c>
      <c r="DT14" s="363">
        <f t="shared" si="73"/>
        <v>1.3234463235212914E-2</v>
      </c>
      <c r="DU14" s="363">
        <f t="shared" si="74"/>
        <v>9.2453817863993731E-2</v>
      </c>
      <c r="DV14" s="363">
        <f t="shared" si="75"/>
        <v>3.1108120049190197E-3</v>
      </c>
      <c r="DW14" s="363">
        <f t="shared" si="76"/>
        <v>2.0567935139693985E-2</v>
      </c>
      <c r="DX14" s="363">
        <f t="shared" si="101"/>
        <v>0</v>
      </c>
      <c r="DY14" s="388">
        <f t="shared" si="102"/>
        <v>0.43389913723319756</v>
      </c>
    </row>
    <row r="15" spans="2:129" x14ac:dyDescent="0.15">
      <c r="B15" s="448" t="s">
        <v>588</v>
      </c>
      <c r="C15" s="238">
        <v>6</v>
      </c>
      <c r="D15" s="238">
        <v>68</v>
      </c>
      <c r="E15" s="444">
        <f t="shared" si="7"/>
        <v>4.2999999999999997E-2</v>
      </c>
      <c r="F15" s="364">
        <v>1.12E-2</v>
      </c>
      <c r="G15" s="363">
        <f t="shared" si="8"/>
        <v>3.5422500000000003E-2</v>
      </c>
      <c r="H15" s="363">
        <f t="shared" si="9"/>
        <v>7.9700624999999997E-2</v>
      </c>
      <c r="I15" s="363">
        <f t="shared" si="10"/>
        <v>5.3133750000000007E-2</v>
      </c>
      <c r="J15" s="363">
        <f t="shared" si="11"/>
        <v>8.37742125E-2</v>
      </c>
      <c r="K15" s="363">
        <f t="shared" si="12"/>
        <v>4.1090099999999997E-2</v>
      </c>
      <c r="L15" s="363"/>
      <c r="N15" s="363">
        <f t="shared" si="77"/>
        <v>0.51225362756121495</v>
      </c>
      <c r="O15" s="363">
        <f t="shared" si="78"/>
        <v>2.4102676708633145E-2</v>
      </c>
      <c r="P15" s="363">
        <f t="shared" si="79"/>
        <v>0.177327230195618</v>
      </c>
      <c r="Q15" s="363">
        <f t="shared" si="80"/>
        <v>6.2779064915509594E-3</v>
      </c>
      <c r="R15" s="363">
        <f t="shared" si="81"/>
        <v>4.6267922333978813E-2</v>
      </c>
      <c r="S15" s="363">
        <f t="shared" si="82"/>
        <v>0.23377063670900416</v>
      </c>
      <c r="T15" s="363">
        <f t="shared" si="0"/>
        <v>1</v>
      </c>
      <c r="U15" s="363">
        <f t="shared" si="1"/>
        <v>0.76622936329099589</v>
      </c>
      <c r="V15" s="376"/>
      <c r="W15" s="363"/>
      <c r="X15" s="363">
        <f t="shared" si="13"/>
        <v>0.48929890219316247</v>
      </c>
      <c r="Y15" s="363">
        <f t="shared" si="14"/>
        <v>2.3064791346882694E-2</v>
      </c>
      <c r="Z15" s="363">
        <f t="shared" si="15"/>
        <v>0.18370703899230584</v>
      </c>
      <c r="AA15" s="363">
        <f t="shared" si="16"/>
        <v>6.0075735601182838E-3</v>
      </c>
      <c r="AB15" s="363">
        <f t="shared" si="17"/>
        <v>4.8193335465767421E-2</v>
      </c>
      <c r="AC15" s="363">
        <f t="shared" si="18"/>
        <v>0.2497283584417633</v>
      </c>
      <c r="AD15" s="363">
        <f t="shared" si="19"/>
        <v>1</v>
      </c>
      <c r="AE15" s="363">
        <f t="shared" si="2"/>
        <v>0.75027164155823667</v>
      </c>
      <c r="AF15" s="363"/>
      <c r="AG15" s="376"/>
      <c r="AH15" s="363">
        <f t="shared" si="20"/>
        <v>0.66256695824999989</v>
      </c>
      <c r="AI15" s="363">
        <f t="shared" si="21"/>
        <v>0.61299247087500008</v>
      </c>
      <c r="AJ15" s="363">
        <f t="shared" si="22"/>
        <v>0.64604212912500003</v>
      </c>
      <c r="AK15" s="363">
        <f t="shared" si="23"/>
        <v>0.55318832737500001</v>
      </c>
      <c r="AL15" s="363">
        <f t="shared" si="24"/>
        <v>0.55318832737500001</v>
      </c>
      <c r="AM15" s="363">
        <v>0</v>
      </c>
      <c r="AN15" s="368"/>
      <c r="AP15" s="363">
        <f t="shared" si="25"/>
        <v>0.51812757946433197</v>
      </c>
      <c r="AQ15" s="363">
        <f t="shared" si="26"/>
        <v>2.4379059258419912E-2</v>
      </c>
      <c r="AR15" s="363">
        <f t="shared" si="27"/>
        <v>0.17742429694267511</v>
      </c>
      <c r="AS15" s="363">
        <f t="shared" si="28"/>
        <v>6.3498945045186751E-3</v>
      </c>
      <c r="AT15" s="363">
        <f t="shared" si="29"/>
        <v>4.6322128114221726E-2</v>
      </c>
      <c r="AU15" s="363">
        <f t="shared" si="30"/>
        <v>0.22739704171583272</v>
      </c>
      <c r="AV15" s="363">
        <f t="shared" si="3"/>
        <v>1.0000000000000002</v>
      </c>
      <c r="AW15" s="363">
        <f t="shared" si="4"/>
        <v>0.77260295828416747</v>
      </c>
      <c r="AX15" s="375"/>
      <c r="AY15" s="363">
        <f t="shared" si="83"/>
        <v>0.49490963496906093</v>
      </c>
      <c r="AZ15" s="363">
        <f t="shared" si="84"/>
        <v>2.3329272587693094E-2</v>
      </c>
      <c r="BA15" s="363">
        <f t="shared" si="85"/>
        <v>0.18392870432314207</v>
      </c>
      <c r="BB15" s="363">
        <f t="shared" si="86"/>
        <v>6.0764616972595964E-3</v>
      </c>
      <c r="BC15" s="363">
        <f t="shared" si="87"/>
        <v>4.8279406222480906E-2</v>
      </c>
      <c r="BD15" s="363">
        <f t="shared" si="88"/>
        <v>0.24347652020036348</v>
      </c>
      <c r="BE15" s="363">
        <f t="shared" si="32"/>
        <v>1</v>
      </c>
      <c r="BF15" s="363">
        <f t="shared" si="33"/>
        <v>0.75652347979963663</v>
      </c>
      <c r="BG15" s="438"/>
      <c r="BH15" s="439"/>
      <c r="BJ15" s="369">
        <f t="shared" si="89"/>
        <v>480.16212465158191</v>
      </c>
      <c r="BK15" s="369">
        <f t="shared" si="34"/>
        <v>122.28328745567434</v>
      </c>
      <c r="BL15" s="369">
        <f t="shared" si="35"/>
        <v>249.41526772206288</v>
      </c>
      <c r="BM15" s="369">
        <f t="shared" si="36"/>
        <v>115.5829798919443</v>
      </c>
      <c r="BN15" s="369">
        <f t="shared" si="37"/>
        <v>302.43563887095075</v>
      </c>
      <c r="BO15" s="369">
        <f t="shared" si="38"/>
        <v>0</v>
      </c>
      <c r="BP15" s="369">
        <f t="shared" si="5"/>
        <v>1269.8792985922144</v>
      </c>
      <c r="BQ15" s="431"/>
      <c r="BR15" s="369">
        <f t="shared" si="90"/>
        <v>458.64545964328869</v>
      </c>
      <c r="BS15" s="369">
        <f t="shared" si="39"/>
        <v>117.01764681454554</v>
      </c>
      <c r="BT15" s="369">
        <f t="shared" si="40"/>
        <v>258.38863135767667</v>
      </c>
      <c r="BU15" s="369">
        <f t="shared" si="41"/>
        <v>110.60586119481728</v>
      </c>
      <c r="BV15" s="369">
        <f t="shared" si="42"/>
        <v>315.02132504893933</v>
      </c>
      <c r="BW15" s="369">
        <f t="shared" si="91"/>
        <v>0</v>
      </c>
      <c r="BX15" s="371">
        <f t="shared" si="43"/>
        <v>1259.6789240592675</v>
      </c>
      <c r="BY15" s="371"/>
      <c r="CA15" s="369">
        <f t="shared" si="92"/>
        <v>485.66808707751863</v>
      </c>
      <c r="CB15" s="369">
        <f t="shared" si="44"/>
        <v>123.68549548393045</v>
      </c>
      <c r="CC15" s="369">
        <f>(AR15*c_post_rinfar_mkv)/(1+disc_cost)^C15</f>
        <v>249.55179457514379</v>
      </c>
      <c r="CD15" s="369">
        <f t="shared" si="45"/>
        <v>116.90835628397986</v>
      </c>
      <c r="CE15" s="369">
        <f t="shared" si="46"/>
        <v>302.78996123839846</v>
      </c>
      <c r="CF15" s="369">
        <f t="shared" si="47"/>
        <v>0</v>
      </c>
      <c r="CG15" s="369">
        <f t="shared" si="48"/>
        <v>1278.6036946589713</v>
      </c>
      <c r="CH15" s="369"/>
      <c r="CI15" s="384"/>
      <c r="CJ15" s="369">
        <f t="shared" si="93"/>
        <v>463.90469301046625</v>
      </c>
      <c r="CK15" s="369">
        <f t="shared" si="94"/>
        <v>118.35947436289693</v>
      </c>
      <c r="CL15" s="369">
        <f t="shared" si="95"/>
        <v>258.70040929372306</v>
      </c>
      <c r="CM15" s="369">
        <f t="shared" si="96"/>
        <v>111.87416555403541</v>
      </c>
      <c r="CN15" s="369">
        <f t="shared" si="97"/>
        <v>315.58393652967209</v>
      </c>
      <c r="CO15" s="369">
        <f t="shared" si="98"/>
        <v>0</v>
      </c>
      <c r="CP15" s="369">
        <f t="shared" si="99"/>
        <v>1268.4226787507937</v>
      </c>
      <c r="CR15" s="363">
        <f t="shared" si="55"/>
        <v>0.27610401239834897</v>
      </c>
      <c r="CS15" s="363">
        <f t="shared" si="56"/>
        <v>1.2019276250982477E-2</v>
      </c>
      <c r="CT15" s="363">
        <f t="shared" si="57"/>
        <v>9.3195334518574077E-2</v>
      </c>
      <c r="CU15" s="363">
        <f t="shared" si="58"/>
        <v>2.8251775827607141E-3</v>
      </c>
      <c r="CV15" s="363">
        <f t="shared" si="59"/>
        <v>2.0821446951271409E-2</v>
      </c>
      <c r="CW15" s="363">
        <v>0</v>
      </c>
      <c r="CX15" s="363">
        <f t="shared" si="6"/>
        <v>0.4049652477019377</v>
      </c>
      <c r="CY15" s="363"/>
      <c r="CZ15" s="440"/>
      <c r="DA15" s="363">
        <f t="shared" si="60"/>
        <v>0.26373144647276342</v>
      </c>
      <c r="DB15" s="363">
        <f t="shared" si="61"/>
        <v>1.1501714196338921E-2</v>
      </c>
      <c r="DC15" s="363">
        <f t="shared" si="62"/>
        <v>9.6548279321895983E-2</v>
      </c>
      <c r="DD15" s="363">
        <f t="shared" si="63"/>
        <v>2.7035226108694551E-3</v>
      </c>
      <c r="DE15" s="363">
        <f t="shared" si="64"/>
        <v>2.1687919560381328E-2</v>
      </c>
      <c r="DF15" s="363">
        <v>0</v>
      </c>
      <c r="DG15" s="363">
        <f t="shared" si="65"/>
        <v>0.39617288216224916</v>
      </c>
      <c r="DJ15" s="363">
        <f t="shared" si="66"/>
        <v>0.27927006452921788</v>
      </c>
      <c r="DK15" s="363">
        <f t="shared" si="67"/>
        <v>1.2157099873520144E-2</v>
      </c>
      <c r="DL15" s="363">
        <f t="shared" si="68"/>
        <v>9.3246348499634063E-2</v>
      </c>
      <c r="DM15" s="363">
        <f t="shared" si="69"/>
        <v>2.8575735607412069E-3</v>
      </c>
      <c r="DN15" s="363">
        <f t="shared" si="70"/>
        <v>2.084584058558317E-2</v>
      </c>
      <c r="DO15" s="363">
        <f t="shared" si="71"/>
        <v>0</v>
      </c>
      <c r="DP15" s="363">
        <f t="shared" si="100"/>
        <v>0.40837692704869644</v>
      </c>
      <c r="DQ15" s="440"/>
      <c r="DS15" s="363">
        <f t="shared" si="72"/>
        <v>0.26675562385008295</v>
      </c>
      <c r="DT15" s="363">
        <f t="shared" si="73"/>
        <v>1.1633602995866495E-2</v>
      </c>
      <c r="DU15" s="363">
        <f t="shared" si="74"/>
        <v>9.6664776797414351E-2</v>
      </c>
      <c r="DV15" s="363">
        <f t="shared" si="75"/>
        <v>2.7345235856421298E-3</v>
      </c>
      <c r="DW15" s="363">
        <f t="shared" si="76"/>
        <v>2.1726653041474982E-2</v>
      </c>
      <c r="DX15" s="363">
        <f t="shared" si="101"/>
        <v>0</v>
      </c>
      <c r="DY15" s="388">
        <f t="shared" si="102"/>
        <v>0.39951518027048094</v>
      </c>
    </row>
    <row r="16" spans="2:129" x14ac:dyDescent="0.15">
      <c r="B16" s="448" t="s">
        <v>588</v>
      </c>
      <c r="C16" s="238">
        <v>7</v>
      </c>
      <c r="D16" s="238">
        <v>69</v>
      </c>
      <c r="E16" s="444">
        <f t="shared" si="7"/>
        <v>4.2999999999999997E-2</v>
      </c>
      <c r="F16" s="364">
        <v>1.12E-2</v>
      </c>
      <c r="G16" s="363">
        <f t="shared" si="8"/>
        <v>3.8636500000000004E-2</v>
      </c>
      <c r="H16" s="363">
        <f t="shared" si="9"/>
        <v>8.6932124999999999E-2</v>
      </c>
      <c r="I16" s="363">
        <f t="shared" si="10"/>
        <v>5.7954749999999999E-2</v>
      </c>
      <c r="J16" s="363">
        <f t="shared" si="11"/>
        <v>9.1375322500000022E-2</v>
      </c>
      <c r="K16" s="363">
        <f t="shared" si="12"/>
        <v>4.4818339999999998E-2</v>
      </c>
      <c r="L16" s="363"/>
      <c r="N16" s="363">
        <f t="shared" si="77"/>
        <v>0.46634417682510998</v>
      </c>
      <c r="O16" s="363">
        <f t="shared" si="78"/>
        <v>2.2026905985132243E-2</v>
      </c>
      <c r="P16" s="363">
        <f t="shared" si="79"/>
        <v>0.19008684778899371</v>
      </c>
      <c r="Q16" s="363">
        <f t="shared" si="80"/>
        <v>5.7372406286856073E-3</v>
      </c>
      <c r="R16" s="363">
        <f t="shared" si="81"/>
        <v>5.011874859755603E-2</v>
      </c>
      <c r="S16" s="363">
        <f t="shared" si="82"/>
        <v>0.26568608017452244</v>
      </c>
      <c r="T16" s="363">
        <f t="shared" si="0"/>
        <v>1</v>
      </c>
      <c r="U16" s="363">
        <f t="shared" si="1"/>
        <v>0.73431391982547767</v>
      </c>
      <c r="V16" s="376"/>
      <c r="W16" s="363"/>
      <c r="X16" s="363">
        <f t="shared" si="13"/>
        <v>0.44469729623919785</v>
      </c>
      <c r="Y16" s="363">
        <f t="shared" si="14"/>
        <v>2.1039852794305987E-2</v>
      </c>
      <c r="Z16" s="363">
        <f t="shared" si="15"/>
        <v>0.19463466003837887</v>
      </c>
      <c r="AA16" s="363">
        <f t="shared" si="16"/>
        <v>5.4801477045634192E-3</v>
      </c>
      <c r="AB16" s="363">
        <f t="shared" si="17"/>
        <v>5.1602128248035811E-2</v>
      </c>
      <c r="AC16" s="363">
        <f t="shared" si="18"/>
        <v>0.28254591497551818</v>
      </c>
      <c r="AD16" s="363">
        <f t="shared" si="19"/>
        <v>1</v>
      </c>
      <c r="AE16" s="363">
        <f t="shared" si="2"/>
        <v>0.71745408502448182</v>
      </c>
      <c r="AF16" s="363"/>
      <c r="AG16" s="376"/>
      <c r="AH16" s="363">
        <f t="shared" si="20"/>
        <v>0.65842153965000005</v>
      </c>
      <c r="AI16" s="363">
        <f t="shared" si="21"/>
        <v>0.60915722017499996</v>
      </c>
      <c r="AJ16" s="363">
        <f t="shared" si="22"/>
        <v>0.64200009982500006</v>
      </c>
      <c r="AK16" s="363">
        <f t="shared" si="23"/>
        <v>0.54972724747500001</v>
      </c>
      <c r="AL16" s="363">
        <f t="shared" si="24"/>
        <v>0.54972724747500001</v>
      </c>
      <c r="AM16" s="363">
        <v>0</v>
      </c>
      <c r="AN16" s="368"/>
      <c r="AP16" s="363">
        <f t="shared" si="25"/>
        <v>0.47169169047378989</v>
      </c>
      <c r="AQ16" s="363">
        <f t="shared" si="26"/>
        <v>2.2279485916966272E-2</v>
      </c>
      <c r="AR16" s="363">
        <f t="shared" si="27"/>
        <v>0.19043311170360905</v>
      </c>
      <c r="AS16" s="363">
        <f t="shared" si="28"/>
        <v>5.8030288900005177E-3</v>
      </c>
      <c r="AT16" s="363">
        <f t="shared" si="29"/>
        <v>5.0236684330740085E-2</v>
      </c>
      <c r="AU16" s="363">
        <f t="shared" si="30"/>
        <v>0.25955599868489426</v>
      </c>
      <c r="AV16" s="363">
        <f t="shared" si="3"/>
        <v>1.0000000000000002</v>
      </c>
      <c r="AW16" s="363">
        <f t="shared" si="4"/>
        <v>0.7404440013151059</v>
      </c>
      <c r="AX16" s="375"/>
      <c r="AY16" s="363">
        <f t="shared" si="83"/>
        <v>0.44979658766245489</v>
      </c>
      <c r="AZ16" s="363">
        <f t="shared" si="84"/>
        <v>2.1281114303669618E-2</v>
      </c>
      <c r="BA16" s="363">
        <f t="shared" si="85"/>
        <v>0.19508620144450509</v>
      </c>
      <c r="BB16" s="363">
        <f t="shared" si="86"/>
        <v>5.5429879116534828E-3</v>
      </c>
      <c r="BC16" s="363">
        <f t="shared" si="87"/>
        <v>5.1747309558186141E-2</v>
      </c>
      <c r="BD16" s="363">
        <f t="shared" si="88"/>
        <v>0.27654579911953087</v>
      </c>
      <c r="BE16" s="363">
        <f t="shared" si="32"/>
        <v>1.0000000000000002</v>
      </c>
      <c r="BF16" s="363">
        <f t="shared" si="33"/>
        <v>0.7234542008804693</v>
      </c>
      <c r="BG16" s="438"/>
      <c r="BH16" s="439"/>
      <c r="BJ16" s="369">
        <f t="shared" si="89"/>
        <v>422.34666148308753</v>
      </c>
      <c r="BK16" s="369">
        <f t="shared" si="34"/>
        <v>107.97295282455725</v>
      </c>
      <c r="BL16" s="369">
        <f t="shared" si="35"/>
        <v>258.32076810945944</v>
      </c>
      <c r="BM16" s="369">
        <f t="shared" si="36"/>
        <v>102.05675603641572</v>
      </c>
      <c r="BN16" s="369">
        <f t="shared" si="37"/>
        <v>316.5285132627323</v>
      </c>
      <c r="BO16" s="369">
        <f t="shared" si="38"/>
        <v>0</v>
      </c>
      <c r="BP16" s="369">
        <f t="shared" si="5"/>
        <v>1207.2256517162523</v>
      </c>
      <c r="BQ16" s="431"/>
      <c r="BR16" s="369">
        <f t="shared" si="90"/>
        <v>402.74206856370023</v>
      </c>
      <c r="BS16" s="369">
        <f t="shared" si="39"/>
        <v>103.13454984229782</v>
      </c>
      <c r="BT16" s="369">
        <f t="shared" si="40"/>
        <v>264.50107130846277</v>
      </c>
      <c r="BU16" s="369">
        <f t="shared" si="41"/>
        <v>97.483465227478888</v>
      </c>
      <c r="BV16" s="369">
        <f t="shared" si="42"/>
        <v>325.89690270798377</v>
      </c>
      <c r="BW16" s="369">
        <f t="shared" si="91"/>
        <v>0</v>
      </c>
      <c r="BX16" s="371">
        <f t="shared" si="43"/>
        <v>1193.7580576499233</v>
      </c>
      <c r="BY16" s="371"/>
      <c r="CA16" s="369">
        <f t="shared" si="92"/>
        <v>427.18966081489259</v>
      </c>
      <c r="CB16" s="369">
        <f t="shared" si="44"/>
        <v>109.21106593416754</v>
      </c>
      <c r="CC16" s="369">
        <f>(AR16*c_post_rinfar_mkv)/(1+disc_cost)^C16</f>
        <v>258.79132754811826</v>
      </c>
      <c r="CD16" s="369">
        <f t="shared" si="45"/>
        <v>103.22702881554682</v>
      </c>
      <c r="CE16" s="369">
        <f t="shared" si="46"/>
        <v>317.27334475453688</v>
      </c>
      <c r="CF16" s="369">
        <f t="shared" si="47"/>
        <v>0</v>
      </c>
      <c r="CG16" s="369">
        <f t="shared" si="48"/>
        <v>1215.6924278672623</v>
      </c>
      <c r="CH16" s="369"/>
      <c r="CI16" s="384"/>
      <c r="CJ16" s="369">
        <f t="shared" si="93"/>
        <v>407.36026434177171</v>
      </c>
      <c r="CK16" s="369">
        <f t="shared" si="94"/>
        <v>104.31718155582509</v>
      </c>
      <c r="CL16" s="369">
        <f t="shared" si="95"/>
        <v>265.11469883830233</v>
      </c>
      <c r="CM16" s="369">
        <f t="shared" si="96"/>
        <v>98.601296620536175</v>
      </c>
      <c r="CN16" s="369">
        <f t="shared" si="97"/>
        <v>326.81380557450228</v>
      </c>
      <c r="CO16" s="369">
        <f t="shared" si="98"/>
        <v>0</v>
      </c>
      <c r="CP16" s="369">
        <f t="shared" si="99"/>
        <v>1202.2072469309376</v>
      </c>
      <c r="CR16" s="363">
        <f t="shared" si="55"/>
        <v>0.24133935048529978</v>
      </c>
      <c r="CS16" s="363">
        <f t="shared" si="56"/>
        <v>1.054630788352401E-2</v>
      </c>
      <c r="CT16" s="363">
        <f t="shared" si="57"/>
        <v>9.5919016231221579E-2</v>
      </c>
      <c r="CU16" s="363">
        <f t="shared" si="58"/>
        <v>2.4789506448850544E-3</v>
      </c>
      <c r="CV16" s="363">
        <f t="shared" si="59"/>
        <v>2.1655341338752084E-2</v>
      </c>
      <c r="CW16" s="363">
        <v>0</v>
      </c>
      <c r="CX16" s="363">
        <f t="shared" si="6"/>
        <v>0.37193896658368253</v>
      </c>
      <c r="CY16" s="363"/>
      <c r="CZ16" s="440"/>
      <c r="DA16" s="363">
        <f t="shared" si="60"/>
        <v>0.2301368001796355</v>
      </c>
      <c r="DB16" s="363">
        <f t="shared" si="61"/>
        <v>1.0073714644378446E-2</v>
      </c>
      <c r="DC16" s="363">
        <f t="shared" si="62"/>
        <v>9.8213870830786254E-2</v>
      </c>
      <c r="DD16" s="363">
        <f t="shared" si="63"/>
        <v>2.3678657677994484E-3</v>
      </c>
      <c r="DE16" s="363">
        <f t="shared" si="64"/>
        <v>2.2296280978407506E-2</v>
      </c>
      <c r="DF16" s="363">
        <v>0</v>
      </c>
      <c r="DG16" s="363">
        <f t="shared" si="65"/>
        <v>0.36308853240100719</v>
      </c>
      <c r="DJ16" s="363">
        <f t="shared" si="66"/>
        <v>0.24410676034011969</v>
      </c>
      <c r="DK16" s="363">
        <f t="shared" si="67"/>
        <v>1.0667241151597119E-2</v>
      </c>
      <c r="DL16" s="363">
        <f t="shared" si="68"/>
        <v>9.6093743175418925E-2</v>
      </c>
      <c r="DM16" s="363">
        <f t="shared" si="69"/>
        <v>2.5073764794224882E-3</v>
      </c>
      <c r="DN16" s="363">
        <f t="shared" si="70"/>
        <v>2.1706299086692766E-2</v>
      </c>
      <c r="DO16" s="363">
        <f t="shared" si="71"/>
        <v>0</v>
      </c>
      <c r="DP16" s="363">
        <f t="shared" si="100"/>
        <v>0.37508142023325097</v>
      </c>
      <c r="DQ16" s="440"/>
      <c r="DS16" s="363">
        <f t="shared" si="72"/>
        <v>0.23277575171196191</v>
      </c>
      <c r="DT16" s="363">
        <f t="shared" si="73"/>
        <v>1.0189228741542614E-2</v>
      </c>
      <c r="DU16" s="363">
        <f t="shared" si="74"/>
        <v>9.8441721457839471E-2</v>
      </c>
      <c r="DV16" s="363">
        <f t="shared" si="75"/>
        <v>2.3950178051589679E-3</v>
      </c>
      <c r="DW16" s="363">
        <f t="shared" si="76"/>
        <v>2.2359011012881392E-2</v>
      </c>
      <c r="DX16" s="363">
        <f t="shared" si="101"/>
        <v>0</v>
      </c>
      <c r="DY16" s="388">
        <f t="shared" si="102"/>
        <v>0.36616073072938438</v>
      </c>
    </row>
    <row r="17" spans="2:129" x14ac:dyDescent="0.15">
      <c r="B17" s="448" t="s">
        <v>588</v>
      </c>
      <c r="C17" s="238">
        <v>8</v>
      </c>
      <c r="D17" s="238">
        <v>70</v>
      </c>
      <c r="E17" s="444">
        <f t="shared" si="7"/>
        <v>4.2999999999999997E-2</v>
      </c>
      <c r="F17" s="364">
        <v>1.12E-2</v>
      </c>
      <c r="G17" s="363">
        <f t="shared" si="8"/>
        <v>4.2890499999999998E-2</v>
      </c>
      <c r="H17" s="363">
        <f t="shared" si="9"/>
        <v>9.6503624999999996E-2</v>
      </c>
      <c r="I17" s="363">
        <f t="shared" si="10"/>
        <v>6.4335749999999997E-2</v>
      </c>
      <c r="J17" s="363">
        <f t="shared" si="11"/>
        <v>0.1014360325</v>
      </c>
      <c r="K17" s="363">
        <f t="shared" si="12"/>
        <v>4.9752979999999995E-2</v>
      </c>
      <c r="L17" s="363"/>
      <c r="N17" s="363">
        <f t="shared" si="77"/>
        <v>0.42305041565328566</v>
      </c>
      <c r="O17" s="363">
        <f t="shared" si="78"/>
        <v>2.0052799603479728E-2</v>
      </c>
      <c r="P17" s="363">
        <f t="shared" si="79"/>
        <v>0.19918247228776401</v>
      </c>
      <c r="Q17" s="363">
        <f t="shared" si="80"/>
        <v>5.223054780441232E-3</v>
      </c>
      <c r="R17" s="363">
        <f t="shared" si="81"/>
        <v>5.3085507898515599E-2</v>
      </c>
      <c r="S17" s="363">
        <f t="shared" si="82"/>
        <v>0.29940574977651385</v>
      </c>
      <c r="T17" s="363">
        <f t="shared" si="0"/>
        <v>1.0000000000000002</v>
      </c>
      <c r="U17" s="363">
        <f t="shared" si="1"/>
        <v>0.70059425022348631</v>
      </c>
      <c r="V17" s="376"/>
      <c r="W17" s="363"/>
      <c r="X17" s="363">
        <f t="shared" si="13"/>
        <v>0.402513327462793</v>
      </c>
      <c r="Y17" s="363">
        <f t="shared" si="14"/>
        <v>1.9121983738285504E-2</v>
      </c>
      <c r="Z17" s="363">
        <f t="shared" si="15"/>
        <v>0.20183401129219292</v>
      </c>
      <c r="AA17" s="363">
        <f t="shared" si="16"/>
        <v>4.9806097178790153E-3</v>
      </c>
      <c r="AB17" s="363">
        <f t="shared" si="17"/>
        <v>5.4111551205124814E-2</v>
      </c>
      <c r="AC17" s="363">
        <f t="shared" si="18"/>
        <v>0.31743851658372479</v>
      </c>
      <c r="AD17" s="363">
        <f t="shared" si="19"/>
        <v>1</v>
      </c>
      <c r="AE17" s="363">
        <f t="shared" si="2"/>
        <v>0.68256148341627532</v>
      </c>
      <c r="AF17" s="363"/>
      <c r="AG17" s="376"/>
      <c r="AH17" s="363">
        <f t="shared" si="20"/>
        <v>0.65422021225000004</v>
      </c>
      <c r="AI17" s="363">
        <f t="shared" si="21"/>
        <v>0.60527024387500006</v>
      </c>
      <c r="AJ17" s="363">
        <f t="shared" si="22"/>
        <v>0.63790355612500005</v>
      </c>
      <c r="AK17" s="363">
        <f t="shared" si="23"/>
        <v>0.54621948837500001</v>
      </c>
      <c r="AL17" s="363">
        <f t="shared" si="24"/>
        <v>0.54621948837500001</v>
      </c>
      <c r="AM17" s="363">
        <v>0</v>
      </c>
      <c r="AN17" s="368"/>
      <c r="AP17" s="363">
        <f t="shared" si="25"/>
        <v>0.4279014848511199</v>
      </c>
      <c r="AQ17" s="363">
        <f t="shared" si="26"/>
        <v>2.0282742690372963E-2</v>
      </c>
      <c r="AR17" s="363">
        <f t="shared" si="27"/>
        <v>0.19973929118540112</v>
      </c>
      <c r="AS17" s="363">
        <f t="shared" si="28"/>
        <v>5.2829469333064471E-3</v>
      </c>
      <c r="AT17" s="363">
        <f t="shared" si="29"/>
        <v>5.3257934785632205E-2</v>
      </c>
      <c r="AU17" s="363">
        <f t="shared" si="30"/>
        <v>0.29353559955416747</v>
      </c>
      <c r="AV17" s="363">
        <f t="shared" si="3"/>
        <v>1</v>
      </c>
      <c r="AW17" s="363">
        <f t="shared" si="4"/>
        <v>0.70646440044583259</v>
      </c>
      <c r="AX17" s="375"/>
      <c r="AY17" s="363">
        <f t="shared" si="83"/>
        <v>0.40712890029365106</v>
      </c>
      <c r="AZ17" s="363">
        <f t="shared" si="84"/>
        <v>1.9341253269485558E-2</v>
      </c>
      <c r="BA17" s="363">
        <f t="shared" si="85"/>
        <v>0.2024767948818654</v>
      </c>
      <c r="BB17" s="363">
        <f t="shared" si="86"/>
        <v>5.0377217818194948E-3</v>
      </c>
      <c r="BC17" s="363">
        <f t="shared" si="87"/>
        <v>5.4306597181758676E-2</v>
      </c>
      <c r="BD17" s="363">
        <f t="shared" si="88"/>
        <v>0.3117087325914199</v>
      </c>
      <c r="BE17" s="363">
        <f t="shared" si="32"/>
        <v>1</v>
      </c>
      <c r="BF17" s="363">
        <f t="shared" si="33"/>
        <v>0.68829126740858015</v>
      </c>
      <c r="BG17" s="438"/>
      <c r="BH17" s="439"/>
      <c r="BJ17" s="369">
        <f t="shared" si="89"/>
        <v>370.18113588822507</v>
      </c>
      <c r="BK17" s="369">
        <f t="shared" si="34"/>
        <v>94.972122570085403</v>
      </c>
      <c r="BL17" s="369">
        <f t="shared" si="35"/>
        <v>261.52789807484658</v>
      </c>
      <c r="BM17" s="369">
        <f t="shared" si="36"/>
        <v>89.768284462359503</v>
      </c>
      <c r="BN17" s="369">
        <f t="shared" si="37"/>
        <v>323.92781850554138</v>
      </c>
      <c r="BO17" s="369">
        <f t="shared" si="38"/>
        <v>0</v>
      </c>
      <c r="BP17" s="369">
        <f t="shared" si="5"/>
        <v>1140.3772595010578</v>
      </c>
      <c r="BQ17" s="431"/>
      <c r="BR17" s="369">
        <f t="shared" si="90"/>
        <v>352.21060010124722</v>
      </c>
      <c r="BS17" s="369">
        <f t="shared" si="39"/>
        <v>90.563682841596531</v>
      </c>
      <c r="BT17" s="369">
        <f t="shared" si="40"/>
        <v>265.00938625263115</v>
      </c>
      <c r="BU17" s="369">
        <f t="shared" si="41"/>
        <v>85.601397792114568</v>
      </c>
      <c r="BV17" s="369">
        <f t="shared" si="42"/>
        <v>330.18873571551745</v>
      </c>
      <c r="BW17" s="369">
        <f t="shared" si="91"/>
        <v>0</v>
      </c>
      <c r="BX17" s="371">
        <f t="shared" si="43"/>
        <v>1123.5738027031068</v>
      </c>
      <c r="BY17" s="371"/>
      <c r="CA17" s="369">
        <f t="shared" si="92"/>
        <v>374.4259592933825</v>
      </c>
      <c r="CB17" s="369">
        <f t="shared" si="44"/>
        <v>96.061156693219942</v>
      </c>
      <c r="CC17" s="369">
        <f>(AR17*c_post_rinfar_mkv)/(1+disc_cost)^C17</f>
        <v>262.25900495505942</v>
      </c>
      <c r="CD17" s="369">
        <f t="shared" si="45"/>
        <v>90.797646787947357</v>
      </c>
      <c r="CE17" s="369">
        <f t="shared" si="46"/>
        <v>324.97996753088671</v>
      </c>
      <c r="CF17" s="369">
        <f t="shared" si="47"/>
        <v>0</v>
      </c>
      <c r="CG17" s="369">
        <f t="shared" si="48"/>
        <v>1148.5237352604959</v>
      </c>
      <c r="CH17" s="369"/>
      <c r="CI17" s="384"/>
      <c r="CJ17" s="369">
        <f t="shared" si="93"/>
        <v>356.24935749299539</v>
      </c>
      <c r="CK17" s="369">
        <f t="shared" si="94"/>
        <v>91.602165906544883</v>
      </c>
      <c r="CL17" s="369">
        <f t="shared" si="95"/>
        <v>265.85336533971258</v>
      </c>
      <c r="CM17" s="369">
        <f t="shared" si="96"/>
        <v>86.582978919932714</v>
      </c>
      <c r="CN17" s="369">
        <f t="shared" si="97"/>
        <v>331.3789064461069</v>
      </c>
      <c r="CO17" s="369">
        <f t="shared" si="98"/>
        <v>0</v>
      </c>
      <c r="CP17" s="369">
        <f t="shared" si="99"/>
        <v>1131.6667741052925</v>
      </c>
      <c r="CR17" s="363">
        <f t="shared" si="55"/>
        <v>0.21018091838082922</v>
      </c>
      <c r="CS17" s="363">
        <f t="shared" si="56"/>
        <v>9.2172536530913882E-3</v>
      </c>
      <c r="CT17" s="363">
        <f t="shared" si="57"/>
        <v>9.6490230415744935E-2</v>
      </c>
      <c r="CU17" s="363">
        <f t="shared" si="58"/>
        <v>2.1665512840845559E-3</v>
      </c>
      <c r="CV17" s="363">
        <f t="shared" si="59"/>
        <v>2.2020154897570074E-2</v>
      </c>
      <c r="CW17" s="363">
        <v>0</v>
      </c>
      <c r="CX17" s="363">
        <f t="shared" si="6"/>
        <v>0.34007510863132018</v>
      </c>
      <c r="CY17" s="363"/>
      <c r="CZ17" s="440"/>
      <c r="DA17" s="363">
        <f t="shared" si="60"/>
        <v>0.19997763315280226</v>
      </c>
      <c r="DB17" s="363">
        <f t="shared" si="61"/>
        <v>8.7894048687087792E-3</v>
      </c>
      <c r="DC17" s="363">
        <f t="shared" si="62"/>
        <v>9.7774718988233644E-2</v>
      </c>
      <c r="DD17" s="363">
        <f t="shared" si="63"/>
        <v>2.0659837649420975E-3</v>
      </c>
      <c r="DE17" s="363">
        <f t="shared" si="64"/>
        <v>2.2445763193271843E-2</v>
      </c>
      <c r="DF17" s="363">
        <v>0</v>
      </c>
      <c r="DG17" s="363">
        <f t="shared" si="65"/>
        <v>0.33105350396795863</v>
      </c>
      <c r="DJ17" s="363">
        <f t="shared" si="66"/>
        <v>0.21259103817129257</v>
      </c>
      <c r="DK17" s="363">
        <f t="shared" si="67"/>
        <v>9.3229468131278571E-3</v>
      </c>
      <c r="DL17" s="363">
        <f t="shared" si="68"/>
        <v>9.675997093616194E-2</v>
      </c>
      <c r="DM17" s="363">
        <f t="shared" si="69"/>
        <v>2.1913948720137175E-3</v>
      </c>
      <c r="DN17" s="363">
        <f t="shared" si="70"/>
        <v>2.2091678500020525E-2</v>
      </c>
      <c r="DO17" s="363">
        <f t="shared" si="71"/>
        <v>0</v>
      </c>
      <c r="DP17" s="363">
        <f t="shared" si="100"/>
        <v>0.34295702929261662</v>
      </c>
      <c r="DQ17" s="440"/>
      <c r="DS17" s="363">
        <f t="shared" si="72"/>
        <v>0.20227075307550765</v>
      </c>
      <c r="DT17" s="363">
        <f t="shared" si="73"/>
        <v>8.8901919372193824E-3</v>
      </c>
      <c r="DU17" s="363">
        <f t="shared" si="74"/>
        <v>9.8086103498941743E-2</v>
      </c>
      <c r="DV17" s="363">
        <f t="shared" si="75"/>
        <v>2.0896741569958665E-3</v>
      </c>
      <c r="DW17" s="363">
        <f t="shared" si="76"/>
        <v>2.252666931600945E-2</v>
      </c>
      <c r="DX17" s="363">
        <f t="shared" si="101"/>
        <v>0</v>
      </c>
      <c r="DY17" s="388">
        <f t="shared" si="102"/>
        <v>0.33386339198467407</v>
      </c>
    </row>
    <row r="18" spans="2:129" x14ac:dyDescent="0.15">
      <c r="B18" s="448" t="s">
        <v>588</v>
      </c>
      <c r="C18" s="238">
        <v>9</v>
      </c>
      <c r="D18" s="238">
        <v>71</v>
      </c>
      <c r="E18" s="444">
        <f t="shared" si="7"/>
        <v>4.2999999999999997E-2</v>
      </c>
      <c r="F18" s="364">
        <v>1.12E-2</v>
      </c>
      <c r="G18" s="363">
        <f t="shared" si="8"/>
        <v>4.7300000000000002E-2</v>
      </c>
      <c r="H18" s="363">
        <f t="shared" si="9"/>
        <v>0.10642499999999999</v>
      </c>
      <c r="I18" s="363">
        <f t="shared" si="10"/>
        <v>7.0949999999999999E-2</v>
      </c>
      <c r="J18" s="363">
        <f t="shared" si="11"/>
        <v>0.11186450000000001</v>
      </c>
      <c r="K18" s="363">
        <f t="shared" si="12"/>
        <v>5.4868E-2</v>
      </c>
      <c r="L18" s="363"/>
      <c r="N18" s="363">
        <f t="shared" si="77"/>
        <v>0.38197623927230034</v>
      </c>
      <c r="O18" s="363">
        <f t="shared" si="78"/>
        <v>1.8191167873091281E-2</v>
      </c>
      <c r="P18" s="363">
        <f t="shared" si="79"/>
        <v>0.20448555029662185</v>
      </c>
      <c r="Q18" s="363">
        <f t="shared" si="80"/>
        <v>4.7381646553167995E-3</v>
      </c>
      <c r="R18" s="363">
        <f t="shared" si="81"/>
        <v>5.5137594511734021E-2</v>
      </c>
      <c r="S18" s="363">
        <f t="shared" si="82"/>
        <v>0.33547128339093574</v>
      </c>
      <c r="T18" s="363">
        <f t="shared" si="0"/>
        <v>1</v>
      </c>
      <c r="U18" s="363">
        <f t="shared" si="1"/>
        <v>0.66452871660906432</v>
      </c>
      <c r="V18" s="376"/>
      <c r="W18" s="363"/>
      <c r="X18" s="363">
        <f t="shared" si="13"/>
        <v>0.36259094512923107</v>
      </c>
      <c r="Y18" s="363">
        <f t="shared" si="14"/>
        <v>1.7308073080900099E-2</v>
      </c>
      <c r="Z18" s="363">
        <f t="shared" si="15"/>
        <v>0.20535901181594796</v>
      </c>
      <c r="AA18" s="363">
        <f t="shared" si="16"/>
        <v>4.5081492675832814E-3</v>
      </c>
      <c r="AB18" s="363">
        <f t="shared" si="17"/>
        <v>5.5729015861515172E-2</v>
      </c>
      <c r="AC18" s="363">
        <f t="shared" si="18"/>
        <v>0.35450480484482244</v>
      </c>
      <c r="AD18" s="363">
        <f t="shared" si="19"/>
        <v>1</v>
      </c>
      <c r="AE18" s="363">
        <f t="shared" si="2"/>
        <v>0.6454951951551775</v>
      </c>
      <c r="AF18" s="363"/>
      <c r="AG18" s="376"/>
      <c r="AH18" s="363">
        <f t="shared" si="20"/>
        <v>0.64996297605000009</v>
      </c>
      <c r="AI18" s="363">
        <f t="shared" si="21"/>
        <v>0.60133154197500005</v>
      </c>
      <c r="AJ18" s="363">
        <f t="shared" si="22"/>
        <v>0.633752498025</v>
      </c>
      <c r="AK18" s="363">
        <f t="shared" si="23"/>
        <v>0.54266505007499999</v>
      </c>
      <c r="AL18" s="363">
        <f t="shared" si="24"/>
        <v>0.54266505007499999</v>
      </c>
      <c r="AM18" s="363">
        <v>0</v>
      </c>
      <c r="AN18" s="368"/>
      <c r="AP18" s="363">
        <f t="shared" si="25"/>
        <v>0.38635631573618223</v>
      </c>
      <c r="AQ18" s="363">
        <f t="shared" si="26"/>
        <v>1.8399763848598153E-2</v>
      </c>
      <c r="AR18" s="363">
        <f t="shared" si="27"/>
        <v>0.20521429857832968</v>
      </c>
      <c r="AS18" s="363">
        <f t="shared" si="28"/>
        <v>4.7924966303325425E-3</v>
      </c>
      <c r="AT18" s="363">
        <f t="shared" si="29"/>
        <v>5.5355259577885146E-2</v>
      </c>
      <c r="AU18" s="363">
        <f t="shared" si="30"/>
        <v>0.32988186562867233</v>
      </c>
      <c r="AV18" s="363">
        <f t="shared" si="3"/>
        <v>1</v>
      </c>
      <c r="AW18" s="363">
        <f t="shared" si="4"/>
        <v>0.67011813437132772</v>
      </c>
      <c r="AX18" s="375"/>
      <c r="AY18" s="363">
        <f t="shared" si="83"/>
        <v>0.36674873271257097</v>
      </c>
      <c r="AZ18" s="363">
        <f t="shared" si="84"/>
        <v>1.7506542712626992E-2</v>
      </c>
      <c r="BA18" s="363">
        <f t="shared" si="85"/>
        <v>0.20615510582676899</v>
      </c>
      <c r="BB18" s="363">
        <f t="shared" si="86"/>
        <v>4.5598436832888917E-3</v>
      </c>
      <c r="BC18" s="363">
        <f t="shared" si="87"/>
        <v>5.5964836582139799E-2</v>
      </c>
      <c r="BD18" s="363">
        <f t="shared" si="88"/>
        <v>0.34906493848260445</v>
      </c>
      <c r="BE18" s="363">
        <f t="shared" si="32"/>
        <v>1</v>
      </c>
      <c r="BF18" s="363">
        <f t="shared" si="33"/>
        <v>0.65093506151739566</v>
      </c>
      <c r="BG18" s="438"/>
      <c r="BH18" s="439"/>
      <c r="BJ18" s="369">
        <f t="shared" si="89"/>
        <v>322.93726020702354</v>
      </c>
      <c r="BK18" s="369">
        <f t="shared" si="34"/>
        <v>83.241780785611283</v>
      </c>
      <c r="BL18" s="369">
        <f t="shared" si="35"/>
        <v>259.41147287962889</v>
      </c>
      <c r="BM18" s="369">
        <f t="shared" si="36"/>
        <v>78.68068707427021</v>
      </c>
      <c r="BN18" s="369">
        <f t="shared" si="37"/>
        <v>325.07212843042851</v>
      </c>
      <c r="BO18" s="369">
        <f t="shared" si="38"/>
        <v>0</v>
      </c>
      <c r="BP18" s="369">
        <f t="shared" si="5"/>
        <v>1069.3433293769624</v>
      </c>
      <c r="BQ18" s="431"/>
      <c r="BR18" s="369">
        <f t="shared" si="90"/>
        <v>306.54819425151709</v>
      </c>
      <c r="BS18" s="369">
        <f t="shared" si="39"/>
        <v>79.200787726928596</v>
      </c>
      <c r="BT18" s="369">
        <f t="shared" si="40"/>
        <v>260.51955087782176</v>
      </c>
      <c r="BU18" s="369">
        <f t="shared" si="41"/>
        <v>74.861113450077994</v>
      </c>
      <c r="BV18" s="369">
        <f t="shared" si="42"/>
        <v>328.55894352773277</v>
      </c>
      <c r="BW18" s="369">
        <f t="shared" si="91"/>
        <v>0</v>
      </c>
      <c r="BX18" s="371">
        <f t="shared" si="43"/>
        <v>1049.6885898340781</v>
      </c>
      <c r="BY18" s="371"/>
      <c r="CA18" s="369">
        <f t="shared" si="92"/>
        <v>326.6403436643559</v>
      </c>
      <c r="CB18" s="369">
        <f t="shared" si="44"/>
        <v>84.196304463642363</v>
      </c>
      <c r="CC18" s="369">
        <f>(AR18*c_post_rinfar_mkv)/(1+disc_cost)^C18</f>
        <v>260.33596688344522</v>
      </c>
      <c r="CD18" s="369">
        <f t="shared" si="45"/>
        <v>79.58290922890636</v>
      </c>
      <c r="CE18" s="369">
        <f t="shared" si="46"/>
        <v>326.35540614620982</v>
      </c>
      <c r="CF18" s="369">
        <f t="shared" si="47"/>
        <v>0</v>
      </c>
      <c r="CG18" s="369">
        <f t="shared" si="48"/>
        <v>1077.1109303865596</v>
      </c>
      <c r="CH18" s="369"/>
      <c r="CI18" s="384"/>
      <c r="CJ18" s="369">
        <f t="shared" si="93"/>
        <v>310.06334622338983</v>
      </c>
      <c r="CK18" s="369">
        <f t="shared" si="94"/>
        <v>80.1089738143787</v>
      </c>
      <c r="CL18" s="369">
        <f t="shared" si="95"/>
        <v>261.52948003711037</v>
      </c>
      <c r="CM18" s="369">
        <f t="shared" si="96"/>
        <v>75.719537004661788</v>
      </c>
      <c r="CN18" s="369">
        <f t="shared" si="97"/>
        <v>329.94926068357336</v>
      </c>
      <c r="CO18" s="369">
        <f t="shared" si="98"/>
        <v>0</v>
      </c>
      <c r="CP18" s="369">
        <f t="shared" si="99"/>
        <v>1057.3705977631141</v>
      </c>
      <c r="CR18" s="363">
        <f t="shared" si="55"/>
        <v>0.18216369168557112</v>
      </c>
      <c r="CS18" s="363">
        <f t="shared" si="56"/>
        <v>8.0262266276397588E-3</v>
      </c>
      <c r="CT18" s="363">
        <f t="shared" si="57"/>
        <v>9.5086565397454442E-2</v>
      </c>
      <c r="CU18" s="363">
        <f t="shared" si="58"/>
        <v>1.8865957541088578E-3</v>
      </c>
      <c r="CV18" s="363">
        <f t="shared" si="59"/>
        <v>2.1954144540098978E-2</v>
      </c>
      <c r="CW18" s="363">
        <v>0</v>
      </c>
      <c r="CX18" s="363">
        <f t="shared" si="6"/>
        <v>0.30911722400487318</v>
      </c>
      <c r="CY18" s="363"/>
      <c r="CZ18" s="440"/>
      <c r="DA18" s="363">
        <f t="shared" si="60"/>
        <v>0.17291888433252836</v>
      </c>
      <c r="DB18" s="363">
        <f t="shared" si="61"/>
        <v>7.6365914494443314E-3</v>
      </c>
      <c r="DC18" s="363">
        <f t="shared" si="62"/>
        <v>9.5492728354979226E-2</v>
      </c>
      <c r="DD18" s="363">
        <f t="shared" si="63"/>
        <v>1.7950104915767046E-3</v>
      </c>
      <c r="DE18" s="363">
        <f t="shared" si="64"/>
        <v>2.2189630870472578E-2</v>
      </c>
      <c r="DF18" s="363">
        <v>0</v>
      </c>
      <c r="DG18" s="363">
        <f t="shared" si="65"/>
        <v>0.30003284549900122</v>
      </c>
      <c r="DJ18" s="363">
        <f t="shared" si="66"/>
        <v>0.18425254124345428</v>
      </c>
      <c r="DK18" s="363">
        <f t="shared" si="67"/>
        <v>8.118262421312375E-3</v>
      </c>
      <c r="DL18" s="363">
        <f t="shared" si="68"/>
        <v>9.5425436144293899E-2</v>
      </c>
      <c r="DM18" s="363">
        <f t="shared" si="69"/>
        <v>1.9082291250095563E-3</v>
      </c>
      <c r="DN18" s="363">
        <f t="shared" si="70"/>
        <v>2.2040812273175271E-2</v>
      </c>
      <c r="DO18" s="363">
        <f t="shared" si="71"/>
        <v>0</v>
      </c>
      <c r="DP18" s="363">
        <f t="shared" si="100"/>
        <v>0.31174528120724537</v>
      </c>
      <c r="DQ18" s="440"/>
      <c r="DS18" s="363">
        <f t="shared" si="72"/>
        <v>0.17490172477534896</v>
      </c>
      <c r="DT18" s="363">
        <f t="shared" si="73"/>
        <v>7.72415934250416E-3</v>
      </c>
      <c r="DU18" s="363">
        <f t="shared" si="74"/>
        <v>9.5862915124228454E-2</v>
      </c>
      <c r="DV18" s="363">
        <f t="shared" si="75"/>
        <v>1.8155936650786862E-3</v>
      </c>
      <c r="DW18" s="363">
        <f t="shared" si="76"/>
        <v>2.2283527643300445E-2</v>
      </c>
      <c r="DX18" s="363">
        <f t="shared" si="101"/>
        <v>0</v>
      </c>
      <c r="DY18" s="388">
        <f t="shared" si="102"/>
        <v>0.30258792055046069</v>
      </c>
    </row>
    <row r="19" spans="2:129" x14ac:dyDescent="0.15">
      <c r="B19" s="448" t="s">
        <v>588</v>
      </c>
      <c r="C19" s="238">
        <v>10</v>
      </c>
      <c r="D19" s="238">
        <v>72</v>
      </c>
      <c r="E19" s="444">
        <f t="shared" si="7"/>
        <v>4.2999999999999997E-2</v>
      </c>
      <c r="F19" s="364">
        <v>1.12E-2</v>
      </c>
      <c r="G19" s="363">
        <f t="shared" si="8"/>
        <v>5.2387500000000004E-2</v>
      </c>
      <c r="H19" s="363">
        <f t="shared" si="9"/>
        <v>0.117871875</v>
      </c>
      <c r="I19" s="363">
        <f t="shared" si="10"/>
        <v>7.8581250000000005E-2</v>
      </c>
      <c r="J19" s="363">
        <f t="shared" si="11"/>
        <v>0.12389643750000001</v>
      </c>
      <c r="K19" s="363">
        <f t="shared" si="12"/>
        <v>6.076949999999999E-2</v>
      </c>
      <c r="L19" s="363"/>
      <c r="N19" s="363">
        <f t="shared" si="77"/>
        <v>0.34320565098616185</v>
      </c>
      <c r="O19" s="363">
        <f t="shared" si="78"/>
        <v>1.6424978288708914E-2</v>
      </c>
      <c r="P19" s="363">
        <f t="shared" si="79"/>
        <v>0.20623247333527409</v>
      </c>
      <c r="Q19" s="363">
        <f t="shared" si="80"/>
        <v>4.2781338798497642E-3</v>
      </c>
      <c r="R19" s="363">
        <f t="shared" si="81"/>
        <v>5.6320437211296315E-2</v>
      </c>
      <c r="S19" s="363">
        <f t="shared" si="82"/>
        <v>0.37353832629870914</v>
      </c>
      <c r="T19" s="363">
        <f t="shared" si="0"/>
        <v>1</v>
      </c>
      <c r="U19" s="363">
        <f t="shared" si="1"/>
        <v>0.62646167370129091</v>
      </c>
      <c r="V19" s="376"/>
      <c r="W19" s="363"/>
      <c r="X19" s="363">
        <f t="shared" si="13"/>
        <v>0.32491493482391809</v>
      </c>
      <c r="Y19" s="363">
        <f t="shared" si="14"/>
        <v>1.5591410640556937E-2</v>
      </c>
      <c r="Z19" s="363">
        <f t="shared" si="15"/>
        <v>0.20537393821312758</v>
      </c>
      <c r="AA19" s="363">
        <f t="shared" si="16"/>
        <v>4.0610185854473881E-3</v>
      </c>
      <c r="AB19" s="363">
        <f t="shared" si="17"/>
        <v>5.6483198973234547E-2</v>
      </c>
      <c r="AC19" s="363">
        <f t="shared" si="18"/>
        <v>0.39357549876371556</v>
      </c>
      <c r="AD19" s="363">
        <f t="shared" si="19"/>
        <v>1</v>
      </c>
      <c r="AE19" s="363">
        <f t="shared" si="2"/>
        <v>0.60642450123628444</v>
      </c>
      <c r="AF19" s="363"/>
      <c r="AG19" s="376"/>
      <c r="AH19" s="363">
        <f t="shared" si="20"/>
        <v>0.64564983105000007</v>
      </c>
      <c r="AI19" s="363">
        <f t="shared" si="21"/>
        <v>0.59734111447500005</v>
      </c>
      <c r="AJ19" s="363">
        <f t="shared" si="22"/>
        <v>0.62954692552499991</v>
      </c>
      <c r="AK19" s="363">
        <f t="shared" si="23"/>
        <v>0.53906393257499996</v>
      </c>
      <c r="AL19" s="363">
        <f t="shared" si="24"/>
        <v>0.53906393257499996</v>
      </c>
      <c r="AM19" s="363">
        <v>0</v>
      </c>
      <c r="AN19" s="368"/>
      <c r="AP19" s="363">
        <f t="shared" si="25"/>
        <v>0.3471411496889597</v>
      </c>
      <c r="AQ19" s="363">
        <f t="shared" si="26"/>
        <v>1.6613321576655835E-2</v>
      </c>
      <c r="AR19" s="363">
        <f t="shared" si="27"/>
        <v>0.20709591307520828</v>
      </c>
      <c r="AS19" s="363">
        <f t="shared" si="28"/>
        <v>4.3271907362452408E-3</v>
      </c>
      <c r="AT19" s="363">
        <f t="shared" si="29"/>
        <v>5.6574413586394451E-2</v>
      </c>
      <c r="AU19" s="363">
        <f t="shared" si="30"/>
        <v>0.36824801133653656</v>
      </c>
      <c r="AV19" s="363">
        <f t="shared" si="3"/>
        <v>1</v>
      </c>
      <c r="AW19" s="363">
        <f t="shared" si="4"/>
        <v>0.63175198866346349</v>
      </c>
      <c r="AX19" s="375"/>
      <c r="AY19" s="363">
        <f t="shared" si="83"/>
        <v>0.32864069604272372</v>
      </c>
      <c r="AZ19" s="363">
        <f t="shared" si="84"/>
        <v>1.577019550664055E-2</v>
      </c>
      <c r="BA19" s="363">
        <f t="shared" si="85"/>
        <v>0.2062865243217564</v>
      </c>
      <c r="BB19" s="363">
        <f t="shared" si="86"/>
        <v>4.107585806380795E-3</v>
      </c>
      <c r="BC19" s="363">
        <f t="shared" si="87"/>
        <v>5.6750947782995984E-2</v>
      </c>
      <c r="BD19" s="363">
        <f t="shared" si="88"/>
        <v>0.38844405053950271</v>
      </c>
      <c r="BE19" s="363">
        <f t="shared" si="32"/>
        <v>1</v>
      </c>
      <c r="BF19" s="363">
        <f t="shared" si="33"/>
        <v>0.61155594946049741</v>
      </c>
      <c r="BG19" s="438"/>
      <c r="BH19" s="439"/>
      <c r="BJ19" s="369">
        <f t="shared" si="89"/>
        <v>280.34698386087985</v>
      </c>
      <c r="BK19" s="369">
        <f t="shared" si="34"/>
        <v>72.618159099754493</v>
      </c>
      <c r="BL19" s="369">
        <f t="shared" si="35"/>
        <v>252.78031775460366</v>
      </c>
      <c r="BM19" s="369">
        <f t="shared" si="36"/>
        <v>68.639168913899326</v>
      </c>
      <c r="BN19" s="369">
        <f t="shared" si="37"/>
        <v>320.81715809182322</v>
      </c>
      <c r="BO19" s="369">
        <f t="shared" si="38"/>
        <v>0</v>
      </c>
      <c r="BP19" s="369">
        <f t="shared" si="5"/>
        <v>995.20178772096051</v>
      </c>
      <c r="BQ19" s="431"/>
      <c r="BR19" s="369">
        <f t="shared" si="90"/>
        <v>265.40624178974412</v>
      </c>
      <c r="BS19" s="369">
        <f t="shared" si="39"/>
        <v>68.932787525441967</v>
      </c>
      <c r="BT19" s="369">
        <f t="shared" si="40"/>
        <v>251.72800636314366</v>
      </c>
      <c r="BU19" s="369">
        <f t="shared" si="41"/>
        <v>65.155731091518916</v>
      </c>
      <c r="BV19" s="369">
        <f t="shared" si="42"/>
        <v>321.7442951755632</v>
      </c>
      <c r="BW19" s="369">
        <f t="shared" si="91"/>
        <v>0</v>
      </c>
      <c r="BX19" s="371">
        <f t="shared" si="43"/>
        <v>972.96706194541184</v>
      </c>
      <c r="BY19" s="371"/>
      <c r="CA19" s="369">
        <f t="shared" si="92"/>
        <v>283.56168964485391</v>
      </c>
      <c r="CB19" s="369">
        <f t="shared" si="44"/>
        <v>73.450862961463855</v>
      </c>
      <c r="CC19" s="369">
        <f>(AR19*c_post_rinfar_mkv)/(1+disc_cost)^C19</f>
        <v>253.83864076403432</v>
      </c>
      <c r="CD19" s="369">
        <f t="shared" si="45"/>
        <v>69.42624616465433</v>
      </c>
      <c r="CE19" s="369">
        <f t="shared" si="46"/>
        <v>322.26387944051874</v>
      </c>
      <c r="CF19" s="369">
        <f t="shared" si="47"/>
        <v>0</v>
      </c>
      <c r="CG19" s="369">
        <f t="shared" si="48"/>
        <v>1002.5413189755252</v>
      </c>
      <c r="CH19" s="369"/>
      <c r="CI19" s="384"/>
      <c r="CJ19" s="369">
        <f t="shared" si="93"/>
        <v>268.44962384734345</v>
      </c>
      <c r="CK19" s="369">
        <f t="shared" si="94"/>
        <v>69.723231666169568</v>
      </c>
      <c r="CL19" s="369">
        <f t="shared" si="95"/>
        <v>252.84656835673718</v>
      </c>
      <c r="CM19" s="369">
        <f t="shared" si="96"/>
        <v>65.902864171798129</v>
      </c>
      <c r="CN19" s="369">
        <f t="shared" si="97"/>
        <v>323.26946821191353</v>
      </c>
      <c r="CO19" s="369">
        <f t="shared" si="98"/>
        <v>0</v>
      </c>
      <c r="CP19" s="369">
        <f t="shared" si="99"/>
        <v>980.19175625396178</v>
      </c>
      <c r="CR19" s="363">
        <f t="shared" si="55"/>
        <v>0.15708979531291301</v>
      </c>
      <c r="CS19" s="363">
        <f t="shared" si="56"/>
        <v>6.9554256746155799E-3</v>
      </c>
      <c r="CT19" s="363">
        <f t="shared" si="57"/>
        <v>9.2041070186726734E-2</v>
      </c>
      <c r="CU19" s="363">
        <f t="shared" si="58"/>
        <v>1.634899829586328E-3</v>
      </c>
      <c r="CV19" s="363">
        <f t="shared" si="59"/>
        <v>2.1522999463076495E-2</v>
      </c>
      <c r="CW19" s="363">
        <v>0</v>
      </c>
      <c r="CX19" s="363">
        <f t="shared" si="6"/>
        <v>0.27924419046691812</v>
      </c>
      <c r="CY19" s="363"/>
      <c r="CZ19" s="440"/>
      <c r="DA19" s="363">
        <f t="shared" si="60"/>
        <v>0.14871789103395547</v>
      </c>
      <c r="DB19" s="363">
        <f t="shared" si="61"/>
        <v>6.6024378216288388E-3</v>
      </c>
      <c r="DC19" s="363">
        <f t="shared" si="62"/>
        <v>9.1657907971013045E-2</v>
      </c>
      <c r="DD19" s="363">
        <f t="shared" si="63"/>
        <v>1.5519286632348218E-3</v>
      </c>
      <c r="DE19" s="363">
        <f t="shared" si="64"/>
        <v>2.1585199287656395E-2</v>
      </c>
      <c r="DF19" s="363">
        <v>0</v>
      </c>
      <c r="DG19" s="363">
        <f t="shared" si="65"/>
        <v>0.27011536477748854</v>
      </c>
      <c r="DJ19" s="363">
        <f t="shared" si="66"/>
        <v>0.1588911254597225</v>
      </c>
      <c r="DK19" s="363">
        <f t="shared" si="67"/>
        <v>7.0351827201106162E-3</v>
      </c>
      <c r="DL19" s="363">
        <f t="shared" si="68"/>
        <v>9.2426421321880378E-2</v>
      </c>
      <c r="DM19" s="363">
        <f t="shared" si="69"/>
        <v>1.6536470330197612E-3</v>
      </c>
      <c r="DN19" s="363">
        <f t="shared" si="70"/>
        <v>2.1620057185912762E-2</v>
      </c>
      <c r="DO19" s="363">
        <f t="shared" si="71"/>
        <v>0</v>
      </c>
      <c r="DP19" s="363">
        <f t="shared" si="100"/>
        <v>0.281626433720646</v>
      </c>
      <c r="DQ19" s="440"/>
      <c r="DS19" s="363">
        <f t="shared" si="72"/>
        <v>0.15042322154225343</v>
      </c>
      <c r="DT19" s="363">
        <f t="shared" si="73"/>
        <v>6.6781471970650012E-3</v>
      </c>
      <c r="DU19" s="363">
        <f t="shared" si="74"/>
        <v>9.2065193015493804E-2</v>
      </c>
      <c r="DV19" s="363">
        <f t="shared" si="75"/>
        <v>1.5697244460940081E-3</v>
      </c>
      <c r="DW19" s="363">
        <f t="shared" si="76"/>
        <v>2.1687520181706183E-2</v>
      </c>
      <c r="DX19" s="363">
        <f t="shared" si="101"/>
        <v>0</v>
      </c>
      <c r="DY19" s="388">
        <f t="shared" si="102"/>
        <v>0.27242380638261238</v>
      </c>
    </row>
    <row r="20" spans="2:129" x14ac:dyDescent="0.15">
      <c r="B20" s="448" t="s">
        <v>588</v>
      </c>
      <c r="C20" s="238">
        <v>11</v>
      </c>
      <c r="D20" s="238">
        <v>73</v>
      </c>
      <c r="E20" s="444">
        <f t="shared" si="7"/>
        <v>4.2999999999999997E-2</v>
      </c>
      <c r="F20" s="364">
        <v>1.12E-2</v>
      </c>
      <c r="G20" s="363">
        <f t="shared" si="8"/>
        <v>5.7616000000000001E-2</v>
      </c>
      <c r="H20" s="363">
        <f t="shared" si="9"/>
        <v>0.129636</v>
      </c>
      <c r="I20" s="363">
        <f t="shared" si="10"/>
        <v>8.6424000000000001E-2</v>
      </c>
      <c r="J20" s="363">
        <f t="shared" si="11"/>
        <v>0.13626184000000002</v>
      </c>
      <c r="K20" s="363">
        <f t="shared" si="12"/>
        <v>6.6834560000000001E-2</v>
      </c>
      <c r="L20" s="363"/>
      <c r="N20" s="363">
        <f t="shared" si="77"/>
        <v>0.30662421866167433</v>
      </c>
      <c r="O20" s="363">
        <f t="shared" si="78"/>
        <v>1.4757842992404959E-2</v>
      </c>
      <c r="P20" s="363">
        <f t="shared" si="79"/>
        <v>0.20451540309098107</v>
      </c>
      <c r="Q20" s="363">
        <f t="shared" si="80"/>
        <v>3.8439032910450128E-3</v>
      </c>
      <c r="R20" s="363">
        <f t="shared" si="81"/>
        <v>5.6645960735172772E-2</v>
      </c>
      <c r="S20" s="363">
        <f t="shared" si="82"/>
        <v>0.41361267122872192</v>
      </c>
      <c r="T20" s="363">
        <f t="shared" si="0"/>
        <v>1</v>
      </c>
      <c r="U20" s="363">
        <f t="shared" si="1"/>
        <v>0.58638732877127819</v>
      </c>
      <c r="V20" s="376"/>
      <c r="W20" s="363"/>
      <c r="X20" s="363">
        <f t="shared" si="13"/>
        <v>0.28948147184473744</v>
      </c>
      <c r="Y20" s="363">
        <f t="shared" si="14"/>
        <v>1.3971342197428478E-2</v>
      </c>
      <c r="Z20" s="363">
        <f t="shared" si="15"/>
        <v>0.20210023112173436</v>
      </c>
      <c r="AA20" s="363">
        <f t="shared" si="16"/>
        <v>3.6390472700278827E-3</v>
      </c>
      <c r="AB20" s="363">
        <f t="shared" si="17"/>
        <v>5.641306978232908E-2</v>
      </c>
      <c r="AC20" s="363">
        <f t="shared" si="18"/>
        <v>0.43439483778374283</v>
      </c>
      <c r="AD20" s="363">
        <f t="shared" si="19"/>
        <v>1</v>
      </c>
      <c r="AE20" s="363">
        <f t="shared" si="2"/>
        <v>0.56560516221625723</v>
      </c>
      <c r="AF20" s="363"/>
      <c r="AG20" s="376"/>
      <c r="AH20" s="363">
        <f t="shared" si="20"/>
        <v>0.64128077724999999</v>
      </c>
      <c r="AI20" s="363">
        <f t="shared" si="21"/>
        <v>0.59329896137500004</v>
      </c>
      <c r="AJ20" s="363">
        <f t="shared" si="22"/>
        <v>0.62528683862500012</v>
      </c>
      <c r="AK20" s="363">
        <f t="shared" si="23"/>
        <v>0.53541613587500003</v>
      </c>
      <c r="AL20" s="363">
        <f t="shared" si="24"/>
        <v>0.53541613587500003</v>
      </c>
      <c r="AM20" s="363">
        <v>0</v>
      </c>
      <c r="AN20" s="368"/>
      <c r="AP20" s="363">
        <f t="shared" si="25"/>
        <v>0.31014024239648774</v>
      </c>
      <c r="AQ20" s="363">
        <f t="shared" si="26"/>
        <v>1.4927069436625267E-2</v>
      </c>
      <c r="AR20" s="363">
        <f t="shared" si="27"/>
        <v>0.20547713556830452</v>
      </c>
      <c r="AS20" s="363">
        <f t="shared" si="28"/>
        <v>3.8879808765163487E-3</v>
      </c>
      <c r="AT20" s="363">
        <f t="shared" si="29"/>
        <v>5.6927481979597509E-2</v>
      </c>
      <c r="AU20" s="363">
        <f t="shared" si="30"/>
        <v>0.40864008974246879</v>
      </c>
      <c r="AV20" s="363">
        <f t="shared" si="3"/>
        <v>1</v>
      </c>
      <c r="AW20" s="363">
        <f t="shared" si="4"/>
        <v>0.59135991025753132</v>
      </c>
      <c r="AX20" s="375"/>
      <c r="AY20" s="363">
        <f t="shared" si="83"/>
        <v>0.29280092172458494</v>
      </c>
      <c r="AZ20" s="363">
        <f t="shared" si="84"/>
        <v>1.4131549929837119E-2</v>
      </c>
      <c r="BA20" s="363">
        <f t="shared" si="85"/>
        <v>0.20309404951769638</v>
      </c>
      <c r="BB20" s="363">
        <f t="shared" si="86"/>
        <v>3.6807757956785056E-3</v>
      </c>
      <c r="BC20" s="363">
        <f t="shared" si="87"/>
        <v>5.6704219098789053E-2</v>
      </c>
      <c r="BD20" s="363">
        <f t="shared" si="88"/>
        <v>0.4295884839334142</v>
      </c>
      <c r="BE20" s="363">
        <f t="shared" si="32"/>
        <v>1.0000000000000002</v>
      </c>
      <c r="BF20" s="363">
        <f t="shared" si="33"/>
        <v>0.57041151606658602</v>
      </c>
      <c r="BG20" s="438"/>
      <c r="BH20" s="439"/>
      <c r="BJ20" s="369">
        <f t="shared" si="89"/>
        <v>241.99565190203703</v>
      </c>
      <c r="BK20" s="369">
        <f t="shared" si="34"/>
        <v>63.040981595294106</v>
      </c>
      <c r="BL20" s="369">
        <f t="shared" si="35"/>
        <v>242.19873910307598</v>
      </c>
      <c r="BM20" s="369">
        <f t="shared" si="36"/>
        <v>59.586756781776359</v>
      </c>
      <c r="BN20" s="369">
        <f t="shared" si="37"/>
        <v>311.75983793169377</v>
      </c>
      <c r="BO20" s="369">
        <f t="shared" si="38"/>
        <v>0</v>
      </c>
      <c r="BP20" s="369">
        <f t="shared" si="5"/>
        <v>918.58196731387716</v>
      </c>
      <c r="BQ20" s="431"/>
      <c r="BR20" s="369">
        <f t="shared" si="90"/>
        <v>228.46615899549792</v>
      </c>
      <c r="BS20" s="369">
        <f t="shared" si="39"/>
        <v>59.681291282399911</v>
      </c>
      <c r="BT20" s="369">
        <f t="shared" si="40"/>
        <v>239.33855548449336</v>
      </c>
      <c r="BU20" s="369">
        <f t="shared" si="41"/>
        <v>56.411155062537567</v>
      </c>
      <c r="BV20" s="369">
        <f t="shared" si="42"/>
        <v>310.4780864215773</v>
      </c>
      <c r="BW20" s="369">
        <f t="shared" si="91"/>
        <v>0</v>
      </c>
      <c r="BX20" s="371">
        <f t="shared" si="43"/>
        <v>894.37524724650598</v>
      </c>
      <c r="BY20" s="371"/>
      <c r="CA20" s="369">
        <f t="shared" si="92"/>
        <v>244.77058748776139</v>
      </c>
      <c r="CB20" s="369">
        <f t="shared" si="44"/>
        <v>63.763865092633104</v>
      </c>
      <c r="CC20" s="369">
        <f>(AR20*c_post_rinfar_mkv)/(1+disc_cost)^C20</f>
        <v>243.33767724583578</v>
      </c>
      <c r="CD20" s="369">
        <f t="shared" si="45"/>
        <v>60.27003109076513</v>
      </c>
      <c r="CE20" s="369">
        <f t="shared" si="46"/>
        <v>313.30923380029787</v>
      </c>
      <c r="CF20" s="369">
        <f t="shared" si="47"/>
        <v>0</v>
      </c>
      <c r="CG20" s="369">
        <f t="shared" si="48"/>
        <v>925.45139471729328</v>
      </c>
      <c r="CH20" s="369"/>
      <c r="CI20" s="384"/>
      <c r="CJ20" s="369">
        <f t="shared" si="93"/>
        <v>231.08595348249568</v>
      </c>
      <c r="CK20" s="369">
        <f t="shared" si="94"/>
        <v>60.365649607352594</v>
      </c>
      <c r="CL20" s="369">
        <f t="shared" si="95"/>
        <v>240.51549159180632</v>
      </c>
      <c r="CM20" s="369">
        <f t="shared" si="96"/>
        <v>57.058015121321667</v>
      </c>
      <c r="CN20" s="369">
        <f t="shared" si="97"/>
        <v>312.0804718791714</v>
      </c>
      <c r="CO20" s="369">
        <f t="shared" si="98"/>
        <v>0</v>
      </c>
      <c r="CP20" s="369">
        <f t="shared" si="99"/>
        <v>901.10558168214766</v>
      </c>
      <c r="CR20" s="363">
        <f t="shared" si="55"/>
        <v>0.1346823943981322</v>
      </c>
      <c r="CS20" s="363">
        <f t="shared" si="56"/>
        <v>5.9972565294466925E-3</v>
      </c>
      <c r="CT20" s="363">
        <f t="shared" si="57"/>
        <v>8.7591398875299181E-2</v>
      </c>
      <c r="CU20" s="363">
        <f t="shared" si="58"/>
        <v>1.4096784491223536E-3</v>
      </c>
      <c r="CV20" s="363">
        <f t="shared" si="59"/>
        <v>2.0773829108612973E-2</v>
      </c>
      <c r="CW20" s="363">
        <v>0</v>
      </c>
      <c r="CX20" s="363">
        <f t="shared" si="6"/>
        <v>0.25045455736061339</v>
      </c>
      <c r="CY20" s="363"/>
      <c r="CZ20" s="440"/>
      <c r="DA20" s="363">
        <f t="shared" si="60"/>
        <v>0.12715257109212141</v>
      </c>
      <c r="DB20" s="363">
        <f t="shared" si="61"/>
        <v>5.6776402392804924E-3</v>
      </c>
      <c r="DC20" s="363">
        <f t="shared" si="62"/>
        <v>8.655701081399203E-2</v>
      </c>
      <c r="DD20" s="363">
        <f t="shared" si="63"/>
        <v>1.3345513982744393E-3</v>
      </c>
      <c r="DE20" s="363">
        <f t="shared" si="64"/>
        <v>2.0688420779536601E-2</v>
      </c>
      <c r="DF20" s="363">
        <v>0</v>
      </c>
      <c r="DG20" s="363">
        <f t="shared" si="65"/>
        <v>0.24141019432320499</v>
      </c>
      <c r="DJ20" s="363">
        <f t="shared" si="66"/>
        <v>0.13622678152264645</v>
      </c>
      <c r="DK20" s="363">
        <f t="shared" si="67"/>
        <v>6.0660263624146664E-3</v>
      </c>
      <c r="DL20" s="363">
        <f t="shared" si="68"/>
        <v>8.8003296912118903E-2</v>
      </c>
      <c r="DM20" s="363">
        <f t="shared" si="69"/>
        <v>1.4258430655613376E-3</v>
      </c>
      <c r="DN20" s="363">
        <f t="shared" si="70"/>
        <v>2.0877071672534959E-2</v>
      </c>
      <c r="DO20" s="363">
        <f t="shared" si="71"/>
        <v>0</v>
      </c>
      <c r="DP20" s="363">
        <f t="shared" si="100"/>
        <v>0.2525990195352763</v>
      </c>
      <c r="DQ20" s="440"/>
      <c r="DS20" s="363">
        <f t="shared" si="72"/>
        <v>0.12861061462127835</v>
      </c>
      <c r="DT20" s="363">
        <f t="shared" si="73"/>
        <v>5.7427450699627305E-3</v>
      </c>
      <c r="DU20" s="363">
        <f t="shared" si="74"/>
        <v>8.6982650849973045E-2</v>
      </c>
      <c r="DV20" s="363">
        <f t="shared" si="75"/>
        <v>1.3498545416860781E-3</v>
      </c>
      <c r="DW20" s="363">
        <f t="shared" si="76"/>
        <v>2.0795194255822148E-2</v>
      </c>
      <c r="DX20" s="363">
        <f t="shared" si="101"/>
        <v>0</v>
      </c>
      <c r="DY20" s="388">
        <f t="shared" si="102"/>
        <v>0.24348105933872233</v>
      </c>
    </row>
    <row r="21" spans="2:129" x14ac:dyDescent="0.15">
      <c r="B21" s="448" t="s">
        <v>588</v>
      </c>
      <c r="C21" s="238">
        <v>12</v>
      </c>
      <c r="D21" s="238">
        <v>74</v>
      </c>
      <c r="E21" s="444">
        <f t="shared" si="7"/>
        <v>4.2999999999999997E-2</v>
      </c>
      <c r="F21" s="364">
        <v>1.12E-2</v>
      </c>
      <c r="G21" s="363">
        <f t="shared" si="8"/>
        <v>6.3379500000000005E-2</v>
      </c>
      <c r="H21" s="363">
        <f t="shared" si="9"/>
        <v>0.14260387499999999</v>
      </c>
      <c r="I21" s="363">
        <f t="shared" si="10"/>
        <v>9.5069249999999994E-2</v>
      </c>
      <c r="J21" s="363">
        <f t="shared" si="11"/>
        <v>0.14989251750000002</v>
      </c>
      <c r="K21" s="363">
        <f t="shared" si="12"/>
        <v>7.3520219999999997E-2</v>
      </c>
      <c r="L21" s="363"/>
      <c r="N21" s="363">
        <f t="shared" si="77"/>
        <v>0.27233872502780054</v>
      </c>
      <c r="O21" s="363">
        <f t="shared" si="78"/>
        <v>1.3184841402451995E-2</v>
      </c>
      <c r="P21" s="363">
        <f t="shared" si="79"/>
        <v>0.19968505915248769</v>
      </c>
      <c r="Q21" s="363">
        <f t="shared" si="80"/>
        <v>3.4341912490107526E-3</v>
      </c>
      <c r="R21" s="363">
        <f t="shared" si="81"/>
        <v>5.6180178829485387E-2</v>
      </c>
      <c r="S21" s="363">
        <f t="shared" si="82"/>
        <v>0.45517700433876374</v>
      </c>
      <c r="T21" s="363">
        <f t="shared" si="0"/>
        <v>1</v>
      </c>
      <c r="U21" s="363">
        <f t="shared" si="1"/>
        <v>0.54482299566123638</v>
      </c>
      <c r="V21" s="376"/>
      <c r="W21" s="363"/>
      <c r="X21" s="363">
        <f t="shared" si="13"/>
        <v>0.25632799946809742</v>
      </c>
      <c r="Y21" s="363">
        <f t="shared" si="14"/>
        <v>1.2447703289323708E-2</v>
      </c>
      <c r="Z21" s="363">
        <f t="shared" si="15"/>
        <v>0.19584542071117234</v>
      </c>
      <c r="AA21" s="363">
        <f t="shared" si="16"/>
        <v>3.2421924846610592E-3</v>
      </c>
      <c r="AB21" s="363">
        <f t="shared" si="17"/>
        <v>5.5574705114453865E-2</v>
      </c>
      <c r="AC21" s="363">
        <f t="shared" si="18"/>
        <v>0.47656197893229174</v>
      </c>
      <c r="AD21" s="363">
        <f t="shared" si="19"/>
        <v>1.0000000000000002</v>
      </c>
      <c r="AE21" s="363">
        <f t="shared" si="2"/>
        <v>0.52343802106770843</v>
      </c>
      <c r="AF21" s="363"/>
      <c r="AG21" s="376"/>
      <c r="AH21" s="363">
        <f t="shared" si="20"/>
        <v>0.63685581465000007</v>
      </c>
      <c r="AI21" s="363">
        <f t="shared" si="21"/>
        <v>0.58920508267499994</v>
      </c>
      <c r="AJ21" s="363">
        <f t="shared" si="22"/>
        <v>0.62097223732499995</v>
      </c>
      <c r="AK21" s="363">
        <f t="shared" si="23"/>
        <v>0.53172165997499998</v>
      </c>
      <c r="AL21" s="363">
        <f t="shared" si="24"/>
        <v>0.53172165997499998</v>
      </c>
      <c r="AM21" s="363">
        <v>0</v>
      </c>
      <c r="AN21" s="368"/>
      <c r="AP21" s="363">
        <f t="shared" si="25"/>
        <v>0.27546160105268208</v>
      </c>
      <c r="AQ21" s="363">
        <f t="shared" si="26"/>
        <v>1.3336030423048971E-2</v>
      </c>
      <c r="AR21" s="363">
        <f t="shared" si="27"/>
        <v>0.20071096346708828</v>
      </c>
      <c r="AS21" s="363">
        <f t="shared" si="28"/>
        <v>3.4735707148406628E-3</v>
      </c>
      <c r="AT21" s="363">
        <f t="shared" si="29"/>
        <v>5.6480956217980598E-2</v>
      </c>
      <c r="AU21" s="363">
        <f t="shared" si="30"/>
        <v>0.45053687812435966</v>
      </c>
      <c r="AV21" s="363">
        <f t="shared" si="3"/>
        <v>1.0000000000000002</v>
      </c>
      <c r="AW21" s="363">
        <f t="shared" si="4"/>
        <v>0.54946312187564061</v>
      </c>
      <c r="AX21" s="375"/>
      <c r="AY21" s="363">
        <f t="shared" si="83"/>
        <v>0.25926728239219515</v>
      </c>
      <c r="AZ21" s="363">
        <f t="shared" si="84"/>
        <v>1.2590439634157149E-2</v>
      </c>
      <c r="BA21" s="363">
        <f t="shared" si="85"/>
        <v>0.19688737348909369</v>
      </c>
      <c r="BB21" s="363">
        <f t="shared" si="86"/>
        <v>3.2793703233153513E-3</v>
      </c>
      <c r="BC21" s="363">
        <f t="shared" si="87"/>
        <v>5.5881164282341911E-2</v>
      </c>
      <c r="BD21" s="363">
        <f t="shared" si="88"/>
        <v>0.47209436987889697</v>
      </c>
      <c r="BE21" s="363">
        <f t="shared" si="32"/>
        <v>1.0000000000000002</v>
      </c>
      <c r="BF21" s="363">
        <f t="shared" si="33"/>
        <v>0.52790563012110325</v>
      </c>
      <c r="BG21" s="438"/>
      <c r="BH21" s="439"/>
      <c r="BJ21" s="369">
        <f t="shared" si="89"/>
        <v>207.66827641445303</v>
      </c>
      <c r="BK21" s="369">
        <f t="shared" si="34"/>
        <v>54.417005767638358</v>
      </c>
      <c r="BL21" s="369">
        <f t="shared" si="35"/>
        <v>228.4815187110249</v>
      </c>
      <c r="BM21" s="369">
        <f t="shared" si="36"/>
        <v>51.435317239902197</v>
      </c>
      <c r="BN21" s="369">
        <f t="shared" si="37"/>
        <v>298.74042020431</v>
      </c>
      <c r="BO21" s="369">
        <f t="shared" si="38"/>
        <v>0</v>
      </c>
      <c r="BP21" s="369">
        <f t="shared" si="5"/>
        <v>840.7425383373286</v>
      </c>
      <c r="BQ21" s="431"/>
      <c r="BR21" s="369">
        <f t="shared" si="90"/>
        <v>195.45951036111643</v>
      </c>
      <c r="BS21" s="369">
        <f t="shared" si="39"/>
        <v>51.374659809181232</v>
      </c>
      <c r="BT21" s="369">
        <f t="shared" si="40"/>
        <v>224.08816837176374</v>
      </c>
      <c r="BU21" s="369">
        <f t="shared" si="41"/>
        <v>48.559671523653741</v>
      </c>
      <c r="BV21" s="369">
        <f t="shared" si="42"/>
        <v>295.52078872894259</v>
      </c>
      <c r="BW21" s="369">
        <f t="shared" si="91"/>
        <v>0</v>
      </c>
      <c r="BX21" s="371">
        <f t="shared" si="43"/>
        <v>815.00279879465779</v>
      </c>
      <c r="BY21" s="371"/>
      <c r="CA21" s="369">
        <f t="shared" si="92"/>
        <v>210.0495840359709</v>
      </c>
      <c r="CB21" s="369">
        <f t="shared" si="44"/>
        <v>55.040999151760467</v>
      </c>
      <c r="CC21" s="369">
        <f>(AR21*c_post_rinfar_mkv)/(1+disc_cost)^C21</f>
        <v>229.65536805582309</v>
      </c>
      <c r="CD21" s="369">
        <f t="shared" si="45"/>
        <v>52.025119953505516</v>
      </c>
      <c r="CE21" s="369">
        <f t="shared" si="46"/>
        <v>300.33981638458442</v>
      </c>
      <c r="CF21" s="369">
        <f t="shared" si="47"/>
        <v>0</v>
      </c>
      <c r="CG21" s="369">
        <f t="shared" si="48"/>
        <v>847.11088758164442</v>
      </c>
      <c r="CH21" s="369"/>
      <c r="CI21" s="384"/>
      <c r="CJ21" s="369">
        <f t="shared" si="93"/>
        <v>197.70082150289215</v>
      </c>
      <c r="CK21" s="369">
        <f t="shared" si="94"/>
        <v>51.963766971183837</v>
      </c>
      <c r="CL21" s="369">
        <f t="shared" si="95"/>
        <v>225.28038051890715</v>
      </c>
      <c r="CM21" s="369">
        <f t="shared" si="96"/>
        <v>49.116499547144933</v>
      </c>
      <c r="CN21" s="369">
        <f t="shared" si="97"/>
        <v>297.15039800569849</v>
      </c>
      <c r="CO21" s="369">
        <f t="shared" si="98"/>
        <v>0</v>
      </c>
      <c r="CP21" s="369">
        <f t="shared" si="99"/>
        <v>821.21186654582652</v>
      </c>
      <c r="CR21" s="363">
        <f t="shared" si="55"/>
        <v>0.11478002653625753</v>
      </c>
      <c r="CS21" s="363">
        <f t="shared" si="56"/>
        <v>5.1411135627888365E-3</v>
      </c>
      <c r="CT21" s="363">
        <f t="shared" si="57"/>
        <v>8.206038642880327E-2</v>
      </c>
      <c r="CU21" s="363">
        <f t="shared" si="58"/>
        <v>1.2084387183322145E-3</v>
      </c>
      <c r="CV21" s="363">
        <f t="shared" si="59"/>
        <v>1.9768934918791812E-2</v>
      </c>
      <c r="CW21" s="363">
        <v>0</v>
      </c>
      <c r="CX21" s="363">
        <f t="shared" si="6"/>
        <v>0.22295890016497363</v>
      </c>
      <c r="CY21" s="363"/>
      <c r="CZ21" s="440"/>
      <c r="DA21" s="363">
        <f t="shared" si="60"/>
        <v>0.1080321374711976</v>
      </c>
      <c r="DB21" s="363">
        <f t="shared" si="61"/>
        <v>4.8536841857204378E-3</v>
      </c>
      <c r="DC21" s="363">
        <f t="shared" si="62"/>
        <v>8.0482490638409579E-2</v>
      </c>
      <c r="DD21" s="363">
        <f t="shared" si="63"/>
        <v>1.1408773264676968E-3</v>
      </c>
      <c r="DE21" s="363">
        <f t="shared" si="64"/>
        <v>1.9555878094892648E-2</v>
      </c>
      <c r="DF21" s="363">
        <v>0</v>
      </c>
      <c r="DG21" s="363">
        <f t="shared" si="65"/>
        <v>0.21406506771668796</v>
      </c>
      <c r="DJ21" s="363">
        <f t="shared" si="66"/>
        <v>0.11609619555690913</v>
      </c>
      <c r="DK21" s="363">
        <f t="shared" si="67"/>
        <v>5.2000661053800065E-3</v>
      </c>
      <c r="DL21" s="363">
        <f t="shared" si="68"/>
        <v>8.2481980837781119E-2</v>
      </c>
      <c r="DM21" s="363">
        <f t="shared" si="69"/>
        <v>1.2222957425238089E-3</v>
      </c>
      <c r="DN21" s="363">
        <f t="shared" si="70"/>
        <v>1.9874773823937576E-2</v>
      </c>
      <c r="DO21" s="363">
        <f t="shared" si="71"/>
        <v>0</v>
      </c>
      <c r="DP21" s="363">
        <f t="shared" si="100"/>
        <v>0.22487531206653164</v>
      </c>
      <c r="DQ21" s="440"/>
      <c r="DS21" s="363">
        <f t="shared" si="72"/>
        <v>0.10927092924416733</v>
      </c>
      <c r="DT21" s="363">
        <f t="shared" si="73"/>
        <v>4.9093408095604212E-3</v>
      </c>
      <c r="DU21" s="363">
        <f t="shared" si="74"/>
        <v>8.0910680148229122E-2</v>
      </c>
      <c r="DV21" s="363">
        <f t="shared" si="75"/>
        <v>1.1539596321507879E-3</v>
      </c>
      <c r="DW21" s="363">
        <f t="shared" si="76"/>
        <v>1.9663716330218205E-2</v>
      </c>
      <c r="DX21" s="363">
        <f t="shared" si="101"/>
        <v>0</v>
      </c>
      <c r="DY21" s="388">
        <f t="shared" si="102"/>
        <v>0.21590862616432588</v>
      </c>
    </row>
    <row r="22" spans="2:129" x14ac:dyDescent="0.15">
      <c r="B22" s="448" t="s">
        <v>588</v>
      </c>
      <c r="C22" s="238">
        <v>13</v>
      </c>
      <c r="D22" s="238">
        <v>75</v>
      </c>
      <c r="E22" s="444">
        <f t="shared" si="7"/>
        <v>4.2999999999999997E-2</v>
      </c>
      <c r="F22" s="364">
        <v>1.12E-2</v>
      </c>
      <c r="G22" s="363">
        <f t="shared" si="8"/>
        <v>7.0736999999999994E-2</v>
      </c>
      <c r="H22" s="363">
        <f t="shared" si="9"/>
        <v>0.15915824999999997</v>
      </c>
      <c r="I22" s="363">
        <f t="shared" si="10"/>
        <v>0.10610549999999999</v>
      </c>
      <c r="J22" s="363">
        <f t="shared" si="11"/>
        <v>0.16729300499999999</v>
      </c>
      <c r="K22" s="363">
        <f t="shared" si="12"/>
        <v>8.2054920000000003E-2</v>
      </c>
      <c r="L22" s="363"/>
      <c r="N22" s="363">
        <f t="shared" si="77"/>
        <v>0.24031727390839427</v>
      </c>
      <c r="O22" s="363">
        <f t="shared" si="78"/>
        <v>1.1710565176195422E-2</v>
      </c>
      <c r="P22" s="363">
        <f t="shared" si="79"/>
        <v>0.19200578226985696</v>
      </c>
      <c r="Q22" s="363">
        <f t="shared" si="80"/>
        <v>3.0501937203113662E-3</v>
      </c>
      <c r="R22" s="363">
        <f t="shared" si="81"/>
        <v>5.4969231399422343E-2</v>
      </c>
      <c r="S22" s="363">
        <f t="shared" si="82"/>
        <v>0.49794695352581975</v>
      </c>
      <c r="T22" s="363">
        <f t="shared" si="0"/>
        <v>1</v>
      </c>
      <c r="U22" s="363">
        <f t="shared" si="1"/>
        <v>0.50205304647418036</v>
      </c>
      <c r="V22" s="376"/>
      <c r="W22" s="363"/>
      <c r="X22" s="363">
        <f t="shared" si="13"/>
        <v>0.22530501428324773</v>
      </c>
      <c r="Y22" s="363">
        <f t="shared" si="14"/>
        <v>1.1022103977128187E-2</v>
      </c>
      <c r="Z22" s="363">
        <f t="shared" si="15"/>
        <v>0.18674271356266042</v>
      </c>
      <c r="AA22" s="363">
        <f t="shared" si="16"/>
        <v>2.8708735940426913E-3</v>
      </c>
      <c r="AB22" s="363">
        <f t="shared" si="17"/>
        <v>5.3983942280455971E-2</v>
      </c>
      <c r="AC22" s="363">
        <f>0.5*(S22+S23)</f>
        <v>0.52007535230246504</v>
      </c>
      <c r="AD22" s="363">
        <f t="shared" si="19"/>
        <v>1</v>
      </c>
      <c r="AE22" s="363">
        <f t="shared" si="2"/>
        <v>0.47992464769753507</v>
      </c>
      <c r="AF22" s="363"/>
      <c r="AG22" s="376"/>
      <c r="AH22" s="363">
        <f t="shared" si="20"/>
        <v>0.63237494324999999</v>
      </c>
      <c r="AI22" s="363">
        <f t="shared" si="21"/>
        <v>0.58505947837500005</v>
      </c>
      <c r="AJ22" s="363">
        <f t="shared" si="22"/>
        <v>0.61660312162500008</v>
      </c>
      <c r="AK22" s="363">
        <f t="shared" si="23"/>
        <v>0.52798050487500003</v>
      </c>
      <c r="AL22" s="363">
        <f t="shared" si="24"/>
        <v>0.52798050487500003</v>
      </c>
      <c r="AM22" s="363">
        <v>0</v>
      </c>
      <c r="AN22" s="368"/>
      <c r="AP22" s="363">
        <f t="shared" si="25"/>
        <v>0.24307296373170825</v>
      </c>
      <c r="AQ22" s="363">
        <f t="shared" si="26"/>
        <v>1.1844848845265328E-2</v>
      </c>
      <c r="AR22" s="363">
        <f t="shared" si="27"/>
        <v>0.1930637835110991</v>
      </c>
      <c r="AS22" s="363">
        <f t="shared" si="28"/>
        <v>3.0851699317900392E-3</v>
      </c>
      <c r="AT22" s="363">
        <f t="shared" si="29"/>
        <v>5.5281372346703217E-2</v>
      </c>
      <c r="AU22" s="363">
        <f t="shared" si="30"/>
        <v>0.49365186163343433</v>
      </c>
      <c r="AV22" s="363">
        <f t="shared" si="3"/>
        <v>1.0000000000000004</v>
      </c>
      <c r="AW22" s="363">
        <f t="shared" si="4"/>
        <v>0.506348138366566</v>
      </c>
      <c r="AX22" s="375"/>
      <c r="AY22" s="363">
        <f t="shared" si="83"/>
        <v>0.22788856029683402</v>
      </c>
      <c r="AZ22" s="363">
        <f t="shared" si="84"/>
        <v>1.1148493142864391E-2</v>
      </c>
      <c r="BA22" s="363">
        <f t="shared" si="85"/>
        <v>0.18780104058619984</v>
      </c>
      <c r="BB22" s="363">
        <f t="shared" si="86"/>
        <v>2.903793562792586E-3</v>
      </c>
      <c r="BC22" s="363">
        <f t="shared" si="87"/>
        <v>5.4297839345486362E-2</v>
      </c>
      <c r="BD22" s="363">
        <f t="shared" si="88"/>
        <v>0.51596027306582304</v>
      </c>
      <c r="BE22" s="363">
        <f t="shared" si="32"/>
        <v>1.0000000000000002</v>
      </c>
      <c r="BF22" s="363">
        <f t="shared" si="33"/>
        <v>0.48403972693417718</v>
      </c>
      <c r="BG22" s="438"/>
      <c r="BH22" s="439"/>
      <c r="BJ22" s="369">
        <f t="shared" si="89"/>
        <v>177.05385923456996</v>
      </c>
      <c r="BK22" s="369">
        <f t="shared" si="34"/>
        <v>46.697887778477408</v>
      </c>
      <c r="BL22" s="369">
        <f t="shared" si="35"/>
        <v>212.26552466908467</v>
      </c>
      <c r="BM22" s="369">
        <f t="shared" si="36"/>
        <v>44.13915536947372</v>
      </c>
      <c r="BN22" s="369">
        <f t="shared" si="37"/>
        <v>282.41657705659441</v>
      </c>
      <c r="BO22" s="369">
        <f t="shared" si="38"/>
        <v>0</v>
      </c>
      <c r="BP22" s="369">
        <f t="shared" si="5"/>
        <v>762.57300410820017</v>
      </c>
      <c r="BQ22" s="431"/>
      <c r="BR22" s="369">
        <f t="shared" si="90"/>
        <v>165.99357022897522</v>
      </c>
      <c r="BS22" s="369">
        <f t="shared" si="39"/>
        <v>43.952530630452671</v>
      </c>
      <c r="BT22" s="369">
        <f t="shared" si="40"/>
        <v>206.4471163519207</v>
      </c>
      <c r="BU22" s="369">
        <f t="shared" si="41"/>
        <v>41.544225460091205</v>
      </c>
      <c r="BV22" s="369">
        <f t="shared" si="42"/>
        <v>277.35443641344705</v>
      </c>
      <c r="BW22" s="369">
        <f t="shared" si="91"/>
        <v>0</v>
      </c>
      <c r="BX22" s="371">
        <f t="shared" si="43"/>
        <v>735.29187908488677</v>
      </c>
      <c r="BY22" s="371"/>
      <c r="CA22" s="369">
        <f t="shared" si="92"/>
        <v>179.08411494667973</v>
      </c>
      <c r="CB22" s="369">
        <f t="shared" si="44"/>
        <v>47.233366947446605</v>
      </c>
      <c r="CC22" s="369">
        <f>(AR22*c_post_rinfar_mkv)/(1+disc_cost)^C22</f>
        <v>213.43516230144081</v>
      </c>
      <c r="CD22" s="369">
        <f t="shared" si="45"/>
        <v>44.645293855830296</v>
      </c>
      <c r="CE22" s="369">
        <f t="shared" si="46"/>
        <v>284.0202701708335</v>
      </c>
      <c r="CF22" s="369">
        <f t="shared" si="47"/>
        <v>0</v>
      </c>
      <c r="CG22" s="369">
        <f t="shared" si="48"/>
        <v>768.41820822223099</v>
      </c>
      <c r="CH22" s="369"/>
      <c r="CI22" s="384"/>
      <c r="CJ22" s="369">
        <f t="shared" si="93"/>
        <v>167.89699891213306</v>
      </c>
      <c r="CK22" s="369">
        <f t="shared" si="94"/>
        <v>44.456529112947955</v>
      </c>
      <c r="CL22" s="369">
        <f t="shared" si="95"/>
        <v>207.61711414192126</v>
      </c>
      <c r="CM22" s="369">
        <f t="shared" si="96"/>
        <v>42.020608191369497</v>
      </c>
      <c r="CN22" s="369">
        <f t="shared" si="97"/>
        <v>278.96715197080744</v>
      </c>
      <c r="CO22" s="369">
        <f t="shared" si="98"/>
        <v>0</v>
      </c>
      <c r="CP22" s="369">
        <f t="shared" si="99"/>
        <v>740.95840232917919</v>
      </c>
      <c r="CR22" s="363">
        <f t="shared" si="55"/>
        <v>9.7170647118735173E-2</v>
      </c>
      <c r="CS22" s="363">
        <f t="shared" si="56"/>
        <v>4.380799005256451E-3</v>
      </c>
      <c r="CT22" s="363">
        <f t="shared" si="57"/>
        <v>7.5699930272264349E-2</v>
      </c>
      <c r="CU22" s="363">
        <f t="shared" si="58"/>
        <v>1.0297238274408812E-3</v>
      </c>
      <c r="CV22" s="363">
        <f t="shared" si="59"/>
        <v>1.8557223749814337E-2</v>
      </c>
      <c r="CW22" s="363">
        <v>0</v>
      </c>
      <c r="CX22" s="363">
        <f t="shared" si="6"/>
        <v>0.1968383239735112</v>
      </c>
      <c r="CY22" s="363"/>
      <c r="CZ22" s="440"/>
      <c r="DA22" s="363">
        <f t="shared" si="60"/>
        <v>9.1100542549198457E-2</v>
      </c>
      <c r="DB22" s="363">
        <f t="shared" si="61"/>
        <v>4.1232529269371754E-3</v>
      </c>
      <c r="DC22" s="363">
        <f t="shared" si="62"/>
        <v>7.3624920189531748E-2</v>
      </c>
      <c r="DD22" s="363">
        <f t="shared" si="63"/>
        <v>9.6918662105658867E-4</v>
      </c>
      <c r="DE22" s="363">
        <f t="shared" si="64"/>
        <v>1.8224597111721877E-2</v>
      </c>
      <c r="DF22" s="363">
        <v>0</v>
      </c>
      <c r="DG22" s="363">
        <f t="shared" si="65"/>
        <v>0.18804249939844586</v>
      </c>
      <c r="DJ22" s="363">
        <f t="shared" si="66"/>
        <v>9.8284891463450902E-2</v>
      </c>
      <c r="DK22" s="363">
        <f t="shared" si="67"/>
        <v>4.4310331105308432E-3</v>
      </c>
      <c r="DL22" s="363">
        <f t="shared" si="68"/>
        <v>7.6117056356922758E-2</v>
      </c>
      <c r="DM22" s="363">
        <f t="shared" si="69"/>
        <v>1.0415315490663536E-3</v>
      </c>
      <c r="DN22" s="363">
        <f t="shared" si="70"/>
        <v>1.8662600325995302E-2</v>
      </c>
      <c r="DO22" s="363">
        <f t="shared" si="71"/>
        <v>0</v>
      </c>
      <c r="DP22" s="363">
        <f t="shared" si="100"/>
        <v>0.19853711280596614</v>
      </c>
      <c r="DQ22" s="440"/>
      <c r="DS22" s="363">
        <f t="shared" si="72"/>
        <v>9.2145181721066324E-2</v>
      </c>
      <c r="DT22" s="363">
        <f t="shared" si="73"/>
        <v>4.1705337817210123E-3</v>
      </c>
      <c r="DU22" s="363">
        <f t="shared" si="74"/>
        <v>7.404217471666151E-2</v>
      </c>
      <c r="DV22" s="363">
        <f t="shared" si="75"/>
        <v>9.8030016967963008E-4</v>
      </c>
      <c r="DW22" s="363">
        <f t="shared" si="76"/>
        <v>1.8330566540834911E-2</v>
      </c>
      <c r="DX22" s="363">
        <f t="shared" si="101"/>
        <v>0</v>
      </c>
      <c r="DY22" s="388">
        <f t="shared" si="102"/>
        <v>0.18966875692996338</v>
      </c>
    </row>
    <row r="23" spans="2:129" x14ac:dyDescent="0.15">
      <c r="B23" s="448" t="s">
        <v>588</v>
      </c>
      <c r="C23" s="238">
        <v>14</v>
      </c>
      <c r="D23" s="238">
        <v>76</v>
      </c>
      <c r="E23" s="444">
        <f t="shared" si="7"/>
        <v>4.2999999999999997E-2</v>
      </c>
      <c r="F23" s="364">
        <v>1.12E-2</v>
      </c>
      <c r="G23" s="363">
        <f t="shared" si="8"/>
        <v>7.9596500000000001E-2</v>
      </c>
      <c r="H23" s="363">
        <f t="shared" si="9"/>
        <v>0.17909212499999999</v>
      </c>
      <c r="I23" s="363">
        <f t="shared" si="10"/>
        <v>0.11939474999999999</v>
      </c>
      <c r="J23" s="363">
        <f t="shared" si="11"/>
        <v>0.18824572250000002</v>
      </c>
      <c r="K23" s="363">
        <f t="shared" si="12"/>
        <v>9.2331940000000001E-2</v>
      </c>
      <c r="L23" s="363"/>
      <c r="N23" s="363">
        <f t="shared" si="77"/>
        <v>0.21029275465810121</v>
      </c>
      <c r="O23" s="363">
        <f t="shared" si="78"/>
        <v>1.0333642778060953E-2</v>
      </c>
      <c r="P23" s="363">
        <f t="shared" si="79"/>
        <v>0.18147964485546386</v>
      </c>
      <c r="Q23" s="363">
        <f t="shared" si="80"/>
        <v>2.6915534677740159E-3</v>
      </c>
      <c r="R23" s="363">
        <f t="shared" si="81"/>
        <v>5.2998653161489599E-2</v>
      </c>
      <c r="S23" s="363">
        <f t="shared" si="82"/>
        <v>0.54220375107911045</v>
      </c>
      <c r="T23" s="363">
        <f t="shared" si="0"/>
        <v>1</v>
      </c>
      <c r="U23" s="363">
        <f t="shared" si="1"/>
        <v>0.45779624892088966</v>
      </c>
      <c r="V23" s="376"/>
      <c r="W23" s="363"/>
      <c r="X23" s="363">
        <f t="shared" si="13"/>
        <v>0.19622453738379489</v>
      </c>
      <c r="Y23" s="363">
        <f t="shared" si="14"/>
        <v>9.6881156141796522E-3</v>
      </c>
      <c r="Z23" s="363">
        <f t="shared" si="15"/>
        <v>0.17488727080863398</v>
      </c>
      <c r="AA23" s="363">
        <f t="shared" si="16"/>
        <v>2.5234161599723744E-3</v>
      </c>
      <c r="AB23" s="363">
        <f t="shared" si="17"/>
        <v>5.164435894988862E-2</v>
      </c>
      <c r="AC23" s="363">
        <f t="shared" si="18"/>
        <v>0.56503230108353053</v>
      </c>
      <c r="AD23" s="363">
        <f t="shared" si="19"/>
        <v>1.0000000000000002</v>
      </c>
      <c r="AE23" s="363">
        <f t="shared" si="2"/>
        <v>0.43496769891646953</v>
      </c>
      <c r="AF23" s="363"/>
      <c r="AG23" s="376"/>
      <c r="AH23" s="363">
        <f t="shared" si="20"/>
        <v>0.62783816304999995</v>
      </c>
      <c r="AI23" s="363">
        <f t="shared" si="21"/>
        <v>0.58086214847500006</v>
      </c>
      <c r="AJ23" s="363">
        <f t="shared" si="22"/>
        <v>0.61217949152499995</v>
      </c>
      <c r="AK23" s="363">
        <f t="shared" si="23"/>
        <v>0.52419267057499996</v>
      </c>
      <c r="AL23" s="363">
        <f t="shared" si="24"/>
        <v>0.52419267057499996</v>
      </c>
      <c r="AM23" s="363">
        <v>0</v>
      </c>
      <c r="AN23" s="368"/>
      <c r="AP23" s="363">
        <f t="shared" si="25"/>
        <v>0.21270415686195981</v>
      </c>
      <c r="AQ23" s="363">
        <f t="shared" si="26"/>
        <v>1.0452137440463454E-2</v>
      </c>
      <c r="AR23" s="363">
        <f t="shared" si="27"/>
        <v>0.18253829766130056</v>
      </c>
      <c r="AS23" s="363">
        <f t="shared" si="28"/>
        <v>2.7224171937951323E-3</v>
      </c>
      <c r="AT23" s="363">
        <f t="shared" si="29"/>
        <v>5.3314306344269508E-2</v>
      </c>
      <c r="AU23" s="363">
        <f t="shared" si="30"/>
        <v>0.53826868449821186</v>
      </c>
      <c r="AV23" s="363">
        <f t="shared" si="3"/>
        <v>1.0000000000000004</v>
      </c>
      <c r="AW23" s="363">
        <f t="shared" si="4"/>
        <v>0.46173131550178848</v>
      </c>
      <c r="AX23" s="375"/>
      <c r="AY23" s="363">
        <f t="shared" si="83"/>
        <v>0.19847462100016922</v>
      </c>
      <c r="AZ23" s="363">
        <f t="shared" si="84"/>
        <v>9.7992080927638628E-3</v>
      </c>
      <c r="BA23" s="363">
        <f t="shared" si="85"/>
        <v>0.17593136142168167</v>
      </c>
      <c r="BB23" s="363">
        <f t="shared" si="86"/>
        <v>2.5523518753245412E-3</v>
      </c>
      <c r="BC23" s="363">
        <f t="shared" si="87"/>
        <v>5.1957966578110526E-2</v>
      </c>
      <c r="BD23" s="363">
        <f t="shared" si="88"/>
        <v>0.56128449103195055</v>
      </c>
      <c r="BE23" s="363">
        <f t="shared" si="32"/>
        <v>1.0000000000000004</v>
      </c>
      <c r="BF23" s="363">
        <f t="shared" si="33"/>
        <v>0.43871550896804984</v>
      </c>
      <c r="BG23" s="438"/>
      <c r="BH23" s="439"/>
      <c r="BJ23" s="369">
        <f t="shared" si="89"/>
        <v>149.69399152017434</v>
      </c>
      <c r="BK23" s="369">
        <f t="shared" si="34"/>
        <v>39.813694185920696</v>
      </c>
      <c r="BL23" s="369">
        <f t="shared" si="35"/>
        <v>193.84416235242188</v>
      </c>
      <c r="BM23" s="369">
        <f t="shared" si="36"/>
        <v>37.632169614211286</v>
      </c>
      <c r="BN23" s="369">
        <f t="shared" si="37"/>
        <v>263.08434373941986</v>
      </c>
      <c r="BO23" s="369">
        <f t="shared" si="38"/>
        <v>0</v>
      </c>
      <c r="BP23" s="369">
        <f t="shared" si="5"/>
        <v>684.06836141214808</v>
      </c>
      <c r="BQ23" s="431"/>
      <c r="BR23" s="369">
        <f t="shared" si="90"/>
        <v>139.67972545195985</v>
      </c>
      <c r="BS23" s="369">
        <f t="shared" si="39"/>
        <v>37.32659243066751</v>
      </c>
      <c r="BT23" s="369">
        <f t="shared" si="40"/>
        <v>186.80263862650023</v>
      </c>
      <c r="BU23" s="369">
        <f t="shared" si="41"/>
        <v>35.281344426665925</v>
      </c>
      <c r="BV23" s="369">
        <f t="shared" si="42"/>
        <v>256.36165207396385</v>
      </c>
      <c r="BW23" s="369">
        <f t="shared" si="91"/>
        <v>0</v>
      </c>
      <c r="BX23" s="371">
        <f t="shared" si="43"/>
        <v>655.45195300975729</v>
      </c>
      <c r="BY23" s="371"/>
      <c r="CA23" s="369">
        <f t="shared" si="92"/>
        <v>151.41051485757137</v>
      </c>
      <c r="CB23" s="369">
        <f t="shared" si="44"/>
        <v>40.270233119274685</v>
      </c>
      <c r="CC23" s="369">
        <f>(AR23*c_post_rinfar_mkv)/(1+disc_cost)^C23</f>
        <v>194.97494297816584</v>
      </c>
      <c r="CD23" s="369">
        <f t="shared" si="45"/>
        <v>38.063693262713713</v>
      </c>
      <c r="CE23" s="369">
        <f t="shared" si="46"/>
        <v>264.65124035824289</v>
      </c>
      <c r="CF23" s="369">
        <f t="shared" si="47"/>
        <v>0</v>
      </c>
      <c r="CG23" s="369">
        <f t="shared" si="48"/>
        <v>689.37062457596858</v>
      </c>
      <c r="CH23" s="369"/>
      <c r="CI23" s="384"/>
      <c r="CJ23" s="369">
        <f t="shared" si="93"/>
        <v>141.28141638200086</v>
      </c>
      <c r="CK23" s="369">
        <f t="shared" si="94"/>
        <v>37.754612061663273</v>
      </c>
      <c r="CL23" s="369">
        <f t="shared" si="95"/>
        <v>187.91786491244235</v>
      </c>
      <c r="CM23" s="369">
        <f t="shared" si="96"/>
        <v>35.685911440131882</v>
      </c>
      <c r="CN23" s="369">
        <f t="shared" si="97"/>
        <v>257.91839459742084</v>
      </c>
      <c r="CO23" s="369">
        <f t="shared" si="98"/>
        <v>0</v>
      </c>
      <c r="CP23" s="369">
        <f t="shared" si="99"/>
        <v>660.55819939365915</v>
      </c>
      <c r="CR23" s="363">
        <f t="shared" si="55"/>
        <v>8.1565616584738682E-2</v>
      </c>
      <c r="CS23" s="363">
        <f t="shared" si="56"/>
        <v>3.7081869755720203E-3</v>
      </c>
      <c r="CT23" s="363">
        <f t="shared" si="57"/>
        <v>6.8634393437319474E-2</v>
      </c>
      <c r="CU23" s="363">
        <f t="shared" si="58"/>
        <v>8.7162375648159121E-4</v>
      </c>
      <c r="CV23" s="363">
        <f t="shared" si="59"/>
        <v>1.7162908227599461E-2</v>
      </c>
      <c r="CW23" s="363">
        <v>0</v>
      </c>
      <c r="CX23" s="363">
        <f t="shared" si="6"/>
        <v>0.17194272898171123</v>
      </c>
      <c r="CY23" s="363"/>
      <c r="CZ23" s="440"/>
      <c r="DA23" s="363">
        <f t="shared" si="60"/>
        <v>7.6109019575048689E-2</v>
      </c>
      <c r="DB23" s="363">
        <f t="shared" si="61"/>
        <v>3.4765420974884995E-3</v>
      </c>
      <c r="DC23" s="363">
        <f t="shared" si="62"/>
        <v>6.6141201463219834E-2</v>
      </c>
      <c r="DD23" s="363">
        <f t="shared" si="63"/>
        <v>8.1717472784982072E-4</v>
      </c>
      <c r="DE23" s="363">
        <f t="shared" si="64"/>
        <v>1.6724338077598627E-2</v>
      </c>
      <c r="DF23" s="363">
        <v>0</v>
      </c>
      <c r="DG23" s="363">
        <f t="shared" si="65"/>
        <v>0.16326827594120547</v>
      </c>
      <c r="DJ23" s="363">
        <f t="shared" si="66"/>
        <v>8.2500919885659829E-2</v>
      </c>
      <c r="DK23" s="363">
        <f t="shared" si="67"/>
        <v>3.750708318067876E-3</v>
      </c>
      <c r="DL23" s="363">
        <f t="shared" si="68"/>
        <v>6.9034768880235881E-2</v>
      </c>
      <c r="DM23" s="363">
        <f t="shared" si="69"/>
        <v>8.8161856324862605E-4</v>
      </c>
      <c r="DN23" s="363">
        <f t="shared" si="70"/>
        <v>1.7265128308387057E-2</v>
      </c>
      <c r="DO23" s="363">
        <f t="shared" si="71"/>
        <v>0</v>
      </c>
      <c r="DP23" s="363">
        <f t="shared" si="100"/>
        <v>0.17343314395559925</v>
      </c>
      <c r="DQ23" s="440"/>
      <c r="DS23" s="363">
        <f t="shared" si="72"/>
        <v>7.6981752721918997E-2</v>
      </c>
      <c r="DT23" s="363">
        <f t="shared" si="73"/>
        <v>3.5164071955006535E-3</v>
      </c>
      <c r="DU23" s="363">
        <f t="shared" si="74"/>
        <v>6.6536069581774951E-2</v>
      </c>
      <c r="DV23" s="363">
        <f t="shared" si="75"/>
        <v>8.2654517403032935E-4</v>
      </c>
      <c r="DW23" s="363">
        <f t="shared" si="76"/>
        <v>1.6825895732776149E-2</v>
      </c>
      <c r="DX23" s="363">
        <f t="shared" si="101"/>
        <v>0</v>
      </c>
      <c r="DY23" s="388">
        <f t="shared" si="102"/>
        <v>0.16468667040600107</v>
      </c>
    </row>
    <row r="24" spans="2:129" x14ac:dyDescent="0.15">
      <c r="B24" s="448" t="s">
        <v>588</v>
      </c>
      <c r="C24" s="238">
        <v>15</v>
      </c>
      <c r="D24" s="238">
        <v>77</v>
      </c>
      <c r="E24" s="444">
        <f t="shared" si="7"/>
        <v>4.2999999999999997E-2</v>
      </c>
      <c r="F24" s="364">
        <v>1.12E-2</v>
      </c>
      <c r="G24" s="363">
        <f t="shared" si="8"/>
        <v>8.9080000000000006E-2</v>
      </c>
      <c r="H24" s="363">
        <f t="shared" si="9"/>
        <v>0.20043000000000002</v>
      </c>
      <c r="I24" s="363">
        <f t="shared" si="10"/>
        <v>0.13362000000000002</v>
      </c>
      <c r="J24" s="363">
        <f t="shared" si="11"/>
        <v>0.21067420000000003</v>
      </c>
      <c r="K24" s="363">
        <f t="shared" si="12"/>
        <v>0.1033328</v>
      </c>
      <c r="L24" s="363"/>
      <c r="N24" s="363">
        <f t="shared" si="77"/>
        <v>0.18215632010948857</v>
      </c>
      <c r="O24" s="363">
        <f t="shared" si="78"/>
        <v>9.0425884502983514E-3</v>
      </c>
      <c r="P24" s="363">
        <f t="shared" si="79"/>
        <v>0.16829489676180406</v>
      </c>
      <c r="Q24" s="363">
        <f t="shared" si="80"/>
        <v>2.3552788521707334E-3</v>
      </c>
      <c r="R24" s="363">
        <f t="shared" si="81"/>
        <v>5.0290064738287642E-2</v>
      </c>
      <c r="S24" s="363">
        <f t="shared" si="82"/>
        <v>0.58786085108795072</v>
      </c>
      <c r="T24" s="363">
        <f t="shared" si="0"/>
        <v>1</v>
      </c>
      <c r="U24" s="363">
        <f t="shared" si="1"/>
        <v>0.41213914891204934</v>
      </c>
      <c r="V24" s="376"/>
      <c r="W24" s="363"/>
      <c r="X24" s="363">
        <f t="shared" si="13"/>
        <v>0.1691066413368448</v>
      </c>
      <c r="Y24" s="363">
        <f t="shared" si="14"/>
        <v>8.4376551075031787E-3</v>
      </c>
      <c r="Z24" s="363">
        <f t="shared" si="15"/>
        <v>0.16066620593275047</v>
      </c>
      <c r="AA24" s="363">
        <f t="shared" si="16"/>
        <v>2.197714818698503E-3</v>
      </c>
      <c r="AB24" s="363">
        <f t="shared" si="17"/>
        <v>4.8621299319599756E-2</v>
      </c>
      <c r="AC24" s="363">
        <f t="shared" si="18"/>
        <v>0.61097048348460337</v>
      </c>
      <c r="AD24" s="363">
        <f t="shared" si="19"/>
        <v>1</v>
      </c>
      <c r="AE24" s="363">
        <f t="shared" si="2"/>
        <v>0.38902951651539674</v>
      </c>
      <c r="AF24" s="363"/>
      <c r="AG24" s="376"/>
      <c r="AH24" s="363">
        <f t="shared" si="20"/>
        <v>0.62324547405000008</v>
      </c>
      <c r="AI24" s="363">
        <f t="shared" si="21"/>
        <v>0.57661309297500007</v>
      </c>
      <c r="AJ24" s="363">
        <f t="shared" si="22"/>
        <v>0.60770134702500012</v>
      </c>
      <c r="AK24" s="363">
        <f t="shared" si="23"/>
        <v>0.52035815707499999</v>
      </c>
      <c r="AL24" s="363">
        <f t="shared" si="24"/>
        <v>0.52035815707499999</v>
      </c>
      <c r="AM24" s="363">
        <v>0</v>
      </c>
      <c r="AN24" s="368"/>
      <c r="AP24" s="363">
        <f t="shared" si="25"/>
        <v>0.18424508513837862</v>
      </c>
      <c r="AQ24" s="363">
        <f t="shared" si="26"/>
        <v>9.1462787450642714E-3</v>
      </c>
      <c r="AR24" s="363">
        <f t="shared" si="27"/>
        <v>0.16932442518206278</v>
      </c>
      <c r="AS24" s="363">
        <f t="shared" si="28"/>
        <v>2.3822865568539501E-3</v>
      </c>
      <c r="AT24" s="363">
        <f t="shared" si="29"/>
        <v>5.0601626811951544E-2</v>
      </c>
      <c r="AU24" s="363">
        <f t="shared" si="30"/>
        <v>0.58430029756568913</v>
      </c>
      <c r="AV24" s="363">
        <f t="shared" si="3"/>
        <v>1.0000000000000004</v>
      </c>
      <c r="AW24" s="363">
        <f t="shared" si="4"/>
        <v>0.4156997024343112</v>
      </c>
      <c r="AX24" s="375"/>
      <c r="AY24" s="363">
        <f t="shared" si="83"/>
        <v>0.17104576723906517</v>
      </c>
      <c r="AZ24" s="363">
        <f t="shared" si="84"/>
        <v>8.5344087030072759E-3</v>
      </c>
      <c r="BA24" s="363">
        <f t="shared" si="85"/>
        <v>0.16166840538374469</v>
      </c>
      <c r="BB24" s="363">
        <f t="shared" si="86"/>
        <v>2.2229157552018956E-3</v>
      </c>
      <c r="BC24" s="363">
        <f t="shared" si="87"/>
        <v>4.8927423041593525E-2</v>
      </c>
      <c r="BD24" s="363">
        <f t="shared" si="88"/>
        <v>0.60760107987738776</v>
      </c>
      <c r="BE24" s="363">
        <f t="shared" si="32"/>
        <v>1.0000000000000004</v>
      </c>
      <c r="BF24" s="363">
        <f t="shared" si="33"/>
        <v>0.39239892012261257</v>
      </c>
      <c r="BG24" s="438"/>
      <c r="BH24" s="439"/>
      <c r="BJ24" s="369">
        <f t="shared" si="89"/>
        <v>125.2806370857443</v>
      </c>
      <c r="BK24" s="369">
        <f t="shared" si="34"/>
        <v>33.661343647743308</v>
      </c>
      <c r="BL24" s="369">
        <f t="shared" si="35"/>
        <v>173.68223661891648</v>
      </c>
      <c r="BM24" s="369">
        <f t="shared" si="36"/>
        <v>31.816926801082676</v>
      </c>
      <c r="BN24" s="369">
        <f t="shared" si="37"/>
        <v>241.19706319662603</v>
      </c>
      <c r="BO24" s="369">
        <f t="shared" si="38"/>
        <v>0</v>
      </c>
      <c r="BP24" s="369">
        <f t="shared" si="5"/>
        <v>605.63820735011279</v>
      </c>
      <c r="BQ24" s="431"/>
      <c r="BR24" s="369">
        <f t="shared" si="90"/>
        <v>116.30553224492158</v>
      </c>
      <c r="BS24" s="369">
        <f t="shared" si="39"/>
        <v>31.409458665060665</v>
      </c>
      <c r="BT24" s="369">
        <f t="shared" si="40"/>
        <v>165.80934141437837</v>
      </c>
      <c r="BU24" s="369">
        <f t="shared" si="41"/>
        <v>29.688430077712152</v>
      </c>
      <c r="BV24" s="369">
        <f t="shared" si="42"/>
        <v>233.19346804823547</v>
      </c>
      <c r="BW24" s="369">
        <f t="shared" si="91"/>
        <v>0</v>
      </c>
      <c r="BX24" s="371">
        <f t="shared" si="43"/>
        <v>576.40623045030827</v>
      </c>
      <c r="BY24" s="371"/>
      <c r="CA24" s="369">
        <f t="shared" si="92"/>
        <v>126.71721536853175</v>
      </c>
      <c r="CB24" s="369">
        <f t="shared" si="44"/>
        <v>34.047334303431761</v>
      </c>
      <c r="CC24" s="369">
        <f>(AR24*c_post_rinfar_mkv)/(1+disc_cost)^C24</f>
        <v>174.74472159103274</v>
      </c>
      <c r="CD24" s="369">
        <f t="shared" si="45"/>
        <v>32.181767746425173</v>
      </c>
      <c r="CE24" s="369">
        <f t="shared" si="46"/>
        <v>242.6913515329457</v>
      </c>
      <c r="CF24" s="369">
        <f t="shared" si="47"/>
        <v>0</v>
      </c>
      <c r="CG24" s="369">
        <f t="shared" si="48"/>
        <v>610.38239054236715</v>
      </c>
      <c r="CH24" s="369"/>
      <c r="CI24" s="384"/>
      <c r="CJ24" s="369">
        <f t="shared" si="93"/>
        <v>117.63919405953013</v>
      </c>
      <c r="CK24" s="369">
        <f t="shared" si="94"/>
        <v>31.769627221367209</v>
      </c>
      <c r="CL24" s="369">
        <f t="shared" si="95"/>
        <v>166.84362258116437</v>
      </c>
      <c r="CM24" s="369">
        <f t="shared" si="96"/>
        <v>30.028863802282892</v>
      </c>
      <c r="CN24" s="369">
        <f t="shared" si="97"/>
        <v>234.6616734105464</v>
      </c>
      <c r="CO24" s="369">
        <f t="shared" si="98"/>
        <v>0</v>
      </c>
      <c r="CP24" s="369">
        <f t="shared" si="99"/>
        <v>580.94298107489101</v>
      </c>
      <c r="CR24" s="363">
        <f t="shared" si="55"/>
        <v>6.7763859080542971E-2</v>
      </c>
      <c r="CS24" s="363">
        <f t="shared" si="56"/>
        <v>3.1122323895290812E-3</v>
      </c>
      <c r="CT24" s="363">
        <f t="shared" si="57"/>
        <v>6.1045815404106307E-2</v>
      </c>
      <c r="CU24" s="363">
        <f t="shared" si="58"/>
        <v>7.3154231549679585E-4</v>
      </c>
      <c r="CV24" s="363">
        <f t="shared" si="59"/>
        <v>1.5619938323321668E-2</v>
      </c>
      <c r="CW24" s="363">
        <v>0</v>
      </c>
      <c r="CX24" s="363">
        <f t="shared" si="6"/>
        <v>0.14827338751299685</v>
      </c>
      <c r="CY24" s="363"/>
      <c r="CZ24" s="440"/>
      <c r="DA24" s="363">
        <f t="shared" si="60"/>
        <v>6.2909256216012871E-2</v>
      </c>
      <c r="DB24" s="363">
        <f t="shared" si="61"/>
        <v>2.9040294890762667E-3</v>
      </c>
      <c r="DC24" s="363">
        <f t="shared" si="62"/>
        <v>5.8278650973775825E-2</v>
      </c>
      <c r="DD24" s="363">
        <f t="shared" si="63"/>
        <v>6.826034147891124E-4</v>
      </c>
      <c r="DE24" s="363">
        <f t="shared" si="64"/>
        <v>1.5101624953640282E-2</v>
      </c>
      <c r="DF24" s="363">
        <v>0</v>
      </c>
      <c r="DG24" s="363">
        <f t="shared" si="65"/>
        <v>0.13987616504729436</v>
      </c>
      <c r="DJ24" s="363">
        <f t="shared" si="66"/>
        <v>6.8540899256722396E-2</v>
      </c>
      <c r="DK24" s="363">
        <f t="shared" si="67"/>
        <v>3.1479199911073293E-3</v>
      </c>
      <c r="DL24" s="363">
        <f t="shared" si="68"/>
        <v>6.141925751735914E-2</v>
      </c>
      <c r="DM24" s="363">
        <f t="shared" si="69"/>
        <v>7.3993082490917588E-4</v>
      </c>
      <c r="DN24" s="363">
        <f t="shared" si="70"/>
        <v>1.5716708538270532E-2</v>
      </c>
      <c r="DO24" s="363">
        <f t="shared" si="71"/>
        <v>0</v>
      </c>
      <c r="DP24" s="363">
        <f t="shared" si="100"/>
        <v>0.14956471612836858</v>
      </c>
      <c r="DQ24" s="440"/>
      <c r="DS24" s="363">
        <f t="shared" si="72"/>
        <v>6.3630629233970795E-2</v>
      </c>
      <c r="DT24" s="363">
        <f t="shared" si="73"/>
        <v>2.9373296525622337E-3</v>
      </c>
      <c r="DU24" s="363">
        <f t="shared" si="74"/>
        <v>5.8642180016311683E-2</v>
      </c>
      <c r="DV24" s="363">
        <f t="shared" si="75"/>
        <v>6.9043074760169573E-4</v>
      </c>
      <c r="DW24" s="363">
        <f t="shared" si="76"/>
        <v>1.5196706033406877E-2</v>
      </c>
      <c r="DX24" s="363">
        <f t="shared" si="101"/>
        <v>0</v>
      </c>
      <c r="DY24" s="388">
        <f t="shared" si="102"/>
        <v>0.14109727568385327</v>
      </c>
    </row>
    <row r="25" spans="2:129" x14ac:dyDescent="0.15">
      <c r="B25" s="448" t="s">
        <v>588</v>
      </c>
      <c r="C25" s="238">
        <v>16</v>
      </c>
      <c r="D25" s="238">
        <v>78</v>
      </c>
      <c r="E25" s="444">
        <f t="shared" si="7"/>
        <v>4.2999999999999997E-2</v>
      </c>
      <c r="F25" s="364">
        <v>1.12E-2</v>
      </c>
      <c r="G25" s="363">
        <f t="shared" si="8"/>
        <v>0.100439</v>
      </c>
      <c r="H25" s="363">
        <f t="shared" si="9"/>
        <v>0.22598774999999999</v>
      </c>
      <c r="I25" s="363">
        <f t="shared" si="10"/>
        <v>0.15065849999999997</v>
      </c>
      <c r="J25" s="363">
        <f t="shared" si="11"/>
        <v>0.23753823500000001</v>
      </c>
      <c r="K25" s="363">
        <f t="shared" si="12"/>
        <v>0.11650923999999999</v>
      </c>
      <c r="L25" s="363"/>
      <c r="N25" s="363">
        <f t="shared" si="77"/>
        <v>0.15605696256420104</v>
      </c>
      <c r="O25" s="363">
        <f t="shared" si="78"/>
        <v>7.8327217647080078E-3</v>
      </c>
      <c r="P25" s="363">
        <f t="shared" si="79"/>
        <v>0.15303751510369687</v>
      </c>
      <c r="Q25" s="363">
        <f t="shared" si="80"/>
        <v>2.0401507852262721E-3</v>
      </c>
      <c r="R25" s="363">
        <f t="shared" si="81"/>
        <v>4.6952533900911864E-2</v>
      </c>
      <c r="S25" s="363">
        <f t="shared" si="82"/>
        <v>0.63408011588125601</v>
      </c>
      <c r="T25" s="363">
        <f t="shared" si="0"/>
        <v>1</v>
      </c>
      <c r="U25" s="363">
        <f t="shared" si="1"/>
        <v>0.3659198841187441</v>
      </c>
      <c r="V25" s="376"/>
      <c r="W25" s="363"/>
      <c r="X25" s="363">
        <f t="shared" si="13"/>
        <v>0.14399071624721829</v>
      </c>
      <c r="Y25" s="363">
        <f t="shared" si="14"/>
        <v>7.2715855774843265E-3</v>
      </c>
      <c r="Z25" s="363">
        <f t="shared" si="15"/>
        <v>0.14454062516743452</v>
      </c>
      <c r="AA25" s="363">
        <f t="shared" si="16"/>
        <v>1.8939943829726618E-3</v>
      </c>
      <c r="AB25" s="363">
        <f t="shared" si="17"/>
        <v>4.4995100364762008E-2</v>
      </c>
      <c r="AC25" s="363">
        <f t="shared" si="18"/>
        <v>0.65730797826012832</v>
      </c>
      <c r="AD25" s="363">
        <f t="shared" si="19"/>
        <v>1</v>
      </c>
      <c r="AE25" s="363">
        <f t="shared" si="2"/>
        <v>0.34269202173987184</v>
      </c>
      <c r="AF25" s="363"/>
      <c r="AG25" s="376"/>
      <c r="AH25" s="363">
        <f t="shared" si="20"/>
        <v>0.61859687625000004</v>
      </c>
      <c r="AI25" s="363">
        <f t="shared" si="21"/>
        <v>0.57231231187500009</v>
      </c>
      <c r="AJ25" s="363">
        <f t="shared" si="22"/>
        <v>0.60316868812500002</v>
      </c>
      <c r="AK25" s="363">
        <f t="shared" si="23"/>
        <v>0.51647696437500001</v>
      </c>
      <c r="AL25" s="363">
        <f t="shared" si="24"/>
        <v>0.51647696437500001</v>
      </c>
      <c r="AM25" s="363">
        <v>0</v>
      </c>
      <c r="AN25" s="368"/>
      <c r="AP25" s="363">
        <f t="shared" si="25"/>
        <v>0.15784644933975173</v>
      </c>
      <c r="AQ25" s="363">
        <f t="shared" si="26"/>
        <v>7.9225386609502804E-3</v>
      </c>
      <c r="AR25" s="363">
        <f t="shared" si="27"/>
        <v>0.1540123855854266</v>
      </c>
      <c r="AS25" s="363">
        <f t="shared" si="28"/>
        <v>2.0635449535498407E-3</v>
      </c>
      <c r="AT25" s="363">
        <f t="shared" si="29"/>
        <v>4.7253219271235505E-2</v>
      </c>
      <c r="AU25" s="363">
        <f t="shared" si="30"/>
        <v>0.63090186218908639</v>
      </c>
      <c r="AV25" s="363">
        <f t="shared" si="3"/>
        <v>1.0000000000000002</v>
      </c>
      <c r="AW25" s="363">
        <f t="shared" si="4"/>
        <v>0.36909813781091388</v>
      </c>
      <c r="AX25" s="375"/>
      <c r="AY25" s="363">
        <f t="shared" si="83"/>
        <v>0.14564184080002679</v>
      </c>
      <c r="AZ25" s="363">
        <f t="shared" si="84"/>
        <v>7.3549679912798017E-3</v>
      </c>
      <c r="BA25" s="363">
        <f t="shared" si="85"/>
        <v>0.14547681907590265</v>
      </c>
      <c r="BB25" s="363">
        <f t="shared" si="86"/>
        <v>1.91571259307753E-3</v>
      </c>
      <c r="BC25" s="363">
        <f t="shared" si="87"/>
        <v>4.528718800253323E-2</v>
      </c>
      <c r="BD25" s="363">
        <f t="shared" si="88"/>
        <v>0.65432347153718029</v>
      </c>
      <c r="BE25" s="363">
        <f t="shared" si="32"/>
        <v>1.0000000000000002</v>
      </c>
      <c r="BF25" s="363">
        <f t="shared" si="33"/>
        <v>0.34567652846281999</v>
      </c>
      <c r="BG25" s="438"/>
      <c r="BH25" s="439"/>
      <c r="BJ25" s="369">
        <f t="shared" si="89"/>
        <v>103.70089604260761</v>
      </c>
      <c r="BK25" s="369">
        <f t="shared" si="34"/>
        <v>28.17156877524447</v>
      </c>
      <c r="BL25" s="369">
        <f t="shared" si="35"/>
        <v>152.59560020274424</v>
      </c>
      <c r="BM25" s="369">
        <f t="shared" si="36"/>
        <v>26.62795493173104</v>
      </c>
      <c r="BN25" s="369">
        <f t="shared" si="37"/>
        <v>217.57475642497093</v>
      </c>
      <c r="BO25" s="369">
        <f t="shared" si="38"/>
        <v>0</v>
      </c>
      <c r="BP25" s="369">
        <f t="shared" si="5"/>
        <v>528.67077637729835</v>
      </c>
      <c r="BQ25" s="431"/>
      <c r="BR25" s="369">
        <f t="shared" si="90"/>
        <v>95.682794611041203</v>
      </c>
      <c r="BS25" s="369">
        <f t="shared" si="39"/>
        <v>26.153357588185958</v>
      </c>
      <c r="BT25" s="369">
        <f t="shared" si="40"/>
        <v>144.12324609530819</v>
      </c>
      <c r="BU25" s="369">
        <f t="shared" si="41"/>
        <v>24.720328240421829</v>
      </c>
      <c r="BV25" s="369">
        <f t="shared" si="42"/>
        <v>208.50414639688037</v>
      </c>
      <c r="BW25" s="369">
        <f t="shared" si="91"/>
        <v>0</v>
      </c>
      <c r="BX25" s="371">
        <f t="shared" si="43"/>
        <v>499.18387293183753</v>
      </c>
      <c r="BY25" s="371"/>
      <c r="CA25" s="369">
        <f t="shared" si="92"/>
        <v>104.89002198118699</v>
      </c>
      <c r="CB25" s="369">
        <f t="shared" si="44"/>
        <v>28.494608830244115</v>
      </c>
      <c r="CC25" s="369">
        <f>(AR25*c_post_rinfar_mkv)/(1+disc_cost)^C25</f>
        <v>153.56765562444059</v>
      </c>
      <c r="CD25" s="369">
        <f t="shared" si="45"/>
        <v>26.933294548928124</v>
      </c>
      <c r="CE25" s="369">
        <f t="shared" si="46"/>
        <v>218.96811138951415</v>
      </c>
      <c r="CF25" s="369">
        <f t="shared" si="47"/>
        <v>0</v>
      </c>
      <c r="CG25" s="369">
        <f t="shared" si="48"/>
        <v>532.85369237431394</v>
      </c>
      <c r="CH25" s="369"/>
      <c r="CI25" s="384"/>
      <c r="CJ25" s="369">
        <f t="shared" si="93"/>
        <v>96.779977926612602</v>
      </c>
      <c r="CK25" s="369">
        <f t="shared" si="94"/>
        <v>26.453255053645425</v>
      </c>
      <c r="CL25" s="369">
        <f t="shared" si="95"/>
        <v>145.05673662716927</v>
      </c>
      <c r="CM25" s="369">
        <f t="shared" si="96"/>
        <v>25.00379332744291</v>
      </c>
      <c r="CN25" s="369">
        <f t="shared" si="97"/>
        <v>209.85766007043281</v>
      </c>
      <c r="CO25" s="369">
        <f t="shared" si="98"/>
        <v>0</v>
      </c>
      <c r="CP25" s="369">
        <f t="shared" si="99"/>
        <v>503.151423005303</v>
      </c>
      <c r="CR25" s="363">
        <f t="shared" si="55"/>
        <v>5.5673083486200821E-2</v>
      </c>
      <c r="CS25" s="363">
        <f t="shared" si="56"/>
        <v>2.5852359814137133E-3</v>
      </c>
      <c r="CT25" s="363">
        <f t="shared" si="57"/>
        <v>5.3234244739442778E-2</v>
      </c>
      <c r="CU25" s="363">
        <f t="shared" si="58"/>
        <v>6.0766976216553763E-4</v>
      </c>
      <c r="CV25" s="363">
        <f t="shared" si="59"/>
        <v>1.3985061945052276E-2</v>
      </c>
      <c r="CW25" s="363">
        <v>0</v>
      </c>
      <c r="CX25" s="363">
        <f t="shared" si="6"/>
        <v>0.12608529591427511</v>
      </c>
      <c r="CY25" s="363"/>
      <c r="CZ25" s="440"/>
      <c r="DA25" s="363">
        <f t="shared" si="60"/>
        <v>5.1368468507589513E-2</v>
      </c>
      <c r="DB25" s="363">
        <f t="shared" si="61"/>
        <v>2.400029675705235E-3</v>
      </c>
      <c r="DC25" s="363">
        <f t="shared" si="62"/>
        <v>5.0278593518337897E-2</v>
      </c>
      <c r="DD25" s="363">
        <f t="shared" si="63"/>
        <v>5.6413630040399846E-4</v>
      </c>
      <c r="DE25" s="363">
        <f t="shared" si="64"/>
        <v>1.3402029955465728E-2</v>
      </c>
      <c r="DF25" s="363">
        <v>0</v>
      </c>
      <c r="DG25" s="363">
        <f t="shared" si="65"/>
        <v>0.11801325795750238</v>
      </c>
      <c r="DJ25" s="363">
        <f t="shared" si="66"/>
        <v>5.6311480165308937E-2</v>
      </c>
      <c r="DK25" s="363">
        <f t="shared" si="67"/>
        <v>2.614880577363826E-3</v>
      </c>
      <c r="DL25" s="363">
        <f t="shared" si="68"/>
        <v>5.3573354360887518E-2</v>
      </c>
      <c r="DM25" s="363">
        <f t="shared" si="69"/>
        <v>6.1463783962539397E-4</v>
      </c>
      <c r="DN25" s="363">
        <f t="shared" si="70"/>
        <v>1.4074622681834266E-2</v>
      </c>
      <c r="DO25" s="363">
        <f t="shared" si="71"/>
        <v>0</v>
      </c>
      <c r="DP25" s="363">
        <f t="shared" si="100"/>
        <v>0.12718897562501993</v>
      </c>
      <c r="DQ25" s="440"/>
      <c r="DS25" s="363">
        <f t="shared" si="72"/>
        <v>5.1957504674667331E-2</v>
      </c>
      <c r="DT25" s="363">
        <f t="shared" si="73"/>
        <v>2.4275505328014814E-3</v>
      </c>
      <c r="DU25" s="363">
        <f t="shared" si="74"/>
        <v>5.0604249457100355E-2</v>
      </c>
      <c r="DV25" s="363">
        <f t="shared" si="75"/>
        <v>5.7060518479463073E-4</v>
      </c>
      <c r="DW25" s="363">
        <f t="shared" si="76"/>
        <v>1.3489029811878911E-2</v>
      </c>
      <c r="DX25" s="363">
        <f t="shared" si="101"/>
        <v>0</v>
      </c>
      <c r="DY25" s="388">
        <f t="shared" si="102"/>
        <v>0.11904893966124271</v>
      </c>
    </row>
    <row r="26" spans="2:129" x14ac:dyDescent="0.15">
      <c r="B26" s="448" t="s">
        <v>588</v>
      </c>
      <c r="C26" s="238">
        <v>17</v>
      </c>
      <c r="D26" s="238">
        <v>79</v>
      </c>
      <c r="E26" s="444">
        <f t="shared" si="7"/>
        <v>4.2999999999999997E-2</v>
      </c>
      <c r="F26" s="364">
        <v>1.12E-2</v>
      </c>
      <c r="G26" s="363">
        <f t="shared" si="8"/>
        <v>0.1126545</v>
      </c>
      <c r="H26" s="363">
        <f t="shared" si="9"/>
        <v>0.25347262500000001</v>
      </c>
      <c r="I26" s="363">
        <f t="shared" si="10"/>
        <v>0.16898175000000001</v>
      </c>
      <c r="J26" s="363">
        <f t="shared" si="11"/>
        <v>0.26642789249999999</v>
      </c>
      <c r="K26" s="363">
        <f t="shared" si="12"/>
        <v>0.13067921999999998</v>
      </c>
      <c r="L26" s="363"/>
      <c r="N26" s="363">
        <f t="shared" si="77"/>
        <v>0.13192446993023554</v>
      </c>
      <c r="O26" s="363">
        <f t="shared" si="78"/>
        <v>6.7104493902606444E-3</v>
      </c>
      <c r="P26" s="363">
        <f t="shared" si="79"/>
        <v>0.13604373523117216</v>
      </c>
      <c r="Q26" s="363">
        <f t="shared" si="80"/>
        <v>1.7478379807190517E-3</v>
      </c>
      <c r="R26" s="363">
        <f t="shared" si="81"/>
        <v>4.3037666828612153E-2</v>
      </c>
      <c r="S26" s="363">
        <f t="shared" si="82"/>
        <v>0.68053584063900063</v>
      </c>
      <c r="T26" s="363">
        <f t="shared" si="0"/>
        <v>1.0000000000000002</v>
      </c>
      <c r="U26" s="363">
        <f t="shared" si="1"/>
        <v>0.31946415936099953</v>
      </c>
      <c r="V26" s="376"/>
      <c r="W26" s="363"/>
      <c r="X26" s="363">
        <f t="shared" si="13"/>
        <v>0.1209183741962483</v>
      </c>
      <c r="Y26" s="363">
        <f t="shared" si="14"/>
        <v>6.191600798630386E-3</v>
      </c>
      <c r="Z26" s="363">
        <f t="shared" si="15"/>
        <v>0.12705404808741291</v>
      </c>
      <c r="AA26" s="363">
        <f t="shared" si="16"/>
        <v>1.612696021968845E-3</v>
      </c>
      <c r="AB26" s="363">
        <f t="shared" si="17"/>
        <v>4.0866685058263005E-2</v>
      </c>
      <c r="AC26" s="363">
        <f t="shared" si="18"/>
        <v>0.70335659583747678</v>
      </c>
      <c r="AD26" s="363">
        <f t="shared" si="19"/>
        <v>1.0000000000000002</v>
      </c>
      <c r="AE26" s="363">
        <f t="shared" si="2"/>
        <v>0.29664340416252344</v>
      </c>
      <c r="AF26" s="363"/>
      <c r="AG26" s="376"/>
      <c r="AH26" s="363">
        <f t="shared" si="20"/>
        <v>0.61389236965000005</v>
      </c>
      <c r="AI26" s="363">
        <f t="shared" si="21"/>
        <v>0.56795980517500011</v>
      </c>
      <c r="AJ26" s="363">
        <f t="shared" si="22"/>
        <v>0.59858151482499999</v>
      </c>
      <c r="AK26" s="363">
        <f t="shared" si="23"/>
        <v>0.51254909247500002</v>
      </c>
      <c r="AL26" s="363">
        <f t="shared" si="24"/>
        <v>0.51254909247500002</v>
      </c>
      <c r="AM26" s="363">
        <v>0</v>
      </c>
      <c r="AN26" s="368"/>
      <c r="AP26" s="363">
        <f t="shared" si="25"/>
        <v>0.13343723226030185</v>
      </c>
      <c r="AQ26" s="363">
        <f t="shared" si="26"/>
        <v>6.7873973216093239E-3</v>
      </c>
      <c r="AR26" s="363">
        <f t="shared" si="27"/>
        <v>0.13694125256637874</v>
      </c>
      <c r="AS26" s="363">
        <f t="shared" si="28"/>
        <v>1.7678802326052193E-3</v>
      </c>
      <c r="AT26" s="363">
        <f t="shared" si="29"/>
        <v>4.3321156733830961E-2</v>
      </c>
      <c r="AU26" s="363">
        <f t="shared" si="30"/>
        <v>0.67774508088527419</v>
      </c>
      <c r="AV26" s="363">
        <f t="shared" si="3"/>
        <v>1.0000000000000002</v>
      </c>
      <c r="AW26" s="363">
        <f t="shared" si="4"/>
        <v>0.32225491911472609</v>
      </c>
      <c r="AX26" s="375"/>
      <c r="AY26" s="363">
        <f t="shared" si="83"/>
        <v>0.12230493092521358</v>
      </c>
      <c r="AZ26" s="363">
        <f t="shared" si="84"/>
        <v>6.2625991544011514E-3</v>
      </c>
      <c r="BA26" s="363">
        <f t="shared" si="85"/>
        <v>0.12790445526624092</v>
      </c>
      <c r="BB26" s="363">
        <f t="shared" si="86"/>
        <v>1.6311886169603001E-3</v>
      </c>
      <c r="BC26" s="363">
        <f t="shared" si="87"/>
        <v>4.1139003062113474E-2</v>
      </c>
      <c r="BD26" s="363">
        <f t="shared" si="88"/>
        <v>0.70075782297507083</v>
      </c>
      <c r="BE26" s="363">
        <f t="shared" si="32"/>
        <v>1.0000000000000002</v>
      </c>
      <c r="BF26" s="363">
        <f t="shared" si="33"/>
        <v>0.29924217702492945</v>
      </c>
      <c r="BG26" s="438"/>
      <c r="BH26" s="439"/>
      <c r="BJ26" s="369">
        <f t="shared" si="89"/>
        <v>84.700186646835562</v>
      </c>
      <c r="BK26" s="369">
        <f t="shared" si="34"/>
        <v>23.318982030074825</v>
      </c>
      <c r="BL26" s="369">
        <f t="shared" si="35"/>
        <v>131.06366375639823</v>
      </c>
      <c r="BM26" s="369">
        <f t="shared" si="36"/>
        <v>22.041257535374509</v>
      </c>
      <c r="BN26" s="369">
        <f t="shared" si="37"/>
        <v>192.68940711960366</v>
      </c>
      <c r="BO26" s="369">
        <f t="shared" si="38"/>
        <v>0</v>
      </c>
      <c r="BP26" s="369">
        <f t="shared" si="5"/>
        <v>453.81349708828679</v>
      </c>
      <c r="BQ26" s="431"/>
      <c r="BR26" s="369">
        <f t="shared" si="90"/>
        <v>77.633883000403344</v>
      </c>
      <c r="BS26" s="369">
        <f t="shared" si="39"/>
        <v>21.515969999000454</v>
      </c>
      <c r="BT26" s="369">
        <f t="shared" si="40"/>
        <v>122.40305670174196</v>
      </c>
      <c r="BU26" s="369">
        <f t="shared" si="41"/>
        <v>20.337038523368118</v>
      </c>
      <c r="BV26" s="369">
        <f t="shared" si="42"/>
        <v>182.96942876060172</v>
      </c>
      <c r="BW26" s="369">
        <f t="shared" si="91"/>
        <v>0</v>
      </c>
      <c r="BX26" s="371">
        <f t="shared" si="43"/>
        <v>424.8593769851156</v>
      </c>
      <c r="BY26" s="371"/>
      <c r="CA26" s="369">
        <f t="shared" si="92"/>
        <v>85.671433692790544</v>
      </c>
      <c r="CB26" s="369">
        <f t="shared" si="44"/>
        <v>23.586378045455785</v>
      </c>
      <c r="CC26" s="369">
        <f>(AR26*c_post_rinfar_mkv)/(1+disc_cost)^C26</f>
        <v>131.92832621246183</v>
      </c>
      <c r="CD26" s="369">
        <f t="shared" si="45"/>
        <v>22.294002034741737</v>
      </c>
      <c r="CE26" s="369">
        <f t="shared" si="46"/>
        <v>193.95865579840725</v>
      </c>
      <c r="CF26" s="369">
        <f t="shared" si="47"/>
        <v>0</v>
      </c>
      <c r="CG26" s="369">
        <f t="shared" si="48"/>
        <v>457.43879578385713</v>
      </c>
      <c r="CH26" s="369"/>
      <c r="CI26" s="384"/>
      <c r="CJ26" s="369">
        <f t="shared" si="93"/>
        <v>78.52410157624368</v>
      </c>
      <c r="CK26" s="369">
        <f t="shared" si="94"/>
        <v>21.762691088170168</v>
      </c>
      <c r="CL26" s="369">
        <f t="shared" si="95"/>
        <v>123.22233353468503</v>
      </c>
      <c r="CM26" s="369">
        <f t="shared" si="96"/>
        <v>20.570240944416526</v>
      </c>
      <c r="CN26" s="369">
        <f t="shared" si="97"/>
        <v>184.18865830013283</v>
      </c>
      <c r="CO26" s="369">
        <f t="shared" si="98"/>
        <v>0</v>
      </c>
      <c r="CP26" s="369">
        <f t="shared" si="99"/>
        <v>428.26802544364824</v>
      </c>
      <c r="CR26" s="363">
        <f t="shared" si="55"/>
        <v>4.5126499553151074E-2</v>
      </c>
      <c r="CS26" s="363">
        <f t="shared" si="56"/>
        <v>2.1236515568137143E-3</v>
      </c>
      <c r="CT26" s="363">
        <f t="shared" si="57"/>
        <v>4.5374923094960676E-2</v>
      </c>
      <c r="CU26" s="363">
        <f t="shared" si="58"/>
        <v>4.9917254971276412E-4</v>
      </c>
      <c r="CV26" s="363">
        <f t="shared" si="59"/>
        <v>1.2291311964561321E-2</v>
      </c>
      <c r="CW26" s="363">
        <v>0</v>
      </c>
      <c r="CX26" s="363">
        <f t="shared" si="6"/>
        <v>0.10541555871919955</v>
      </c>
      <c r="CY26" s="363"/>
      <c r="CZ26" s="440"/>
      <c r="DA26" s="363">
        <f t="shared" si="60"/>
        <v>4.1361719793305461E-2</v>
      </c>
      <c r="DB26" s="363">
        <f t="shared" si="61"/>
        <v>1.9594518802666561E-3</v>
      </c>
      <c r="DC26" s="363">
        <f t="shared" si="62"/>
        <v>4.2376575820073682E-2</v>
      </c>
      <c r="DD26" s="363">
        <f t="shared" si="63"/>
        <v>4.6057677775524809E-4</v>
      </c>
      <c r="DE26" s="363">
        <f t="shared" si="64"/>
        <v>1.1671291964058019E-2</v>
      </c>
      <c r="DF26" s="363">
        <v>0</v>
      </c>
      <c r="DG26" s="363">
        <f t="shared" si="65"/>
        <v>9.7829616235459077E-2</v>
      </c>
      <c r="DJ26" s="363">
        <f t="shared" si="66"/>
        <v>4.5643959798758751E-2</v>
      </c>
      <c r="DK26" s="363">
        <f t="shared" si="67"/>
        <v>2.1480032186322788E-3</v>
      </c>
      <c r="DL26" s="363">
        <f t="shared" si="68"/>
        <v>4.5674273741223001E-2</v>
      </c>
      <c r="DM26" s="363">
        <f t="shared" si="69"/>
        <v>5.048965024397142E-4</v>
      </c>
      <c r="DN26" s="363">
        <f t="shared" si="70"/>
        <v>1.2372275063181988E-2</v>
      </c>
      <c r="DO26" s="363">
        <f t="shared" si="71"/>
        <v>0</v>
      </c>
      <c r="DP26" s="363">
        <f t="shared" si="100"/>
        <v>0.10634340832423575</v>
      </c>
      <c r="DQ26" s="440"/>
      <c r="DS26" s="363">
        <f t="shared" si="72"/>
        <v>4.183600975363775E-2</v>
      </c>
      <c r="DT26" s="363">
        <f t="shared" si="73"/>
        <v>1.9819206837692403E-3</v>
      </c>
      <c r="DU26" s="363">
        <f t="shared" si="74"/>
        <v>4.2660213727200781E-2</v>
      </c>
      <c r="DV26" s="363">
        <f t="shared" si="75"/>
        <v>4.6585815731932677E-4</v>
      </c>
      <c r="DW26" s="363">
        <f t="shared" si="76"/>
        <v>1.1749064431422991E-2</v>
      </c>
      <c r="DX26" s="363">
        <f t="shared" si="101"/>
        <v>0</v>
      </c>
      <c r="DY26" s="388">
        <f t="shared" si="102"/>
        <v>9.86930667533501E-2</v>
      </c>
    </row>
    <row r="27" spans="2:129" x14ac:dyDescent="0.15">
      <c r="B27" s="448" t="s">
        <v>588</v>
      </c>
      <c r="C27" s="238">
        <v>18</v>
      </c>
      <c r="D27" s="238">
        <v>80</v>
      </c>
      <c r="E27" s="444">
        <f t="shared" si="7"/>
        <v>4.2999999999999997E-2</v>
      </c>
      <c r="F27" s="364">
        <v>1.12E-2</v>
      </c>
      <c r="G27" s="363">
        <f t="shared" si="8"/>
        <v>0.128025</v>
      </c>
      <c r="H27" s="363">
        <f t="shared" si="9"/>
        <v>0.28805625000000001</v>
      </c>
      <c r="I27" s="363">
        <f t="shared" si="10"/>
        <v>0.1920375</v>
      </c>
      <c r="J27" s="363">
        <f t="shared" si="11"/>
        <v>0.30277912499999998</v>
      </c>
      <c r="K27" s="363">
        <f t="shared" si="12"/>
        <v>0.14850899999999997</v>
      </c>
      <c r="L27" s="363"/>
      <c r="N27" s="363">
        <f t="shared" si="77"/>
        <v>0.10991227846226106</v>
      </c>
      <c r="O27" s="363">
        <f t="shared" si="78"/>
        <v>5.6727522070001276E-3</v>
      </c>
      <c r="P27" s="363">
        <f t="shared" si="79"/>
        <v>0.11806436094365366</v>
      </c>
      <c r="Q27" s="363">
        <f t="shared" si="80"/>
        <v>1.4775540632186381E-3</v>
      </c>
      <c r="R27" s="363">
        <f t="shared" si="81"/>
        <v>3.8695703287913864E-2</v>
      </c>
      <c r="S27" s="363">
        <f t="shared" si="82"/>
        <v>0.72617735103595282</v>
      </c>
      <c r="T27" s="363">
        <f t="shared" si="0"/>
        <v>1.0000000000000002</v>
      </c>
      <c r="U27" s="363">
        <f t="shared" si="1"/>
        <v>0.2738226489640474</v>
      </c>
      <c r="V27" s="376"/>
      <c r="W27" s="363"/>
      <c r="X27" s="363">
        <f t="shared" si="13"/>
        <v>9.9897895990868305E-2</v>
      </c>
      <c r="Y27" s="363">
        <f t="shared" si="14"/>
        <v>5.1994900904386767E-3</v>
      </c>
      <c r="Z27" s="363">
        <f t="shared" si="15"/>
        <v>0.10874730882583145</v>
      </c>
      <c r="AA27" s="363">
        <f t="shared" si="16"/>
        <v>1.3542857909979809E-3</v>
      </c>
      <c r="AB27" s="363">
        <f t="shared" si="17"/>
        <v>3.6337463956530015E-2</v>
      </c>
      <c r="AC27" s="363">
        <f t="shared" si="18"/>
        <v>0.74846355534533382</v>
      </c>
      <c r="AD27" s="363">
        <f t="shared" si="19"/>
        <v>1.0000000000000002</v>
      </c>
      <c r="AE27" s="363">
        <f t="shared" si="2"/>
        <v>0.2515364446546664</v>
      </c>
      <c r="AF27" s="363"/>
      <c r="AG27" s="376"/>
      <c r="AH27" s="363">
        <f t="shared" si="20"/>
        <v>0.60913195425</v>
      </c>
      <c r="AI27" s="363">
        <f t="shared" si="21"/>
        <v>0.56355557287500013</v>
      </c>
      <c r="AJ27" s="363">
        <f t="shared" si="22"/>
        <v>0.59393982712499993</v>
      </c>
      <c r="AK27" s="363">
        <f t="shared" si="23"/>
        <v>0.50857454137500002</v>
      </c>
      <c r="AL27" s="363">
        <f t="shared" si="24"/>
        <v>0.50857454137500002</v>
      </c>
      <c r="AM27" s="363">
        <v>0</v>
      </c>
      <c r="AN27" s="368"/>
      <c r="AP27" s="363">
        <f t="shared" si="25"/>
        <v>0.11117262959012532</v>
      </c>
      <c r="AQ27" s="363">
        <f t="shared" si="26"/>
        <v>5.7378009871929788E-3</v>
      </c>
      <c r="AR27" s="363">
        <f t="shared" si="27"/>
        <v>0.1188676579661031</v>
      </c>
      <c r="AS27" s="363">
        <f t="shared" si="28"/>
        <v>1.4944970013153808E-3</v>
      </c>
      <c r="AT27" s="363">
        <f t="shared" si="29"/>
        <v>3.8956849390395988E-2</v>
      </c>
      <c r="AU27" s="363">
        <f t="shared" si="30"/>
        <v>0.72377056506486748</v>
      </c>
      <c r="AV27" s="363">
        <f t="shared" si="3"/>
        <v>1.0000000000000002</v>
      </c>
      <c r="AW27" s="363">
        <f t="shared" si="4"/>
        <v>0.2762294349351328</v>
      </c>
      <c r="AX27" s="375"/>
      <c r="AY27" s="363">
        <f t="shared" si="83"/>
        <v>0.10104341337659503</v>
      </c>
      <c r="AZ27" s="363">
        <f t="shared" si="84"/>
        <v>5.2591120297841836E-3</v>
      </c>
      <c r="BA27" s="363">
        <f t="shared" si="85"/>
        <v>0.10949662980855827</v>
      </c>
      <c r="BB27" s="363">
        <f t="shared" si="86"/>
        <v>1.3698152263623923E-3</v>
      </c>
      <c r="BC27" s="363">
        <f t="shared" si="87"/>
        <v>3.6585125270807824E-2</v>
      </c>
      <c r="BD27" s="363">
        <f t="shared" si="88"/>
        <v>0.74624590428789261</v>
      </c>
      <c r="BE27" s="363">
        <f t="shared" si="32"/>
        <v>1.0000000000000004</v>
      </c>
      <c r="BF27" s="363">
        <f t="shared" si="33"/>
        <v>0.25375409571210772</v>
      </c>
      <c r="BG27" s="438"/>
      <c r="BH27" s="439"/>
      <c r="BJ27" s="369">
        <f t="shared" si="89"/>
        <v>68.181236090793391</v>
      </c>
      <c r="BK27" s="369">
        <f t="shared" si="34"/>
        <v>19.046336200894768</v>
      </c>
      <c r="BL27" s="369">
        <f t="shared" si="35"/>
        <v>109.89608661554175</v>
      </c>
      <c r="BM27" s="369">
        <f t="shared" si="36"/>
        <v>18.002724165566889</v>
      </c>
      <c r="BN27" s="369">
        <f t="shared" si="37"/>
        <v>167.3907733348791</v>
      </c>
      <c r="BO27" s="369">
        <f t="shared" si="38"/>
        <v>0</v>
      </c>
      <c r="BP27" s="369">
        <f t="shared" si="5"/>
        <v>382.51715640767588</v>
      </c>
      <c r="BQ27" s="431"/>
      <c r="BR27" s="369">
        <f t="shared" si="90"/>
        <v>61.969073217470971</v>
      </c>
      <c r="BS27" s="369">
        <f t="shared" si="39"/>
        <v>17.45735274907867</v>
      </c>
      <c r="BT27" s="369">
        <f t="shared" si="40"/>
        <v>101.22363407899375</v>
      </c>
      <c r="BU27" s="369">
        <f t="shared" si="41"/>
        <v>16.500806395925096</v>
      </c>
      <c r="BV27" s="369">
        <f t="shared" si="42"/>
        <v>157.18944678314369</v>
      </c>
      <c r="BW27" s="369">
        <f t="shared" si="91"/>
        <v>0</v>
      </c>
      <c r="BX27" s="371">
        <f t="shared" si="43"/>
        <v>354.3403132246122</v>
      </c>
      <c r="BY27" s="371"/>
      <c r="CA27" s="369">
        <f t="shared" si="92"/>
        <v>68.963062279900328</v>
      </c>
      <c r="CB27" s="369">
        <f t="shared" si="44"/>
        <v>19.264738290709708</v>
      </c>
      <c r="CC27" s="369">
        <f>(AR27*c_post_rinfar_mkv)/(1+disc_cost)^C27</f>
        <v>110.64380759121569</v>
      </c>
      <c r="CD27" s="369">
        <f t="shared" si="45"/>
        <v>18.209159279315276</v>
      </c>
      <c r="CE27" s="369">
        <f t="shared" si="46"/>
        <v>168.52044521918688</v>
      </c>
      <c r="CF27" s="369">
        <f t="shared" si="47"/>
        <v>0</v>
      </c>
      <c r="CG27" s="369">
        <f t="shared" si="48"/>
        <v>385.60121266032792</v>
      </c>
      <c r="CH27" s="369"/>
      <c r="CI27" s="384"/>
      <c r="CJ27" s="369">
        <f t="shared" si="93"/>
        <v>62.679665267922907</v>
      </c>
      <c r="CK27" s="369">
        <f t="shared" si="94"/>
        <v>17.657534153146099</v>
      </c>
      <c r="CL27" s="369">
        <f t="shared" si="95"/>
        <v>101.92111334337474</v>
      </c>
      <c r="CM27" s="369">
        <f t="shared" si="96"/>
        <v>16.690019195830025</v>
      </c>
      <c r="CN27" s="369">
        <f t="shared" si="97"/>
        <v>158.26078585698457</v>
      </c>
      <c r="CO27" s="369">
        <f t="shared" si="98"/>
        <v>0</v>
      </c>
      <c r="CP27" s="369">
        <f t="shared" si="99"/>
        <v>357.20911781725835</v>
      </c>
      <c r="CR27" s="363">
        <f t="shared" si="55"/>
        <v>3.6043860248250334E-2</v>
      </c>
      <c r="CS27" s="363">
        <f t="shared" si="56"/>
        <v>1.72109271349331E-3</v>
      </c>
      <c r="CT27" s="363">
        <f t="shared" si="57"/>
        <v>3.7751566091368337E-2</v>
      </c>
      <c r="CU27" s="363">
        <f t="shared" si="58"/>
        <v>4.0454952947908545E-4</v>
      </c>
      <c r="CV27" s="363">
        <f t="shared" si="59"/>
        <v>1.0594758559214516E-2</v>
      </c>
      <c r="CW27" s="363">
        <v>0</v>
      </c>
      <c r="CX27" s="363">
        <f t="shared" si="6"/>
        <v>8.6515827141805599E-2</v>
      </c>
      <c r="CY27" s="363"/>
      <c r="CZ27" s="440"/>
      <c r="DA27" s="363">
        <f t="shared" si="60"/>
        <v>3.2759814031381625E-2</v>
      </c>
      <c r="DB27" s="363">
        <f t="shared" si="61"/>
        <v>1.5775066814115255E-3</v>
      </c>
      <c r="DC27" s="363">
        <f t="shared" si="62"/>
        <v>3.4772400270358605E-2</v>
      </c>
      <c r="DD27" s="363">
        <f t="shared" si="63"/>
        <v>3.7079907474585138E-4</v>
      </c>
      <c r="DE27" s="363">
        <f t="shared" si="64"/>
        <v>9.9490802482414455E-3</v>
      </c>
      <c r="DF27" s="363">
        <v>0</v>
      </c>
      <c r="DG27" s="363">
        <f t="shared" si="65"/>
        <v>7.9429600306139048E-2</v>
      </c>
      <c r="DJ27" s="363">
        <f t="shared" si="66"/>
        <v>3.6457170940668214E-2</v>
      </c>
      <c r="DK27" s="363">
        <f t="shared" si="67"/>
        <v>1.7408282805560476E-3</v>
      </c>
      <c r="DL27" s="363">
        <f t="shared" si="68"/>
        <v>3.8008423625611645E-2</v>
      </c>
      <c r="DM27" s="363">
        <f t="shared" si="69"/>
        <v>4.0918845119819973E-4</v>
      </c>
      <c r="DN27" s="363">
        <f t="shared" si="70"/>
        <v>1.066625951847844E-2</v>
      </c>
      <c r="DO27" s="363">
        <f t="shared" si="71"/>
        <v>0</v>
      </c>
      <c r="DP27" s="363">
        <f t="shared" si="100"/>
        <v>8.7281870816512536E-2</v>
      </c>
      <c r="DQ27" s="440"/>
      <c r="DS27" s="363">
        <f t="shared" si="72"/>
        <v>3.3135466953336579E-2</v>
      </c>
      <c r="DT27" s="363">
        <f t="shared" si="73"/>
        <v>1.5955957643870281E-3</v>
      </c>
      <c r="DU27" s="363">
        <f t="shared" si="74"/>
        <v>3.5011998743403001E-2</v>
      </c>
      <c r="DV27" s="363">
        <f t="shared" si="75"/>
        <v>3.7505098398297473E-4</v>
      </c>
      <c r="DW27" s="363">
        <f t="shared" si="76"/>
        <v>1.0016889116055734E-2</v>
      </c>
      <c r="DX27" s="363">
        <f t="shared" si="101"/>
        <v>0</v>
      </c>
      <c r="DY27" s="388">
        <f t="shared" si="102"/>
        <v>8.013500156116532E-2</v>
      </c>
    </row>
    <row r="28" spans="2:129" x14ac:dyDescent="0.15">
      <c r="B28" s="448" t="s">
        <v>588</v>
      </c>
      <c r="C28" s="238">
        <v>19</v>
      </c>
      <c r="D28" s="238">
        <v>81</v>
      </c>
      <c r="E28" s="444">
        <f t="shared" si="7"/>
        <v>4.2999999999999997E-2</v>
      </c>
      <c r="F28" s="364">
        <v>1.12E-2</v>
      </c>
      <c r="G28" s="363">
        <f t="shared" si="8"/>
        <v>0.1443605</v>
      </c>
      <c r="H28" s="363">
        <f t="shared" si="9"/>
        <v>0.32481112499999998</v>
      </c>
      <c r="I28" s="363">
        <f t="shared" si="10"/>
        <v>0.21654074999999998</v>
      </c>
      <c r="J28" s="363">
        <f t="shared" si="11"/>
        <v>0.34141258250000006</v>
      </c>
      <c r="K28" s="363">
        <f t="shared" si="12"/>
        <v>0.16745817999999998</v>
      </c>
      <c r="L28" s="363"/>
      <c r="N28" s="363">
        <f t="shared" si="77"/>
        <v>8.9883513519475544E-2</v>
      </c>
      <c r="O28" s="363">
        <f t="shared" si="78"/>
        <v>4.7262279738772258E-3</v>
      </c>
      <c r="P28" s="363">
        <f t="shared" si="79"/>
        <v>9.9430256708009215E-2</v>
      </c>
      <c r="Q28" s="363">
        <f t="shared" si="80"/>
        <v>1.2310175187773239E-3</v>
      </c>
      <c r="R28" s="363">
        <f t="shared" si="81"/>
        <v>3.3979224625146166E-2</v>
      </c>
      <c r="S28" s="363">
        <f t="shared" si="82"/>
        <v>0.77074975965471471</v>
      </c>
      <c r="T28" s="363">
        <f t="shared" si="0"/>
        <v>1.0000000000000002</v>
      </c>
      <c r="U28" s="363">
        <f t="shared" si="1"/>
        <v>0.22925024034528546</v>
      </c>
      <c r="V28" s="376"/>
      <c r="W28" s="363"/>
      <c r="X28" s="363">
        <f t="shared" si="13"/>
        <v>8.0959855826383625E-2</v>
      </c>
      <c r="Y28" s="363">
        <f t="shared" si="14"/>
        <v>4.2956095276073369E-3</v>
      </c>
      <c r="Z28" s="363">
        <f t="shared" si="15"/>
        <v>9.0260453802224638E-2</v>
      </c>
      <c r="AA28" s="363">
        <f t="shared" si="16"/>
        <v>1.1188564350977249E-3</v>
      </c>
      <c r="AB28" s="363">
        <f t="shared" si="17"/>
        <v>3.1539541392671497E-2</v>
      </c>
      <c r="AC28" s="363">
        <f t="shared" si="18"/>
        <v>0.7918256830160153</v>
      </c>
      <c r="AD28" s="363">
        <f t="shared" si="19"/>
        <v>1</v>
      </c>
      <c r="AE28" s="363">
        <f t="shared" si="2"/>
        <v>0.20817431698398486</v>
      </c>
      <c r="AF28" s="363"/>
      <c r="AG28" s="376"/>
      <c r="AH28" s="363">
        <f t="shared" si="20"/>
        <v>0.60431563005</v>
      </c>
      <c r="AI28" s="363">
        <f t="shared" si="21"/>
        <v>0.55909961497500005</v>
      </c>
      <c r="AJ28" s="363">
        <f t="shared" si="22"/>
        <v>0.58924362502499994</v>
      </c>
      <c r="AK28" s="363">
        <f t="shared" si="23"/>
        <v>0.50455331107500001</v>
      </c>
      <c r="AL28" s="363">
        <f t="shared" si="24"/>
        <v>0.50455331107500001</v>
      </c>
      <c r="AM28" s="363">
        <v>0</v>
      </c>
      <c r="AN28" s="368"/>
      <c r="AP28" s="363">
        <f t="shared" si="25"/>
        <v>9.0914197163064731E-2</v>
      </c>
      <c r="AQ28" s="363">
        <f t="shared" si="26"/>
        <v>4.7804230723753885E-3</v>
      </c>
      <c r="AR28" s="363">
        <f t="shared" si="27"/>
        <v>0.10012560165101345</v>
      </c>
      <c r="AS28" s="363">
        <f t="shared" si="28"/>
        <v>1.2451334514094036E-3</v>
      </c>
      <c r="AT28" s="363">
        <f t="shared" si="29"/>
        <v>3.4213401151219659E-2</v>
      </c>
      <c r="AU28" s="363">
        <f t="shared" si="30"/>
        <v>0.76872124351091764</v>
      </c>
      <c r="AV28" s="363">
        <f t="shared" si="3"/>
        <v>1.0000000000000002</v>
      </c>
      <c r="AW28" s="363">
        <f t="shared" si="4"/>
        <v>0.23127875648908261</v>
      </c>
      <c r="AX28" s="375"/>
      <c r="AY28" s="363">
        <f t="shared" si="83"/>
        <v>8.1888212940166377E-2</v>
      </c>
      <c r="AZ28" s="363">
        <f t="shared" si="84"/>
        <v>4.3448667751935857E-3</v>
      </c>
      <c r="BA28" s="363">
        <f t="shared" si="85"/>
        <v>9.0898809451288198E-2</v>
      </c>
      <c r="BB28" s="363">
        <f t="shared" si="86"/>
        <v>1.1316862298178642E-3</v>
      </c>
      <c r="BC28" s="363">
        <f t="shared" si="87"/>
        <v>3.1758758819126376E-2</v>
      </c>
      <c r="BD28" s="363">
        <f t="shared" si="88"/>
        <v>0.78997766578440787</v>
      </c>
      <c r="BE28" s="363">
        <f t="shared" si="32"/>
        <v>1.0000000000000002</v>
      </c>
      <c r="BF28" s="363">
        <f t="shared" si="33"/>
        <v>0.21002233421559238</v>
      </c>
      <c r="BG28" s="438"/>
      <c r="BH28" s="439"/>
      <c r="BJ28" s="369">
        <f t="shared" si="89"/>
        <v>53.871410960530014</v>
      </c>
      <c r="BK28" s="369">
        <f t="shared" si="34"/>
        <v>15.331757775132923</v>
      </c>
      <c r="BL28" s="369">
        <f t="shared" si="35"/>
        <v>89.421431441976566</v>
      </c>
      <c r="BM28" s="369">
        <f t="shared" si="36"/>
        <v>14.491679832157788</v>
      </c>
      <c r="BN28" s="369">
        <f t="shared" si="37"/>
        <v>142.0175074699597</v>
      </c>
      <c r="BO28" s="369">
        <f t="shared" si="38"/>
        <v>0</v>
      </c>
      <c r="BP28" s="369">
        <f t="shared" si="5"/>
        <v>315.13378747975696</v>
      </c>
      <c r="BQ28" s="431"/>
      <c r="BR28" s="369">
        <f t="shared" si="90"/>
        <v>48.523043812515844</v>
      </c>
      <c r="BS28" s="369">
        <f t="shared" si="39"/>
        <v>13.934842994846125</v>
      </c>
      <c r="BT28" s="369">
        <f t="shared" si="40"/>
        <v>81.174677093508691</v>
      </c>
      <c r="BU28" s="369">
        <f t="shared" si="41"/>
        <v>13.171306653450312</v>
      </c>
      <c r="BV28" s="369">
        <f t="shared" si="42"/>
        <v>131.82075532171035</v>
      </c>
      <c r="BW28" s="369">
        <f t="shared" si="91"/>
        <v>0</v>
      </c>
      <c r="BX28" s="371">
        <f t="shared" si="43"/>
        <v>288.6246258760313</v>
      </c>
      <c r="BY28" s="371"/>
      <c r="CA28" s="369">
        <f t="shared" si="92"/>
        <v>54.489148073377287</v>
      </c>
      <c r="CB28" s="369">
        <f t="shared" si="44"/>
        <v>15.507565232446849</v>
      </c>
      <c r="CC28" s="369">
        <f>(AR28*c_post_rinfar_mkv)/(1+disc_cost)^C28</f>
        <v>90.046781734815255</v>
      </c>
      <c r="CD28" s="369">
        <f t="shared" si="45"/>
        <v>14.657854214825864</v>
      </c>
      <c r="CE28" s="369">
        <f t="shared" si="46"/>
        <v>142.99625748288142</v>
      </c>
      <c r="CF28" s="369">
        <f t="shared" si="47"/>
        <v>0</v>
      </c>
      <c r="CG28" s="369">
        <f t="shared" si="48"/>
        <v>317.69760673834668</v>
      </c>
      <c r="CH28" s="369"/>
      <c r="CI28" s="384"/>
      <c r="CJ28" s="369">
        <f t="shared" si="93"/>
        <v>49.079451830365372</v>
      </c>
      <c r="CK28" s="369">
        <f t="shared" si="94"/>
        <v>14.094632195205534</v>
      </c>
      <c r="CL28" s="369">
        <f t="shared" si="95"/>
        <v>81.748774735396182</v>
      </c>
      <c r="CM28" s="369">
        <f t="shared" si="96"/>
        <v>13.32234047267754</v>
      </c>
      <c r="CN28" s="369">
        <f t="shared" si="97"/>
        <v>132.7369831886659</v>
      </c>
      <c r="CO28" s="369">
        <f t="shared" si="98"/>
        <v>0</v>
      </c>
      <c r="CP28" s="369">
        <f t="shared" si="99"/>
        <v>290.98218242231053</v>
      </c>
      <c r="CR28" s="363">
        <f t="shared" si="55"/>
        <v>2.8253823086200853E-2</v>
      </c>
      <c r="CS28" s="363">
        <f t="shared" si="56"/>
        <v>1.3744761663465499E-3</v>
      </c>
      <c r="CT28" s="363">
        <f t="shared" si="57"/>
        <v>3.0475217036678017E-2</v>
      </c>
      <c r="CU28" s="363">
        <f t="shared" si="58"/>
        <v>3.2307596332048228E-4</v>
      </c>
      <c r="CV28" s="363">
        <f t="shared" si="59"/>
        <v>8.9177209594511978E-3</v>
      </c>
      <c r="CW28" s="363">
        <v>0</v>
      </c>
      <c r="CX28" s="363">
        <f t="shared" si="6"/>
        <v>6.9344313211997105E-2</v>
      </c>
      <c r="CY28" s="363"/>
      <c r="CZ28" s="440"/>
      <c r="DA28" s="363">
        <f t="shared" si="60"/>
        <v>2.5448776466747057E-2</v>
      </c>
      <c r="DB28" s="363">
        <f t="shared" si="61"/>
        <v>1.2492442066403E-3</v>
      </c>
      <c r="DC28" s="363">
        <f t="shared" si="62"/>
        <v>2.7664686892337802E-2</v>
      </c>
      <c r="DD28" s="363">
        <f t="shared" si="63"/>
        <v>2.9363970461244483E-4</v>
      </c>
      <c r="DE28" s="363">
        <f t="shared" si="64"/>
        <v>8.2774351808122034E-3</v>
      </c>
      <c r="DF28" s="363">
        <v>0</v>
      </c>
      <c r="DG28" s="363">
        <f t="shared" si="65"/>
        <v>6.2933782451149806E-2</v>
      </c>
      <c r="DJ28" s="363">
        <f t="shared" si="66"/>
        <v>2.8577806341678513E-2</v>
      </c>
      <c r="DK28" s="363">
        <f t="shared" si="67"/>
        <v>1.3902371223626898E-3</v>
      </c>
      <c r="DL28" s="363">
        <f t="shared" si="68"/>
        <v>3.0688339166249103E-2</v>
      </c>
      <c r="DM28" s="363">
        <f t="shared" si="69"/>
        <v>3.2678063727005025E-4</v>
      </c>
      <c r="DN28" s="363">
        <f t="shared" si="70"/>
        <v>8.9791797166128215E-3</v>
      </c>
      <c r="DO28" s="363">
        <f t="shared" si="71"/>
        <v>0</v>
      </c>
      <c r="DP28" s="363">
        <f t="shared" si="100"/>
        <v>6.996234298417317E-2</v>
      </c>
      <c r="DQ28" s="440"/>
      <c r="DS28" s="363">
        <f t="shared" si="72"/>
        <v>2.5740594583625084E-2</v>
      </c>
      <c r="DT28" s="363">
        <f t="shared" si="73"/>
        <v>1.263569142551419E-3</v>
      </c>
      <c r="DU28" s="363">
        <f t="shared" si="74"/>
        <v>2.7860341893098092E-2</v>
      </c>
      <c r="DV28" s="363">
        <f t="shared" si="75"/>
        <v>2.9700683645678279E-4</v>
      </c>
      <c r="DW28" s="363">
        <f t="shared" si="76"/>
        <v>8.3349679779887165E-3</v>
      </c>
      <c r="DX28" s="363">
        <f t="shared" si="101"/>
        <v>0</v>
      </c>
      <c r="DY28" s="388">
        <f t="shared" si="102"/>
        <v>6.3496480433720096E-2</v>
      </c>
    </row>
    <row r="29" spans="2:129" x14ac:dyDescent="0.15">
      <c r="B29" s="448" t="s">
        <v>588</v>
      </c>
      <c r="C29" s="238">
        <v>20</v>
      </c>
      <c r="D29" s="238">
        <v>82</v>
      </c>
      <c r="E29" s="444">
        <f t="shared" si="7"/>
        <v>4.2999999999999997E-2</v>
      </c>
      <c r="F29" s="364">
        <v>1.12E-2</v>
      </c>
      <c r="G29" s="363">
        <f t="shared" si="8"/>
        <v>0.1627255</v>
      </c>
      <c r="H29" s="363">
        <f t="shared" si="9"/>
        <v>0.36613237500000001</v>
      </c>
      <c r="I29" s="363">
        <f t="shared" si="10"/>
        <v>0.24408824999999998</v>
      </c>
      <c r="J29" s="363">
        <f t="shared" si="11"/>
        <v>0.38484580750000008</v>
      </c>
      <c r="K29" s="363">
        <f t="shared" si="12"/>
        <v>0.18876157999999998</v>
      </c>
      <c r="L29" s="363"/>
      <c r="N29" s="363">
        <f t="shared" si="77"/>
        <v>7.2036198133291721E-2</v>
      </c>
      <c r="O29" s="363">
        <f t="shared" si="78"/>
        <v>3.864991081337448E-3</v>
      </c>
      <c r="P29" s="363">
        <f t="shared" si="79"/>
        <v>8.1090650896440061E-2</v>
      </c>
      <c r="Q29" s="363">
        <f t="shared" si="80"/>
        <v>1.0066953514181261E-3</v>
      </c>
      <c r="R29" s="363">
        <f t="shared" si="81"/>
        <v>2.9099858160196824E-2</v>
      </c>
      <c r="S29" s="363">
        <f t="shared" si="82"/>
        <v>0.81290160637731601</v>
      </c>
      <c r="T29" s="363">
        <f t="shared" si="0"/>
        <v>1.0000000000000002</v>
      </c>
      <c r="U29" s="363">
        <f t="shared" si="1"/>
        <v>0.18709839362268418</v>
      </c>
      <c r="V29" s="376"/>
      <c r="W29" s="363"/>
      <c r="X29" s="363">
        <f t="shared" si="13"/>
        <v>6.4222953984210032E-2</v>
      </c>
      <c r="Y29" s="363">
        <f t="shared" si="14"/>
        <v>3.4812738005344959E-3</v>
      </c>
      <c r="Z29" s="363">
        <f t="shared" si="15"/>
        <v>7.2418959720790349E-2</v>
      </c>
      <c r="AA29" s="363">
        <f t="shared" si="16"/>
        <v>9.0675038525549667E-4</v>
      </c>
      <c r="AB29" s="363">
        <f t="shared" si="17"/>
        <v>2.666302699114706E-2</v>
      </c>
      <c r="AC29" s="363">
        <f t="shared" si="18"/>
        <v>0.83230703511806281</v>
      </c>
      <c r="AD29" s="363">
        <f t="shared" si="19"/>
        <v>1.0000000000000002</v>
      </c>
      <c r="AE29" s="363">
        <f t="shared" si="2"/>
        <v>0.16769296488193744</v>
      </c>
      <c r="AF29" s="363"/>
      <c r="AG29" s="376"/>
      <c r="AH29" s="363">
        <f t="shared" si="20"/>
        <v>0.59944339704999994</v>
      </c>
      <c r="AI29" s="363">
        <f t="shared" si="21"/>
        <v>0.55459193147500008</v>
      </c>
      <c r="AJ29" s="363">
        <f t="shared" si="22"/>
        <v>0.58449290852500002</v>
      </c>
      <c r="AK29" s="363">
        <f t="shared" si="23"/>
        <v>0.50048540157499999</v>
      </c>
      <c r="AL29" s="363">
        <f t="shared" si="24"/>
        <v>0.50048540157499999</v>
      </c>
      <c r="AM29" s="363">
        <v>0</v>
      </c>
      <c r="AN29" s="368"/>
      <c r="AP29" s="363">
        <f t="shared" si="25"/>
        <v>7.2862228717268024E-2</v>
      </c>
      <c r="AQ29" s="363">
        <f t="shared" si="26"/>
        <v>3.909310478011783E-3</v>
      </c>
      <c r="AR29" s="363">
        <f t="shared" si="27"/>
        <v>8.1672017251562937E-2</v>
      </c>
      <c r="AS29" s="363">
        <f t="shared" si="28"/>
        <v>1.018239008226325E-3</v>
      </c>
      <c r="AT29" s="363">
        <f t="shared" si="29"/>
        <v>2.9304116487033089E-2</v>
      </c>
      <c r="AU29" s="363">
        <f t="shared" si="30"/>
        <v>0.8112340880578981</v>
      </c>
      <c r="AV29" s="363">
        <f t="shared" si="3"/>
        <v>1.0000000000000002</v>
      </c>
      <c r="AW29" s="363">
        <f t="shared" si="4"/>
        <v>0.18876591194210215</v>
      </c>
      <c r="AX29" s="375"/>
      <c r="AY29" s="363">
        <f t="shared" si="83"/>
        <v>6.4959391019464158E-2</v>
      </c>
      <c r="AZ29" s="363">
        <f t="shared" si="84"/>
        <v>3.5211931564271539E-3</v>
      </c>
      <c r="BA29" s="363">
        <f t="shared" si="85"/>
        <v>7.2943420043153503E-2</v>
      </c>
      <c r="BB29" s="363">
        <f t="shared" si="86"/>
        <v>9.1714798492986346E-4</v>
      </c>
      <c r="BC29" s="363">
        <f t="shared" si="87"/>
        <v>2.6851557820173615E-2</v>
      </c>
      <c r="BD29" s="363">
        <f t="shared" si="88"/>
        <v>0.83080728997585196</v>
      </c>
      <c r="BE29" s="363">
        <f t="shared" si="32"/>
        <v>1.0000000000000002</v>
      </c>
      <c r="BF29" s="363">
        <f t="shared" si="33"/>
        <v>0.16919271002414832</v>
      </c>
      <c r="BG29" s="438"/>
      <c r="BH29" s="439"/>
      <c r="BJ29" s="369">
        <f t="shared" si="89"/>
        <v>41.714663443962991</v>
      </c>
      <c r="BK29" s="369">
        <f t="shared" si="34"/>
        <v>12.113940303922055</v>
      </c>
      <c r="BL29" s="369">
        <f t="shared" si="35"/>
        <v>70.461761106319614</v>
      </c>
      <c r="BM29" s="369">
        <f t="shared" si="36"/>
        <v>11.450177270282934</v>
      </c>
      <c r="BN29" s="369">
        <f t="shared" si="37"/>
        <v>117.51111417725699</v>
      </c>
      <c r="BO29" s="369">
        <f t="shared" si="38"/>
        <v>0</v>
      </c>
      <c r="BP29" s="369">
        <f t="shared" si="5"/>
        <v>253.25165630174456</v>
      </c>
      <c r="BQ29" s="431"/>
      <c r="BR29" s="369">
        <f t="shared" si="90"/>
        <v>37.190176331506294</v>
      </c>
      <c r="BS29" s="369">
        <f t="shared" si="39"/>
        <v>10.911265282063596</v>
      </c>
      <c r="BT29" s="369">
        <f t="shared" si="40"/>
        <v>62.926704657127473</v>
      </c>
      <c r="BU29" s="369">
        <f t="shared" si="41"/>
        <v>10.313400808344927</v>
      </c>
      <c r="BV29" s="369">
        <f t="shared" si="42"/>
        <v>107.67069694358864</v>
      </c>
      <c r="BW29" s="369">
        <f t="shared" si="91"/>
        <v>0</v>
      </c>
      <c r="BX29" s="371">
        <f t="shared" si="43"/>
        <v>229.01224402263091</v>
      </c>
      <c r="BY29" s="371"/>
      <c r="CA29" s="369">
        <f t="shared" si="92"/>
        <v>42.193000567491268</v>
      </c>
      <c r="CB29" s="369">
        <f t="shared" si="44"/>
        <v>12.252849427984756</v>
      </c>
      <c r="CC29" s="369">
        <f>(AR29*c_post_rinfar_mkv)/(1+disc_cost)^C29</f>
        <v>70.966925348770147</v>
      </c>
      <c r="CD29" s="369">
        <f t="shared" si="45"/>
        <v>11.581475101960599</v>
      </c>
      <c r="CE29" s="369">
        <f t="shared" si="46"/>
        <v>118.33595062265736</v>
      </c>
      <c r="CF29" s="369">
        <f t="shared" si="47"/>
        <v>0</v>
      </c>
      <c r="CG29" s="369">
        <f t="shared" si="48"/>
        <v>255.33020106886414</v>
      </c>
      <c r="CH29" s="369"/>
      <c r="CI29" s="384"/>
      <c r="CJ29" s="369">
        <f t="shared" si="93"/>
        <v>37.616631695189596</v>
      </c>
      <c r="CK29" s="369">
        <f t="shared" si="94"/>
        <v>11.036383473562072</v>
      </c>
      <c r="CL29" s="369">
        <f t="shared" si="95"/>
        <v>63.382421777850674</v>
      </c>
      <c r="CM29" s="369">
        <f t="shared" si="96"/>
        <v>10.431663358469176</v>
      </c>
      <c r="CN29" s="369">
        <f t="shared" si="97"/>
        <v>108.43202257114703</v>
      </c>
      <c r="CO29" s="369">
        <f t="shared" si="98"/>
        <v>0</v>
      </c>
      <c r="CP29" s="369">
        <f t="shared" si="99"/>
        <v>230.89912287621854</v>
      </c>
      <c r="CR29" s="363">
        <f t="shared" si="55"/>
        <v>2.1701610714803622E-2</v>
      </c>
      <c r="CS29" s="363">
        <f t="shared" si="56"/>
        <v>1.0772463894480832E-3</v>
      </c>
      <c r="CT29" s="363">
        <f t="shared" si="57"/>
        <v>2.3820070192818867E-2</v>
      </c>
      <c r="CU29" s="363">
        <f t="shared" si="58"/>
        <v>2.5321094939721256E-4</v>
      </c>
      <c r="CV29" s="363">
        <f t="shared" si="59"/>
        <v>7.3193967784671229E-3</v>
      </c>
      <c r="CW29" s="363">
        <v>0</v>
      </c>
      <c r="CX29" s="363">
        <f t="shared" si="6"/>
        <v>5.4171535024934908E-2</v>
      </c>
      <c r="CY29" s="363"/>
      <c r="CZ29" s="440"/>
      <c r="DA29" s="363">
        <f t="shared" si="60"/>
        <v>1.9347794337246552E-2</v>
      </c>
      <c r="DB29" s="363">
        <f t="shared" si="61"/>
        <v>9.7029709859208042E-4</v>
      </c>
      <c r="DC29" s="363">
        <f t="shared" si="62"/>
        <v>2.1272793901274234E-2</v>
      </c>
      <c r="DD29" s="363">
        <f t="shared" si="63"/>
        <v>2.2807210303831994E-4</v>
      </c>
      <c r="DE29" s="363">
        <f t="shared" si="64"/>
        <v>6.7064682167462418E-3</v>
      </c>
      <c r="DF29" s="363">
        <v>0</v>
      </c>
      <c r="DG29" s="363">
        <f t="shared" si="65"/>
        <v>4.8525425656897422E-2</v>
      </c>
      <c r="DJ29" s="363">
        <f t="shared" si="66"/>
        <v>2.1950460524156497E-2</v>
      </c>
      <c r="DK29" s="363">
        <f t="shared" si="67"/>
        <v>1.0895990466845973E-3</v>
      </c>
      <c r="DL29" s="363">
        <f t="shared" si="68"/>
        <v>2.3990844347837742E-2</v>
      </c>
      <c r="DM29" s="363">
        <f t="shared" si="69"/>
        <v>2.5611448947594848E-4</v>
      </c>
      <c r="DN29" s="363">
        <f t="shared" si="70"/>
        <v>7.3707732398639488E-3</v>
      </c>
      <c r="DO29" s="363">
        <f t="shared" si="71"/>
        <v>0</v>
      </c>
      <c r="DP29" s="363">
        <f t="shared" si="100"/>
        <v>5.4657791648018733E-2</v>
      </c>
      <c r="DQ29" s="440"/>
      <c r="DS29" s="363">
        <f t="shared" si="72"/>
        <v>1.9569653211940041E-2</v>
      </c>
      <c r="DT29" s="363">
        <f t="shared" si="73"/>
        <v>9.8142338092998887E-4</v>
      </c>
      <c r="DU29" s="363">
        <f t="shared" si="74"/>
        <v>2.1426852125667983E-2</v>
      </c>
      <c r="DV29" s="363">
        <f t="shared" si="75"/>
        <v>2.3068737893215392E-4</v>
      </c>
      <c r="DW29" s="363">
        <f t="shared" si="76"/>
        <v>6.7538887895552931E-3</v>
      </c>
      <c r="DX29" s="363">
        <f t="shared" si="101"/>
        <v>0</v>
      </c>
      <c r="DY29" s="388">
        <f t="shared" si="102"/>
        <v>4.8962504887025464E-2</v>
      </c>
    </row>
    <row r="30" spans="2:129" x14ac:dyDescent="0.15">
      <c r="B30" s="448" t="s">
        <v>588</v>
      </c>
      <c r="C30" s="238">
        <v>21</v>
      </c>
      <c r="D30" s="238">
        <v>83</v>
      </c>
      <c r="E30" s="444">
        <f t="shared" si="7"/>
        <v>4.2999999999999997E-2</v>
      </c>
      <c r="F30" s="364">
        <v>1.12E-2</v>
      </c>
      <c r="G30" s="363">
        <f t="shared" si="8"/>
        <v>0.18041650000000001</v>
      </c>
      <c r="H30" s="363">
        <f t="shared" si="9"/>
        <v>0.40593712500000001</v>
      </c>
      <c r="I30" s="363">
        <f t="shared" si="10"/>
        <v>0.27062475000000003</v>
      </c>
      <c r="J30" s="363">
        <f t="shared" si="11"/>
        <v>0.42668502250000007</v>
      </c>
      <c r="K30" s="363">
        <f t="shared" si="12"/>
        <v>0.20928313999999998</v>
      </c>
      <c r="L30" s="363"/>
      <c r="N30" s="363">
        <f t="shared" si="77"/>
        <v>5.6409709835128351E-2</v>
      </c>
      <c r="O30" s="363">
        <f t="shared" si="78"/>
        <v>3.0975565197315438E-3</v>
      </c>
      <c r="P30" s="363">
        <f t="shared" si="79"/>
        <v>6.3747268545140623E-2</v>
      </c>
      <c r="Q30" s="363">
        <f t="shared" si="80"/>
        <v>8.0680541909286725E-4</v>
      </c>
      <c r="R30" s="363">
        <f t="shared" si="81"/>
        <v>2.4226195822097299E-2</v>
      </c>
      <c r="S30" s="363">
        <f t="shared" si="82"/>
        <v>0.85171246385880961</v>
      </c>
      <c r="T30" s="363">
        <f t="shared" si="0"/>
        <v>1.0000000000000002</v>
      </c>
      <c r="U30" s="363">
        <f t="shared" si="1"/>
        <v>0.14828753614119067</v>
      </c>
      <c r="V30" s="376"/>
      <c r="W30" s="363"/>
      <c r="X30" s="363">
        <f t="shared" si="13"/>
        <v>4.9792385491361654E-2</v>
      </c>
      <c r="Y30" s="363">
        <f t="shared" si="14"/>
        <v>2.7615870213210311E-3</v>
      </c>
      <c r="Z30" s="363">
        <f t="shared" si="15"/>
        <v>5.6041545904328208E-2</v>
      </c>
      <c r="AA30" s="363">
        <f t="shared" si="16"/>
        <v>7.1929708462315238E-4</v>
      </c>
      <c r="AB30" s="363">
        <f t="shared" si="17"/>
        <v>2.1922405471492649E-2</v>
      </c>
      <c r="AC30" s="363">
        <f t="shared" si="18"/>
        <v>0.86876277902687371</v>
      </c>
      <c r="AD30" s="363">
        <f t="shared" si="19"/>
        <v>1.0000000000000002</v>
      </c>
      <c r="AE30" s="363">
        <f t="shared" si="2"/>
        <v>0.13123722097312671</v>
      </c>
      <c r="AF30" s="363"/>
      <c r="AG30" s="376"/>
      <c r="AH30" s="363">
        <f t="shared" si="20"/>
        <v>0.59451525525000004</v>
      </c>
      <c r="AI30" s="363">
        <f t="shared" si="21"/>
        <v>0.550032522375</v>
      </c>
      <c r="AJ30" s="363">
        <f t="shared" si="22"/>
        <v>0.57968767762500006</v>
      </c>
      <c r="AK30" s="363">
        <f t="shared" si="23"/>
        <v>0.49637081287500007</v>
      </c>
      <c r="AL30" s="363">
        <f t="shared" si="24"/>
        <v>0.49637081287500007</v>
      </c>
      <c r="AM30" s="363">
        <v>0</v>
      </c>
      <c r="AN30" s="368"/>
      <c r="AP30" s="363">
        <f t="shared" si="25"/>
        <v>5.7056553321660299E-2</v>
      </c>
      <c r="AQ30" s="363">
        <f t="shared" si="26"/>
        <v>3.1330758348425249E-3</v>
      </c>
      <c r="AR30" s="363">
        <f t="shared" si="27"/>
        <v>6.421482283474407E-2</v>
      </c>
      <c r="AS30" s="363">
        <f t="shared" si="28"/>
        <v>8.1605696163340182E-4</v>
      </c>
      <c r="AT30" s="363">
        <f t="shared" si="29"/>
        <v>2.4398999153314137E-2</v>
      </c>
      <c r="AU30" s="363">
        <f t="shared" si="30"/>
        <v>0.85038049189380582</v>
      </c>
      <c r="AV30" s="363">
        <f t="shared" si="3"/>
        <v>1.0000000000000002</v>
      </c>
      <c r="AW30" s="363">
        <f t="shared" si="4"/>
        <v>0.14961950810619443</v>
      </c>
      <c r="AX30" s="375"/>
      <c r="AY30" s="363">
        <f t="shared" si="83"/>
        <v>5.0363348900464643E-2</v>
      </c>
      <c r="AZ30" s="363">
        <f t="shared" si="84"/>
        <v>2.7932538138369586E-3</v>
      </c>
      <c r="BA30" s="363">
        <f t="shared" si="85"/>
        <v>5.6456384665790407E-2</v>
      </c>
      <c r="BB30" s="363">
        <f t="shared" si="86"/>
        <v>7.2754517941799859E-4</v>
      </c>
      <c r="BC30" s="363">
        <f t="shared" si="87"/>
        <v>2.207977841478146E-2</v>
      </c>
      <c r="BD30" s="363">
        <f t="shared" si="88"/>
        <v>0.86757968902570881</v>
      </c>
      <c r="BE30" s="363">
        <f t="shared" si="32"/>
        <v>1.0000000000000002</v>
      </c>
      <c r="BF30" s="363">
        <f t="shared" si="33"/>
        <v>0.13242031097429147</v>
      </c>
      <c r="BG30" s="438"/>
      <c r="BH30" s="439"/>
      <c r="BJ30" s="369">
        <f t="shared" si="89"/>
        <v>31.561052385555175</v>
      </c>
      <c r="BK30" s="369">
        <f t="shared" si="34"/>
        <v>9.3802804446426489</v>
      </c>
      <c r="BL30" s="369">
        <f t="shared" si="35"/>
        <v>53.518500683995477</v>
      </c>
      <c r="BM30" s="369">
        <f t="shared" si="36"/>
        <v>8.8663037163351888</v>
      </c>
      <c r="BN30" s="369">
        <f t="shared" si="37"/>
        <v>94.522009381565525</v>
      </c>
      <c r="BO30" s="369">
        <f t="shared" si="38"/>
        <v>0</v>
      </c>
      <c r="BP30" s="369">
        <f t="shared" si="5"/>
        <v>197.84814661209401</v>
      </c>
      <c r="BQ30" s="431"/>
      <c r="BR30" s="369">
        <f t="shared" si="90"/>
        <v>27.858680562047372</v>
      </c>
      <c r="BS30" s="369">
        <f t="shared" si="39"/>
        <v>8.3628694318454837</v>
      </c>
      <c r="BT30" s="369">
        <f t="shared" si="40"/>
        <v>47.049223931675151</v>
      </c>
      <c r="BU30" s="369">
        <f t="shared" si="41"/>
        <v>7.9046400329262543</v>
      </c>
      <c r="BV30" s="369">
        <f t="shared" si="42"/>
        <v>85.533437889280734</v>
      </c>
      <c r="BW30" s="369">
        <f t="shared" si="91"/>
        <v>0</v>
      </c>
      <c r="BX30" s="371">
        <f t="shared" si="43"/>
        <v>176.70885184777501</v>
      </c>
      <c r="BY30" s="371"/>
      <c r="CA30" s="369">
        <f t="shared" si="92"/>
        <v>31.9229592491671</v>
      </c>
      <c r="CB30" s="369">
        <f t="shared" si="44"/>
        <v>9.4878430136612479</v>
      </c>
      <c r="CC30" s="369">
        <f>(AR30*c_post_rinfar_mkv)/(1+disc_cost)^C30</f>
        <v>53.911032083991515</v>
      </c>
      <c r="CD30" s="369">
        <f t="shared" si="45"/>
        <v>8.9679725748577326</v>
      </c>
      <c r="CE30" s="369">
        <f t="shared" si="46"/>
        <v>95.196226589020995</v>
      </c>
      <c r="CF30" s="369">
        <f t="shared" si="47"/>
        <v>0</v>
      </c>
      <c r="CG30" s="369">
        <f t="shared" si="48"/>
        <v>199.48603351069858</v>
      </c>
      <c r="CH30" s="369"/>
      <c r="CI30" s="384"/>
      <c r="CJ30" s="369">
        <f t="shared" si="93"/>
        <v>28.178132764825992</v>
      </c>
      <c r="CK30" s="369">
        <f t="shared" si="94"/>
        <v>8.4587654688312615</v>
      </c>
      <c r="CL30" s="369">
        <f t="shared" si="95"/>
        <v>47.397498438893322</v>
      </c>
      <c r="CM30" s="369">
        <f t="shared" si="96"/>
        <v>7.995281607464082</v>
      </c>
      <c r="CN30" s="369">
        <f t="shared" si="97"/>
        <v>86.147451204915754</v>
      </c>
      <c r="CO30" s="369">
        <f t="shared" si="98"/>
        <v>0</v>
      </c>
      <c r="CP30" s="369">
        <f t="shared" si="99"/>
        <v>178.17712948493039</v>
      </c>
      <c r="CR30" s="363">
        <f t="shared" si="55"/>
        <v>1.6284316069602987E-2</v>
      </c>
      <c r="CS30" s="363">
        <f t="shared" si="56"/>
        <v>8.2729474008509272E-4</v>
      </c>
      <c r="CT30" s="363">
        <f t="shared" si="57"/>
        <v>1.7943547299347273E-2</v>
      </c>
      <c r="CU30" s="363">
        <f t="shared" si="58"/>
        <v>1.9445884304666048E-4</v>
      </c>
      <c r="CV30" s="363">
        <f t="shared" si="59"/>
        <v>5.8390758161784503E-3</v>
      </c>
      <c r="CW30" s="363">
        <v>0</v>
      </c>
      <c r="CX30" s="363">
        <f t="shared" si="6"/>
        <v>4.1088692768260465E-2</v>
      </c>
      <c r="CY30" s="363"/>
      <c r="CZ30" s="440"/>
      <c r="DA30" s="363">
        <f t="shared" si="60"/>
        <v>1.4374031449030983E-2</v>
      </c>
      <c r="DB30" s="363">
        <f t="shared" si="61"/>
        <v>7.3756407751492819E-4</v>
      </c>
      <c r="DC30" s="363">
        <f t="shared" si="62"/>
        <v>1.5774544582263662E-2</v>
      </c>
      <c r="DD30" s="363">
        <f t="shared" si="63"/>
        <v>1.7336730216800132E-4</v>
      </c>
      <c r="DE30" s="363">
        <f t="shared" si="64"/>
        <v>5.2838088390374923E-3</v>
      </c>
      <c r="DF30" s="363">
        <v>0</v>
      </c>
      <c r="DG30" s="363">
        <f t="shared" si="65"/>
        <v>3.6343316250015065E-2</v>
      </c>
      <c r="DJ30" s="363">
        <f t="shared" si="66"/>
        <v>1.6471046400481072E-2</v>
      </c>
      <c r="DK30" s="363">
        <f t="shared" si="67"/>
        <v>8.3678123125177726E-4</v>
      </c>
      <c r="DL30" s="363">
        <f t="shared" si="68"/>
        <v>1.8075154232506638E-2</v>
      </c>
      <c r="DM30" s="363">
        <f t="shared" si="69"/>
        <v>1.9668867965441663E-4</v>
      </c>
      <c r="DN30" s="363">
        <f t="shared" si="70"/>
        <v>5.8807254321426288E-3</v>
      </c>
      <c r="DO30" s="363">
        <f t="shared" si="71"/>
        <v>0</v>
      </c>
      <c r="DP30" s="363">
        <f t="shared" si="100"/>
        <v>4.1460395976036533E-2</v>
      </c>
      <c r="DQ30" s="440"/>
      <c r="DS30" s="363">
        <f t="shared" si="72"/>
        <v>1.4538856771571839E-2</v>
      </c>
      <c r="DT30" s="363">
        <f t="shared" si="73"/>
        <v>7.4602163776182353E-4</v>
      </c>
      <c r="DU30" s="363">
        <f t="shared" si="74"/>
        <v>1.5891313176554549E-2</v>
      </c>
      <c r="DV30" s="363">
        <f t="shared" si="75"/>
        <v>1.7535528456522959E-4</v>
      </c>
      <c r="DW30" s="363">
        <f t="shared" si="76"/>
        <v>5.3217393731595838E-3</v>
      </c>
      <c r="DX30" s="363">
        <f t="shared" si="101"/>
        <v>0</v>
      </c>
      <c r="DY30" s="388">
        <f t="shared" si="102"/>
        <v>3.6673286243613025E-2</v>
      </c>
    </row>
    <row r="31" spans="2:129" x14ac:dyDescent="0.15">
      <c r="B31" s="448" t="s">
        <v>588</v>
      </c>
      <c r="C31" s="238">
        <v>22</v>
      </c>
      <c r="D31" s="238">
        <v>84</v>
      </c>
      <c r="E31" s="444">
        <f t="shared" si="7"/>
        <v>4.2999999999999997E-2</v>
      </c>
      <c r="F31" s="364">
        <v>1.12E-2</v>
      </c>
      <c r="G31" s="363">
        <f t="shared" si="8"/>
        <v>0.20341549999999997</v>
      </c>
      <c r="H31" s="363">
        <f t="shared" si="9"/>
        <v>0.45768487499999999</v>
      </c>
      <c r="I31" s="363">
        <f t="shared" si="10"/>
        <v>0.30512324999999996</v>
      </c>
      <c r="J31" s="363">
        <f t="shared" si="11"/>
        <v>0.48107765749999998</v>
      </c>
      <c r="K31" s="363">
        <f t="shared" si="12"/>
        <v>0.23596197999999999</v>
      </c>
      <c r="L31" s="363"/>
      <c r="N31" s="363">
        <f t="shared" si="77"/>
        <v>4.3175061147594965E-2</v>
      </c>
      <c r="O31" s="363">
        <f t="shared" si="78"/>
        <v>2.4256175229105188E-3</v>
      </c>
      <c r="P31" s="363">
        <f t="shared" si="79"/>
        <v>4.8335823263515786E-2</v>
      </c>
      <c r="Q31" s="363">
        <f t="shared" si="80"/>
        <v>6.3178875015343751E-4</v>
      </c>
      <c r="R31" s="363">
        <f t="shared" si="81"/>
        <v>1.9618615120888E-2</v>
      </c>
      <c r="S31" s="363">
        <f t="shared" si="82"/>
        <v>0.8858130941949377</v>
      </c>
      <c r="T31" s="363">
        <f t="shared" si="0"/>
        <v>1.0000000000000004</v>
      </c>
      <c r="U31" s="363">
        <f t="shared" si="1"/>
        <v>0.1141869058050627</v>
      </c>
      <c r="V31" s="376"/>
      <c r="W31" s="363"/>
      <c r="X31" s="363">
        <f t="shared" si="13"/>
        <v>3.761377866506084E-2</v>
      </c>
      <c r="Y31" s="363">
        <f t="shared" si="14"/>
        <v>2.1410725761285511E-3</v>
      </c>
      <c r="Z31" s="363">
        <f t="shared" si="15"/>
        <v>4.1619356055790722E-2</v>
      </c>
      <c r="AA31" s="363">
        <f t="shared" si="16"/>
        <v>5.5767471750325058E-4</v>
      </c>
      <c r="AB31" s="363">
        <f t="shared" si="17"/>
        <v>1.746791613559405E-2</v>
      </c>
      <c r="AC31" s="363">
        <f t="shared" si="18"/>
        <v>0.90060020184992307</v>
      </c>
      <c r="AD31" s="363">
        <f t="shared" si="19"/>
        <v>1.0000000000000004</v>
      </c>
      <c r="AE31" s="363">
        <f t="shared" si="2"/>
        <v>9.9399798150077406E-2</v>
      </c>
      <c r="AF31" s="363"/>
      <c r="AG31" s="376"/>
      <c r="AH31" s="363">
        <f t="shared" si="20"/>
        <v>0.58953120465000008</v>
      </c>
      <c r="AI31" s="363">
        <f t="shared" si="21"/>
        <v>0.54542138767500004</v>
      </c>
      <c r="AJ31" s="363">
        <f t="shared" si="22"/>
        <v>0.57482793232500007</v>
      </c>
      <c r="AK31" s="363">
        <f t="shared" si="23"/>
        <v>0.49220954497500002</v>
      </c>
      <c r="AL31" s="363">
        <f t="shared" si="24"/>
        <v>0.49220954497500002</v>
      </c>
      <c r="AM31" s="363">
        <v>0</v>
      </c>
      <c r="AN31" s="368"/>
      <c r="AP31" s="363">
        <f t="shared" si="25"/>
        <v>4.3670144479268987E-2</v>
      </c>
      <c r="AQ31" s="363">
        <f t="shared" si="26"/>
        <v>2.4534317928313928E-3</v>
      </c>
      <c r="AR31" s="363">
        <f t="shared" si="27"/>
        <v>4.8697946496836737E-2</v>
      </c>
      <c r="AS31" s="363">
        <f t="shared" si="28"/>
        <v>6.3903339720259536E-4</v>
      </c>
      <c r="AT31" s="363">
        <f t="shared" si="29"/>
        <v>1.9760557676248788E-2</v>
      </c>
      <c r="AU31" s="363">
        <f t="shared" si="30"/>
        <v>0.8847788861576118</v>
      </c>
      <c r="AV31" s="363">
        <f t="shared" si="3"/>
        <v>1.0000000000000002</v>
      </c>
      <c r="AW31" s="363">
        <f t="shared" si="4"/>
        <v>0.11522111384238851</v>
      </c>
      <c r="AX31" s="375"/>
      <c r="AY31" s="363">
        <f t="shared" si="83"/>
        <v>3.8045091426719427E-2</v>
      </c>
      <c r="AZ31" s="363">
        <f t="shared" si="84"/>
        <v>2.1656240027199793E-3</v>
      </c>
      <c r="BA31" s="363">
        <f t="shared" si="85"/>
        <v>4.1933775229820433E-2</v>
      </c>
      <c r="BB31" s="363">
        <f t="shared" si="86"/>
        <v>5.6406950768520393E-4</v>
      </c>
      <c r="BC31" s="363">
        <f t="shared" si="87"/>
        <v>1.7594991872358908E-2</v>
      </c>
      <c r="BD31" s="363">
        <f t="shared" si="88"/>
        <v>0.89969644796069637</v>
      </c>
      <c r="BE31" s="363">
        <f t="shared" si="32"/>
        <v>1.0000000000000002</v>
      </c>
      <c r="BF31" s="363">
        <f t="shared" si="33"/>
        <v>0.10030355203930395</v>
      </c>
      <c r="BG31" s="438"/>
      <c r="BH31" s="439"/>
      <c r="BJ31" s="369">
        <f t="shared" si="89"/>
        <v>23.339428732888475</v>
      </c>
      <c r="BK31" s="369">
        <f t="shared" si="34"/>
        <v>7.0970612744428214</v>
      </c>
      <c r="BL31" s="369">
        <f t="shared" si="35"/>
        <v>39.207678434159256</v>
      </c>
      <c r="BM31" s="369">
        <f t="shared" si="36"/>
        <v>6.708189709678571</v>
      </c>
      <c r="BN31" s="369">
        <f t="shared" si="37"/>
        <v>73.956392654102345</v>
      </c>
      <c r="BO31" s="369">
        <f t="shared" si="38"/>
        <v>0</v>
      </c>
      <c r="BP31" s="369">
        <f t="shared" si="5"/>
        <v>150.30875080527147</v>
      </c>
      <c r="BQ31" s="431"/>
      <c r="BR31" s="369">
        <f t="shared" si="90"/>
        <v>20.333129431519762</v>
      </c>
      <c r="BS31" s="369">
        <f t="shared" si="39"/>
        <v>6.2645174361951641</v>
      </c>
      <c r="BT31" s="369">
        <f t="shared" si="40"/>
        <v>33.759605582303465</v>
      </c>
      <c r="BU31" s="369">
        <f t="shared" si="41"/>
        <v>5.9212637141681697</v>
      </c>
      <c r="BV31" s="369">
        <f t="shared" si="42"/>
        <v>65.848891810792082</v>
      </c>
      <c r="BW31" s="369">
        <f t="shared" si="91"/>
        <v>0</v>
      </c>
      <c r="BX31" s="371">
        <f t="shared" si="43"/>
        <v>132.12740797497864</v>
      </c>
      <c r="BY31" s="371"/>
      <c r="CA31" s="369">
        <f t="shared" si="92"/>
        <v>23.607059208197956</v>
      </c>
      <c r="CB31" s="369">
        <f t="shared" si="44"/>
        <v>7.1784424386485748</v>
      </c>
      <c r="CC31" s="369">
        <f>(AR31*c_post_rinfar_mkv)/(1+disc_cost)^C31</f>
        <v>39.501415259705425</v>
      </c>
      <c r="CD31" s="369">
        <f t="shared" si="45"/>
        <v>6.7851117295366494</v>
      </c>
      <c r="CE31" s="369">
        <f t="shared" si="46"/>
        <v>74.491474223005355</v>
      </c>
      <c r="CF31" s="369">
        <f t="shared" si="47"/>
        <v>0</v>
      </c>
      <c r="CG31" s="369">
        <f t="shared" si="48"/>
        <v>151.56350285909394</v>
      </c>
      <c r="CH31" s="369"/>
      <c r="CI31" s="384"/>
      <c r="CJ31" s="369">
        <f t="shared" si="93"/>
        <v>20.566287027473198</v>
      </c>
      <c r="CK31" s="369">
        <f t="shared" si="94"/>
        <v>6.3363519184449766</v>
      </c>
      <c r="CL31" s="369">
        <f t="shared" si="95"/>
        <v>34.014647185747016</v>
      </c>
      <c r="CM31" s="369">
        <f t="shared" si="96"/>
        <v>5.9891621464902309</v>
      </c>
      <c r="CN31" s="369">
        <f t="shared" si="97"/>
        <v>66.327929858436192</v>
      </c>
      <c r="CO31" s="369">
        <f t="shared" si="98"/>
        <v>0</v>
      </c>
      <c r="CP31" s="369">
        <f t="shared" si="99"/>
        <v>133.2343781365916</v>
      </c>
      <c r="CR31" s="363">
        <f t="shared" si="55"/>
        <v>1.1941312496039498E-2</v>
      </c>
      <c r="CS31" s="363">
        <f t="shared" si="56"/>
        <v>6.20678625753852E-4</v>
      </c>
      <c r="CT31" s="363">
        <f t="shared" si="57"/>
        <v>1.3035247692860158E-2</v>
      </c>
      <c r="CU31" s="363">
        <f t="shared" si="58"/>
        <v>1.4589292258218733E-4</v>
      </c>
      <c r="CV31" s="363">
        <f t="shared" si="59"/>
        <v>4.5303388138935984E-3</v>
      </c>
      <c r="CW31" s="363">
        <v>0</v>
      </c>
      <c r="CX31" s="363">
        <f t="shared" si="6"/>
        <v>3.0273470551129292E-2</v>
      </c>
      <c r="CY31" s="363"/>
      <c r="CZ31" s="440"/>
      <c r="DA31" s="363">
        <f t="shared" si="60"/>
        <v>1.0403178901377767E-2</v>
      </c>
      <c r="DB31" s="363">
        <f t="shared" si="61"/>
        <v>5.4786790235426266E-4</v>
      </c>
      <c r="DC31" s="363">
        <f t="shared" si="62"/>
        <v>1.1223944858596591E-2</v>
      </c>
      <c r="DD31" s="363">
        <f t="shared" si="63"/>
        <v>1.2877847914668548E-4</v>
      </c>
      <c r="DE31" s="363">
        <f t="shared" si="64"/>
        <v>4.0336985041652656E-3</v>
      </c>
      <c r="DF31" s="363">
        <v>0</v>
      </c>
      <c r="DG31" s="363">
        <f t="shared" si="65"/>
        <v>2.6337468645640572E-2</v>
      </c>
      <c r="DJ31" s="363">
        <f t="shared" si="66"/>
        <v>1.2078242117398684E-2</v>
      </c>
      <c r="DK31" s="363">
        <f t="shared" si="67"/>
        <v>6.2779587431747541E-4</v>
      </c>
      <c r="DL31" s="363">
        <f t="shared" si="68"/>
        <v>1.3132905407635049E-2</v>
      </c>
      <c r="DM31" s="363">
        <f t="shared" si="69"/>
        <v>1.4756585951058524E-4</v>
      </c>
      <c r="DN31" s="363">
        <f t="shared" si="70"/>
        <v>4.5631162481789347E-3</v>
      </c>
      <c r="DO31" s="363">
        <f t="shared" si="71"/>
        <v>0</v>
      </c>
      <c r="DP31" s="363">
        <f t="shared" si="100"/>
        <v>3.0549625507040729E-2</v>
      </c>
      <c r="DQ31" s="440"/>
      <c r="DS31" s="363">
        <f t="shared" si="72"/>
        <v>1.0522470926301323E-2</v>
      </c>
      <c r="DT31" s="363">
        <f t="shared" si="73"/>
        <v>5.5415023894407232E-4</v>
      </c>
      <c r="DU31" s="363">
        <f t="shared" si="74"/>
        <v>1.1308737700347056E-2</v>
      </c>
      <c r="DV31" s="363">
        <f t="shared" si="75"/>
        <v>1.3025516677165263E-4</v>
      </c>
      <c r="DW31" s="363">
        <f t="shared" si="76"/>
        <v>4.0630428864788281E-3</v>
      </c>
      <c r="DX31" s="363">
        <f t="shared" si="101"/>
        <v>0</v>
      </c>
      <c r="DY31" s="388">
        <f t="shared" si="102"/>
        <v>2.6578656918842931E-2</v>
      </c>
    </row>
    <row r="32" spans="2:129" x14ac:dyDescent="0.15">
      <c r="B32" s="448" t="s">
        <v>588</v>
      </c>
      <c r="C32" s="238">
        <v>23</v>
      </c>
      <c r="D32" s="238">
        <v>85</v>
      </c>
      <c r="E32" s="444">
        <f t="shared" si="7"/>
        <v>4.2999999999999997E-2</v>
      </c>
      <c r="F32" s="364">
        <v>1.12E-2</v>
      </c>
      <c r="G32" s="363">
        <f t="shared" si="8"/>
        <v>0.22801650000000001</v>
      </c>
      <c r="H32" s="363">
        <f t="shared" si="9"/>
        <v>0.51303712499999998</v>
      </c>
      <c r="I32" s="363">
        <f t="shared" si="10"/>
        <v>0.34202475000000004</v>
      </c>
      <c r="J32" s="363">
        <f t="shared" si="11"/>
        <v>0.53925902250000002</v>
      </c>
      <c r="K32" s="363">
        <f t="shared" si="12"/>
        <v>0.26449913999999997</v>
      </c>
      <c r="L32" s="363"/>
      <c r="N32" s="363">
        <f t="shared" si="77"/>
        <v>3.2052496182526716E-2</v>
      </c>
      <c r="O32" s="363">
        <f t="shared" si="78"/>
        <v>1.8565276293465833E-3</v>
      </c>
      <c r="P32" s="363">
        <f t="shared" si="79"/>
        <v>3.4902888848065659E-2</v>
      </c>
      <c r="Q32" s="363">
        <f t="shared" si="80"/>
        <v>4.8356068485306359E-4</v>
      </c>
      <c r="R32" s="363">
        <f t="shared" si="81"/>
        <v>1.5317217150300096E-2</v>
      </c>
      <c r="S32" s="363">
        <f t="shared" si="82"/>
        <v>0.91538730950490832</v>
      </c>
      <c r="T32" s="363">
        <f t="shared" si="0"/>
        <v>1.0000000000000004</v>
      </c>
      <c r="U32" s="363">
        <f t="shared" si="1"/>
        <v>8.4612690495092124E-2</v>
      </c>
      <c r="V32" s="376"/>
      <c r="W32" s="363"/>
      <c r="X32" s="363">
        <f t="shared" si="13"/>
        <v>2.7529624538078688E-2</v>
      </c>
      <c r="Y32" s="363">
        <f t="shared" si="14"/>
        <v>1.617392482597616E-3</v>
      </c>
      <c r="Z32" s="363">
        <f t="shared" si="15"/>
        <v>2.9386092947748708E-2</v>
      </c>
      <c r="AA32" s="363">
        <f t="shared" si="16"/>
        <v>4.2127432104868137E-4</v>
      </c>
      <c r="AB32" s="363">
        <f t="shared" si="17"/>
        <v>1.3402919879886168E-2</v>
      </c>
      <c r="AC32" s="363">
        <f t="shared" si="18"/>
        <v>0.92764269583064063</v>
      </c>
      <c r="AD32" s="363">
        <f t="shared" si="19"/>
        <v>1.0000000000000004</v>
      </c>
      <c r="AE32" s="363">
        <f t="shared" si="2"/>
        <v>7.2357304169359857E-2</v>
      </c>
      <c r="AF32" s="363"/>
      <c r="AG32" s="376"/>
      <c r="AH32" s="363">
        <f t="shared" si="20"/>
        <v>0.58449124525000007</v>
      </c>
      <c r="AI32" s="363">
        <f t="shared" si="21"/>
        <v>0.54075852737500008</v>
      </c>
      <c r="AJ32" s="363">
        <f t="shared" si="22"/>
        <v>0.56991367262500003</v>
      </c>
      <c r="AK32" s="363">
        <f t="shared" si="23"/>
        <v>0.48800159787499997</v>
      </c>
      <c r="AL32" s="363">
        <f t="shared" si="24"/>
        <v>0.48800159787499997</v>
      </c>
      <c r="AM32" s="363">
        <v>0</v>
      </c>
      <c r="AN32" s="368"/>
      <c r="AP32" s="363">
        <f t="shared" si="25"/>
        <v>3.2420038374169867E-2</v>
      </c>
      <c r="AQ32" s="363">
        <f t="shared" si="26"/>
        <v>1.8778162126085662E-3</v>
      </c>
      <c r="AR32" s="363">
        <f t="shared" si="27"/>
        <v>3.5169603962804129E-2</v>
      </c>
      <c r="AS32" s="363">
        <f t="shared" si="28"/>
        <v>4.8910561816781261E-4</v>
      </c>
      <c r="AT32" s="363">
        <f t="shared" si="29"/>
        <v>1.5429426068469029E-2</v>
      </c>
      <c r="AU32" s="363">
        <f t="shared" si="30"/>
        <v>0.91461400976378093</v>
      </c>
      <c r="AV32" s="363">
        <f t="shared" si="3"/>
        <v>1.0000000000000004</v>
      </c>
      <c r="AW32" s="363">
        <f t="shared" si="4"/>
        <v>8.53859902362194E-2</v>
      </c>
      <c r="AX32" s="375"/>
      <c r="AY32" s="363">
        <f t="shared" si="83"/>
        <v>2.7845303494257911E-2</v>
      </c>
      <c r="AZ32" s="363">
        <f t="shared" si="84"/>
        <v>1.6359389313489352E-3</v>
      </c>
      <c r="BA32" s="363">
        <f t="shared" si="85"/>
        <v>2.9612379852122322E-2</v>
      </c>
      <c r="BB32" s="363">
        <f t="shared" si="86"/>
        <v>4.2610502397925757E-4</v>
      </c>
      <c r="BC32" s="363">
        <f t="shared" si="87"/>
        <v>1.3501566605874898E-2</v>
      </c>
      <c r="BD32" s="363">
        <f t="shared" si="88"/>
        <v>0.92697870609241706</v>
      </c>
      <c r="BE32" s="363">
        <f t="shared" si="32"/>
        <v>1.0000000000000004</v>
      </c>
      <c r="BF32" s="363">
        <f t="shared" si="33"/>
        <v>7.3021293907583329E-2</v>
      </c>
      <c r="BG32" s="438"/>
      <c r="BH32" s="439"/>
      <c r="BJ32" s="369">
        <f t="shared" si="89"/>
        <v>16.740898676474441</v>
      </c>
      <c r="BK32" s="369">
        <f t="shared" si="34"/>
        <v>5.2482836695145005</v>
      </c>
      <c r="BL32" s="369">
        <f t="shared" si="35"/>
        <v>27.354137903814181</v>
      </c>
      <c r="BM32" s="369">
        <f t="shared" si="36"/>
        <v>4.9607127716500186</v>
      </c>
      <c r="BN32" s="369">
        <f t="shared" si="37"/>
        <v>55.788783543460688</v>
      </c>
      <c r="BO32" s="369">
        <f t="shared" si="38"/>
        <v>0</v>
      </c>
      <c r="BP32" s="369">
        <f t="shared" si="5"/>
        <v>110.09281656491382</v>
      </c>
      <c r="BQ32" s="431"/>
      <c r="BR32" s="369">
        <f t="shared" si="90"/>
        <v>14.378619760809816</v>
      </c>
      <c r="BS32" s="369">
        <f t="shared" si="39"/>
        <v>4.5722640586825944</v>
      </c>
      <c r="BT32" s="369">
        <f t="shared" si="40"/>
        <v>23.030507372789245</v>
      </c>
      <c r="BU32" s="369">
        <f t="shared" si="41"/>
        <v>4.3217345211375147</v>
      </c>
      <c r="BV32" s="369">
        <f t="shared" si="42"/>
        <v>48.816478129949736</v>
      </c>
      <c r="BW32" s="369">
        <f t="shared" si="91"/>
        <v>0</v>
      </c>
      <c r="BX32" s="371">
        <f t="shared" si="43"/>
        <v>95.119603843368907</v>
      </c>
      <c r="BY32" s="371"/>
      <c r="CA32" s="369">
        <f t="shared" si="92"/>
        <v>16.932864586230373</v>
      </c>
      <c r="CB32" s="369">
        <f t="shared" si="44"/>
        <v>5.3084651190737979</v>
      </c>
      <c r="CC32" s="369">
        <f>(AR32*c_post_rinfar_mkv)/(1+disc_cost)^C32</f>
        <v>27.563168223950335</v>
      </c>
      <c r="CD32" s="369">
        <f t="shared" si="45"/>
        <v>5.0175966796558589</v>
      </c>
      <c r="CE32" s="369">
        <f t="shared" si="46"/>
        <v>56.197473907117889</v>
      </c>
      <c r="CF32" s="369">
        <f t="shared" si="47"/>
        <v>0</v>
      </c>
      <c r="CG32" s="369">
        <f t="shared" si="48"/>
        <v>111.01956851602826</v>
      </c>
      <c r="CH32" s="369"/>
      <c r="CI32" s="384"/>
      <c r="CJ32" s="369">
        <f t="shared" si="93"/>
        <v>14.543497696980431</v>
      </c>
      <c r="CK32" s="369">
        <f t="shared" si="94"/>
        <v>4.6246936711324205</v>
      </c>
      <c r="CL32" s="369">
        <f t="shared" si="95"/>
        <v>23.207853242783212</v>
      </c>
      <c r="CM32" s="369">
        <f t="shared" si="96"/>
        <v>4.3712913409419176</v>
      </c>
      <c r="CN32" s="369">
        <f t="shared" si="97"/>
        <v>49.175771909587013</v>
      </c>
      <c r="CO32" s="369">
        <f t="shared" si="98"/>
        <v>0</v>
      </c>
      <c r="CP32" s="369">
        <f t="shared" si="99"/>
        <v>95.923107861424995</v>
      </c>
      <c r="CR32" s="363">
        <f t="shared" si="55"/>
        <v>8.4920359181427131E-3</v>
      </c>
      <c r="CS32" s="363">
        <f t="shared" si="56"/>
        <v>4.5506847255460513E-4</v>
      </c>
      <c r="CT32" s="363">
        <f t="shared" si="57"/>
        <v>9.0165917251093814E-3</v>
      </c>
      <c r="CU32" s="363">
        <f t="shared" si="58"/>
        <v>1.0696561260727645E-4</v>
      </c>
      <c r="CV32" s="363">
        <f t="shared" si="59"/>
        <v>3.3882314407309303E-3</v>
      </c>
      <c r="CW32" s="363">
        <v>0</v>
      </c>
      <c r="CX32" s="363">
        <f t="shared" si="6"/>
        <v>2.1458893169144906E-2</v>
      </c>
      <c r="CY32" s="363"/>
      <c r="CZ32" s="440"/>
      <c r="DA32" s="363">
        <f t="shared" si="60"/>
        <v>7.2937395907964513E-3</v>
      </c>
      <c r="DB32" s="363">
        <f t="shared" si="61"/>
        <v>3.9645212650890978E-4</v>
      </c>
      <c r="DC32" s="363">
        <f t="shared" si="62"/>
        <v>7.5914175373666968E-3</v>
      </c>
      <c r="DD32" s="363">
        <f t="shared" si="63"/>
        <v>9.318761271996152E-5</v>
      </c>
      <c r="DE32" s="363">
        <f t="shared" si="64"/>
        <v>2.9647810100895656E-3</v>
      </c>
      <c r="DF32" s="363">
        <v>0</v>
      </c>
      <c r="DG32" s="363">
        <f t="shared" si="65"/>
        <v>1.8339577877481583E-2</v>
      </c>
      <c r="DJ32" s="363">
        <f t="shared" si="66"/>
        <v>8.589413091985668E-3</v>
      </c>
      <c r="DK32" s="363">
        <f t="shared" si="67"/>
        <v>4.6028668903290871E-4</v>
      </c>
      <c r="DL32" s="363">
        <f t="shared" si="68"/>
        <v>9.0854932222599744E-3</v>
      </c>
      <c r="DM32" s="363">
        <f t="shared" si="69"/>
        <v>1.0819217466547778E-4</v>
      </c>
      <c r="DN32" s="363">
        <f t="shared" si="70"/>
        <v>3.4130525149991715E-3</v>
      </c>
      <c r="DO32" s="363">
        <f t="shared" si="71"/>
        <v>0</v>
      </c>
      <c r="DP32" s="363">
        <f t="shared" si="100"/>
        <v>2.16564376929432E-2</v>
      </c>
      <c r="DQ32" s="440"/>
      <c r="DS32" s="363">
        <f t="shared" si="72"/>
        <v>7.3773760420484807E-3</v>
      </c>
      <c r="DT32" s="363">
        <f t="shared" si="73"/>
        <v>4.0099819626363009E-4</v>
      </c>
      <c r="DU32" s="363">
        <f t="shared" si="74"/>
        <v>7.6498750661505585E-3</v>
      </c>
      <c r="DV32" s="363">
        <f t="shared" si="75"/>
        <v>9.4256184079210601E-5</v>
      </c>
      <c r="DW32" s="363">
        <f t="shared" si="76"/>
        <v>2.9866020716597238E-3</v>
      </c>
      <c r="DX32" s="363">
        <f t="shared" si="101"/>
        <v>0</v>
      </c>
      <c r="DY32" s="388">
        <f t="shared" si="102"/>
        <v>1.8509107560201604E-2</v>
      </c>
    </row>
    <row r="33" spans="2:129" x14ac:dyDescent="0.15">
      <c r="B33" s="448" t="s">
        <v>588</v>
      </c>
      <c r="C33" s="238">
        <v>24</v>
      </c>
      <c r="D33" s="238">
        <v>86</v>
      </c>
      <c r="E33" s="444">
        <f t="shared" si="7"/>
        <v>4.2999999999999997E-2</v>
      </c>
      <c r="F33" s="364">
        <v>1.12E-2</v>
      </c>
      <c r="G33" s="363">
        <f t="shared" si="8"/>
        <v>0.25492999999999999</v>
      </c>
      <c r="H33" s="363">
        <f t="shared" si="9"/>
        <v>0.57359249999999995</v>
      </c>
      <c r="I33" s="363">
        <f t="shared" si="10"/>
        <v>0.38239499999999998</v>
      </c>
      <c r="J33" s="363">
        <f t="shared" si="11"/>
        <v>0.60290945000000007</v>
      </c>
      <c r="K33" s="363">
        <f t="shared" si="12"/>
        <v>0.2957188</v>
      </c>
      <c r="L33" s="363"/>
      <c r="N33" s="363">
        <f t="shared" si="77"/>
        <v>2.3006752893630664E-2</v>
      </c>
      <c r="O33" s="363">
        <f t="shared" si="78"/>
        <v>1.3782573358486487E-3</v>
      </c>
      <c r="P33" s="363">
        <f t="shared" si="79"/>
        <v>2.3869297047431758E-2</v>
      </c>
      <c r="Q33" s="363">
        <f t="shared" si="80"/>
        <v>3.5898795724429919E-4</v>
      </c>
      <c r="R33" s="363">
        <f t="shared" si="81"/>
        <v>1.148862260947224E-2</v>
      </c>
      <c r="S33" s="363">
        <f t="shared" si="82"/>
        <v>0.93989808215637294</v>
      </c>
      <c r="T33" s="363">
        <f t="shared" si="0"/>
        <v>1.0000000000000004</v>
      </c>
      <c r="U33" s="363">
        <f t="shared" si="1"/>
        <v>6.010191784362761E-2</v>
      </c>
      <c r="V33" s="376"/>
      <c r="W33" s="363"/>
      <c r="X33" s="363">
        <f t="shared" si="13"/>
        <v>1.945071413262664E-2</v>
      </c>
      <c r="Y33" s="363">
        <f t="shared" si="14"/>
        <v>1.1837738551373836E-3</v>
      </c>
      <c r="Z33" s="363">
        <f t="shared" si="15"/>
        <v>1.9599396757673367E-2</v>
      </c>
      <c r="AA33" s="363">
        <f t="shared" si="16"/>
        <v>3.0833179482648134E-4</v>
      </c>
      <c r="AB33" s="363">
        <f t="shared" si="17"/>
        <v>9.8611971263019987E-3</v>
      </c>
      <c r="AC33" s="363">
        <f t="shared" si="18"/>
        <v>0.94959658633343469</v>
      </c>
      <c r="AD33" s="363">
        <f t="shared" si="19"/>
        <v>1.0000000000000004</v>
      </c>
      <c r="AE33" s="363">
        <f t="shared" si="2"/>
        <v>5.0403413666565873E-2</v>
      </c>
      <c r="AF33" s="363"/>
      <c r="AG33" s="376"/>
      <c r="AH33" s="363">
        <f t="shared" si="20"/>
        <v>0.57939537704999999</v>
      </c>
      <c r="AI33" s="363">
        <f t="shared" si="21"/>
        <v>0.53604394147500001</v>
      </c>
      <c r="AJ33" s="363">
        <f t="shared" si="22"/>
        <v>0.56494489852499996</v>
      </c>
      <c r="AK33" s="363">
        <f t="shared" si="23"/>
        <v>0.48374697157500002</v>
      </c>
      <c r="AL33" s="363">
        <f t="shared" si="24"/>
        <v>0.48374697157500002</v>
      </c>
      <c r="AM33" s="363">
        <v>0</v>
      </c>
      <c r="AN33" s="368"/>
      <c r="AP33" s="363">
        <f t="shared" si="25"/>
        <v>2.3270568614345954E-2</v>
      </c>
      <c r="AQ33" s="363">
        <f t="shared" si="26"/>
        <v>1.3940616500893043E-3</v>
      </c>
      <c r="AR33" s="363">
        <f t="shared" si="27"/>
        <v>2.4055155741440515E-2</v>
      </c>
      <c r="AS33" s="363">
        <f t="shared" si="28"/>
        <v>3.6310442979070248E-4</v>
      </c>
      <c r="AT33" s="363">
        <f t="shared" si="29"/>
        <v>1.157370714328077E-2</v>
      </c>
      <c r="AU33" s="363">
        <f t="shared" si="30"/>
        <v>0.93934340242105308</v>
      </c>
      <c r="AV33" s="363">
        <f t="shared" si="3"/>
        <v>1.0000000000000002</v>
      </c>
      <c r="AW33" s="363">
        <f t="shared" si="4"/>
        <v>6.0656597578947244E-2</v>
      </c>
      <c r="AX33" s="375"/>
      <c r="AY33" s="363">
        <f t="shared" si="83"/>
        <v>1.967375317646957E-2</v>
      </c>
      <c r="AZ33" s="363">
        <f t="shared" si="84"/>
        <v>1.1973480502530901E-3</v>
      </c>
      <c r="BA33" s="363">
        <f t="shared" si="85"/>
        <v>1.9753089273096672E-2</v>
      </c>
      <c r="BB33" s="363">
        <f t="shared" si="86"/>
        <v>3.118673991356886E-4</v>
      </c>
      <c r="BC33" s="363">
        <f t="shared" si="87"/>
        <v>9.9345184181660745E-3</v>
      </c>
      <c r="BD33" s="363">
        <f t="shared" si="88"/>
        <v>0.94912942368287911</v>
      </c>
      <c r="BE33" s="363">
        <f t="shared" si="32"/>
        <v>1.0000000000000002</v>
      </c>
      <c r="BF33" s="363">
        <f t="shared" si="33"/>
        <v>5.0870576317121094E-2</v>
      </c>
      <c r="BG33" s="438"/>
      <c r="BH33" s="439"/>
      <c r="BJ33" s="369">
        <f t="shared" si="89"/>
        <v>11.609991154729656</v>
      </c>
      <c r="BK33" s="369">
        <f t="shared" si="34"/>
        <v>3.7644873892277189</v>
      </c>
      <c r="BL33" s="369">
        <f t="shared" si="35"/>
        <v>18.074277141801261</v>
      </c>
      <c r="BM33" s="369">
        <f t="shared" si="36"/>
        <v>3.5582186189613663</v>
      </c>
      <c r="BN33" s="369">
        <f t="shared" si="37"/>
        <v>40.429152383032637</v>
      </c>
      <c r="BO33" s="369">
        <f t="shared" si="38"/>
        <v>0</v>
      </c>
      <c r="BP33" s="369">
        <f t="shared" si="5"/>
        <v>77.436126687752648</v>
      </c>
      <c r="BQ33" s="431"/>
      <c r="BR33" s="369">
        <f t="shared" si="90"/>
        <v>9.8154928718988668</v>
      </c>
      <c r="BS33" s="369">
        <f t="shared" si="39"/>
        <v>3.2332871615867265</v>
      </c>
      <c r="BT33" s="369">
        <f t="shared" si="40"/>
        <v>14.841028963122517</v>
      </c>
      <c r="BU33" s="369">
        <f t="shared" si="41"/>
        <v>3.056124616522311</v>
      </c>
      <c r="BV33" s="369">
        <f t="shared" si="42"/>
        <v>34.702144447645097</v>
      </c>
      <c r="BW33" s="369">
        <f t="shared" si="91"/>
        <v>0</v>
      </c>
      <c r="BX33" s="371">
        <f t="shared" si="43"/>
        <v>65.648078060775518</v>
      </c>
      <c r="BY33" s="371"/>
      <c r="CA33" s="369">
        <f t="shared" si="92"/>
        <v>11.743121553362792</v>
      </c>
      <c r="CB33" s="369">
        <f t="shared" si="44"/>
        <v>3.8076543219237133</v>
      </c>
      <c r="CC33" s="369">
        <f>(AR33*c_post_rinfar_mkv)/(1+disc_cost)^C33</f>
        <v>18.215012813155646</v>
      </c>
      <c r="CD33" s="369">
        <f t="shared" si="45"/>
        <v>3.5990202920077059</v>
      </c>
      <c r="CE33" s="369">
        <f t="shared" si="46"/>
        <v>40.728569963339282</v>
      </c>
      <c r="CF33" s="369">
        <f t="shared" si="47"/>
        <v>0</v>
      </c>
      <c r="CG33" s="369">
        <f t="shared" si="48"/>
        <v>78.093378943789133</v>
      </c>
      <c r="CH33" s="369"/>
      <c r="CI33" s="384"/>
      <c r="CJ33" s="369">
        <f t="shared" si="93"/>
        <v>9.9280459704672719</v>
      </c>
      <c r="CK33" s="369">
        <f t="shared" si="94"/>
        <v>3.2703628839521213</v>
      </c>
      <c r="CL33" s="369">
        <f t="shared" si="95"/>
        <v>14.957407803809</v>
      </c>
      <c r="CM33" s="369">
        <f t="shared" si="96"/>
        <v>3.0911688368880101</v>
      </c>
      <c r="CN33" s="369">
        <f t="shared" si="97"/>
        <v>34.960166473649288</v>
      </c>
      <c r="CO33" s="369">
        <f t="shared" si="98"/>
        <v>0</v>
      </c>
      <c r="CP33" s="369">
        <f t="shared" si="99"/>
        <v>66.207151968765686</v>
      </c>
      <c r="CR33" s="363">
        <f t="shared" si="55"/>
        <v>5.8379713397097768E-3</v>
      </c>
      <c r="CS33" s="363">
        <f t="shared" si="56"/>
        <v>3.2356557491052207E-4</v>
      </c>
      <c r="CT33" s="363">
        <f t="shared" si="57"/>
        <v>5.9057808255941228E-3</v>
      </c>
      <c r="CU33" s="363">
        <f t="shared" si="58"/>
        <v>7.605534557170751E-5</v>
      </c>
      <c r="CV33" s="363">
        <f t="shared" si="59"/>
        <v>2.4339846088812468E-3</v>
      </c>
      <c r="CW33" s="363">
        <v>0</v>
      </c>
      <c r="CX33" s="363">
        <f t="shared" si="6"/>
        <v>1.4577357694667375E-2</v>
      </c>
      <c r="CY33" s="363"/>
      <c r="CZ33" s="440"/>
      <c r="DA33" s="363">
        <f t="shared" si="60"/>
        <v>4.9356252995875352E-3</v>
      </c>
      <c r="DB33" s="363">
        <f t="shared" si="61"/>
        <v>2.7790780287465438E-4</v>
      </c>
      <c r="DC33" s="363">
        <f t="shared" si="62"/>
        <v>4.8493150566884082E-3</v>
      </c>
      <c r="DD33" s="363">
        <f t="shared" si="63"/>
        <v>6.5323308854938625E-5</v>
      </c>
      <c r="DE33" s="363">
        <f t="shared" si="64"/>
        <v>2.0891975345045857E-3</v>
      </c>
      <c r="DF33" s="363">
        <v>0</v>
      </c>
      <c r="DG33" s="363">
        <f t="shared" si="65"/>
        <v>1.2217369002510123E-2</v>
      </c>
      <c r="DJ33" s="363">
        <f t="shared" si="66"/>
        <v>5.9049146682021315E-3</v>
      </c>
      <c r="DK33" s="363">
        <f t="shared" si="67"/>
        <v>3.2727586317842053E-4</v>
      </c>
      <c r="DL33" s="363">
        <f t="shared" si="68"/>
        <v>5.951766290066148E-3</v>
      </c>
      <c r="DM33" s="363">
        <f t="shared" si="69"/>
        <v>7.6927463245114839E-5</v>
      </c>
      <c r="DN33" s="363">
        <f t="shared" si="70"/>
        <v>2.452010655412974E-3</v>
      </c>
      <c r="DO33" s="363">
        <f t="shared" si="71"/>
        <v>0</v>
      </c>
      <c r="DP33" s="363">
        <f t="shared" si="100"/>
        <v>1.471289494010479E-2</v>
      </c>
      <c r="DQ33" s="440"/>
      <c r="DS33" s="363">
        <f t="shared" si="72"/>
        <v>4.9922215325114688E-3</v>
      </c>
      <c r="DT33" s="363">
        <f t="shared" si="73"/>
        <v>2.8109453885807417E-4</v>
      </c>
      <c r="DU33" s="363">
        <f t="shared" si="74"/>
        <v>4.8873419122267428E-3</v>
      </c>
      <c r="DV33" s="363">
        <f t="shared" si="75"/>
        <v>6.6072363529657373E-5</v>
      </c>
      <c r="DW33" s="363">
        <f t="shared" si="76"/>
        <v>2.1047314154550583E-3</v>
      </c>
      <c r="DX33" s="363">
        <f t="shared" si="101"/>
        <v>0</v>
      </c>
      <c r="DY33" s="388">
        <f t="shared" si="102"/>
        <v>1.2331461762581002E-2</v>
      </c>
    </row>
    <row r="34" spans="2:129" x14ac:dyDescent="0.15">
      <c r="B34" s="448" t="s">
        <v>588</v>
      </c>
      <c r="C34" s="238">
        <v>25</v>
      </c>
      <c r="D34" s="238">
        <v>87</v>
      </c>
      <c r="E34" s="444">
        <f t="shared" si="7"/>
        <v>4.2999999999999997E-2</v>
      </c>
      <c r="F34" s="364">
        <v>1.12E-2</v>
      </c>
      <c r="G34" s="363">
        <f t="shared" si="8"/>
        <v>0.28508349999999999</v>
      </c>
      <c r="H34" s="363">
        <f t="shared" si="9"/>
        <v>0.64143787500000005</v>
      </c>
      <c r="I34" s="363">
        <f t="shared" si="10"/>
        <v>0.42762525000000001</v>
      </c>
      <c r="J34" s="363">
        <f t="shared" si="11"/>
        <v>0.67422247750000008</v>
      </c>
      <c r="K34" s="363">
        <f t="shared" si="12"/>
        <v>0.33069685999999998</v>
      </c>
      <c r="L34" s="363"/>
      <c r="N34" s="363">
        <f t="shared" si="77"/>
        <v>1.5894675371622619E-2</v>
      </c>
      <c r="O34" s="363">
        <f t="shared" si="78"/>
        <v>9.8929037442611846E-4</v>
      </c>
      <c r="P34" s="363">
        <f t="shared" si="79"/>
        <v>1.5329496467914974E-2</v>
      </c>
      <c r="Q34" s="363">
        <f t="shared" si="80"/>
        <v>2.5767563240866343E-4</v>
      </c>
      <c r="R34" s="363">
        <f t="shared" si="81"/>
        <v>8.2337716431317553E-3</v>
      </c>
      <c r="S34" s="363">
        <f t="shared" si="82"/>
        <v>0.95929509051049644</v>
      </c>
      <c r="T34" s="363">
        <f t="shared" si="0"/>
        <v>1.0000000000000007</v>
      </c>
      <c r="U34" s="363">
        <f t="shared" si="1"/>
        <v>4.0704909489504136E-2</v>
      </c>
      <c r="V34" s="376"/>
      <c r="W34" s="363"/>
      <c r="X34" s="363">
        <f t="shared" si="13"/>
        <v>1.3198274825898658E-2</v>
      </c>
      <c r="Y34" s="363">
        <f t="shared" si="14"/>
        <v>8.3638070770294557E-4</v>
      </c>
      <c r="Z34" s="363">
        <f t="shared" si="15"/>
        <v>1.2229217617629982E-2</v>
      </c>
      <c r="AA34" s="363">
        <f t="shared" si="16"/>
        <v>2.1784799828541838E-4</v>
      </c>
      <c r="AB34" s="363">
        <f t="shared" si="17"/>
        <v>6.9143028935287568E-3</v>
      </c>
      <c r="AC34" s="363">
        <f t="shared" si="18"/>
        <v>0.96660397595695491</v>
      </c>
      <c r="AD34" s="363">
        <f t="shared" si="19"/>
        <v>1.0000000000000007</v>
      </c>
      <c r="AE34" s="363">
        <f t="shared" si="2"/>
        <v>3.3396024043045765E-2</v>
      </c>
      <c r="AF34" s="363"/>
      <c r="AG34" s="376"/>
      <c r="AH34" s="363">
        <f t="shared" si="20"/>
        <v>0.57424360005000008</v>
      </c>
      <c r="AI34" s="363">
        <f t="shared" si="21"/>
        <v>0.53127762997500017</v>
      </c>
      <c r="AJ34" s="363">
        <f t="shared" si="22"/>
        <v>0.55992161002500018</v>
      </c>
      <c r="AK34" s="363">
        <f t="shared" si="23"/>
        <v>0.47944566607500005</v>
      </c>
      <c r="AL34" s="363">
        <f t="shared" si="24"/>
        <v>0.47944566607500005</v>
      </c>
      <c r="AM34" s="363">
        <v>0</v>
      </c>
      <c r="AN34" s="368"/>
      <c r="AP34" s="363">
        <f t="shared" si="25"/>
        <v>1.607693773859319E-2</v>
      </c>
      <c r="AQ34" s="363">
        <f t="shared" si="26"/>
        <v>1.0006344504168759E-3</v>
      </c>
      <c r="AR34" s="363">
        <f t="shared" si="27"/>
        <v>1.5451022804752825E-2</v>
      </c>
      <c r="AS34" s="363">
        <f t="shared" si="28"/>
        <v>2.6063036848067471E-4</v>
      </c>
      <c r="AT34" s="363">
        <f t="shared" si="29"/>
        <v>8.2953296930513808E-3</v>
      </c>
      <c r="AU34" s="363">
        <f t="shared" si="30"/>
        <v>0.95891544494470526</v>
      </c>
      <c r="AV34" s="363">
        <f t="shared" si="3"/>
        <v>1.0000000000000002</v>
      </c>
      <c r="AW34" s="363">
        <f t="shared" si="4"/>
        <v>4.1084555055294944E-2</v>
      </c>
      <c r="AX34" s="375"/>
      <c r="AY34" s="363">
        <f t="shared" si="83"/>
        <v>1.3349617885977199E-2</v>
      </c>
      <c r="AZ34" s="363">
        <f t="shared" si="84"/>
        <v>8.4597138658819152E-4</v>
      </c>
      <c r="BA34" s="363">
        <f t="shared" si="85"/>
        <v>1.2326793867378602E-2</v>
      </c>
      <c r="BB34" s="363">
        <f t="shared" si="86"/>
        <v>2.2034603557645921E-4</v>
      </c>
      <c r="BC34" s="363">
        <f t="shared" si="87"/>
        <v>6.9661637098389004E-3</v>
      </c>
      <c r="BD34" s="363">
        <f t="shared" si="88"/>
        <v>0.96629110711464095</v>
      </c>
      <c r="BE34" s="363">
        <f t="shared" si="32"/>
        <v>1.0000000000000002</v>
      </c>
      <c r="BF34" s="363">
        <f t="shared" si="33"/>
        <v>3.3708892885359346E-2</v>
      </c>
      <c r="BG34" s="438"/>
      <c r="BH34" s="439"/>
      <c r="BJ34" s="369">
        <f t="shared" si="89"/>
        <v>7.7497532261527331</v>
      </c>
      <c r="BK34" s="369">
        <f t="shared" si="34"/>
        <v>2.6107120134741391</v>
      </c>
      <c r="BL34" s="369">
        <f t="shared" si="35"/>
        <v>11.215247134728282</v>
      </c>
      <c r="BM34" s="369">
        <f t="shared" si="36"/>
        <v>2.4676624290659479</v>
      </c>
      <c r="BN34" s="369">
        <f t="shared" si="37"/>
        <v>27.995300978026627</v>
      </c>
      <c r="BO34" s="369">
        <f t="shared" si="38"/>
        <v>0</v>
      </c>
      <c r="BP34" s="369">
        <f t="shared" si="5"/>
        <v>52.038675781447729</v>
      </c>
      <c r="BQ34" s="431"/>
      <c r="BR34" s="369">
        <f t="shared" si="90"/>
        <v>6.435071526800038</v>
      </c>
      <c r="BS34" s="369">
        <f t="shared" si="39"/>
        <v>2.2071873111115092</v>
      </c>
      <c r="BT34" s="369">
        <f t="shared" si="40"/>
        <v>8.9470452035498678</v>
      </c>
      <c r="BU34" s="369">
        <f t="shared" si="41"/>
        <v>2.0862481857173694</v>
      </c>
      <c r="BV34" s="369">
        <f t="shared" si="42"/>
        <v>23.509030727011201</v>
      </c>
      <c r="BW34" s="369">
        <f t="shared" si="91"/>
        <v>0</v>
      </c>
      <c r="BX34" s="371">
        <f t="shared" si="43"/>
        <v>43.184582954189992</v>
      </c>
      <c r="BY34" s="371"/>
      <c r="CA34" s="369">
        <f t="shared" si="92"/>
        <v>7.8386187319533853</v>
      </c>
      <c r="CB34" s="369">
        <f t="shared" si="44"/>
        <v>2.6406487400778063</v>
      </c>
      <c r="CC34" s="369">
        <f>(AR34*c_post_rinfar_mkv)/(1+disc_cost)^C34</f>
        <v>11.304157289335604</v>
      </c>
      <c r="CD34" s="369">
        <f t="shared" si="45"/>
        <v>2.4959588229645546</v>
      </c>
      <c r="CE34" s="369">
        <f t="shared" si="46"/>
        <v>28.204601916868892</v>
      </c>
      <c r="CF34" s="369">
        <f t="shared" si="47"/>
        <v>0</v>
      </c>
      <c r="CG34" s="369">
        <f t="shared" si="48"/>
        <v>52.483985501200237</v>
      </c>
      <c r="CH34" s="369"/>
      <c r="CI34" s="384"/>
      <c r="CJ34" s="369">
        <f t="shared" si="93"/>
        <v>6.5088617326820328</v>
      </c>
      <c r="CK34" s="369">
        <f t="shared" si="94"/>
        <v>2.2324968675676802</v>
      </c>
      <c r="CL34" s="369">
        <f t="shared" si="95"/>
        <v>9.0184331814721173</v>
      </c>
      <c r="CM34" s="369">
        <f t="shared" si="96"/>
        <v>2.1101709474930379</v>
      </c>
      <c r="CN34" s="369">
        <f t="shared" si="97"/>
        <v>23.685360509338807</v>
      </c>
      <c r="CO34" s="369">
        <f t="shared" si="98"/>
        <v>0</v>
      </c>
      <c r="CP34" s="369">
        <f t="shared" si="99"/>
        <v>43.555323238553676</v>
      </c>
      <c r="CR34" s="363">
        <f t="shared" si="55"/>
        <v>3.8622384339292329E-3</v>
      </c>
      <c r="CS34" s="363">
        <f t="shared" si="56"/>
        <v>2.2240091441268824E-4</v>
      </c>
      <c r="CT34" s="363">
        <f t="shared" si="57"/>
        <v>3.6320044685716831E-3</v>
      </c>
      <c r="CU34" s="363">
        <f t="shared" si="58"/>
        <v>5.2276199054235963E-5</v>
      </c>
      <c r="CV34" s="363">
        <f t="shared" si="59"/>
        <v>1.6704345745073544E-3</v>
      </c>
      <c r="CW34" s="363">
        <v>0</v>
      </c>
      <c r="CX34" s="363">
        <f t="shared" si="6"/>
        <v>9.4393545904751953E-3</v>
      </c>
      <c r="CY34" s="363"/>
      <c r="CZ34" s="440"/>
      <c r="DA34" s="363">
        <f t="shared" si="60"/>
        <v>3.2070415470802183E-3</v>
      </c>
      <c r="DB34" s="363">
        <f t="shared" si="61"/>
        <v>1.8802551707649114E-4</v>
      </c>
      <c r="DC34" s="363">
        <f t="shared" si="62"/>
        <v>2.8974580559337137E-3</v>
      </c>
      <c r="DD34" s="363">
        <f t="shared" si="63"/>
        <v>4.4196128347417982E-5</v>
      </c>
      <c r="DE34" s="363">
        <f t="shared" si="64"/>
        <v>1.4027460455016483E-3</v>
      </c>
      <c r="DF34" s="363">
        <v>0</v>
      </c>
      <c r="DG34" s="363">
        <f t="shared" si="65"/>
        <v>7.7394672939394889E-3</v>
      </c>
      <c r="DJ34" s="363">
        <f t="shared" si="66"/>
        <v>3.9065262663205398E-3</v>
      </c>
      <c r="DK34" s="363">
        <f t="shared" si="67"/>
        <v>2.2495115945573243E-4</v>
      </c>
      <c r="DL34" s="363">
        <f t="shared" si="68"/>
        <v>3.6607975994724963E-3</v>
      </c>
      <c r="DM34" s="363">
        <f t="shared" si="69"/>
        <v>5.2875644060383162E-5</v>
      </c>
      <c r="DN34" s="363">
        <f t="shared" si="70"/>
        <v>1.6829232248345427E-3</v>
      </c>
      <c r="DO34" s="363">
        <f t="shared" si="71"/>
        <v>0</v>
      </c>
      <c r="DP34" s="363">
        <f t="shared" si="100"/>
        <v>9.5280738941436946E-3</v>
      </c>
      <c r="DQ34" s="440"/>
      <c r="DS34" s="363">
        <f t="shared" si="72"/>
        <v>3.243816314080957E-3</v>
      </c>
      <c r="DT34" s="363">
        <f t="shared" si="73"/>
        <v>1.9018158349445711E-4</v>
      </c>
      <c r="DU34" s="363">
        <f t="shared" si="74"/>
        <v>2.9205767132135024E-3</v>
      </c>
      <c r="DV34" s="363">
        <f t="shared" si="75"/>
        <v>4.4702920136190033E-5</v>
      </c>
      <c r="DW34" s="363">
        <f t="shared" si="76"/>
        <v>1.4132673599589057E-3</v>
      </c>
      <c r="DX34" s="363">
        <f t="shared" si="101"/>
        <v>0</v>
      </c>
      <c r="DY34" s="388">
        <f t="shared" si="102"/>
        <v>7.8125448908840118E-3</v>
      </c>
    </row>
    <row r="35" spans="2:129" x14ac:dyDescent="0.15">
      <c r="B35" s="448" t="s">
        <v>588</v>
      </c>
      <c r="C35" s="238">
        <v>26</v>
      </c>
      <c r="D35" s="238">
        <v>88</v>
      </c>
      <c r="E35" s="444">
        <f t="shared" si="7"/>
        <v>4.2999999999999997E-2</v>
      </c>
      <c r="F35" s="364">
        <v>1.12E-2</v>
      </c>
      <c r="G35" s="363">
        <f t="shared" si="8"/>
        <v>0.31794299999999998</v>
      </c>
      <c r="H35" s="363">
        <f t="shared" si="9"/>
        <v>0.70650587499999995</v>
      </c>
      <c r="I35" s="363">
        <f t="shared" si="10"/>
        <v>0.47691450000000002</v>
      </c>
      <c r="J35" s="363">
        <f t="shared" si="11"/>
        <v>0.72983839750000001</v>
      </c>
      <c r="K35" s="363">
        <f t="shared" si="12"/>
        <v>0.36881387999999993</v>
      </c>
      <c r="L35" s="363"/>
      <c r="N35" s="363">
        <f t="shared" si="77"/>
        <v>1.0501874280174697E-2</v>
      </c>
      <c r="O35" s="363">
        <f t="shared" si="78"/>
        <v>6.8347104097977258E-4</v>
      </c>
      <c r="P35" s="363">
        <f t="shared" si="79"/>
        <v>9.128938767344991E-3</v>
      </c>
      <c r="Q35" s="363">
        <f t="shared" si="80"/>
        <v>1.7802036416217332E-4</v>
      </c>
      <c r="R35" s="363">
        <f t="shared" si="81"/>
        <v>5.5948341439257592E-3</v>
      </c>
      <c r="S35" s="363">
        <f t="shared" si="82"/>
        <v>0.97391286140341327</v>
      </c>
      <c r="T35" s="363">
        <f t="shared" si="0"/>
        <v>1.0000000000000007</v>
      </c>
      <c r="U35" s="363">
        <f t="shared" si="1"/>
        <v>2.6087138596587393E-2</v>
      </c>
      <c r="V35" s="376"/>
      <c r="W35" s="363"/>
      <c r="X35" s="363">
        <f t="shared" si="13"/>
        <v>8.5477747800511705E-3</v>
      </c>
      <c r="Y35" s="363">
        <f t="shared" si="14"/>
        <v>5.6752581751364222E-4</v>
      </c>
      <c r="Z35" s="363">
        <f t="shared" si="15"/>
        <v>7.0523745010331136E-3</v>
      </c>
      <c r="AA35" s="363">
        <f t="shared" si="16"/>
        <v>1.4782067805006497E-4</v>
      </c>
      <c r="AB35" s="363">
        <f t="shared" si="17"/>
        <v>4.5871550330667341E-3</v>
      </c>
      <c r="AC35" s="363">
        <f t="shared" si="18"/>
        <v>0.9790973491902859</v>
      </c>
      <c r="AD35" s="363">
        <f t="shared" si="19"/>
        <v>1.0000000000000007</v>
      </c>
      <c r="AE35" s="363">
        <f t="shared" si="2"/>
        <v>2.0902650809714728E-2</v>
      </c>
      <c r="AF35" s="363"/>
      <c r="AG35" s="376"/>
      <c r="AH35" s="363">
        <f t="shared" si="20"/>
        <v>0.56903591425</v>
      </c>
      <c r="AI35" s="363">
        <f t="shared" si="21"/>
        <v>0.52645959287499999</v>
      </c>
      <c r="AJ35" s="363">
        <f t="shared" si="22"/>
        <v>0.55484380712499992</v>
      </c>
      <c r="AK35" s="363">
        <f t="shared" si="23"/>
        <v>0.47509768137499997</v>
      </c>
      <c r="AL35" s="363">
        <f t="shared" si="24"/>
        <v>0.47509768137499997</v>
      </c>
      <c r="AM35" s="363">
        <v>0</v>
      </c>
      <c r="AN35" s="368"/>
      <c r="AP35" s="363">
        <f t="shared" si="25"/>
        <v>1.0622298033361207E-2</v>
      </c>
      <c r="AQ35" s="363">
        <f t="shared" si="26"/>
        <v>6.9130832275950712E-4</v>
      </c>
      <c r="AR35" s="363">
        <f t="shared" si="27"/>
        <v>9.2025649300043789E-3</v>
      </c>
      <c r="AS35" s="363">
        <f t="shared" si="28"/>
        <v>1.8006170267224371E-4</v>
      </c>
      <c r="AT35" s="363">
        <f t="shared" si="29"/>
        <v>5.6369977266264209E-3</v>
      </c>
      <c r="AU35" s="363">
        <f t="shared" si="30"/>
        <v>0.97366676928457652</v>
      </c>
      <c r="AV35" s="363">
        <f t="shared" si="3"/>
        <v>1.0000000000000002</v>
      </c>
      <c r="AW35" s="363">
        <f t="shared" si="4"/>
        <v>2.6333230715423754E-2</v>
      </c>
      <c r="AX35" s="375"/>
      <c r="AY35" s="363">
        <f t="shared" si="83"/>
        <v>8.6457911048466365E-3</v>
      </c>
      <c r="AZ35" s="363">
        <f t="shared" si="84"/>
        <v>5.7403356909701945E-4</v>
      </c>
      <c r="BA35" s="363">
        <f t="shared" si="85"/>
        <v>7.1095940694958521E-3</v>
      </c>
      <c r="BB35" s="363">
        <f t="shared" si="86"/>
        <v>1.495157203229446E-4</v>
      </c>
      <c r="BC35" s="363">
        <f t="shared" si="87"/>
        <v>4.621819104143692E-3</v>
      </c>
      <c r="BD35" s="363">
        <f t="shared" si="88"/>
        <v>0.97889924643209414</v>
      </c>
      <c r="BE35" s="363">
        <f t="shared" si="32"/>
        <v>1.0000000000000002</v>
      </c>
      <c r="BF35" s="363">
        <f t="shared" si="33"/>
        <v>2.1100753567906146E-2</v>
      </c>
      <c r="BG35" s="438"/>
      <c r="BH35" s="439"/>
      <c r="BJ35" s="369">
        <f t="shared" si="89"/>
        <v>4.9472365482583021</v>
      </c>
      <c r="BK35" s="369">
        <f t="shared" si="34"/>
        <v>1.7426691871969846</v>
      </c>
      <c r="BL35" s="369">
        <f t="shared" si="35"/>
        <v>6.4529886689579241</v>
      </c>
      <c r="BM35" s="369">
        <f t="shared" si="36"/>
        <v>1.6471825530133251</v>
      </c>
      <c r="BN35" s="369">
        <f t="shared" si="37"/>
        <v>18.379478720768869</v>
      </c>
      <c r="BO35" s="369">
        <f t="shared" si="38"/>
        <v>0</v>
      </c>
      <c r="BP35" s="369">
        <f t="shared" si="5"/>
        <v>33.169555678195408</v>
      </c>
      <c r="BQ35" s="431"/>
      <c r="BR35" s="369">
        <f t="shared" si="90"/>
        <v>4.0266968228690576</v>
      </c>
      <c r="BS35" s="369">
        <f t="shared" si="39"/>
        <v>1.4470397366098104</v>
      </c>
      <c r="BT35" s="369">
        <f t="shared" si="40"/>
        <v>4.9851241096285746</v>
      </c>
      <c r="BU35" s="369">
        <f t="shared" si="41"/>
        <v>1.3677516221506769</v>
      </c>
      <c r="BV35" s="369">
        <f t="shared" si="42"/>
        <v>15.069172052338965</v>
      </c>
      <c r="BW35" s="369">
        <f t="shared" si="91"/>
        <v>0</v>
      </c>
      <c r="BX35" s="371">
        <f t="shared" si="43"/>
        <v>26.895784343597086</v>
      </c>
      <c r="BY35" s="371"/>
      <c r="CA35" s="369">
        <f t="shared" si="92"/>
        <v>5.0039659260006557</v>
      </c>
      <c r="CB35" s="369">
        <f t="shared" si="44"/>
        <v>1.7626521691377335</v>
      </c>
      <c r="CC35" s="369">
        <f>(AR35*c_post_rinfar_mkv)/(1+disc_cost)^C35</f>
        <v>6.5050329213609945</v>
      </c>
      <c r="CD35" s="369">
        <f t="shared" si="45"/>
        <v>1.6660706009869772</v>
      </c>
      <c r="CE35" s="369">
        <f t="shared" si="46"/>
        <v>18.517989470346592</v>
      </c>
      <c r="CF35" s="369">
        <f t="shared" si="47"/>
        <v>0</v>
      </c>
      <c r="CG35" s="369">
        <f t="shared" si="48"/>
        <v>33.455711087832952</v>
      </c>
      <c r="CH35" s="369"/>
      <c r="CI35" s="384"/>
      <c r="CJ35" s="369">
        <f t="shared" si="93"/>
        <v>4.0728704802008249</v>
      </c>
      <c r="CK35" s="369">
        <f t="shared" si="94"/>
        <v>1.4636327705239123</v>
      </c>
      <c r="CL35" s="369">
        <f t="shared" si="95"/>
        <v>5.0255710045352977</v>
      </c>
      <c r="CM35" s="369">
        <f t="shared" si="96"/>
        <v>1.3834354686119945</v>
      </c>
      <c r="CN35" s="369">
        <f t="shared" si="97"/>
        <v>15.183046304970006</v>
      </c>
      <c r="CO35" s="369">
        <f t="shared" si="98"/>
        <v>0</v>
      </c>
      <c r="CP35" s="369">
        <f t="shared" si="99"/>
        <v>27.128556028842034</v>
      </c>
      <c r="CR35" s="363">
        <f t="shared" si="55"/>
        <v>2.4431908754389865E-3</v>
      </c>
      <c r="CS35" s="363">
        <f t="shared" si="56"/>
        <v>1.4710792408719029E-4</v>
      </c>
      <c r="CT35" s="363">
        <f t="shared" si="57"/>
        <v>2.0708180531655569E-3</v>
      </c>
      <c r="CU35" s="363">
        <f t="shared" si="58"/>
        <v>3.457828913314331E-5</v>
      </c>
      <c r="CV35" s="363">
        <f t="shared" si="59"/>
        <v>1.086728440260963E-3</v>
      </c>
      <c r="CW35" s="363">
        <v>0</v>
      </c>
      <c r="CX35" s="363">
        <f t="shared" si="6"/>
        <v>5.7824235820858397E-3</v>
      </c>
      <c r="CY35" s="363"/>
      <c r="CZ35" s="440"/>
      <c r="DA35" s="363">
        <f t="shared" si="60"/>
        <v>1.9885826844597411E-3</v>
      </c>
      <c r="DB35" s="363">
        <f t="shared" si="61"/>
        <v>1.2215227840617219E-4</v>
      </c>
      <c r="DC35" s="363">
        <f t="shared" si="62"/>
        <v>1.5997680351043924E-3</v>
      </c>
      <c r="DD35" s="363">
        <f t="shared" si="63"/>
        <v>2.8712367652590896E-5</v>
      </c>
      <c r="DE35" s="363">
        <f t="shared" si="64"/>
        <v>8.9099903698342518E-4</v>
      </c>
      <c r="DF35" s="363">
        <v>0</v>
      </c>
      <c r="DG35" s="363">
        <f t="shared" si="65"/>
        <v>4.6302144026063212E-3</v>
      </c>
      <c r="DJ35" s="363">
        <f t="shared" si="66"/>
        <v>2.4712066569197093E-3</v>
      </c>
      <c r="DK35" s="363">
        <f t="shared" si="67"/>
        <v>1.4879479329448013E-4</v>
      </c>
      <c r="DL35" s="363">
        <f t="shared" si="68"/>
        <v>2.0875194891929023E-3</v>
      </c>
      <c r="DM35" s="363">
        <f t="shared" si="69"/>
        <v>3.4974794294516479E-5</v>
      </c>
      <c r="DN35" s="363">
        <f t="shared" si="70"/>
        <v>1.0949182030466659E-3</v>
      </c>
      <c r="DO35" s="363">
        <f t="shared" si="71"/>
        <v>0</v>
      </c>
      <c r="DP35" s="363">
        <f t="shared" si="100"/>
        <v>5.8374139367482741E-3</v>
      </c>
      <c r="DQ35" s="440"/>
      <c r="DS35" s="363">
        <f t="shared" si="72"/>
        <v>2.0113855274566735E-3</v>
      </c>
      <c r="DT35" s="363">
        <f t="shared" si="73"/>
        <v>1.2355298416911626E-4</v>
      </c>
      <c r="DU35" s="363">
        <f t="shared" si="74"/>
        <v>1.6127477820812078E-3</v>
      </c>
      <c r="DV35" s="363">
        <f t="shared" si="75"/>
        <v>2.9041608984504689E-5</v>
      </c>
      <c r="DW35" s="363">
        <f t="shared" si="76"/>
        <v>8.9773211090938881E-4</v>
      </c>
      <c r="DX35" s="363">
        <f t="shared" si="101"/>
        <v>0</v>
      </c>
      <c r="DY35" s="388">
        <f t="shared" si="102"/>
        <v>4.6744600136008913E-3</v>
      </c>
    </row>
    <row r="36" spans="2:129" x14ac:dyDescent="0.15">
      <c r="B36" s="448" t="s">
        <v>588</v>
      </c>
      <c r="C36" s="238">
        <v>27</v>
      </c>
      <c r="D36" s="238">
        <v>89</v>
      </c>
      <c r="E36" s="444">
        <f t="shared" si="7"/>
        <v>4.2999999999999997E-2</v>
      </c>
      <c r="F36" s="364">
        <v>1.12E-2</v>
      </c>
      <c r="G36" s="363">
        <f t="shared" si="8"/>
        <v>0.35146500000000003</v>
      </c>
      <c r="H36" s="363">
        <f t="shared" si="9"/>
        <v>0.75814337499999995</v>
      </c>
      <c r="I36" s="363">
        <f t="shared" si="10"/>
        <v>0.52719749999999999</v>
      </c>
      <c r="J36" s="363">
        <f t="shared" si="11"/>
        <v>0.7841151475</v>
      </c>
      <c r="K36" s="363">
        <f t="shared" si="12"/>
        <v>0.40769939999999993</v>
      </c>
      <c r="L36" s="363"/>
      <c r="N36" s="363">
        <f t="shared" si="77"/>
        <v>6.5936752799276455E-3</v>
      </c>
      <c r="O36" s="363">
        <f t="shared" si="78"/>
        <v>4.5158059404751196E-4</v>
      </c>
      <c r="P36" s="363">
        <f t="shared" si="79"/>
        <v>4.9758102347212362E-3</v>
      </c>
      <c r="Q36" s="363">
        <f t="shared" si="80"/>
        <v>1.1762099193795661E-4</v>
      </c>
      <c r="R36" s="363">
        <f t="shared" si="81"/>
        <v>3.5794759222077081E-3</v>
      </c>
      <c r="S36" s="363">
        <f t="shared" si="82"/>
        <v>0.98428183697715854</v>
      </c>
      <c r="T36" s="363">
        <f t="shared" si="0"/>
        <v>1.0000000000000007</v>
      </c>
      <c r="U36" s="363">
        <f t="shared" si="1"/>
        <v>1.5718163022842055E-2</v>
      </c>
      <c r="V36" s="376"/>
      <c r="W36" s="363"/>
      <c r="X36" s="363">
        <f t="shared" si="13"/>
        <v>5.2562636387117213E-3</v>
      </c>
      <c r="Y36" s="363">
        <f t="shared" si="14"/>
        <v>3.6755431554220036E-4</v>
      </c>
      <c r="Z36" s="363">
        <f t="shared" si="15"/>
        <v>3.7188017558074252E-3</v>
      </c>
      <c r="AA36" s="363">
        <f t="shared" si="16"/>
        <v>9.5735077536573113E-5</v>
      </c>
      <c r="AB36" s="363">
        <f t="shared" si="17"/>
        <v>2.8624971245561582E-3</v>
      </c>
      <c r="AC36" s="363">
        <f t="shared" si="18"/>
        <v>0.98769914808784653</v>
      </c>
      <c r="AD36" s="363">
        <f t="shared" si="19"/>
        <v>1.0000000000000007</v>
      </c>
      <c r="AE36" s="363">
        <f t="shared" si="2"/>
        <v>1.2300851912154079E-2</v>
      </c>
      <c r="AF36" s="363"/>
      <c r="AG36" s="376"/>
      <c r="AH36" s="363">
        <f t="shared" si="20"/>
        <v>0.56377231964999996</v>
      </c>
      <c r="AI36" s="363">
        <f t="shared" si="21"/>
        <v>0.52158983017500005</v>
      </c>
      <c r="AJ36" s="363">
        <f t="shared" si="22"/>
        <v>0.54971148982500007</v>
      </c>
      <c r="AK36" s="363">
        <f t="shared" si="23"/>
        <v>0.47070301747499999</v>
      </c>
      <c r="AL36" s="363">
        <f t="shared" si="24"/>
        <v>0.47070301747499999</v>
      </c>
      <c r="AM36" s="363">
        <v>0</v>
      </c>
      <c r="AN36" s="368"/>
      <c r="AP36" s="363">
        <f t="shared" si="25"/>
        <v>6.6692841763320672E-3</v>
      </c>
      <c r="AQ36" s="363">
        <f t="shared" si="26"/>
        <v>4.5675881543453183E-4</v>
      </c>
      <c r="AR36" s="363">
        <f t="shared" si="27"/>
        <v>5.0166232089873244E-3</v>
      </c>
      <c r="AS36" s="363">
        <f t="shared" si="28"/>
        <v>1.1896973797364551E-4</v>
      </c>
      <c r="AT36" s="363">
        <f t="shared" si="29"/>
        <v>3.6066404816609637E-3</v>
      </c>
      <c r="AU36" s="363">
        <f t="shared" si="30"/>
        <v>0.98413172357961176</v>
      </c>
      <c r="AV36" s="363">
        <f t="shared" si="3"/>
        <v>1.0000000000000002</v>
      </c>
      <c r="AW36" s="363">
        <f t="shared" si="4"/>
        <v>1.5868276420388534E-2</v>
      </c>
      <c r="AX36" s="375"/>
      <c r="AY36" s="363">
        <f t="shared" si="83"/>
        <v>5.3165365936361925E-3</v>
      </c>
      <c r="AZ36" s="363">
        <f t="shared" si="84"/>
        <v>3.7176901750840535E-4</v>
      </c>
      <c r="BA36" s="363">
        <f t="shared" si="85"/>
        <v>3.749482674647274E-3</v>
      </c>
      <c r="BB36" s="363">
        <f t="shared" si="86"/>
        <v>9.6832860374282328E-5</v>
      </c>
      <c r="BC36" s="363">
        <f t="shared" si="87"/>
        <v>2.8842697836337231E-3</v>
      </c>
      <c r="BD36" s="363">
        <f t="shared" si="88"/>
        <v>0.98758110907020047</v>
      </c>
      <c r="BE36" s="363">
        <f t="shared" si="32"/>
        <v>1.0000000000000004</v>
      </c>
      <c r="BF36" s="363">
        <f t="shared" si="33"/>
        <v>1.2418890929799878E-2</v>
      </c>
      <c r="BG36" s="438"/>
      <c r="BH36" s="439"/>
      <c r="BJ36" s="369">
        <f t="shared" si="89"/>
        <v>3.0011179685795293</v>
      </c>
      <c r="BK36" s="369">
        <f t="shared" si="34"/>
        <v>1.1124737063020642</v>
      </c>
      <c r="BL36" s="369">
        <f t="shared" si="35"/>
        <v>3.3983184060862075</v>
      </c>
      <c r="BM36" s="369">
        <f t="shared" si="36"/>
        <v>1.0515175761236992</v>
      </c>
      <c r="BN36" s="369">
        <f t="shared" si="37"/>
        <v>11.361222593148849</v>
      </c>
      <c r="BO36" s="369">
        <f t="shared" si="38"/>
        <v>0</v>
      </c>
      <c r="BP36" s="369">
        <f t="shared" si="5"/>
        <v>19.924650250240347</v>
      </c>
      <c r="BQ36" s="431"/>
      <c r="BR36" s="369">
        <f t="shared" si="90"/>
        <v>2.3923937082176221</v>
      </c>
      <c r="BS36" s="369">
        <f t="shared" si="39"/>
        <v>0.90547405505987977</v>
      </c>
      <c r="BT36" s="369">
        <f t="shared" si="40"/>
        <v>2.5398220308243107</v>
      </c>
      <c r="BU36" s="369">
        <f t="shared" si="41"/>
        <v>0.85586012345799833</v>
      </c>
      <c r="BV36" s="369">
        <f t="shared" si="42"/>
        <v>9.0855386964784568</v>
      </c>
      <c r="BW36" s="369">
        <f t="shared" si="91"/>
        <v>0</v>
      </c>
      <c r="BX36" s="371">
        <f t="shared" si="43"/>
        <v>15.779088614038269</v>
      </c>
      <c r="BY36" s="371"/>
      <c r="CA36" s="369">
        <f t="shared" si="92"/>
        <v>3.0355314342038584</v>
      </c>
      <c r="CB36" s="369">
        <f t="shared" si="44"/>
        <v>1.1252303110242425</v>
      </c>
      <c r="CC36" s="369">
        <f>(AR36*c_post_rinfar_mkv)/(1+disc_cost)^C36</f>
        <v>3.4261923552749756</v>
      </c>
      <c r="CD36" s="369">
        <f t="shared" si="45"/>
        <v>1.0635752040937316</v>
      </c>
      <c r="CE36" s="369">
        <f t="shared" si="46"/>
        <v>11.447442646950165</v>
      </c>
      <c r="CF36" s="369">
        <f t="shared" si="47"/>
        <v>0</v>
      </c>
      <c r="CG36" s="369">
        <f t="shared" si="48"/>
        <v>20.097971951546974</v>
      </c>
      <c r="CH36" s="369"/>
      <c r="CI36" s="384"/>
      <c r="CJ36" s="369">
        <f t="shared" si="93"/>
        <v>2.419827004575704</v>
      </c>
      <c r="CK36" s="369">
        <f t="shared" si="94"/>
        <v>0.91585701920649532</v>
      </c>
      <c r="CL36" s="369">
        <f t="shared" si="95"/>
        <v>2.5607761119268302</v>
      </c>
      <c r="CM36" s="369">
        <f t="shared" si="96"/>
        <v>0.86567417050520479</v>
      </c>
      <c r="CN36" s="369">
        <f t="shared" si="97"/>
        <v>9.1546449096786269</v>
      </c>
      <c r="CO36" s="369">
        <f t="shared" si="98"/>
        <v>0</v>
      </c>
      <c r="CP36" s="369">
        <f t="shared" si="99"/>
        <v>15.916779215892861</v>
      </c>
      <c r="CR36" s="363">
        <f t="shared" si="55"/>
        <v>1.4683914937265263E-3</v>
      </c>
      <c r="CS36" s="363">
        <f t="shared" si="56"/>
        <v>9.3041122469154181E-5</v>
      </c>
      <c r="CT36" s="363">
        <f t="shared" si="57"/>
        <v>1.0804612085052387E-3</v>
      </c>
      <c r="CU36" s="363">
        <f t="shared" si="58"/>
        <v>2.1869677340452349E-5</v>
      </c>
      <c r="CV36" s="363">
        <f t="shared" si="59"/>
        <v>6.6554432314168302E-4</v>
      </c>
      <c r="CW36" s="363">
        <v>0</v>
      </c>
      <c r="CX36" s="363">
        <f t="shared" si="6"/>
        <v>3.3293078251830548E-3</v>
      </c>
      <c r="CY36" s="363"/>
      <c r="CZ36" s="440"/>
      <c r="DA36" s="363">
        <f t="shared" si="60"/>
        <v>1.1705539760752408E-3</v>
      </c>
      <c r="DB36" s="363">
        <f t="shared" si="61"/>
        <v>7.5728821249634965E-5</v>
      </c>
      <c r="DC36" s="363">
        <f t="shared" si="62"/>
        <v>8.0751090771776575E-4</v>
      </c>
      <c r="DD36" s="363">
        <f t="shared" si="63"/>
        <v>1.7800353673198372E-5</v>
      </c>
      <c r="DE36" s="363">
        <f t="shared" si="64"/>
        <v>5.3223397856598097E-4</v>
      </c>
      <c r="DF36" s="363">
        <v>0</v>
      </c>
      <c r="DG36" s="363">
        <f t="shared" si="65"/>
        <v>2.6038280372818207E-3</v>
      </c>
      <c r="DJ36" s="363">
        <f t="shared" si="66"/>
        <v>1.485229365720053E-3</v>
      </c>
      <c r="DK36" s="363">
        <f t="shared" si="67"/>
        <v>9.410801404198253E-5</v>
      </c>
      <c r="DL36" s="363">
        <f t="shared" si="68"/>
        <v>1.0893234507166726E-3</v>
      </c>
      <c r="DM36" s="363">
        <f t="shared" si="69"/>
        <v>2.2120454349970256E-5</v>
      </c>
      <c r="DN36" s="363">
        <f t="shared" si="70"/>
        <v>6.7059512351795938E-4</v>
      </c>
      <c r="DO36" s="363">
        <f t="shared" si="71"/>
        <v>0</v>
      </c>
      <c r="DP36" s="363">
        <f t="shared" si="100"/>
        <v>3.3613764083466379E-3</v>
      </c>
      <c r="DQ36" s="440"/>
      <c r="DS36" s="363">
        <f t="shared" si="72"/>
        <v>1.1839765803976403E-3</v>
      </c>
      <c r="DT36" s="363">
        <f t="shared" si="73"/>
        <v>7.6597194707169792E-5</v>
      </c>
      <c r="DU36" s="363">
        <f t="shared" si="74"/>
        <v>8.1417304736618656E-4</v>
      </c>
      <c r="DV36" s="363">
        <f t="shared" si="75"/>
        <v>1.8004468228389765E-5</v>
      </c>
      <c r="DW36" s="363">
        <f t="shared" si="76"/>
        <v>5.3628224427964861E-4</v>
      </c>
      <c r="DX36" s="363">
        <f t="shared" si="101"/>
        <v>0</v>
      </c>
      <c r="DY36" s="388">
        <f t="shared" si="102"/>
        <v>2.6290335349790348E-3</v>
      </c>
    </row>
    <row r="37" spans="2:129" x14ac:dyDescent="0.15">
      <c r="B37" s="448" t="s">
        <v>588</v>
      </c>
      <c r="C37" s="238">
        <v>28</v>
      </c>
      <c r="D37" s="238">
        <v>90</v>
      </c>
      <c r="E37" s="444">
        <f t="shared" si="7"/>
        <v>4.2999999999999997E-2</v>
      </c>
      <c r="F37" s="364">
        <v>1.12E-2</v>
      </c>
      <c r="G37" s="363">
        <f t="shared" si="8"/>
        <v>0.39479049999999999</v>
      </c>
      <c r="H37" s="363">
        <f t="shared" si="9"/>
        <v>0.82517762500000003</v>
      </c>
      <c r="I37" s="363">
        <f t="shared" si="10"/>
        <v>0.59218574999999996</v>
      </c>
      <c r="J37" s="363">
        <f t="shared" si="11"/>
        <v>0.85457559250000004</v>
      </c>
      <c r="K37" s="363">
        <f t="shared" si="12"/>
        <v>0.45795697999999996</v>
      </c>
      <c r="L37" s="363"/>
      <c r="N37" s="363">
        <f t="shared" si="77"/>
        <v>3.918851997495797E-3</v>
      </c>
      <c r="O37" s="363">
        <f t="shared" si="78"/>
        <v>2.8352803703688876E-4</v>
      </c>
      <c r="P37" s="363">
        <f t="shared" si="79"/>
        <v>2.4617932768936138E-3</v>
      </c>
      <c r="Q37" s="363">
        <f t="shared" si="80"/>
        <v>7.3849163135189633E-5</v>
      </c>
      <c r="R37" s="363">
        <f t="shared" si="81"/>
        <v>2.1455183269046083E-3</v>
      </c>
      <c r="S37" s="363">
        <f t="shared" si="82"/>
        <v>0.99111645919853464</v>
      </c>
      <c r="T37" s="363">
        <f t="shared" si="0"/>
        <v>1.0000000000000007</v>
      </c>
      <c r="U37" s="363">
        <f t="shared" si="1"/>
        <v>8.8835408014660971E-3</v>
      </c>
      <c r="V37" s="376"/>
      <c r="W37" s="363"/>
      <c r="X37" s="363">
        <f t="shared" si="13"/>
        <v>3.0390883386049788E-3</v>
      </c>
      <c r="Y37" s="363">
        <f t="shared" si="14"/>
        <v>2.26019336464604E-4</v>
      </c>
      <c r="Z37" s="363">
        <f t="shared" si="15"/>
        <v>1.7576573502894512E-3</v>
      </c>
      <c r="AA37" s="363">
        <f t="shared" si="16"/>
        <v>5.8870152753571277E-5</v>
      </c>
      <c r="AB37" s="363">
        <f t="shared" si="17"/>
        <v>1.6596105155393176E-3</v>
      </c>
      <c r="AC37" s="363">
        <f t="shared" si="18"/>
        <v>0.99325875430634891</v>
      </c>
      <c r="AD37" s="363">
        <f t="shared" si="19"/>
        <v>1.0000000000000007</v>
      </c>
      <c r="AE37" s="363">
        <f t="shared" si="2"/>
        <v>6.7412456936519231E-3</v>
      </c>
      <c r="AF37" s="363"/>
      <c r="AG37" s="376"/>
      <c r="AH37" s="363">
        <f t="shared" si="20"/>
        <v>0.55845281624999998</v>
      </c>
      <c r="AI37" s="363">
        <f t="shared" si="21"/>
        <v>0.5166683418750001</v>
      </c>
      <c r="AJ37" s="363">
        <f t="shared" si="22"/>
        <v>0.54452465812499995</v>
      </c>
      <c r="AK37" s="363">
        <f t="shared" si="23"/>
        <v>0.46626167437499999</v>
      </c>
      <c r="AL37" s="363">
        <f t="shared" si="24"/>
        <v>0.46626167437499999</v>
      </c>
      <c r="AM37" s="363">
        <v>0</v>
      </c>
      <c r="AN37" s="368"/>
      <c r="AP37" s="363">
        <f t="shared" si="25"/>
        <v>3.9637890109403186E-3</v>
      </c>
      <c r="AQ37" s="363">
        <f t="shared" si="26"/>
        <v>2.8677921958227887E-4</v>
      </c>
      <c r="AR37" s="363">
        <f t="shared" si="27"/>
        <v>2.4823421403072231E-3</v>
      </c>
      <c r="AS37" s="363">
        <f t="shared" si="28"/>
        <v>7.4695982774919146E-5</v>
      </c>
      <c r="AT37" s="363">
        <f t="shared" si="29"/>
        <v>2.1618990856064821E-3</v>
      </c>
      <c r="AU37" s="363">
        <f t="shared" si="30"/>
        <v>0.99103049456078907</v>
      </c>
      <c r="AV37" s="363">
        <f t="shared" si="3"/>
        <v>1.0000000000000002</v>
      </c>
      <c r="AW37" s="363">
        <f t="shared" si="4"/>
        <v>8.9695054392112221E-3</v>
      </c>
      <c r="AX37" s="375"/>
      <c r="AY37" s="363">
        <f t="shared" si="83"/>
        <v>3.0739372059820193E-3</v>
      </c>
      <c r="AZ37" s="363">
        <f t="shared" si="84"/>
        <v>2.2861107352635627E-4</v>
      </c>
      <c r="BA37" s="363">
        <f t="shared" si="85"/>
        <v>1.7724060313840143E-3</v>
      </c>
      <c r="BB37" s="363">
        <f t="shared" si="86"/>
        <v>5.9545209848725358E-5</v>
      </c>
      <c r="BC37" s="363">
        <f t="shared" si="87"/>
        <v>1.6723020069707656E-3</v>
      </c>
      <c r="BD37" s="363">
        <f t="shared" si="88"/>
        <v>0.99319319847228849</v>
      </c>
      <c r="BE37" s="363">
        <f t="shared" si="32"/>
        <v>1.0000000000000004</v>
      </c>
      <c r="BF37" s="363">
        <f t="shared" si="33"/>
        <v>6.8068015277118806E-3</v>
      </c>
      <c r="BG37" s="438"/>
      <c r="BH37" s="439"/>
      <c r="BJ37" s="369">
        <f t="shared" si="89"/>
        <v>1.7233521235320914</v>
      </c>
      <c r="BK37" s="369">
        <f t="shared" si="34"/>
        <v>0.67485449644221762</v>
      </c>
      <c r="BL37" s="369">
        <f t="shared" si="35"/>
        <v>1.6244692324274523</v>
      </c>
      <c r="BM37" s="369">
        <f t="shared" si="36"/>
        <v>0.63787697661091547</v>
      </c>
      <c r="BN37" s="369">
        <f t="shared" si="37"/>
        <v>6.5795698548870183</v>
      </c>
      <c r="BO37" s="369">
        <f t="shared" si="38"/>
        <v>0</v>
      </c>
      <c r="BP37" s="369">
        <f t="shared" si="5"/>
        <v>11.240122683899695</v>
      </c>
      <c r="BQ37" s="431"/>
      <c r="BR37" s="369">
        <f t="shared" si="90"/>
        <v>1.3364677577217239</v>
      </c>
      <c r="BS37" s="369">
        <f t="shared" si="39"/>
        <v>0.53797207179260143</v>
      </c>
      <c r="BT37" s="369">
        <f t="shared" si="40"/>
        <v>1.1598294273912604</v>
      </c>
      <c r="BU37" s="369">
        <f t="shared" si="41"/>
        <v>0.50849479475248194</v>
      </c>
      <c r="BV37" s="369">
        <f t="shared" si="42"/>
        <v>5.0894570239583361</v>
      </c>
      <c r="BW37" s="369">
        <f t="shared" si="91"/>
        <v>0</v>
      </c>
      <c r="BX37" s="371">
        <f t="shared" si="43"/>
        <v>8.6322210756164033</v>
      </c>
      <c r="BY37" s="371"/>
      <c r="CA37" s="369">
        <f t="shared" si="92"/>
        <v>1.7431135989831401</v>
      </c>
      <c r="CB37" s="369">
        <f t="shared" si="44"/>
        <v>0.68259297332246183</v>
      </c>
      <c r="CC37" s="369">
        <f>(AR37*c_post_rinfar_mkv)/(1+disc_cost)^C37</f>
        <v>1.6380288585301297</v>
      </c>
      <c r="CD37" s="369">
        <f t="shared" si="45"/>
        <v>0.64519143663447154</v>
      </c>
      <c r="CE37" s="369">
        <f t="shared" si="46"/>
        <v>6.6298040313111928</v>
      </c>
      <c r="CF37" s="369">
        <f t="shared" si="47"/>
        <v>0</v>
      </c>
      <c r="CG37" s="369">
        <f t="shared" si="48"/>
        <v>11.338730898781396</v>
      </c>
      <c r="CH37" s="369"/>
      <c r="CI37" s="384"/>
      <c r="CJ37" s="369">
        <f t="shared" si="93"/>
        <v>1.3517928758010205</v>
      </c>
      <c r="CK37" s="369">
        <f t="shared" si="94"/>
        <v>0.54414093406103348</v>
      </c>
      <c r="CL37" s="369">
        <f t="shared" si="95"/>
        <v>1.1695616737508063</v>
      </c>
      <c r="CM37" s="369">
        <f t="shared" si="96"/>
        <v>0.51432564456330998</v>
      </c>
      <c r="CN37" s="369">
        <f t="shared" si="97"/>
        <v>5.128377481261718</v>
      </c>
      <c r="CO37" s="369">
        <f t="shared" si="98"/>
        <v>0</v>
      </c>
      <c r="CP37" s="369">
        <f t="shared" si="99"/>
        <v>8.708198609437888</v>
      </c>
      <c r="CR37" s="363">
        <f t="shared" si="55"/>
        <v>8.3524820902338532E-4</v>
      </c>
      <c r="CS37" s="363">
        <f t="shared" si="56"/>
        <v>5.5908529352875106E-5</v>
      </c>
      <c r="CT37" s="363">
        <f t="shared" si="57"/>
        <v>5.1161036925933721E-4</v>
      </c>
      <c r="CU37" s="363">
        <f t="shared" si="58"/>
        <v>1.3141517052655381E-5</v>
      </c>
      <c r="CV37" s="363">
        <f t="shared" si="59"/>
        <v>3.8179668506448209E-4</v>
      </c>
      <c r="CW37" s="363">
        <v>0</v>
      </c>
      <c r="CX37" s="363">
        <f t="shared" si="6"/>
        <v>1.7977053097527351E-3</v>
      </c>
      <c r="CY37" s="363"/>
      <c r="CZ37" s="440"/>
      <c r="DA37" s="363">
        <f t="shared" si="60"/>
        <v>6.4773895352662812E-4</v>
      </c>
      <c r="DB37" s="363">
        <f t="shared" si="61"/>
        <v>4.4568462572908062E-5</v>
      </c>
      <c r="DC37" s="363">
        <f t="shared" si="62"/>
        <v>3.652767007096814E-4</v>
      </c>
      <c r="DD37" s="363">
        <f t="shared" si="63"/>
        <v>1.0475990295072659E-5</v>
      </c>
      <c r="DE37" s="363">
        <f t="shared" si="64"/>
        <v>2.9532900529692814E-4</v>
      </c>
      <c r="DF37" s="363">
        <v>0</v>
      </c>
      <c r="DG37" s="363">
        <f t="shared" si="65"/>
        <v>1.3633891124012185E-3</v>
      </c>
      <c r="DJ37" s="363">
        <f t="shared" si="66"/>
        <v>8.4482590167990327E-4</v>
      </c>
      <c r="DK37" s="363">
        <f t="shared" si="67"/>
        <v>5.6549625861954551E-5</v>
      </c>
      <c r="DL37" s="363">
        <f t="shared" si="68"/>
        <v>5.1588083814783881E-4</v>
      </c>
      <c r="DM37" s="363">
        <f t="shared" si="69"/>
        <v>1.3292209278045356E-5</v>
      </c>
      <c r="DN37" s="363">
        <f t="shared" si="70"/>
        <v>3.8471165404553923E-4</v>
      </c>
      <c r="DO37" s="363">
        <f t="shared" si="71"/>
        <v>0</v>
      </c>
      <c r="DP37" s="363">
        <f t="shared" si="100"/>
        <v>1.8152602290132814E-3</v>
      </c>
      <c r="DQ37" s="440"/>
      <c r="DS37" s="363">
        <f t="shared" si="72"/>
        <v>6.5516649967579802E-4</v>
      </c>
      <c r="DT37" s="363">
        <f t="shared" si="73"/>
        <v>4.5079523874309655E-5</v>
      </c>
      <c r="DU37" s="363">
        <f t="shared" si="74"/>
        <v>3.6834177455308671E-4</v>
      </c>
      <c r="DV37" s="363">
        <f t="shared" si="75"/>
        <v>1.0596117239656221E-5</v>
      </c>
      <c r="DW37" s="363">
        <f t="shared" si="76"/>
        <v>2.9758746624610215E-4</v>
      </c>
      <c r="DX37" s="363">
        <f t="shared" si="101"/>
        <v>0</v>
      </c>
      <c r="DY37" s="388">
        <f t="shared" si="102"/>
        <v>1.3767713815889529E-3</v>
      </c>
    </row>
    <row r="38" spans="2:129" x14ac:dyDescent="0.15">
      <c r="B38" s="448" t="s">
        <v>588</v>
      </c>
      <c r="C38" s="238">
        <v>29</v>
      </c>
      <c r="D38" s="238">
        <v>91</v>
      </c>
      <c r="E38" s="444">
        <f t="shared" si="7"/>
        <v>4.2999999999999997E-2</v>
      </c>
      <c r="F38" s="364">
        <v>1.12E-2</v>
      </c>
      <c r="G38" s="363">
        <f t="shared" si="8"/>
        <v>0.43334099999999998</v>
      </c>
      <c r="H38" s="363">
        <f t="shared" si="9"/>
        <v>0.8829475</v>
      </c>
      <c r="I38" s="363">
        <f t="shared" si="10"/>
        <v>0.65001149999999996</v>
      </c>
      <c r="J38" s="363">
        <f t="shared" si="11"/>
        <v>0.91529815000000014</v>
      </c>
      <c r="K38" s="363">
        <f t="shared" si="12"/>
        <v>0.50267555999999991</v>
      </c>
      <c r="L38" s="363"/>
      <c r="N38" s="363">
        <f t="shared" si="77"/>
        <v>2.1593246797141606E-3</v>
      </c>
      <c r="O38" s="363">
        <f t="shared" si="78"/>
        <v>1.6851063589231927E-4</v>
      </c>
      <c r="P38" s="363">
        <f t="shared" si="79"/>
        <v>1.0535214236852884E-3</v>
      </c>
      <c r="Q38" s="363">
        <f t="shared" si="80"/>
        <v>4.3891142371952928E-5</v>
      </c>
      <c r="R38" s="363">
        <f t="shared" si="81"/>
        <v>1.173702704174027E-3</v>
      </c>
      <c r="S38" s="363">
        <f t="shared" si="82"/>
        <v>0.99540104941416307</v>
      </c>
      <c r="T38" s="363">
        <f t="shared" si="0"/>
        <v>1.0000000000000009</v>
      </c>
      <c r="U38" s="363">
        <f t="shared" si="1"/>
        <v>4.5989505858377491E-3</v>
      </c>
      <c r="V38" s="376"/>
      <c r="W38" s="363"/>
      <c r="X38" s="363">
        <f t="shared" si="13"/>
        <v>1.6329450228778999E-3</v>
      </c>
      <c r="Y38" s="363">
        <f t="shared" si="14"/>
        <v>1.3068079856001408E-4</v>
      </c>
      <c r="Z38" s="363">
        <f t="shared" si="15"/>
        <v>7.2098319884327639E-4</v>
      </c>
      <c r="AA38" s="363">
        <f t="shared" si="16"/>
        <v>3.4037789392375766E-5</v>
      </c>
      <c r="AB38" s="363">
        <f t="shared" si="17"/>
        <v>8.8056570260568927E-4</v>
      </c>
      <c r="AC38" s="363">
        <f t="shared" si="18"/>
        <v>0.99660078748772163</v>
      </c>
      <c r="AD38" s="363">
        <f t="shared" si="19"/>
        <v>1.0000000000000009</v>
      </c>
      <c r="AE38" s="363">
        <f t="shared" si="2"/>
        <v>3.3992125122792555E-3</v>
      </c>
      <c r="AF38" s="363"/>
      <c r="AG38" s="376"/>
      <c r="AH38" s="363">
        <f t="shared" si="20"/>
        <v>0.55307740405000005</v>
      </c>
      <c r="AI38" s="363">
        <f t="shared" si="21"/>
        <v>0.51169512797500016</v>
      </c>
      <c r="AJ38" s="363">
        <f t="shared" si="22"/>
        <v>0.53928331202500002</v>
      </c>
      <c r="AK38" s="363">
        <f t="shared" si="23"/>
        <v>0.46177365207500004</v>
      </c>
      <c r="AL38" s="363">
        <f t="shared" si="24"/>
        <v>0.46177365207500004</v>
      </c>
      <c r="AM38" s="363">
        <v>0</v>
      </c>
      <c r="AN38" s="368"/>
      <c r="AP38" s="363">
        <f t="shared" si="25"/>
        <v>2.1840854010237195E-3</v>
      </c>
      <c r="AQ38" s="363">
        <f t="shared" si="26"/>
        <v>1.7044292747043368E-4</v>
      </c>
      <c r="AR38" s="363">
        <f t="shared" si="27"/>
        <v>1.0624699224608056E-3</v>
      </c>
      <c r="AS38" s="363">
        <f t="shared" si="28"/>
        <v>4.439443692253157E-5</v>
      </c>
      <c r="AT38" s="363">
        <f t="shared" si="29"/>
        <v>1.1827049283350489E-3</v>
      </c>
      <c r="AU38" s="363">
        <f t="shared" si="30"/>
        <v>0.9953559023837879</v>
      </c>
      <c r="AV38" s="363">
        <f t="shared" si="3"/>
        <v>1.0000000000000004</v>
      </c>
      <c r="AW38" s="363">
        <f t="shared" si="4"/>
        <v>4.6440976162125391E-3</v>
      </c>
      <c r="AX38" s="375"/>
      <c r="AY38" s="363">
        <f t="shared" si="83"/>
        <v>1.651669810773467E-3</v>
      </c>
      <c r="AZ38" s="363">
        <f t="shared" si="84"/>
        <v>1.3217929985722681E-4</v>
      </c>
      <c r="BA38" s="363">
        <f t="shared" si="85"/>
        <v>7.2713647384285609E-4</v>
      </c>
      <c r="BB38" s="363">
        <f t="shared" si="86"/>
        <v>3.4428096706998613E-5</v>
      </c>
      <c r="BC38" s="363">
        <f t="shared" si="87"/>
        <v>8.8732664272078211E-4</v>
      </c>
      <c r="BD38" s="363">
        <f t="shared" si="88"/>
        <v>0.99656725967609905</v>
      </c>
      <c r="BE38" s="363">
        <f t="shared" si="32"/>
        <v>1.0000000000000004</v>
      </c>
      <c r="BF38" s="363">
        <f t="shared" si="33"/>
        <v>3.4327403239013303E-3</v>
      </c>
      <c r="BG38" s="438"/>
      <c r="BH38" s="439"/>
      <c r="BJ38" s="369">
        <f t="shared" si="89"/>
        <v>0.91747187624285631</v>
      </c>
      <c r="BK38" s="369">
        <f t="shared" si="34"/>
        <v>0.38752622912365747</v>
      </c>
      <c r="BL38" s="369">
        <f t="shared" si="35"/>
        <v>0.67168079454595986</v>
      </c>
      <c r="BM38" s="369">
        <f t="shared" si="36"/>
        <v>0.36629237960777639</v>
      </c>
      <c r="BN38" s="369">
        <f t="shared" si="37"/>
        <v>3.4776272396421795</v>
      </c>
      <c r="BO38" s="369">
        <f t="shared" si="38"/>
        <v>0</v>
      </c>
      <c r="BP38" s="369">
        <f t="shared" si="5"/>
        <v>5.820598519162429</v>
      </c>
      <c r="BQ38" s="431"/>
      <c r="BR38" s="369">
        <f t="shared" si="90"/>
        <v>0.69381929823519717</v>
      </c>
      <c r="BS38" s="369">
        <f t="shared" si="39"/>
        <v>0.3005284314349847</v>
      </c>
      <c r="BT38" s="369">
        <f t="shared" si="40"/>
        <v>0.45966845758041525</v>
      </c>
      <c r="BU38" s="369">
        <f t="shared" si="41"/>
        <v>0.28406148027463374</v>
      </c>
      <c r="BV38" s="369">
        <f t="shared" si="42"/>
        <v>2.609075758951434</v>
      </c>
      <c r="BW38" s="369">
        <f t="shared" si="91"/>
        <v>0</v>
      </c>
      <c r="BX38" s="371">
        <f t="shared" si="43"/>
        <v>4.3471534264766651</v>
      </c>
      <c r="BY38" s="371"/>
      <c r="CA38" s="369">
        <f t="shared" si="92"/>
        <v>0.92799241798927612</v>
      </c>
      <c r="CB38" s="369">
        <f t="shared" si="44"/>
        <v>0.39196994666628532</v>
      </c>
      <c r="CC38" s="369">
        <f>(AR38*c_post_rinfar_mkv)/(1+disc_cost)^C38</f>
        <v>0.67738597968259207</v>
      </c>
      <c r="CD38" s="369">
        <f t="shared" si="45"/>
        <v>0.37049261110352533</v>
      </c>
      <c r="CE38" s="369">
        <f t="shared" si="46"/>
        <v>3.5043004166301857</v>
      </c>
      <c r="CF38" s="369">
        <f t="shared" si="47"/>
        <v>0</v>
      </c>
      <c r="CG38" s="369">
        <f t="shared" si="48"/>
        <v>5.872141372071864</v>
      </c>
      <c r="CH38" s="369"/>
      <c r="CI38" s="384"/>
      <c r="CJ38" s="369">
        <f t="shared" si="93"/>
        <v>0.70177524225982135</v>
      </c>
      <c r="CK38" s="369">
        <f t="shared" si="94"/>
        <v>0.30397455549695102</v>
      </c>
      <c r="CL38" s="369">
        <f t="shared" si="95"/>
        <v>0.46359152601344233</v>
      </c>
      <c r="CM38" s="369">
        <f t="shared" si="96"/>
        <v>0.28731877975068659</v>
      </c>
      <c r="CN38" s="369">
        <f t="shared" si="97"/>
        <v>2.6291081141860437</v>
      </c>
      <c r="CO38" s="369">
        <f t="shared" si="98"/>
        <v>0</v>
      </c>
      <c r="CP38" s="369">
        <f t="shared" si="99"/>
        <v>4.3857682177069446</v>
      </c>
      <c r="CR38" s="363">
        <f t="shared" si="55"/>
        <v>4.4038621911505034E-4</v>
      </c>
      <c r="CS38" s="363">
        <f t="shared" si="56"/>
        <v>3.1795704738641118E-5</v>
      </c>
      <c r="CT38" s="363">
        <f t="shared" si="57"/>
        <v>2.0950298198331484E-4</v>
      </c>
      <c r="CU38" s="363">
        <f t="shared" si="58"/>
        <v>7.4737039385665776E-6</v>
      </c>
      <c r="CV38" s="363">
        <f t="shared" si="59"/>
        <v>1.9985596293107749E-4</v>
      </c>
      <c r="CW38" s="363">
        <v>0</v>
      </c>
      <c r="CX38" s="363">
        <f t="shared" si="6"/>
        <v>8.8901457270665037E-4</v>
      </c>
      <c r="CY38" s="363"/>
      <c r="CZ38" s="440"/>
      <c r="DA38" s="363">
        <f t="shared" si="60"/>
        <v>3.3303305028826497E-4</v>
      </c>
      <c r="DB38" s="363">
        <f t="shared" si="61"/>
        <v>2.4657720054413695E-5</v>
      </c>
      <c r="DC38" s="363">
        <f t="shared" si="62"/>
        <v>1.4337452160124013E-4</v>
      </c>
      <c r="DD38" s="363">
        <f t="shared" si="63"/>
        <v>5.7958929044520907E-6</v>
      </c>
      <c r="DE38" s="363">
        <f t="shared" si="64"/>
        <v>1.4994112716319261E-4</v>
      </c>
      <c r="DF38" s="363">
        <v>0</v>
      </c>
      <c r="DG38" s="363">
        <f t="shared" si="65"/>
        <v>6.5680231201156345E-4</v>
      </c>
      <c r="DJ38" s="363">
        <f t="shared" si="66"/>
        <v>4.4543607592561644E-4</v>
      </c>
      <c r="DK38" s="363">
        <f t="shared" si="67"/>
        <v>3.2160302333097702E-5</v>
      </c>
      <c r="DL38" s="363">
        <f t="shared" si="68"/>
        <v>2.1128247800076359E-4</v>
      </c>
      <c r="DM38" s="363">
        <f t="shared" si="69"/>
        <v>7.559404019759323E-6</v>
      </c>
      <c r="DN38" s="363">
        <f t="shared" si="70"/>
        <v>2.0138884529713504E-4</v>
      </c>
      <c r="DO38" s="363">
        <f t="shared" si="71"/>
        <v>0</v>
      </c>
      <c r="DP38" s="363">
        <f t="shared" si="100"/>
        <v>8.978271055763721E-4</v>
      </c>
      <c r="DQ38" s="440"/>
      <c r="DS38" s="363">
        <f t="shared" si="72"/>
        <v>3.3685190097919098E-4</v>
      </c>
      <c r="DT38" s="363">
        <f t="shared" si="73"/>
        <v>2.494046722075335E-5</v>
      </c>
      <c r="DU38" s="363">
        <f t="shared" si="74"/>
        <v>1.4459816018361075E-4</v>
      </c>
      <c r="DV38" s="363">
        <f t="shared" si="75"/>
        <v>5.8623537244924491E-6</v>
      </c>
      <c r="DW38" s="363">
        <f t="shared" si="76"/>
        <v>1.5109236775607524E-4</v>
      </c>
      <c r="DX38" s="363">
        <f t="shared" si="101"/>
        <v>0</v>
      </c>
      <c r="DY38" s="388">
        <f t="shared" si="102"/>
        <v>6.6334524986412275E-4</v>
      </c>
    </row>
    <row r="39" spans="2:129" x14ac:dyDescent="0.15">
      <c r="B39" s="448" t="s">
        <v>588</v>
      </c>
      <c r="C39" s="238">
        <v>30</v>
      </c>
      <c r="D39" s="238">
        <v>92</v>
      </c>
      <c r="E39" s="444">
        <f t="shared" si="7"/>
        <v>4.2999999999999997E-2</v>
      </c>
      <c r="F39" s="364">
        <v>1.12E-2</v>
      </c>
      <c r="G39" s="363">
        <f t="shared" si="8"/>
        <v>0.47662100000000002</v>
      </c>
      <c r="H39" s="363">
        <f t="shared" si="9"/>
        <v>0.95796025000000007</v>
      </c>
      <c r="I39" s="363">
        <f t="shared" si="10"/>
        <v>0.71493150000000005</v>
      </c>
      <c r="J39" s="363">
        <f t="shared" si="11"/>
        <v>0.99414488500000009</v>
      </c>
      <c r="K39" s="363">
        <f t="shared" si="12"/>
        <v>0.55288035999999996</v>
      </c>
      <c r="L39" s="363"/>
      <c r="N39" s="363">
        <f t="shared" si="77"/>
        <v>1.1065653660416392E-3</v>
      </c>
      <c r="O39" s="363">
        <f t="shared" si="78"/>
        <v>9.28509612277089E-5</v>
      </c>
      <c r="P39" s="363">
        <f t="shared" si="79"/>
        <v>3.8844497400126424E-4</v>
      </c>
      <c r="Q39" s="363">
        <f t="shared" si="80"/>
        <v>2.41844364127986E-5</v>
      </c>
      <c r="R39" s="363">
        <f t="shared" si="81"/>
        <v>5.8742870103735152E-4</v>
      </c>
      <c r="S39" s="363">
        <f t="shared" si="82"/>
        <v>0.99780052556128007</v>
      </c>
      <c r="T39" s="363">
        <f t="shared" si="0"/>
        <v>1.0000000000000009</v>
      </c>
      <c r="U39" s="363">
        <f t="shared" si="1"/>
        <v>2.1994744387207627E-3</v>
      </c>
      <c r="V39" s="376"/>
      <c r="W39" s="363"/>
      <c r="X39" s="363">
        <f t="shared" si="13"/>
        <v>8.1287129895784476E-4</v>
      </c>
      <c r="Y39" s="363">
        <f t="shared" si="14"/>
        <v>7.0216635983749693E-5</v>
      </c>
      <c r="Z39" s="363">
        <f t="shared" si="15"/>
        <v>2.5154091563480807E-4</v>
      </c>
      <c r="AA39" s="363">
        <f t="shared" si="16"/>
        <v>1.8288984256232478E-5</v>
      </c>
      <c r="AB39" s="363">
        <f t="shared" si="17"/>
        <v>4.2511060651362342E-4</v>
      </c>
      <c r="AC39" s="363">
        <f t="shared" si="18"/>
        <v>0.99842197155865453</v>
      </c>
      <c r="AD39" s="363">
        <f t="shared" si="19"/>
        <v>1.0000000000000009</v>
      </c>
      <c r="AE39" s="363">
        <f t="shared" si="2"/>
        <v>1.5780284413462586E-3</v>
      </c>
      <c r="AF39" s="363"/>
      <c r="AG39" s="376"/>
      <c r="AH39" s="363">
        <f t="shared" si="20"/>
        <v>0.54764608305000007</v>
      </c>
      <c r="AI39" s="363">
        <f t="shared" si="21"/>
        <v>0.50667018847500012</v>
      </c>
      <c r="AJ39" s="363">
        <f t="shared" si="22"/>
        <v>0.53398745152500005</v>
      </c>
      <c r="AK39" s="363">
        <f t="shared" si="23"/>
        <v>0.45723895057500002</v>
      </c>
      <c r="AL39" s="363">
        <f t="shared" si="24"/>
        <v>0.45723895057500002</v>
      </c>
      <c r="AM39" s="363">
        <v>0</v>
      </c>
      <c r="AN39" s="368"/>
      <c r="AP39" s="363">
        <f t="shared" si="25"/>
        <v>1.1192542205232144E-3</v>
      </c>
      <c r="AQ39" s="363">
        <f t="shared" si="26"/>
        <v>9.3915672244019929E-5</v>
      </c>
      <c r="AR39" s="363">
        <f t="shared" si="27"/>
        <v>3.9180302522490661E-4</v>
      </c>
      <c r="AS39" s="363">
        <f t="shared" si="28"/>
        <v>2.446175649146566E-5</v>
      </c>
      <c r="AT39" s="363">
        <f t="shared" si="29"/>
        <v>5.9194835710651517E-4</v>
      </c>
      <c r="AU39" s="363">
        <f t="shared" si="30"/>
        <v>0.9977786169684103</v>
      </c>
      <c r="AV39" s="363">
        <f t="shared" si="3"/>
        <v>1.0000000000000004</v>
      </c>
      <c r="AW39" s="363">
        <f t="shared" si="4"/>
        <v>2.221383031590122E-3</v>
      </c>
      <c r="AX39" s="375"/>
      <c r="AY39" s="363">
        <f t="shared" si="83"/>
        <v>8.2219239822703774E-4</v>
      </c>
      <c r="AZ39" s="363">
        <f t="shared" si="84"/>
        <v>7.1021801863259071E-5</v>
      </c>
      <c r="BA39" s="363">
        <f t="shared" si="85"/>
        <v>2.5372095865172672E-4</v>
      </c>
      <c r="BB39" s="363">
        <f t="shared" si="86"/>
        <v>1.8498701880662831E-5</v>
      </c>
      <c r="BC39" s="363">
        <f t="shared" si="87"/>
        <v>4.2838165991596565E-4</v>
      </c>
      <c r="BD39" s="363">
        <f t="shared" si="88"/>
        <v>0.99840618447946183</v>
      </c>
      <c r="BE39" s="363">
        <f t="shared" si="32"/>
        <v>1.0000000000000004</v>
      </c>
      <c r="BF39" s="363">
        <f t="shared" si="33"/>
        <v>1.5938155205386518E-3</v>
      </c>
      <c r="BG39" s="438"/>
      <c r="BH39" s="439"/>
      <c r="BJ39" s="369">
        <f t="shared" si="89"/>
        <v>0.45426736253868399</v>
      </c>
      <c r="BK39" s="369">
        <f t="shared" si="34"/>
        <v>0.20630979105923861</v>
      </c>
      <c r="BL39" s="369">
        <f t="shared" si="35"/>
        <v>0.23928127595639659</v>
      </c>
      <c r="BM39" s="369">
        <f t="shared" si="36"/>
        <v>0.19500539221400104</v>
      </c>
      <c r="BN39" s="369">
        <f t="shared" si="37"/>
        <v>1.6816659693339979</v>
      </c>
      <c r="BO39" s="369">
        <f t="shared" si="38"/>
        <v>0</v>
      </c>
      <c r="BP39" s="369">
        <f t="shared" si="5"/>
        <v>2.7765297911023179</v>
      </c>
      <c r="BQ39" s="431"/>
      <c r="BR39" s="369">
        <f t="shared" si="90"/>
        <v>0.33370003471361065</v>
      </c>
      <c r="BS39" s="369">
        <f t="shared" si="39"/>
        <v>0.1560175501378325</v>
      </c>
      <c r="BT39" s="369">
        <f t="shared" si="40"/>
        <v>0.15494866783407343</v>
      </c>
      <c r="BU39" s="369">
        <f t="shared" si="41"/>
        <v>0.14746883025129789</v>
      </c>
      <c r="BV39" s="369">
        <f t="shared" si="42"/>
        <v>1.2169886131107508</v>
      </c>
      <c r="BW39" s="369">
        <f t="shared" si="91"/>
        <v>0</v>
      </c>
      <c r="BX39" s="371">
        <f t="shared" si="43"/>
        <v>2.0091236960475651</v>
      </c>
      <c r="BY39" s="371"/>
      <c r="CA39" s="369">
        <f t="shared" si="92"/>
        <v>0.45947639278296276</v>
      </c>
      <c r="CB39" s="369">
        <f t="shared" si="44"/>
        <v>0.20867552108948462</v>
      </c>
      <c r="CC39" s="369">
        <f>(AR39*c_post_rinfar_mkv)/(1+disc_cost)^C39</f>
        <v>0.24134982835197341</v>
      </c>
      <c r="CD39" s="369">
        <f t="shared" si="45"/>
        <v>0.19724149603656801</v>
      </c>
      <c r="CE39" s="369">
        <f t="shared" si="46"/>
        <v>1.6946046490259918</v>
      </c>
      <c r="CF39" s="369">
        <f t="shared" si="47"/>
        <v>0</v>
      </c>
      <c r="CG39" s="369">
        <f t="shared" si="48"/>
        <v>2.8013478872869806</v>
      </c>
      <c r="CH39" s="369"/>
      <c r="CI39" s="384"/>
      <c r="CJ39" s="369">
        <f t="shared" si="93"/>
        <v>0.33752653363624019</v>
      </c>
      <c r="CK39" s="369">
        <f t="shared" si="94"/>
        <v>0.1578065849757404</v>
      </c>
      <c r="CL39" s="369">
        <f t="shared" si="95"/>
        <v>0.15629156968540858</v>
      </c>
      <c r="CM39" s="369">
        <f t="shared" si="96"/>
        <v>0.14915983792698584</v>
      </c>
      <c r="CN39" s="369">
        <f t="shared" si="97"/>
        <v>1.2263528460480912</v>
      </c>
      <c r="CO39" s="369">
        <f t="shared" si="98"/>
        <v>0</v>
      </c>
      <c r="CP39" s="369">
        <f t="shared" si="99"/>
        <v>2.0271373722724664</v>
      </c>
      <c r="CR39" s="363">
        <f t="shared" si="55"/>
        <v>2.1590692160102949E-4</v>
      </c>
      <c r="CS39" s="363">
        <f t="shared" si="56"/>
        <v>1.6761051568024832E-5</v>
      </c>
      <c r="CT39" s="363">
        <f t="shared" si="57"/>
        <v>7.3900957301244237E-5</v>
      </c>
      <c r="CU39" s="363">
        <f t="shared" si="58"/>
        <v>3.9397502948323821E-6</v>
      </c>
      <c r="CV39" s="363">
        <f t="shared" si="59"/>
        <v>9.5694700451243539E-5</v>
      </c>
      <c r="CW39" s="363">
        <v>0</v>
      </c>
      <c r="CX39" s="363">
        <f t="shared" si="6"/>
        <v>4.0620338121637449E-4</v>
      </c>
      <c r="CY39" s="363"/>
      <c r="CZ39" s="440"/>
      <c r="DA39" s="363">
        <f t="shared" si="60"/>
        <v>1.5860295758543947E-4</v>
      </c>
      <c r="DB39" s="363">
        <f t="shared" si="61"/>
        <v>1.2675201646761636E-5</v>
      </c>
      <c r="DC39" s="363">
        <f t="shared" si="62"/>
        <v>4.78552065543866E-5</v>
      </c>
      <c r="DD39" s="363">
        <f t="shared" si="63"/>
        <v>2.9793553955859447E-6</v>
      </c>
      <c r="DE39" s="363">
        <f t="shared" si="64"/>
        <v>6.9252374078979456E-5</v>
      </c>
      <c r="DF39" s="363">
        <v>0</v>
      </c>
      <c r="DG39" s="363">
        <f t="shared" si="65"/>
        <v>2.913650952611531E-4</v>
      </c>
      <c r="DJ39" s="363">
        <f t="shared" si="66"/>
        <v>2.1838270079477053E-4</v>
      </c>
      <c r="DK39" s="363">
        <f t="shared" si="67"/>
        <v>1.6953248568610192E-5</v>
      </c>
      <c r="DL39" s="363">
        <f t="shared" si="68"/>
        <v>7.4539820503765638E-5</v>
      </c>
      <c r="DM39" s="363">
        <f t="shared" si="69"/>
        <v>3.9849269465865363E-6</v>
      </c>
      <c r="DN39" s="363">
        <f t="shared" si="70"/>
        <v>9.64309721603335E-5</v>
      </c>
      <c r="DO39" s="363">
        <f t="shared" si="71"/>
        <v>0</v>
      </c>
      <c r="DP39" s="363">
        <f t="shared" si="100"/>
        <v>4.1029166897406643E-4</v>
      </c>
      <c r="DQ39" s="440"/>
      <c r="DS39" s="363">
        <f t="shared" si="72"/>
        <v>1.6042163898548006E-4</v>
      </c>
      <c r="DT39" s="363">
        <f t="shared" si="73"/>
        <v>1.2820546688415802E-5</v>
      </c>
      <c r="DU39" s="363">
        <f t="shared" si="74"/>
        <v>4.8269955815391727E-5</v>
      </c>
      <c r="DV39" s="363">
        <f t="shared" si="75"/>
        <v>3.0135193123536631E-6</v>
      </c>
      <c r="DW39" s="363">
        <f t="shared" si="76"/>
        <v>6.9785242961525353E-5</v>
      </c>
      <c r="DX39" s="363">
        <f t="shared" si="101"/>
        <v>0</v>
      </c>
      <c r="DY39" s="388">
        <f t="shared" si="102"/>
        <v>2.9431090376316662E-4</v>
      </c>
    </row>
    <row r="40" spans="2:129" x14ac:dyDescent="0.15">
      <c r="B40" s="448" t="s">
        <v>588</v>
      </c>
      <c r="C40" s="238">
        <v>31</v>
      </c>
      <c r="D40" s="238">
        <v>93</v>
      </c>
      <c r="E40" s="444">
        <f t="shared" si="7"/>
        <v>4.2999999999999997E-2</v>
      </c>
      <c r="F40" s="364">
        <v>1.12E-2</v>
      </c>
      <c r="G40" s="363">
        <f t="shared" si="8"/>
        <v>0.52079399999999998</v>
      </c>
      <c r="H40" s="363">
        <f t="shared" si="9"/>
        <v>1</v>
      </c>
      <c r="I40" s="363">
        <f t="shared" si="10"/>
        <v>0.76695774999999999</v>
      </c>
      <c r="J40" s="363">
        <f t="shared" si="11"/>
        <v>1</v>
      </c>
      <c r="K40" s="363">
        <f t="shared" si="12"/>
        <v>0.60412103999999989</v>
      </c>
      <c r="L40" s="363"/>
      <c r="N40" s="363">
        <f t="shared" si="77"/>
        <v>5.1917723187405024E-4</v>
      </c>
      <c r="O40" s="363">
        <f t="shared" si="78"/>
        <v>4.7582310739790479E-5</v>
      </c>
      <c r="P40" s="363">
        <f t="shared" si="79"/>
        <v>1.1463685726835193E-4</v>
      </c>
      <c r="Q40" s="363">
        <f t="shared" si="80"/>
        <v>1.2393532099666359E-5</v>
      </c>
      <c r="R40" s="363">
        <f t="shared" si="81"/>
        <v>2.6279251198989539E-4</v>
      </c>
      <c r="S40" s="363">
        <f t="shared" si="82"/>
        <v>0.99904341755602899</v>
      </c>
      <c r="T40" s="363">
        <f t="shared" si="0"/>
        <v>1.0000000000000007</v>
      </c>
      <c r="U40" s="363">
        <f t="shared" si="1"/>
        <v>9.5658244397175442E-4</v>
      </c>
      <c r="V40" s="376"/>
      <c r="W40" s="363"/>
      <c r="X40" s="363">
        <f t="shared" si="13"/>
        <v>3.6991533524195644E-4</v>
      </c>
      <c r="Y40" s="363">
        <f t="shared" si="14"/>
        <v>3.4953465855187321E-5</v>
      </c>
      <c r="Z40" s="363">
        <f t="shared" si="15"/>
        <v>7.0676044209548768E-5</v>
      </c>
      <c r="AA40" s="363">
        <f t="shared" si="16"/>
        <v>9.104158548327861E-6</v>
      </c>
      <c r="AB40" s="363">
        <f t="shared" si="17"/>
        <v>1.8341326916612136E-4</v>
      </c>
      <c r="AC40" s="363">
        <f t="shared" si="18"/>
        <v>0.99933193772697959</v>
      </c>
      <c r="AD40" s="363">
        <f t="shared" si="19"/>
        <v>1.0000000000000007</v>
      </c>
      <c r="AE40" s="363">
        <f t="shared" si="2"/>
        <v>6.680622730211418E-4</v>
      </c>
      <c r="AF40" s="363"/>
      <c r="AG40" s="376"/>
      <c r="AH40" s="363">
        <f t="shared" si="20"/>
        <v>0.54215885325000013</v>
      </c>
      <c r="AI40" s="363">
        <f t="shared" si="21"/>
        <v>0.50159352337500007</v>
      </c>
      <c r="AJ40" s="363">
        <f t="shared" si="22"/>
        <v>0.52863707662500015</v>
      </c>
      <c r="AK40" s="363">
        <f t="shared" si="23"/>
        <v>0.45265756987500005</v>
      </c>
      <c r="AL40" s="363">
        <f t="shared" si="24"/>
        <v>0.45265756987500005</v>
      </c>
      <c r="AM40" s="363">
        <v>0</v>
      </c>
      <c r="AN40" s="368"/>
      <c r="AP40" s="363">
        <f t="shared" si="25"/>
        <v>5.2513057593086122E-4</v>
      </c>
      <c r="AQ40" s="363">
        <f t="shared" si="26"/>
        <v>4.8127931482498212E-5</v>
      </c>
      <c r="AR40" s="363">
        <f t="shared" si="27"/>
        <v>1.1563889207854681E-4</v>
      </c>
      <c r="AS40" s="363">
        <f t="shared" si="28"/>
        <v>1.253564726986E-5</v>
      </c>
      <c r="AT40" s="363">
        <f t="shared" si="29"/>
        <v>2.6481496272541609E-4</v>
      </c>
      <c r="AU40" s="363">
        <f t="shared" si="30"/>
        <v>0.99903375199051325</v>
      </c>
      <c r="AV40" s="363">
        <f t="shared" si="3"/>
        <v>1.0000000000000004</v>
      </c>
      <c r="AW40" s="363">
        <f t="shared" si="4"/>
        <v>9.6624800948718237E-4</v>
      </c>
      <c r="AX40" s="375"/>
      <c r="AY40" s="363">
        <f t="shared" si="83"/>
        <v>3.7415711074246643E-4</v>
      </c>
      <c r="AZ40" s="363">
        <f t="shared" si="84"/>
        <v>3.5354273123762621E-5</v>
      </c>
      <c r="BA40" s="363">
        <f t="shared" si="85"/>
        <v>7.1293819838019274E-5</v>
      </c>
      <c r="BB40" s="363">
        <f t="shared" si="86"/>
        <v>9.2085548601428228E-6</v>
      </c>
      <c r="BC40" s="363">
        <f t="shared" si="87"/>
        <v>1.8482481738079628E-4</v>
      </c>
      <c r="BD40" s="363">
        <f t="shared" si="88"/>
        <v>0.99932516142405525</v>
      </c>
      <c r="BE40" s="363">
        <f t="shared" si="32"/>
        <v>1.0000000000000004</v>
      </c>
      <c r="BF40" s="363">
        <f t="shared" si="33"/>
        <v>6.7483857594518735E-4</v>
      </c>
      <c r="BG40" s="438"/>
      <c r="BH40" s="439"/>
      <c r="BJ40" s="369">
        <f t="shared" si="89"/>
        <v>0.20592532066525338</v>
      </c>
      <c r="BK40" s="369">
        <f t="shared" si="34"/>
        <v>0.10215005721393852</v>
      </c>
      <c r="BL40" s="369">
        <f t="shared" si="35"/>
        <v>6.8228077016183872E-2</v>
      </c>
      <c r="BM40" s="369">
        <f t="shared" si="36"/>
        <v>9.655291622086451E-2</v>
      </c>
      <c r="BN40" s="369">
        <f t="shared" si="37"/>
        <v>0.72687077960145319</v>
      </c>
      <c r="BO40" s="369">
        <f t="shared" si="38"/>
        <v>0</v>
      </c>
      <c r="BP40" s="369">
        <f t="shared" si="5"/>
        <v>1.1997271507176936</v>
      </c>
      <c r="BQ40" s="431"/>
      <c r="BR40" s="369">
        <f t="shared" si="90"/>
        <v>0.14672240874995504</v>
      </c>
      <c r="BS40" s="369">
        <f t="shared" si="39"/>
        <v>7.5038359453758488E-2</v>
      </c>
      <c r="BT40" s="369">
        <f t="shared" si="40"/>
        <v>4.2064050798604327E-2</v>
      </c>
      <c r="BU40" s="369">
        <f t="shared" si="41"/>
        <v>7.0926758450226765E-2</v>
      </c>
      <c r="BV40" s="369">
        <f t="shared" si="42"/>
        <v>0.50731181394223279</v>
      </c>
      <c r="BW40" s="369">
        <f t="shared" si="91"/>
        <v>0</v>
      </c>
      <c r="BX40" s="371">
        <f t="shared" si="43"/>
        <v>0.84206339139477748</v>
      </c>
      <c r="BY40" s="371"/>
      <c r="CA40" s="369">
        <f t="shared" si="92"/>
        <v>0.20828664201885772</v>
      </c>
      <c r="CB40" s="369">
        <f t="shared" si="44"/>
        <v>0.10332139986666299</v>
      </c>
      <c r="CC40" s="369">
        <f>(AR40*c_post_rinfar_mkv)/(1+disc_cost)^C40</f>
        <v>6.8824455090670283E-2</v>
      </c>
      <c r="CD40" s="369">
        <f t="shared" si="45"/>
        <v>9.7660077118264382E-2</v>
      </c>
      <c r="CE40" s="369">
        <f t="shared" si="46"/>
        <v>0.73246477591322778</v>
      </c>
      <c r="CF40" s="369">
        <f t="shared" si="47"/>
        <v>0</v>
      </c>
      <c r="CG40" s="369">
        <f t="shared" si="48"/>
        <v>1.2105573500076832</v>
      </c>
      <c r="CH40" s="369"/>
      <c r="CI40" s="384"/>
      <c r="CJ40" s="369">
        <f t="shared" si="93"/>
        <v>0.14840485729836217</v>
      </c>
      <c r="CK40" s="369">
        <f t="shared" si="94"/>
        <v>7.589881546735204E-2</v>
      </c>
      <c r="CL40" s="369">
        <f t="shared" si="95"/>
        <v>4.2431730480012024E-2</v>
      </c>
      <c r="CM40" s="369">
        <f t="shared" si="96"/>
        <v>7.1740067220267267E-2</v>
      </c>
      <c r="CN40" s="369">
        <f t="shared" si="97"/>
        <v>0.51121608481919467</v>
      </c>
      <c r="CO40" s="369">
        <f t="shared" si="98"/>
        <v>0</v>
      </c>
      <c r="CP40" s="369">
        <f t="shared" si="99"/>
        <v>0.84969155528518825</v>
      </c>
      <c r="CR40" s="363">
        <f t="shared" si="55"/>
        <v>9.6892764908417645E-5</v>
      </c>
      <c r="CS40" s="363">
        <f t="shared" si="56"/>
        <v>8.2157384602302788E-6</v>
      </c>
      <c r="CT40" s="363">
        <f t="shared" si="57"/>
        <v>2.0860804237727318E-5</v>
      </c>
      <c r="CU40" s="363">
        <f t="shared" si="58"/>
        <v>1.9311412466928119E-6</v>
      </c>
      <c r="CV40" s="363">
        <f t="shared" si="59"/>
        <v>4.0947927930840971E-5</v>
      </c>
      <c r="CW40" s="363">
        <v>0</v>
      </c>
      <c r="CX40" s="363">
        <f t="shared" si="6"/>
        <v>1.6884837678390901E-4</v>
      </c>
      <c r="CY40" s="363"/>
      <c r="CZ40" s="440"/>
      <c r="DA40" s="363">
        <f t="shared" si="60"/>
        <v>6.9036385675542305E-5</v>
      </c>
      <c r="DB40" s="363">
        <f t="shared" si="61"/>
        <v>6.0351952076313304E-6</v>
      </c>
      <c r="DC40" s="363">
        <f t="shared" si="62"/>
        <v>1.2861126497048416E-5</v>
      </c>
      <c r="DD40" s="363">
        <f t="shared" si="63"/>
        <v>1.4185960828374494E-6</v>
      </c>
      <c r="DE40" s="363">
        <f t="shared" si="64"/>
        <v>2.8579175527128624E-5</v>
      </c>
      <c r="DF40" s="363">
        <v>0</v>
      </c>
      <c r="DG40" s="363">
        <f t="shared" si="65"/>
        <v>1.1793047899018812E-4</v>
      </c>
      <c r="DJ40" s="363">
        <f t="shared" si="66"/>
        <v>9.8003822810616736E-5</v>
      </c>
      <c r="DK40" s="363">
        <f t="shared" si="67"/>
        <v>8.3099473637254734E-6</v>
      </c>
      <c r="DL40" s="363">
        <f t="shared" si="68"/>
        <v>2.1043147443158463E-5</v>
      </c>
      <c r="DM40" s="363">
        <f t="shared" si="69"/>
        <v>1.953285415500758E-6</v>
      </c>
      <c r="DN40" s="363">
        <f t="shared" si="70"/>
        <v>4.1263063116142461E-5</v>
      </c>
      <c r="DO40" s="363">
        <f t="shared" si="71"/>
        <v>0</v>
      </c>
      <c r="DP40" s="363">
        <f t="shared" si="100"/>
        <v>1.7057326614914388E-4</v>
      </c>
      <c r="DQ40" s="440"/>
      <c r="DS40" s="363">
        <f t="shared" si="72"/>
        <v>6.9828017764032862E-5</v>
      </c>
      <c r="DT40" s="363">
        <f t="shared" si="73"/>
        <v>6.1044000789454133E-6</v>
      </c>
      <c r="DU40" s="363">
        <f t="shared" si="74"/>
        <v>1.297354493519693E-5</v>
      </c>
      <c r="DV40" s="363">
        <f t="shared" si="75"/>
        <v>1.4348629567299941E-6</v>
      </c>
      <c r="DW40" s="363">
        <f t="shared" si="76"/>
        <v>2.8799120814487649E-5</v>
      </c>
      <c r="DX40" s="363">
        <f t="shared" si="101"/>
        <v>0</v>
      </c>
      <c r="DY40" s="388">
        <f t="shared" si="102"/>
        <v>1.1913994654939286E-4</v>
      </c>
    </row>
    <row r="41" spans="2:129" x14ac:dyDescent="0.15">
      <c r="B41" s="448" t="s">
        <v>588</v>
      </c>
      <c r="C41" s="238">
        <v>32</v>
      </c>
      <c r="D41" s="238">
        <v>94</v>
      </c>
      <c r="E41" s="444">
        <f t="shared" si="7"/>
        <v>4.2999999999999997E-2</v>
      </c>
      <c r="F41" s="364">
        <v>1.12E-2</v>
      </c>
      <c r="G41" s="363">
        <f t="shared" si="8"/>
        <v>0.55733999999999995</v>
      </c>
      <c r="H41" s="363">
        <f t="shared" si="9"/>
        <v>1</v>
      </c>
      <c r="I41" s="363">
        <f t="shared" si="10"/>
        <v>0.82177674999999994</v>
      </c>
      <c r="J41" s="363">
        <f t="shared" si="11"/>
        <v>1</v>
      </c>
      <c r="K41" s="363">
        <f t="shared" si="12"/>
        <v>0.64651439999999993</v>
      </c>
      <c r="L41" s="363"/>
      <c r="N41" s="363">
        <f t="shared" si="77"/>
        <v>2.2065343860986258E-4</v>
      </c>
      <c r="O41" s="363">
        <f t="shared" si="78"/>
        <v>2.2324620970584159E-5</v>
      </c>
      <c r="P41" s="363">
        <f t="shared" si="79"/>
        <v>2.6715231150745589E-5</v>
      </c>
      <c r="Q41" s="363">
        <f t="shared" si="80"/>
        <v>5.8147849969893624E-6</v>
      </c>
      <c r="R41" s="363">
        <f t="shared" si="81"/>
        <v>1.0403402634234736E-4</v>
      </c>
      <c r="S41" s="363">
        <f t="shared" si="82"/>
        <v>0.99962045789793019</v>
      </c>
      <c r="T41" s="363">
        <f t="shared" si="0"/>
        <v>1.0000000000000007</v>
      </c>
      <c r="U41" s="363">
        <f t="shared" si="1"/>
        <v>3.7954210207052908E-4</v>
      </c>
      <c r="V41" s="376"/>
      <c r="W41" s="363"/>
      <c r="X41" s="363">
        <f t="shared" si="13"/>
        <v>1.5318423668612491E-4</v>
      </c>
      <c r="Y41" s="363">
        <f t="shared" si="14"/>
        <v>1.5906359415404126E-5</v>
      </c>
      <c r="Z41" s="363">
        <f t="shared" si="15"/>
        <v>1.5738253235466353E-5</v>
      </c>
      <c r="AA41" s="363">
        <f t="shared" si="16"/>
        <v>4.1430517547099122E-6</v>
      </c>
      <c r="AB41" s="363">
        <f t="shared" si="17"/>
        <v>7.0404278282193905E-5</v>
      </c>
      <c r="AC41" s="363">
        <f t="shared" si="18"/>
        <v>0.99974062382062678</v>
      </c>
      <c r="AD41" s="363">
        <f t="shared" si="19"/>
        <v>1.0000000000000007</v>
      </c>
      <c r="AE41" s="363">
        <f t="shared" si="2"/>
        <v>2.5937617937389916E-4</v>
      </c>
      <c r="AF41" s="363"/>
      <c r="AG41" s="376"/>
      <c r="AH41" s="363">
        <f t="shared" si="20"/>
        <v>0.53661571465000002</v>
      </c>
      <c r="AI41" s="363">
        <f t="shared" si="21"/>
        <v>0.49646513267500003</v>
      </c>
      <c r="AJ41" s="363">
        <f t="shared" si="22"/>
        <v>0.52323218732499999</v>
      </c>
      <c r="AK41" s="363">
        <f t="shared" si="23"/>
        <v>0.44802950997500007</v>
      </c>
      <c r="AL41" s="363">
        <f t="shared" si="24"/>
        <v>0.44802950997500007</v>
      </c>
      <c r="AM41" s="363">
        <v>0</v>
      </c>
      <c r="AN41" s="368"/>
      <c r="AP41" s="363">
        <f t="shared" si="25"/>
        <v>2.2318364555407163E-4</v>
      </c>
      <c r="AQ41" s="363">
        <f t="shared" si="26"/>
        <v>2.2580614765027029E-5</v>
      </c>
      <c r="AR41" s="363">
        <f t="shared" si="27"/>
        <v>2.6948747597491725E-5</v>
      </c>
      <c r="AS41" s="363">
        <f t="shared" si="28"/>
        <v>5.8814624504256454E-6</v>
      </c>
      <c r="AT41" s="363">
        <f t="shared" si="29"/>
        <v>1.0483467203617651E-4</v>
      </c>
      <c r="AU41" s="363">
        <f t="shared" si="30"/>
        <v>0.99961657085759725</v>
      </c>
      <c r="AV41" s="363">
        <f t="shared" si="3"/>
        <v>1.0000000000000004</v>
      </c>
      <c r="AW41" s="363">
        <f t="shared" si="4"/>
        <v>3.8342914240319255E-4</v>
      </c>
      <c r="AX41" s="375"/>
      <c r="AY41" s="363">
        <f t="shared" si="83"/>
        <v>1.5494078225300315E-4</v>
      </c>
      <c r="AZ41" s="363">
        <f t="shared" si="84"/>
        <v>1.6088755761926056E-5</v>
      </c>
      <c r="BA41" s="363">
        <f t="shared" si="85"/>
        <v>1.5875820488873196E-5</v>
      </c>
      <c r="BB41" s="363">
        <f t="shared" si="86"/>
        <v>4.1905596403156234E-6</v>
      </c>
      <c r="BC41" s="363">
        <f t="shared" si="87"/>
        <v>7.0946109490843795E-5</v>
      </c>
      <c r="BD41" s="363">
        <f t="shared" si="88"/>
        <v>0.99973795797236542</v>
      </c>
      <c r="BE41" s="363">
        <f t="shared" si="32"/>
        <v>1.0000000000000004</v>
      </c>
      <c r="BF41" s="363">
        <f t="shared" si="33"/>
        <v>2.6204202763496185E-4</v>
      </c>
      <c r="BG41" s="438"/>
      <c r="BH41" s="439"/>
      <c r="BJ41" s="369">
        <f t="shared" si="89"/>
        <v>8.4559900323339807E-2</v>
      </c>
      <c r="BK41" s="369">
        <f t="shared" si="34"/>
        <v>4.6305953327128967E-2</v>
      </c>
      <c r="BL41" s="369">
        <f t="shared" si="35"/>
        <v>1.5362342590362106E-2</v>
      </c>
      <c r="BM41" s="369">
        <f t="shared" si="36"/>
        <v>4.3768696308781649E-2</v>
      </c>
      <c r="BN41" s="369">
        <f t="shared" si="37"/>
        <v>0.27802207563576103</v>
      </c>
      <c r="BO41" s="369">
        <f t="shared" si="38"/>
        <v>0</v>
      </c>
      <c r="BP41" s="369">
        <f t="shared" si="5"/>
        <v>0.46801896818537353</v>
      </c>
      <c r="BQ41" s="431"/>
      <c r="BR41" s="369">
        <f t="shared" si="90"/>
        <v>5.8704019601472188E-2</v>
      </c>
      <c r="BS41" s="369">
        <f t="shared" si="39"/>
        <v>3.2993130663439368E-2</v>
      </c>
      <c r="BT41" s="369">
        <f t="shared" si="40"/>
        <v>9.050134607214929E-3</v>
      </c>
      <c r="BU41" s="369">
        <f t="shared" si="41"/>
        <v>3.1185327426095852E-2</v>
      </c>
      <c r="BV41" s="369">
        <f t="shared" si="42"/>
        <v>0.18814943792755667</v>
      </c>
      <c r="BW41" s="369">
        <f t="shared" si="91"/>
        <v>0</v>
      </c>
      <c r="BX41" s="371">
        <f t="shared" si="43"/>
        <v>0.32008205022577901</v>
      </c>
      <c r="BY41" s="371"/>
      <c r="CA41" s="369">
        <f t="shared" si="92"/>
        <v>8.5529538722576501E-2</v>
      </c>
      <c r="CB41" s="369">
        <f t="shared" si="44"/>
        <v>4.6836938229991389E-2</v>
      </c>
      <c r="CC41" s="369">
        <f>(AR41*c_post_rinfar_mkv)/(1+disc_cost)^C41</f>
        <v>1.5496624028361121E-2</v>
      </c>
      <c r="CD41" s="369">
        <f t="shared" si="45"/>
        <v>4.4270586784802106E-2</v>
      </c>
      <c r="CE41" s="369">
        <f t="shared" si="46"/>
        <v>0.28016173306778919</v>
      </c>
      <c r="CF41" s="369">
        <f t="shared" si="47"/>
        <v>0</v>
      </c>
      <c r="CG41" s="369">
        <f t="shared" si="48"/>
        <v>0.47229542083352033</v>
      </c>
      <c r="CH41" s="369"/>
      <c r="CI41" s="384"/>
      <c r="CJ41" s="369">
        <f t="shared" si="93"/>
        <v>5.9377171667374287E-2</v>
      </c>
      <c r="CK41" s="369">
        <f t="shared" si="94"/>
        <v>3.3371458999683565E-2</v>
      </c>
      <c r="CL41" s="369">
        <f t="shared" si="95"/>
        <v>9.1292413633618664E-3</v>
      </c>
      <c r="CM41" s="369">
        <f t="shared" si="96"/>
        <v>3.1542925895931849E-2</v>
      </c>
      <c r="CN41" s="369">
        <f t="shared" si="97"/>
        <v>0.18959743568914825</v>
      </c>
      <c r="CO41" s="369">
        <f t="shared" si="98"/>
        <v>0</v>
      </c>
      <c r="CP41" s="369">
        <f t="shared" si="99"/>
        <v>0.32301823361549981</v>
      </c>
      <c r="CR41" s="363">
        <f t="shared" si="55"/>
        <v>3.9380651177499217E-5</v>
      </c>
      <c r="CS41" s="363">
        <f t="shared" si="56"/>
        <v>3.6862234167723617E-6</v>
      </c>
      <c r="CT41" s="363">
        <f t="shared" si="57"/>
        <v>4.6490283569629357E-6</v>
      </c>
      <c r="CU41" s="363">
        <f t="shared" si="58"/>
        <v>8.6646113664802429E-7</v>
      </c>
      <c r="CV41" s="363">
        <f t="shared" si="59"/>
        <v>1.5502110699076928E-5</v>
      </c>
      <c r="CW41" s="363">
        <v>0</v>
      </c>
      <c r="CX41" s="363">
        <f t="shared" si="6"/>
        <v>6.4084474786959482E-5</v>
      </c>
      <c r="CY41" s="363"/>
      <c r="CZ41" s="440"/>
      <c r="DA41" s="363">
        <f t="shared" si="60"/>
        <v>2.7339229466955281E-5</v>
      </c>
      <c r="DB41" s="363">
        <f t="shared" si="61"/>
        <v>2.6264452431205581E-6</v>
      </c>
      <c r="DC41" s="363">
        <f t="shared" si="62"/>
        <v>2.7387966500415151E-6</v>
      </c>
      <c r="DD41" s="363">
        <f t="shared" si="63"/>
        <v>6.1735615924512732E-7</v>
      </c>
      <c r="DE41" s="363">
        <f t="shared" si="64"/>
        <v>1.0490941800403277E-5</v>
      </c>
      <c r="DF41" s="363">
        <v>0</v>
      </c>
      <c r="DG41" s="363">
        <f t="shared" si="65"/>
        <v>4.3812769319765763E-5</v>
      </c>
      <c r="DJ41" s="363">
        <f t="shared" si="66"/>
        <v>3.983222445777317E-5</v>
      </c>
      <c r="DK41" s="363">
        <f t="shared" si="67"/>
        <v>3.7284929057310817E-6</v>
      </c>
      <c r="DL41" s="363">
        <f t="shared" si="68"/>
        <v>4.689665272159894E-6</v>
      </c>
      <c r="DM41" s="363">
        <f t="shared" si="69"/>
        <v>8.7639674426259825E-7</v>
      </c>
      <c r="DN41" s="363">
        <f t="shared" si="70"/>
        <v>1.5621414917252965E-5</v>
      </c>
      <c r="DO41" s="363">
        <f t="shared" si="71"/>
        <v>0</v>
      </c>
      <c r="DP41" s="363">
        <f t="shared" si="100"/>
        <v>6.4748194297179702E-5</v>
      </c>
      <c r="DQ41" s="440"/>
      <c r="DS41" s="363">
        <f t="shared" si="72"/>
        <v>2.7652725185319864E-5</v>
      </c>
      <c r="DT41" s="363">
        <f t="shared" si="73"/>
        <v>2.6565623808121132E-6</v>
      </c>
      <c r="DU41" s="363">
        <f t="shared" si="74"/>
        <v>2.7627363291881826E-6</v>
      </c>
      <c r="DV41" s="363">
        <f t="shared" si="75"/>
        <v>6.2443530947733406E-7</v>
      </c>
      <c r="DW41" s="363">
        <f t="shared" si="76"/>
        <v>1.0571680071063539E-5</v>
      </c>
      <c r="DX41" s="363">
        <f t="shared" si="101"/>
        <v>0</v>
      </c>
      <c r="DY41" s="388">
        <f t="shared" si="102"/>
        <v>4.426813927586103E-5</v>
      </c>
    </row>
    <row r="42" spans="2:129" x14ac:dyDescent="0.15">
      <c r="B42" s="448" t="s">
        <v>588</v>
      </c>
      <c r="C42" s="238">
        <v>33</v>
      </c>
      <c r="D42" s="238">
        <v>95</v>
      </c>
      <c r="E42" s="444">
        <f t="shared" si="7"/>
        <v>4.2999999999999997E-2</v>
      </c>
      <c r="F42" s="364">
        <v>1.12E-2</v>
      </c>
      <c r="G42" s="363">
        <f t="shared" si="8"/>
        <v>0.58860299999999999</v>
      </c>
      <c r="H42" s="363">
        <f t="shared" si="9"/>
        <v>1</v>
      </c>
      <c r="I42" s="363">
        <f t="shared" si="10"/>
        <v>0.86867125000000001</v>
      </c>
      <c r="J42" s="363">
        <f t="shared" si="11"/>
        <v>1</v>
      </c>
      <c r="K42" s="363">
        <f t="shared" si="12"/>
        <v>0.68277947999999999</v>
      </c>
      <c r="L42" s="363"/>
      <c r="N42" s="363">
        <f t="shared" si="77"/>
        <v>8.5715034762387212E-5</v>
      </c>
      <c r="O42" s="363">
        <f t="shared" si="78"/>
        <v>9.4880978602240912E-6</v>
      </c>
      <c r="P42" s="363">
        <f t="shared" si="79"/>
        <v>4.7612753201871205E-6</v>
      </c>
      <c r="Q42" s="363">
        <f t="shared" si="80"/>
        <v>2.4713185124304611E-6</v>
      </c>
      <c r="R42" s="363">
        <f t="shared" si="81"/>
        <v>3.6774530222040465E-5</v>
      </c>
      <c r="S42" s="363">
        <f t="shared" si="82"/>
        <v>0.99986078974332349</v>
      </c>
      <c r="T42" s="363">
        <f t="shared" si="0"/>
        <v>1.0000000000000007</v>
      </c>
      <c r="U42" s="363">
        <f t="shared" si="1"/>
        <v>1.3921025667726935E-4</v>
      </c>
      <c r="V42" s="376"/>
      <c r="W42" s="363"/>
      <c r="X42" s="363">
        <f t="shared" si="13"/>
        <v>5.8166094017203824E-5</v>
      </c>
      <c r="Y42" s="363">
        <f t="shared" si="14"/>
        <v>6.5869221775033704E-6</v>
      </c>
      <c r="Z42" s="363">
        <f t="shared" si="15"/>
        <v>2.6932838281965725E-6</v>
      </c>
      <c r="AA42" s="363">
        <f t="shared" si="16"/>
        <v>1.715663450884599E-6</v>
      </c>
      <c r="AB42" s="363">
        <f t="shared" si="17"/>
        <v>2.4220082910915928E-5</v>
      </c>
      <c r="AC42" s="363">
        <f t="shared" si="18"/>
        <v>0.99990661795361602</v>
      </c>
      <c r="AD42" s="363">
        <f t="shared" si="19"/>
        <v>1.0000000000000007</v>
      </c>
      <c r="AE42" s="363">
        <f t="shared" si="2"/>
        <v>9.33820463847043E-5</v>
      </c>
      <c r="AF42" s="363"/>
      <c r="AG42" s="376"/>
      <c r="AH42" s="363">
        <f t="shared" si="20"/>
        <v>0.53101666725000007</v>
      </c>
      <c r="AI42" s="363">
        <f t="shared" si="21"/>
        <v>0.49128501637500005</v>
      </c>
      <c r="AJ42" s="363">
        <f t="shared" si="22"/>
        <v>0.51777278362500001</v>
      </c>
      <c r="AK42" s="363">
        <f t="shared" si="23"/>
        <v>0.44335477087500008</v>
      </c>
      <c r="AL42" s="363">
        <f t="shared" si="24"/>
        <v>0.44335477087500008</v>
      </c>
      <c r="AM42" s="363">
        <v>0</v>
      </c>
      <c r="AN42" s="368"/>
      <c r="AP42" s="363">
        <f t="shared" si="25"/>
        <v>8.6697918951934676E-5</v>
      </c>
      <c r="AQ42" s="363">
        <f t="shared" si="26"/>
        <v>9.5968967588250794E-6</v>
      </c>
      <c r="AR42" s="363">
        <f t="shared" si="27"/>
        <v>4.8028933802546676E-6</v>
      </c>
      <c r="AS42" s="363">
        <f t="shared" si="28"/>
        <v>2.4996568302056023E-6</v>
      </c>
      <c r="AT42" s="363">
        <f t="shared" si="29"/>
        <v>3.7057546945511079E-5</v>
      </c>
      <c r="AU42" s="363">
        <f t="shared" si="30"/>
        <v>0.99985934508713359</v>
      </c>
      <c r="AV42" s="363">
        <f t="shared" si="3"/>
        <v>1.0000000000000002</v>
      </c>
      <c r="AW42" s="363">
        <f t="shared" si="4"/>
        <v>1.4065491286673108E-4</v>
      </c>
      <c r="AX42" s="375"/>
      <c r="AY42" s="363">
        <f t="shared" si="83"/>
        <v>5.8833077753904441E-5</v>
      </c>
      <c r="AZ42" s="363">
        <f t="shared" si="84"/>
        <v>6.6624536368791356E-6</v>
      </c>
      <c r="BA42" s="363">
        <f t="shared" si="85"/>
        <v>2.7168256821333939E-6</v>
      </c>
      <c r="BB42" s="363">
        <f t="shared" si="86"/>
        <v>1.7353367612336354E-6</v>
      </c>
      <c r="BC42" s="363">
        <f t="shared" si="87"/>
        <v>2.4406480628745258E-5</v>
      </c>
      <c r="BD42" s="363">
        <f t="shared" si="88"/>
        <v>0.99990564582553743</v>
      </c>
      <c r="BE42" s="363">
        <f t="shared" si="32"/>
        <v>1.0000000000000002</v>
      </c>
      <c r="BF42" s="363">
        <f t="shared" si="33"/>
        <v>9.4354174462895856E-5</v>
      </c>
      <c r="BG42" s="438"/>
      <c r="BH42" s="439"/>
      <c r="BJ42" s="369">
        <f t="shared" si="89"/>
        <v>3.173733225082568E-2</v>
      </c>
      <c r="BK42" s="369">
        <f t="shared" si="34"/>
        <v>1.9014790337922489E-2</v>
      </c>
      <c r="BL42" s="369">
        <f t="shared" si="35"/>
        <v>2.645339733398797E-3</v>
      </c>
      <c r="BM42" s="369">
        <f t="shared" si="36"/>
        <v>1.7972906805227104E-2</v>
      </c>
      <c r="BN42" s="369">
        <f t="shared" si="37"/>
        <v>9.4953430163625493E-2</v>
      </c>
      <c r="BO42" s="369">
        <f t="shared" si="38"/>
        <v>0</v>
      </c>
      <c r="BP42" s="369">
        <f t="shared" si="5"/>
        <v>0.16632379929099955</v>
      </c>
      <c r="BQ42" s="431"/>
      <c r="BR42" s="369">
        <f t="shared" si="90"/>
        <v>2.1536906059411932E-2</v>
      </c>
      <c r="BS42" s="369">
        <f t="shared" si="39"/>
        <v>1.3200637896295928E-2</v>
      </c>
      <c r="BT42" s="369">
        <f t="shared" si="40"/>
        <v>1.4963744469556968E-3</v>
      </c>
      <c r="BU42" s="369">
        <f t="shared" si="41"/>
        <v>1.2477331091392813E-2</v>
      </c>
      <c r="BV42" s="369">
        <f t="shared" si="42"/>
        <v>6.2537303327957233E-2</v>
      </c>
      <c r="BW42" s="369">
        <f t="shared" si="91"/>
        <v>0</v>
      </c>
      <c r="BX42" s="371">
        <f t="shared" si="43"/>
        <v>0.1112485528220136</v>
      </c>
      <c r="BY42" s="371"/>
      <c r="CA42" s="369">
        <f t="shared" si="92"/>
        <v>3.2101260494852242E-2</v>
      </c>
      <c r="CB42" s="369">
        <f t="shared" si="44"/>
        <v>1.9232830695049014E-2</v>
      </c>
      <c r="CC42" s="369">
        <f>(AR42*c_post_rinfar_mkv)/(1+disc_cost)^C42</f>
        <v>2.6684625104952766E-3</v>
      </c>
      <c r="CD42" s="369">
        <f t="shared" si="45"/>
        <v>1.8179000006822807E-2</v>
      </c>
      <c r="CE42" s="369">
        <f t="shared" si="46"/>
        <v>9.5684191604354887E-2</v>
      </c>
      <c r="CF42" s="369">
        <f t="shared" si="47"/>
        <v>0</v>
      </c>
      <c r="CG42" s="369">
        <f t="shared" si="48"/>
        <v>0.16786574531157422</v>
      </c>
      <c r="CH42" s="369"/>
      <c r="CI42" s="384"/>
      <c r="CJ42" s="369">
        <f t="shared" si="93"/>
        <v>2.1783867219915987E-2</v>
      </c>
      <c r="CK42" s="369">
        <f t="shared" si="94"/>
        <v>1.3352008053423877E-2</v>
      </c>
      <c r="CL42" s="369">
        <f t="shared" si="95"/>
        <v>1.5094541782102418E-3</v>
      </c>
      <c r="CM42" s="369">
        <f t="shared" si="96"/>
        <v>1.2620407174736599E-2</v>
      </c>
      <c r="CN42" s="369">
        <f t="shared" si="97"/>
        <v>6.3018590310433997E-2</v>
      </c>
      <c r="CO42" s="369">
        <f t="shared" si="98"/>
        <v>0</v>
      </c>
      <c r="CP42" s="369">
        <f t="shared" si="99"/>
        <v>0.11228432693672069</v>
      </c>
      <c r="CR42" s="363">
        <f t="shared" si="55"/>
        <v>1.462627097375689E-5</v>
      </c>
      <c r="CS42" s="363">
        <f t="shared" si="56"/>
        <v>1.4978941720658042E-6</v>
      </c>
      <c r="CT42" s="363">
        <f t="shared" si="57"/>
        <v>7.9219294492382076E-7</v>
      </c>
      <c r="CU42" s="363">
        <f t="shared" si="58"/>
        <v>3.5208584509589873E-7</v>
      </c>
      <c r="CV42" s="363">
        <f t="shared" si="59"/>
        <v>5.239224117047565E-6</v>
      </c>
      <c r="CW42" s="363">
        <v>0</v>
      </c>
      <c r="CX42" s="363">
        <f t="shared" si="6"/>
        <v>2.2507668052889978E-5</v>
      </c>
      <c r="CY42" s="363"/>
      <c r="CZ42" s="440"/>
      <c r="DA42" s="363">
        <f t="shared" si="60"/>
        <v>9.9253655433849654E-6</v>
      </c>
      <c r="DB42" s="363">
        <f t="shared" si="61"/>
        <v>1.0398830710732432E-6</v>
      </c>
      <c r="DC42" s="363">
        <f t="shared" si="62"/>
        <v>4.4811532706974248E-7</v>
      </c>
      <c r="DD42" s="363">
        <f t="shared" si="63"/>
        <v>2.4442855624092574E-7</v>
      </c>
      <c r="DE42" s="363">
        <f t="shared" si="64"/>
        <v>3.4506067579269669E-6</v>
      </c>
      <c r="DF42" s="363">
        <v>0</v>
      </c>
      <c r="DG42" s="363">
        <f t="shared" si="65"/>
        <v>1.5108399255695845E-5</v>
      </c>
      <c r="DJ42" s="363">
        <f t="shared" si="66"/>
        <v>1.4793988697164394E-5</v>
      </c>
      <c r="DK42" s="363">
        <f t="shared" si="67"/>
        <v>1.5150703477906348E-6</v>
      </c>
      <c r="DL42" s="363">
        <f t="shared" si="68"/>
        <v>7.9911746227469525E-7</v>
      </c>
      <c r="DM42" s="363">
        <f t="shared" si="69"/>
        <v>3.5612317193672103E-7</v>
      </c>
      <c r="DN42" s="363">
        <f t="shared" si="70"/>
        <v>5.2795451771449238E-6</v>
      </c>
      <c r="DO42" s="363">
        <f t="shared" si="71"/>
        <v>0</v>
      </c>
      <c r="DP42" s="363">
        <f t="shared" si="100"/>
        <v>2.2743844856311371E-5</v>
      </c>
      <c r="DQ42" s="440"/>
      <c r="DS42" s="363">
        <f t="shared" si="72"/>
        <v>1.003917853891271E-5</v>
      </c>
      <c r="DT42" s="363">
        <f t="shared" si="73"/>
        <v>1.0518072875466925E-6</v>
      </c>
      <c r="DU42" s="363">
        <f t="shared" si="74"/>
        <v>4.5203227984920158E-7</v>
      </c>
      <c r="DV42" s="363">
        <f t="shared" si="75"/>
        <v>2.4723138965362989E-7</v>
      </c>
      <c r="DW42" s="363">
        <f t="shared" si="76"/>
        <v>3.4771626218011646E-6</v>
      </c>
      <c r="DX42" s="363">
        <f t="shared" si="101"/>
        <v>0</v>
      </c>
      <c r="DY42" s="388">
        <f t="shared" si="102"/>
        <v>1.5267412117763399E-5</v>
      </c>
    </row>
    <row r="43" spans="2:129" x14ac:dyDescent="0.15">
      <c r="B43" s="448" t="s">
        <v>588</v>
      </c>
      <c r="C43" s="238">
        <v>34</v>
      </c>
      <c r="D43" s="238">
        <v>96</v>
      </c>
      <c r="E43" s="444">
        <f t="shared" si="7"/>
        <v>4.2999999999999997E-2</v>
      </c>
      <c r="F43" s="364">
        <v>1.12E-2</v>
      </c>
      <c r="G43" s="363">
        <f t="shared" si="8"/>
        <v>0.62420850000000005</v>
      </c>
      <c r="H43" s="363">
        <f t="shared" si="9"/>
        <v>1</v>
      </c>
      <c r="I43" s="363">
        <f t="shared" si="10"/>
        <v>0.92207950000000005</v>
      </c>
      <c r="J43" s="363">
        <f t="shared" si="11"/>
        <v>1</v>
      </c>
      <c r="K43" s="363">
        <f t="shared" si="12"/>
        <v>0.72408185999999997</v>
      </c>
      <c r="L43" s="363"/>
      <c r="N43" s="363">
        <f t="shared" si="77"/>
        <v>3.061715327202043E-5</v>
      </c>
      <c r="O43" s="363">
        <f t="shared" si="78"/>
        <v>3.68574649478265E-6</v>
      </c>
      <c r="P43" s="363">
        <f t="shared" si="79"/>
        <v>6.2529233620602458E-7</v>
      </c>
      <c r="Q43" s="363">
        <f t="shared" si="80"/>
        <v>9.6000838933873669E-7</v>
      </c>
      <c r="R43" s="363">
        <f t="shared" si="81"/>
        <v>1.166563559979139E-5</v>
      </c>
      <c r="S43" s="363">
        <f t="shared" si="82"/>
        <v>0.99995244616390866</v>
      </c>
      <c r="T43" s="363">
        <f t="shared" si="0"/>
        <v>1.0000000000000009</v>
      </c>
      <c r="U43" s="363">
        <f t="shared" si="1"/>
        <v>4.7553836092139231E-5</v>
      </c>
      <c r="V43" s="376"/>
      <c r="W43" s="363"/>
      <c r="X43" s="363">
        <f t="shared" si="13"/>
        <v>2.0231684759249693E-5</v>
      </c>
      <c r="Y43" s="363">
        <f t="shared" si="14"/>
        <v>2.5011420427397642E-6</v>
      </c>
      <c r="Z43" s="363">
        <f t="shared" si="15"/>
        <v>3.3700771384468305E-7</v>
      </c>
      <c r="AA43" s="363">
        <f t="shared" si="16"/>
        <v>6.5146025299268275E-7</v>
      </c>
      <c r="AB43" s="363">
        <f t="shared" si="17"/>
        <v>7.4421980382018077E-6</v>
      </c>
      <c r="AC43" s="363">
        <f t="shared" si="18"/>
        <v>0.9999688365071937</v>
      </c>
      <c r="AD43" s="363">
        <f t="shared" si="19"/>
        <v>1.0000000000000007</v>
      </c>
      <c r="AE43" s="363">
        <f t="shared" si="2"/>
        <v>3.116349280702863E-5</v>
      </c>
      <c r="AF43" s="363"/>
      <c r="AG43" s="376"/>
      <c r="AH43" s="363">
        <f t="shared" si="20"/>
        <v>0.52536171105000007</v>
      </c>
      <c r="AI43" s="363">
        <f t="shared" si="21"/>
        <v>0.48605317447500007</v>
      </c>
      <c r="AJ43" s="363">
        <f t="shared" si="22"/>
        <v>0.51225886552500011</v>
      </c>
      <c r="AK43" s="363">
        <f t="shared" si="23"/>
        <v>0.43863335257500008</v>
      </c>
      <c r="AL43" s="363">
        <f t="shared" si="24"/>
        <v>0.43863335257500008</v>
      </c>
      <c r="AM43" s="363">
        <v>0</v>
      </c>
      <c r="AN43" s="368"/>
      <c r="AP43" s="363">
        <f t="shared" si="25"/>
        <v>3.0968236555874212E-5</v>
      </c>
      <c r="AQ43" s="363">
        <f t="shared" si="26"/>
        <v>3.728010514933191E-6</v>
      </c>
      <c r="AR43" s="363">
        <f t="shared" si="27"/>
        <v>6.3075798401212021E-7</v>
      </c>
      <c r="AS43" s="363">
        <f t="shared" si="28"/>
        <v>9.7101669226166826E-7</v>
      </c>
      <c r="AT43" s="363">
        <f t="shared" si="29"/>
        <v>1.1755414311979437E-5</v>
      </c>
      <c r="AU43" s="363">
        <f t="shared" si="30"/>
        <v>0.99995194656394126</v>
      </c>
      <c r="AV43" s="363">
        <f t="shared" si="3"/>
        <v>1.0000000000000002</v>
      </c>
      <c r="AW43" s="363">
        <f t="shared" si="4"/>
        <v>4.8053436059060634E-5</v>
      </c>
      <c r="AX43" s="375"/>
      <c r="AY43" s="363">
        <f t="shared" si="83"/>
        <v>2.0463679101116314E-5</v>
      </c>
      <c r="AZ43" s="363">
        <f t="shared" si="84"/>
        <v>2.5298223434178911E-6</v>
      </c>
      <c r="BA43" s="363">
        <f t="shared" si="85"/>
        <v>3.3995348075266828E-7</v>
      </c>
      <c r="BB43" s="363">
        <f t="shared" si="86"/>
        <v>6.5893047084372967E-7</v>
      </c>
      <c r="BC43" s="363">
        <f t="shared" si="87"/>
        <v>7.4994731819350913E-6</v>
      </c>
      <c r="BD43" s="363">
        <f t="shared" si="88"/>
        <v>0.99996850814142224</v>
      </c>
      <c r="BE43" s="363">
        <f t="shared" si="32"/>
        <v>1.0000000000000002</v>
      </c>
      <c r="BF43" s="363">
        <f t="shared" si="33"/>
        <v>3.1491858578065693E-5</v>
      </c>
      <c r="BG43" s="438"/>
      <c r="BH43" s="439"/>
      <c r="BJ43" s="369">
        <f t="shared" si="89"/>
        <v>1.0953120645408872E-2</v>
      </c>
      <c r="BK43" s="369">
        <f t="shared" si="34"/>
        <v>7.136700922385864E-3</v>
      </c>
      <c r="BL43" s="369">
        <f t="shared" si="35"/>
        <v>3.3566102464985259E-4</v>
      </c>
      <c r="BM43" s="369">
        <f t="shared" si="36"/>
        <v>6.7456573696217589E-3</v>
      </c>
      <c r="BN43" s="369">
        <f t="shared" si="37"/>
        <v>2.9102585982887886E-2</v>
      </c>
      <c r="BO43" s="369">
        <f t="shared" si="38"/>
        <v>0</v>
      </c>
      <c r="BP43" s="369">
        <f t="shared" si="5"/>
        <v>5.4273725944954235E-2</v>
      </c>
      <c r="BQ43" s="431"/>
      <c r="BR43" s="369">
        <f t="shared" si="90"/>
        <v>7.2377755717234395E-3</v>
      </c>
      <c r="BS43" s="369">
        <f t="shared" si="39"/>
        <v>4.8429545408796631E-3</v>
      </c>
      <c r="BT43" s="369">
        <f t="shared" si="40"/>
        <v>1.8090794976054068E-4</v>
      </c>
      <c r="BU43" s="369">
        <f t="shared" si="41"/>
        <v>4.5775929725392715E-3</v>
      </c>
      <c r="BV43" s="369">
        <f t="shared" si="42"/>
        <v>1.8566258688238191E-2</v>
      </c>
      <c r="BW43" s="369">
        <f t="shared" si="91"/>
        <v>0</v>
      </c>
      <c r="BX43" s="371">
        <f t="shared" si="43"/>
        <v>3.5405489723141101E-2</v>
      </c>
      <c r="BY43" s="371"/>
      <c r="CA43" s="369">
        <f t="shared" si="92"/>
        <v>1.1078718787420038E-2</v>
      </c>
      <c r="CB43" s="369">
        <f t="shared" si="44"/>
        <v>7.2185366297572379E-3</v>
      </c>
      <c r="CC43" s="369">
        <f>(AR43*c_post_rinfar_mkv)/(1+disc_cost)^C43</f>
        <v>3.3859502021759097E-4</v>
      </c>
      <c r="CD43" s="369">
        <f t="shared" si="45"/>
        <v>6.823009026715351E-3</v>
      </c>
      <c r="CE43" s="369">
        <f t="shared" si="46"/>
        <v>2.9326559436244536E-2</v>
      </c>
      <c r="CF43" s="369">
        <f t="shared" si="47"/>
        <v>0</v>
      </c>
      <c r="CG43" s="369">
        <f t="shared" si="48"/>
        <v>5.4785418900354751E-2</v>
      </c>
      <c r="CH43" s="369"/>
      <c r="CI43" s="384"/>
      <c r="CJ43" s="369">
        <f t="shared" si="93"/>
        <v>7.3207702901723123E-3</v>
      </c>
      <c r="CK43" s="369">
        <f t="shared" si="94"/>
        <v>4.8984881291483174E-3</v>
      </c>
      <c r="CL43" s="369">
        <f t="shared" si="95"/>
        <v>1.8248925674522784E-4</v>
      </c>
      <c r="CM43" s="369">
        <f t="shared" si="96"/>
        <v>4.6300836910154975E-3</v>
      </c>
      <c r="CN43" s="369">
        <f t="shared" si="97"/>
        <v>1.8709144584246291E-2</v>
      </c>
      <c r="CO43" s="369">
        <f t="shared" si="98"/>
        <v>0</v>
      </c>
      <c r="CP43" s="369">
        <f t="shared" si="99"/>
        <v>3.574097595132765E-2</v>
      </c>
      <c r="CR43" s="363">
        <f t="shared" si="55"/>
        <v>4.9940321410071748E-6</v>
      </c>
      <c r="CS43" s="363">
        <f t="shared" si="56"/>
        <v>5.5620815503905045E-7</v>
      </c>
      <c r="CT43" s="363">
        <f t="shared" si="57"/>
        <v>9.9449063149252707E-8</v>
      </c>
      <c r="CU43" s="363">
        <f t="shared" si="58"/>
        <v>1.3073888794565091E-7</v>
      </c>
      <c r="CV43" s="363">
        <f t="shared" si="59"/>
        <v>1.588686351529139E-6</v>
      </c>
      <c r="CW43" s="363">
        <v>0</v>
      </c>
      <c r="CX43" s="363">
        <f t="shared" si="6"/>
        <v>7.3691145986702674E-6</v>
      </c>
      <c r="CY43" s="363"/>
      <c r="CZ43" s="440"/>
      <c r="DA43" s="363">
        <f t="shared" si="60"/>
        <v>3.3000352141409414E-6</v>
      </c>
      <c r="DB43" s="363">
        <f t="shared" si="61"/>
        <v>3.7744201969726713E-7</v>
      </c>
      <c r="DC43" s="363">
        <f t="shared" si="62"/>
        <v>5.3599091937187026E-8</v>
      </c>
      <c r="DD43" s="363">
        <f t="shared" si="63"/>
        <v>8.8719213251586792E-8</v>
      </c>
      <c r="DE43" s="363">
        <f t="shared" si="64"/>
        <v>1.0135168673432226E-6</v>
      </c>
      <c r="DF43" s="363">
        <v>0</v>
      </c>
      <c r="DG43" s="363">
        <f t="shared" si="65"/>
        <v>4.8333124063702045E-6</v>
      </c>
      <c r="DJ43" s="363">
        <f t="shared" si="66"/>
        <v>5.0512981182898644E-6</v>
      </c>
      <c r="DK43" s="363">
        <f t="shared" si="67"/>
        <v>5.6258612832227602E-7</v>
      </c>
      <c r="DL43" s="363">
        <f t="shared" si="68"/>
        <v>1.0031834224056222E-7</v>
      </c>
      <c r="DM43" s="363">
        <f t="shared" si="69"/>
        <v>1.3223805534699442E-7</v>
      </c>
      <c r="DN43" s="363">
        <f t="shared" si="70"/>
        <v>1.6009128790501562E-6</v>
      </c>
      <c r="DO43" s="363">
        <f t="shared" si="71"/>
        <v>0</v>
      </c>
      <c r="DP43" s="363">
        <f t="shared" si="100"/>
        <v>7.4473535232498528E-6</v>
      </c>
      <c r="DQ43" s="440"/>
      <c r="DS43" s="363">
        <f t="shared" si="72"/>
        <v>3.3378763285489387E-6</v>
      </c>
      <c r="DT43" s="363">
        <f t="shared" si="73"/>
        <v>3.81770102800304E-7</v>
      </c>
      <c r="DU43" s="363">
        <f t="shared" si="74"/>
        <v>5.4067598813558969E-8</v>
      </c>
      <c r="DV43" s="363">
        <f t="shared" si="75"/>
        <v>8.9736546001387386E-8</v>
      </c>
      <c r="DW43" s="363">
        <f t="shared" si="76"/>
        <v>1.0213168914698602E-6</v>
      </c>
      <c r="DX43" s="363">
        <f t="shared" si="101"/>
        <v>0</v>
      </c>
      <c r="DY43" s="388">
        <f t="shared" si="102"/>
        <v>4.8847674676340491E-6</v>
      </c>
    </row>
    <row r="44" spans="2:129" x14ac:dyDescent="0.15">
      <c r="B44" s="448" t="s">
        <v>588</v>
      </c>
      <c r="C44" s="238">
        <v>35</v>
      </c>
      <c r="D44" s="238">
        <v>97</v>
      </c>
      <c r="E44" s="444">
        <f t="shared" si="7"/>
        <v>4.2999999999999997E-2</v>
      </c>
      <c r="F44" s="364">
        <v>1.12E-2</v>
      </c>
      <c r="G44" s="363">
        <f t="shared" si="8"/>
        <v>0.66786449999999997</v>
      </c>
      <c r="H44" s="363">
        <f t="shared" si="9"/>
        <v>1</v>
      </c>
      <c r="I44" s="363">
        <f t="shared" si="10"/>
        <v>0.98756349999999993</v>
      </c>
      <c r="J44" s="363">
        <f t="shared" si="11"/>
        <v>1</v>
      </c>
      <c r="K44" s="363">
        <f t="shared" si="12"/>
        <v>0.77472281999999992</v>
      </c>
      <c r="L44" s="363"/>
      <c r="N44" s="363">
        <f t="shared" si="77"/>
        <v>9.8462162464789587E-6</v>
      </c>
      <c r="O44" s="363">
        <f t="shared" si="78"/>
        <v>1.3165375906968784E-6</v>
      </c>
      <c r="P44" s="363">
        <f t="shared" si="79"/>
        <v>4.8723091483341529E-8</v>
      </c>
      <c r="Q44" s="363">
        <f t="shared" si="80"/>
        <v>3.4291211664662881E-7</v>
      </c>
      <c r="R44" s="363">
        <f t="shared" si="81"/>
        <v>3.218760476612225E-6</v>
      </c>
      <c r="S44" s="363">
        <f t="shared" si="82"/>
        <v>0.99998522685047875</v>
      </c>
      <c r="T44" s="363">
        <f t="shared" si="0"/>
        <v>1.0000000000000007</v>
      </c>
      <c r="U44" s="363">
        <f t="shared" si="1"/>
        <v>1.4773149521918033E-5</v>
      </c>
      <c r="V44" s="376"/>
      <c r="W44" s="363"/>
      <c r="X44" s="363">
        <f t="shared" si="13"/>
        <v>6.2914146410261052E-6</v>
      </c>
      <c r="Y44" s="363">
        <f t="shared" si="14"/>
        <v>8.6996244464773675E-7</v>
      </c>
      <c r="Z44" s="363">
        <f t="shared" si="15"/>
        <v>2.4664518105287054E-8</v>
      </c>
      <c r="AA44" s="363">
        <f t="shared" si="16"/>
        <v>2.2659486930359657E-7</v>
      </c>
      <c r="AB44" s="363">
        <f t="shared" si="17"/>
        <v>1.9719368799394419E-6</v>
      </c>
      <c r="AC44" s="363">
        <f t="shared" si="18"/>
        <v>0.99999061542664758</v>
      </c>
      <c r="AD44" s="363">
        <f t="shared" si="19"/>
        <v>1.0000000000000004</v>
      </c>
      <c r="AE44" s="363">
        <f t="shared" si="2"/>
        <v>9.3845733530221678E-6</v>
      </c>
      <c r="AF44" s="363"/>
      <c r="AG44" s="376"/>
      <c r="AH44" s="363">
        <f t="shared" si="20"/>
        <v>0.51965084605</v>
      </c>
      <c r="AI44" s="363">
        <f t="shared" si="21"/>
        <v>0.48076960697499999</v>
      </c>
      <c r="AJ44" s="363">
        <f t="shared" si="22"/>
        <v>0.50669043302499994</v>
      </c>
      <c r="AK44" s="363">
        <f t="shared" si="23"/>
        <v>0.43386525507500001</v>
      </c>
      <c r="AL44" s="363">
        <f t="shared" si="24"/>
        <v>0.43386525507500001</v>
      </c>
      <c r="AM44" s="363">
        <v>0</v>
      </c>
      <c r="AN44" s="368"/>
      <c r="AP44" s="363">
        <f t="shared" si="25"/>
        <v>9.9591216463584195E-6</v>
      </c>
      <c r="AQ44" s="363">
        <f t="shared" si="26"/>
        <v>1.331634171902591E-6</v>
      </c>
      <c r="AR44" s="363">
        <f t="shared" si="27"/>
        <v>4.9148977493216361E-8</v>
      </c>
      <c r="AS44" s="363">
        <f t="shared" si="28"/>
        <v>3.4684424942579119E-7</v>
      </c>
      <c r="AT44" s="363">
        <f t="shared" si="29"/>
        <v>3.2435320518907456E-6</v>
      </c>
      <c r="AU44" s="363">
        <f t="shared" si="30"/>
        <v>0.99998506971890333</v>
      </c>
      <c r="AV44" s="363">
        <f t="shared" si="3"/>
        <v>1.0000000000000004</v>
      </c>
      <c r="AW44" s="363">
        <f t="shared" si="4"/>
        <v>1.4930281097070763E-5</v>
      </c>
      <c r="AX44" s="375"/>
      <c r="AY44" s="363">
        <f t="shared" si="83"/>
        <v>6.3635575503499355E-6</v>
      </c>
      <c r="AZ44" s="363">
        <f t="shared" si="84"/>
        <v>8.7993820134800149E-7</v>
      </c>
      <c r="BA44" s="363">
        <f t="shared" si="85"/>
        <v>2.4880109375905374E-8</v>
      </c>
      <c r="BB44" s="363">
        <f t="shared" si="86"/>
        <v>2.2919320593250274E-7</v>
      </c>
      <c r="BC44" s="363">
        <f t="shared" si="87"/>
        <v>1.9871129028901533E-6</v>
      </c>
      <c r="BD44" s="363">
        <f t="shared" si="88"/>
        <v>0.99999051531803052</v>
      </c>
      <c r="BE44" s="363">
        <f t="shared" si="32"/>
        <v>1.0000000000000004</v>
      </c>
      <c r="BF44" s="363">
        <f t="shared" si="33"/>
        <v>9.4846819698964981E-6</v>
      </c>
      <c r="BG44" s="438"/>
      <c r="BH44" s="439"/>
      <c r="BJ44" s="369">
        <f t="shared" si="89"/>
        <v>3.4033144908579786E-3</v>
      </c>
      <c r="BK44" s="369">
        <f t="shared" si="34"/>
        <v>2.4630030525347479E-3</v>
      </c>
      <c r="BL44" s="369">
        <f t="shared" si="35"/>
        <v>2.5270410503602736E-5</v>
      </c>
      <c r="BM44" s="369">
        <f t="shared" si="36"/>
        <v>2.328046932808487E-3</v>
      </c>
      <c r="BN44" s="369">
        <f t="shared" si="37"/>
        <v>7.7583878198922689E-3</v>
      </c>
      <c r="BO44" s="369">
        <f t="shared" si="38"/>
        <v>0</v>
      </c>
      <c r="BP44" s="369">
        <f t="shared" si="5"/>
        <v>1.5978022706597084E-2</v>
      </c>
      <c r="BQ44" s="431"/>
      <c r="BR44" s="369">
        <f t="shared" si="90"/>
        <v>2.174608202765918E-3</v>
      </c>
      <c r="BS44" s="369">
        <f t="shared" si="39"/>
        <v>1.6275419493519878E-3</v>
      </c>
      <c r="BT44" s="369">
        <f t="shared" si="40"/>
        <v>1.2792342981915398E-5</v>
      </c>
      <c r="BU44" s="369">
        <f t="shared" si="41"/>
        <v>1.5383635190003837E-3</v>
      </c>
      <c r="BV44" s="369">
        <f t="shared" si="42"/>
        <v>4.753087774651975E-3</v>
      </c>
      <c r="BW44" s="369">
        <f t="shared" si="91"/>
        <v>0</v>
      </c>
      <c r="BX44" s="371">
        <f t="shared" si="43"/>
        <v>1.010639378875218E-2</v>
      </c>
      <c r="BY44" s="371"/>
      <c r="CA44" s="369">
        <f t="shared" si="92"/>
        <v>3.4423398965454976E-3</v>
      </c>
      <c r="CB44" s="369">
        <f t="shared" si="44"/>
        <v>2.4912460179124605E-3</v>
      </c>
      <c r="CC44" s="369">
        <f>(AR44*c_post_rinfar_mkv)/(1+disc_cost)^C44</f>
        <v>2.5491297848178525E-5</v>
      </c>
      <c r="CD44" s="369">
        <f t="shared" si="45"/>
        <v>2.3547423722856463E-3</v>
      </c>
      <c r="CE44" s="369">
        <f t="shared" si="46"/>
        <v>7.8180963596599425E-3</v>
      </c>
      <c r="CF44" s="369">
        <f t="shared" si="47"/>
        <v>0</v>
      </c>
      <c r="CG44" s="369">
        <f t="shared" si="48"/>
        <v>1.6131915944251726E-2</v>
      </c>
      <c r="CH44" s="369"/>
      <c r="CI44" s="384"/>
      <c r="CJ44" s="369">
        <f t="shared" si="93"/>
        <v>2.1995441784309097E-3</v>
      </c>
      <c r="CK44" s="369">
        <f t="shared" si="94"/>
        <v>1.6462047808409775E-3</v>
      </c>
      <c r="CL44" s="369">
        <f t="shared" si="95"/>
        <v>1.29041601869337E-5</v>
      </c>
      <c r="CM44" s="369">
        <f t="shared" si="96"/>
        <v>1.5560037519512728E-3</v>
      </c>
      <c r="CN44" s="369">
        <f t="shared" si="97"/>
        <v>4.7896675302662008E-3</v>
      </c>
      <c r="CO44" s="369">
        <f t="shared" si="98"/>
        <v>0</v>
      </c>
      <c r="CP44" s="369">
        <f t="shared" si="99"/>
        <v>1.0204324401676294E-2</v>
      </c>
      <c r="CR44" s="363">
        <f t="shared" si="55"/>
        <v>1.5348599913471447E-6</v>
      </c>
      <c r="CS44" s="363">
        <f t="shared" si="56"/>
        <v>1.8987073257151116E-7</v>
      </c>
      <c r="CT44" s="363">
        <f t="shared" si="57"/>
        <v>7.4056860682259151E-9</v>
      </c>
      <c r="CU44" s="363">
        <f t="shared" si="58"/>
        <v>4.4629853418964392E-8</v>
      </c>
      <c r="CV44" s="363">
        <f t="shared" si="59"/>
        <v>4.1892018767594006E-7</v>
      </c>
      <c r="CW44" s="363">
        <v>0</v>
      </c>
      <c r="CX44" s="363">
        <f t="shared" si="6"/>
        <v>2.1956864510817862E-6</v>
      </c>
      <c r="CY44" s="363"/>
      <c r="CZ44" s="440"/>
      <c r="DA44" s="363">
        <f t="shared" si="60"/>
        <v>9.8072603523610438E-7</v>
      </c>
      <c r="DB44" s="363">
        <f t="shared" si="61"/>
        <v>1.2546577313264114E-7</v>
      </c>
      <c r="DC44" s="363">
        <f t="shared" si="62"/>
        <v>3.7488934415067032E-9</v>
      </c>
      <c r="DD44" s="363">
        <f t="shared" si="63"/>
        <v>2.9491217462374645E-8</v>
      </c>
      <c r="DE44" s="363">
        <f t="shared" si="64"/>
        <v>2.5664667310032334E-7</v>
      </c>
      <c r="DF44" s="363">
        <v>0</v>
      </c>
      <c r="DG44" s="363">
        <f t="shared" si="65"/>
        <v>1.3960785923729502E-6</v>
      </c>
      <c r="DJ44" s="363">
        <f t="shared" si="66"/>
        <v>1.5524600497598375E-6</v>
      </c>
      <c r="DK44" s="363">
        <f t="shared" si="67"/>
        <v>1.9204795785782958E-7</v>
      </c>
      <c r="DL44" s="363">
        <f t="shared" si="68"/>
        <v>7.4704187851771926E-9</v>
      </c>
      <c r="DM44" s="363">
        <f t="shared" si="69"/>
        <v>4.5141618681953821E-8</v>
      </c>
      <c r="DN44" s="363">
        <f t="shared" si="70"/>
        <v>4.2214419674406081E-7</v>
      </c>
      <c r="DO44" s="363">
        <f t="shared" si="71"/>
        <v>0</v>
      </c>
      <c r="DP44" s="363">
        <f t="shared" si="100"/>
        <v>2.2192642418288589E-6</v>
      </c>
      <c r="DQ44" s="440"/>
      <c r="DS44" s="363">
        <f t="shared" si="72"/>
        <v>9.9197190495993135E-7</v>
      </c>
      <c r="DT44" s="363">
        <f t="shared" si="73"/>
        <v>1.2690447434863287E-7</v>
      </c>
      <c r="DU44" s="363">
        <f t="shared" si="74"/>
        <v>3.7816623241995248E-9</v>
      </c>
      <c r="DV44" s="363">
        <f t="shared" si="75"/>
        <v>2.9829389773155683E-8</v>
      </c>
      <c r="DW44" s="363">
        <f t="shared" si="76"/>
        <v>2.5862182546996403E-7</v>
      </c>
      <c r="DX44" s="363">
        <f t="shared" si="101"/>
        <v>0</v>
      </c>
      <c r="DY44" s="388">
        <f t="shared" si="102"/>
        <v>1.4111092568758836E-6</v>
      </c>
    </row>
    <row r="45" spans="2:129" x14ac:dyDescent="0.15">
      <c r="B45" s="448" t="s">
        <v>588</v>
      </c>
      <c r="C45" s="238">
        <v>36</v>
      </c>
      <c r="D45" s="238">
        <v>98</v>
      </c>
      <c r="E45" s="444">
        <f t="shared" si="7"/>
        <v>4.2999999999999997E-2</v>
      </c>
      <c r="F45" s="364">
        <v>1.12E-2</v>
      </c>
      <c r="G45" s="363">
        <f t="shared" si="8"/>
        <v>0.68307600000000002</v>
      </c>
      <c r="H45" s="363">
        <f t="shared" si="9"/>
        <v>1</v>
      </c>
      <c r="I45" s="363">
        <f t="shared" si="10"/>
        <v>1</v>
      </c>
      <c r="J45" s="363">
        <f t="shared" si="11"/>
        <v>1</v>
      </c>
      <c r="K45" s="363">
        <f t="shared" si="12"/>
        <v>0.79236815999999999</v>
      </c>
      <c r="L45" s="363"/>
      <c r="N45" s="363">
        <f t="shared" si="77"/>
        <v>2.7366130355732526E-6</v>
      </c>
      <c r="O45" s="363">
        <f t="shared" si="78"/>
        <v>4.2338729859859519E-7</v>
      </c>
      <c r="P45" s="363">
        <f t="shared" si="79"/>
        <v>6.059447272325786E-10</v>
      </c>
      <c r="Q45" s="363">
        <f t="shared" si="80"/>
        <v>1.1027762196056434E-7</v>
      </c>
      <c r="R45" s="363">
        <f t="shared" si="81"/>
        <v>7.2511328326665832E-7</v>
      </c>
      <c r="S45" s="363">
        <f t="shared" si="82"/>
        <v>0.99999600400281652</v>
      </c>
      <c r="T45" s="363">
        <f t="shared" si="0"/>
        <v>1.0000000000000007</v>
      </c>
      <c r="U45" s="363">
        <f t="shared" si="1"/>
        <v>3.9959971841263031E-6</v>
      </c>
      <c r="V45" s="376"/>
      <c r="W45" s="363"/>
      <c r="X45" s="363">
        <f t="shared" si="13"/>
        <v>1.7277934793655999E-6</v>
      </c>
      <c r="Y45" s="363">
        <f t="shared" si="14"/>
        <v>2.7053082956412253E-7</v>
      </c>
      <c r="Z45" s="363">
        <f t="shared" si="15"/>
        <v>3.029723636162893E-10</v>
      </c>
      <c r="AA45" s="363">
        <f t="shared" si="16"/>
        <v>7.0463843979492384E-8</v>
      </c>
      <c r="AB45" s="363">
        <f t="shared" si="17"/>
        <v>4.3783494423987792E-7</v>
      </c>
      <c r="AC45" s="363">
        <f t="shared" si="18"/>
        <v>0.99999749307393104</v>
      </c>
      <c r="AD45" s="363">
        <f t="shared" si="19"/>
        <v>1.0000000000000004</v>
      </c>
      <c r="AE45" s="363">
        <f t="shared" si="2"/>
        <v>2.5069260695127091E-6</v>
      </c>
      <c r="AF45" s="363"/>
      <c r="AG45" s="376"/>
      <c r="AH45" s="363">
        <f t="shared" si="20"/>
        <v>0.5138840722500001</v>
      </c>
      <c r="AI45" s="363">
        <f t="shared" si="21"/>
        <v>0.47543431387500007</v>
      </c>
      <c r="AJ45" s="363">
        <f t="shared" si="22"/>
        <v>0.50106748612500007</v>
      </c>
      <c r="AK45" s="363">
        <f t="shared" si="23"/>
        <v>0.42905047837500004</v>
      </c>
      <c r="AL45" s="363">
        <f t="shared" si="24"/>
        <v>0.42905047837500004</v>
      </c>
      <c r="AM45" s="363">
        <v>0</v>
      </c>
      <c r="AN45" s="368"/>
      <c r="AP45" s="363">
        <f t="shared" si="25"/>
        <v>2.7679934543414506E-6</v>
      </c>
      <c r="AQ45" s="363">
        <f t="shared" si="26"/>
        <v>4.2824223079341202E-7</v>
      </c>
      <c r="AR45" s="363">
        <f t="shared" si="27"/>
        <v>6.1124125859438634E-10</v>
      </c>
      <c r="AS45" s="363">
        <f t="shared" si="28"/>
        <v>1.115421624392143E-7</v>
      </c>
      <c r="AT45" s="363">
        <f t="shared" si="29"/>
        <v>7.3069375388956093E-7</v>
      </c>
      <c r="AU45" s="363">
        <f t="shared" si="30"/>
        <v>0.9999959609171577</v>
      </c>
      <c r="AV45" s="363">
        <f t="shared" si="3"/>
        <v>1.0000000000000004</v>
      </c>
      <c r="AW45" s="363">
        <f t="shared" si="4"/>
        <v>4.039082842722233E-6</v>
      </c>
      <c r="AX45" s="375"/>
      <c r="AY45" s="363">
        <f t="shared" si="83"/>
        <v>1.7476058833199269E-6</v>
      </c>
      <c r="AZ45" s="363">
        <f t="shared" si="84"/>
        <v>2.7363297466504721E-7</v>
      </c>
      <c r="BA45" s="363">
        <f t="shared" si="85"/>
        <v>3.0562062929719317E-10</v>
      </c>
      <c r="BB45" s="363">
        <f t="shared" si="86"/>
        <v>7.1271844563919273E-8</v>
      </c>
      <c r="BC45" s="363">
        <f t="shared" si="87"/>
        <v>4.4120452124307881E-7</v>
      </c>
      <c r="BD45" s="363">
        <f t="shared" si="88"/>
        <v>0.99999746597915595</v>
      </c>
      <c r="BE45" s="363">
        <f t="shared" si="32"/>
        <v>1.0000000000000004</v>
      </c>
      <c r="BF45" s="363">
        <f t="shared" si="33"/>
        <v>2.5340208444212693E-6</v>
      </c>
      <c r="BG45" s="438"/>
      <c r="BH45" s="439"/>
      <c r="BJ45" s="369">
        <f t="shared" si="89"/>
        <v>9.1391489340469348E-4</v>
      </c>
      <c r="BK45" s="369">
        <f t="shared" si="34"/>
        <v>7.6529550354514822E-4</v>
      </c>
      <c r="BL45" s="369">
        <f t="shared" si="35"/>
        <v>3.036477876599578E-7</v>
      </c>
      <c r="BM45" s="369">
        <f t="shared" si="36"/>
        <v>7.2336242047563355E-4</v>
      </c>
      <c r="BN45" s="369">
        <f t="shared" si="37"/>
        <v>1.6886837965330232E-3</v>
      </c>
      <c r="BO45" s="369">
        <f t="shared" si="38"/>
        <v>0</v>
      </c>
      <c r="BP45" s="369">
        <f t="shared" si="5"/>
        <v>4.0915602617461588E-3</v>
      </c>
      <c r="BQ45" s="431"/>
      <c r="BR45" s="369">
        <f t="shared" si="90"/>
        <v>5.7701113492977405E-4</v>
      </c>
      <c r="BS45" s="369">
        <f t="shared" si="39"/>
        <v>4.8899914598536035E-4</v>
      </c>
      <c r="BT45" s="369">
        <f t="shared" si="40"/>
        <v>1.518238938299789E-7</v>
      </c>
      <c r="BU45" s="369">
        <f t="shared" si="41"/>
        <v>4.6220525824586944E-4</v>
      </c>
      <c r="BV45" s="369">
        <f t="shared" si="42"/>
        <v>1.0196541601926803E-3</v>
      </c>
      <c r="BW45" s="369">
        <f t="shared" si="91"/>
        <v>0</v>
      </c>
      <c r="BX45" s="371">
        <f t="shared" si="43"/>
        <v>2.548021523247514E-3</v>
      </c>
      <c r="BY45" s="371"/>
      <c r="CA45" s="369">
        <f t="shared" si="92"/>
        <v>9.2439464764861956E-4</v>
      </c>
      <c r="CB45" s="369">
        <f t="shared" si="44"/>
        <v>7.7407105678212055E-4</v>
      </c>
      <c r="CC45" s="369">
        <f>(AR45*c_post_rinfar_mkv)/(1+disc_cost)^C45</f>
        <v>3.0630195718731672E-7</v>
      </c>
      <c r="CD45" s="369">
        <f t="shared" si="45"/>
        <v>7.3165713199700418E-4</v>
      </c>
      <c r="CE45" s="369">
        <f t="shared" si="46"/>
        <v>1.7016799042245971E-3</v>
      </c>
      <c r="CF45" s="369">
        <f t="shared" si="47"/>
        <v>0</v>
      </c>
      <c r="CG45" s="369">
        <f t="shared" si="48"/>
        <v>4.1321090426095289E-3</v>
      </c>
      <c r="CH45" s="369"/>
      <c r="CI45" s="384"/>
      <c r="CJ45" s="369">
        <f t="shared" si="93"/>
        <v>5.8362765352872774E-4</v>
      </c>
      <c r="CK45" s="369">
        <f t="shared" si="94"/>
        <v>4.9460644149219391E-4</v>
      </c>
      <c r="CL45" s="369">
        <f t="shared" si="95"/>
        <v>1.5315097859365836E-7</v>
      </c>
      <c r="CM45" s="369">
        <f t="shared" si="96"/>
        <v>4.6750531140357876E-4</v>
      </c>
      <c r="CN45" s="369">
        <f t="shared" si="97"/>
        <v>1.0275014169148871E-3</v>
      </c>
      <c r="CO45" s="369">
        <f t="shared" si="98"/>
        <v>0</v>
      </c>
      <c r="CP45" s="369">
        <f t="shared" si="99"/>
        <v>2.5733939743179811E-3</v>
      </c>
      <c r="CR45" s="363">
        <f t="shared" si="55"/>
        <v>4.0759228577281538E-7</v>
      </c>
      <c r="CS45" s="363">
        <f t="shared" si="56"/>
        <v>5.8341253488899864E-8</v>
      </c>
      <c r="CT45" s="363">
        <f t="shared" si="57"/>
        <v>8.7998777890498566E-11</v>
      </c>
      <c r="CU45" s="363">
        <f t="shared" si="58"/>
        <v>1.3713338312989284E-8</v>
      </c>
      <c r="CV45" s="363">
        <f t="shared" si="59"/>
        <v>9.0169914728792626E-8</v>
      </c>
      <c r="CW45" s="363">
        <v>0</v>
      </c>
      <c r="CX45" s="363">
        <f t="shared" si="6"/>
        <v>5.6990479108138775E-7</v>
      </c>
      <c r="CY45" s="363"/>
      <c r="CZ45" s="440"/>
      <c r="DA45" s="363">
        <f t="shared" si="60"/>
        <v>2.573382807300963E-7</v>
      </c>
      <c r="DB45" s="363">
        <f t="shared" si="61"/>
        <v>3.7278179473982001E-8</v>
      </c>
      <c r="DC45" s="363">
        <f t="shared" si="62"/>
        <v>4.3999388945249283E-11</v>
      </c>
      <c r="DD45" s="363">
        <f t="shared" si="63"/>
        <v>8.7623809268395591E-9</v>
      </c>
      <c r="DE45" s="363">
        <f t="shared" si="64"/>
        <v>5.4446030018287474E-8</v>
      </c>
      <c r="DF45" s="363">
        <v>0</v>
      </c>
      <c r="DG45" s="363">
        <f t="shared" si="65"/>
        <v>3.5786887053815057E-7</v>
      </c>
      <c r="DJ45" s="363">
        <f t="shared" si="66"/>
        <v>4.1226609841931504E-7</v>
      </c>
      <c r="DK45" s="363">
        <f t="shared" si="67"/>
        <v>5.901024575859421E-8</v>
      </c>
      <c r="DL45" s="363">
        <f t="shared" si="68"/>
        <v>8.8767970633583344E-11</v>
      </c>
      <c r="DM45" s="363">
        <f t="shared" si="69"/>
        <v>1.3870587545298605E-8</v>
      </c>
      <c r="DN45" s="363">
        <f t="shared" si="70"/>
        <v>9.0863862242685595E-8</v>
      </c>
      <c r="DO45" s="363">
        <f t="shared" si="71"/>
        <v>0</v>
      </c>
      <c r="DP45" s="363">
        <f t="shared" si="100"/>
        <v>5.7609956193652703E-7</v>
      </c>
      <c r="DQ45" s="440"/>
      <c r="DS45" s="363">
        <f t="shared" si="72"/>
        <v>2.6028914843021559E-7</v>
      </c>
      <c r="DT45" s="363">
        <f t="shared" si="73"/>
        <v>3.7705643959315981E-8</v>
      </c>
      <c r="DU45" s="363">
        <f t="shared" si="74"/>
        <v>4.4383985316791672E-11</v>
      </c>
      <c r="DV45" s="363">
        <f t="shared" si="75"/>
        <v>8.8628581149974735E-9</v>
      </c>
      <c r="DW45" s="363">
        <f t="shared" si="76"/>
        <v>5.486504657482047E-8</v>
      </c>
      <c r="DX45" s="363">
        <f t="shared" si="101"/>
        <v>0</v>
      </c>
      <c r="DY45" s="388">
        <f t="shared" si="102"/>
        <v>3.617670810646663E-7</v>
      </c>
    </row>
    <row r="46" spans="2:129" x14ac:dyDescent="0.15">
      <c r="B46" s="448" t="s">
        <v>588</v>
      </c>
      <c r="C46" s="238">
        <v>37</v>
      </c>
      <c r="D46" s="238">
        <v>99</v>
      </c>
      <c r="E46" s="444">
        <f t="shared" si="7"/>
        <v>4.2999999999999997E-2</v>
      </c>
      <c r="F46" s="364">
        <v>1.12E-2</v>
      </c>
      <c r="G46" s="363">
        <f t="shared" si="8"/>
        <v>0.74354400000000009</v>
      </c>
      <c r="H46" s="363">
        <f t="shared" si="9"/>
        <v>1</v>
      </c>
      <c r="I46" s="363">
        <f t="shared" si="10"/>
        <v>1</v>
      </c>
      <c r="J46" s="363">
        <f t="shared" si="11"/>
        <v>1</v>
      </c>
      <c r="K46" s="363">
        <f t="shared" si="12"/>
        <v>0.86251104000000001</v>
      </c>
      <c r="L46" s="363"/>
      <c r="N46" s="363">
        <f t="shared" si="77"/>
        <v>7.1897392315794727E-7</v>
      </c>
      <c r="O46" s="363">
        <f t="shared" si="78"/>
        <v>1.1767436052964986E-7</v>
      </c>
      <c r="P46" s="363">
        <f t="shared" si="79"/>
        <v>0</v>
      </c>
      <c r="Q46" s="363">
        <f t="shared" si="80"/>
        <v>3.065006599842043E-8</v>
      </c>
      <c r="R46" s="363">
        <f t="shared" si="81"/>
        <v>1.5055660521309751E-7</v>
      </c>
      <c r="S46" s="363">
        <f t="shared" si="82"/>
        <v>0.99999898214504568</v>
      </c>
      <c r="T46" s="363">
        <f t="shared" si="0"/>
        <v>1.0000000000000007</v>
      </c>
      <c r="U46" s="363">
        <f t="shared" si="1"/>
        <v>1.017854954899115E-6</v>
      </c>
      <c r="V46" s="376"/>
      <c r="W46" s="363"/>
      <c r="X46" s="363">
        <f t="shared" si="13"/>
        <v>4.321953564800905E-7</v>
      </c>
      <c r="Y46" s="363">
        <f t="shared" si="14"/>
        <v>7.429511961272079E-8</v>
      </c>
      <c r="Z46" s="363">
        <f t="shared" si="15"/>
        <v>0</v>
      </c>
      <c r="AA46" s="363">
        <f t="shared" si="16"/>
        <v>1.9351286968894721E-8</v>
      </c>
      <c r="AB46" s="363">
        <f t="shared" si="17"/>
        <v>8.5628238142488432E-8</v>
      </c>
      <c r="AC46" s="363">
        <f t="shared" si="18"/>
        <v>0.99999938852999937</v>
      </c>
      <c r="AD46" s="363">
        <f t="shared" si="19"/>
        <v>1.0000000000000007</v>
      </c>
      <c r="AE46" s="363">
        <f t="shared" si="2"/>
        <v>6.1147000120419446E-7</v>
      </c>
      <c r="AF46" s="363"/>
      <c r="AG46" s="376"/>
      <c r="AH46" s="363">
        <f t="shared" si="20"/>
        <v>0.50806138965000003</v>
      </c>
      <c r="AI46" s="363">
        <f t="shared" si="21"/>
        <v>0.47004729517500005</v>
      </c>
      <c r="AJ46" s="363">
        <f t="shared" si="22"/>
        <v>0.495390024825</v>
      </c>
      <c r="AK46" s="363">
        <f t="shared" si="23"/>
        <v>0.42418902247500001</v>
      </c>
      <c r="AL46" s="363">
        <f t="shared" si="24"/>
        <v>0.42418902247500001</v>
      </c>
      <c r="AM46" s="363">
        <v>0</v>
      </c>
      <c r="AN46" s="368"/>
      <c r="AP46" s="363">
        <f t="shared" si="25"/>
        <v>7.2721831229840329E-7</v>
      </c>
      <c r="AQ46" s="363">
        <f t="shared" si="26"/>
        <v>1.1902371853668237E-7</v>
      </c>
      <c r="AR46" s="363">
        <f t="shared" si="27"/>
        <v>0</v>
      </c>
      <c r="AS46" s="363">
        <f t="shared" si="28"/>
        <v>3.1001526688624243E-8</v>
      </c>
      <c r="AT46" s="363">
        <f t="shared" si="29"/>
        <v>1.5171528859659669E-7</v>
      </c>
      <c r="AU46" s="363">
        <f t="shared" si="30"/>
        <v>0.99999897104115432</v>
      </c>
      <c r="AV46" s="363">
        <f t="shared" si="3"/>
        <v>1.0000000000000004</v>
      </c>
      <c r="AW46" s="363">
        <f t="shared" si="4"/>
        <v>1.0289588461203067E-6</v>
      </c>
      <c r="AX46" s="375"/>
      <c r="AY46" s="363">
        <f t="shared" si="83"/>
        <v>4.3715128963531456E-7</v>
      </c>
      <c r="AZ46" s="363">
        <f t="shared" si="84"/>
        <v>7.5147052982756856E-8</v>
      </c>
      <c r="BA46" s="363">
        <f t="shared" si="85"/>
        <v>0</v>
      </c>
      <c r="BB46" s="363">
        <f t="shared" si="86"/>
        <v>1.9573185893183179E-8</v>
      </c>
      <c r="BC46" s="363">
        <f t="shared" si="87"/>
        <v>8.6287232920921317E-8</v>
      </c>
      <c r="BD46" s="363">
        <f t="shared" si="88"/>
        <v>0.99999938184123904</v>
      </c>
      <c r="BE46" s="363">
        <f t="shared" si="32"/>
        <v>1.0000000000000004</v>
      </c>
      <c r="BF46" s="363">
        <f t="shared" si="33"/>
        <v>6.1815876143217588E-7</v>
      </c>
      <c r="BG46" s="438"/>
      <c r="BH46" s="439"/>
      <c r="BJ46" s="369">
        <f t="shared" si="89"/>
        <v>2.3198780333802391E-4</v>
      </c>
      <c r="BK46" s="369">
        <f t="shared" si="34"/>
        <v>2.0550994050779958E-4</v>
      </c>
      <c r="BL46" s="369">
        <f t="shared" si="35"/>
        <v>0</v>
      </c>
      <c r="BM46" s="369">
        <f t="shared" si="36"/>
        <v>1.9424936813150286E-4</v>
      </c>
      <c r="BN46" s="369">
        <f t="shared" si="37"/>
        <v>3.3876765589597817E-4</v>
      </c>
      <c r="BO46" s="369">
        <f t="shared" si="38"/>
        <v>0</v>
      </c>
      <c r="BP46" s="369">
        <f t="shared" si="5"/>
        <v>9.7051476787330456E-4</v>
      </c>
      <c r="BQ46" s="431"/>
      <c r="BR46" s="369">
        <f t="shared" si="90"/>
        <v>1.3945436424497962E-4</v>
      </c>
      <c r="BS46" s="369">
        <f t="shared" si="39"/>
        <v>1.2975116705888536E-4</v>
      </c>
      <c r="BT46" s="369">
        <f t="shared" si="40"/>
        <v>0</v>
      </c>
      <c r="BU46" s="369">
        <f t="shared" si="41"/>
        <v>1.2264166956224191E-4</v>
      </c>
      <c r="BV46" s="369">
        <f t="shared" si="42"/>
        <v>1.92672234293377E-4</v>
      </c>
      <c r="BW46" s="369">
        <f t="shared" si="91"/>
        <v>0</v>
      </c>
      <c r="BX46" s="371">
        <f t="shared" si="43"/>
        <v>5.8451943515948389E-4</v>
      </c>
      <c r="BY46" s="371"/>
      <c r="CA46" s="369">
        <f t="shared" si="92"/>
        <v>2.3464798010515553E-4</v>
      </c>
      <c r="CB46" s="369">
        <f t="shared" si="44"/>
        <v>2.0786649874615179E-4</v>
      </c>
      <c r="CC46" s="369">
        <f>(AR46*c_post_rinfar_mkv)/(1+disc_cost)^C46</f>
        <v>0</v>
      </c>
      <c r="CD46" s="369">
        <f t="shared" si="45"/>
        <v>1.9647680271512403E-4</v>
      </c>
      <c r="CE46" s="369">
        <f t="shared" si="46"/>
        <v>3.4137481121273135E-4</v>
      </c>
      <c r="CF46" s="369">
        <f t="shared" si="47"/>
        <v>0</v>
      </c>
      <c r="CG46" s="369">
        <f t="shared" si="48"/>
        <v>9.803660927791627E-4</v>
      </c>
      <c r="CH46" s="369"/>
      <c r="CI46" s="384"/>
      <c r="CJ46" s="369">
        <f t="shared" si="93"/>
        <v>1.4105347098465192E-4</v>
      </c>
      <c r="CK46" s="369">
        <f t="shared" si="94"/>
        <v>1.312390083813679E-4</v>
      </c>
      <c r="CL46" s="369">
        <f t="shared" si="95"/>
        <v>0</v>
      </c>
      <c r="CM46" s="369">
        <f t="shared" si="96"/>
        <v>1.240479871158261E-4</v>
      </c>
      <c r="CN46" s="369">
        <f t="shared" si="97"/>
        <v>1.9415503948828306E-4</v>
      </c>
      <c r="CO46" s="369">
        <f t="shared" si="98"/>
        <v>0</v>
      </c>
      <c r="CP46" s="369">
        <f t="shared" si="99"/>
        <v>5.9049550597012898E-4</v>
      </c>
      <c r="CR46" s="363">
        <f t="shared" si="55"/>
        <v>1.0229075601869451E-7</v>
      </c>
      <c r="CS46" s="363">
        <f t="shared" si="56"/>
        <v>1.5489252606730274E-8</v>
      </c>
      <c r="CT46" s="363">
        <f t="shared" si="57"/>
        <v>0</v>
      </c>
      <c r="CU46" s="363">
        <f t="shared" si="58"/>
        <v>3.6408090075037016E-9</v>
      </c>
      <c r="CV46" s="363">
        <f t="shared" si="59"/>
        <v>1.7884067343518064E-8</v>
      </c>
      <c r="CW46" s="363">
        <v>0</v>
      </c>
      <c r="CX46" s="363">
        <f t="shared" si="6"/>
        <v>1.3930488497644655E-7</v>
      </c>
      <c r="CY46" s="363"/>
      <c r="CZ46" s="440"/>
      <c r="DA46" s="363">
        <f t="shared" si="60"/>
        <v>6.1489837584005786E-8</v>
      </c>
      <c r="DB46" s="363">
        <f t="shared" si="61"/>
        <v>9.7793255042904392E-9</v>
      </c>
      <c r="DC46" s="363">
        <f t="shared" si="62"/>
        <v>0</v>
      </c>
      <c r="DD46" s="363">
        <f t="shared" si="63"/>
        <v>2.2986684565955521E-9</v>
      </c>
      <c r="DE46" s="363">
        <f t="shared" si="64"/>
        <v>1.0171464581574163E-8</v>
      </c>
      <c r="DF46" s="363">
        <v>0</v>
      </c>
      <c r="DG46" s="363">
        <f t="shared" si="65"/>
        <v>8.3739296126465945E-8</v>
      </c>
      <c r="DJ46" s="363">
        <f t="shared" si="66"/>
        <v>1.0346371204801114E-7</v>
      </c>
      <c r="DK46" s="363">
        <f t="shared" si="67"/>
        <v>1.5666866038694279E-8</v>
      </c>
      <c r="DL46" s="363">
        <f t="shared" si="68"/>
        <v>0</v>
      </c>
      <c r="DM46" s="363">
        <f t="shared" si="69"/>
        <v>3.6825577347900786E-9</v>
      </c>
      <c r="DN46" s="363">
        <f t="shared" si="70"/>
        <v>1.8021703096070965E-8</v>
      </c>
      <c r="DO46" s="363">
        <f t="shared" si="71"/>
        <v>0</v>
      </c>
      <c r="DP46" s="363">
        <f t="shared" si="100"/>
        <v>1.4083483891756646E-7</v>
      </c>
      <c r="DQ46" s="440"/>
      <c r="DS46" s="363">
        <f t="shared" si="72"/>
        <v>6.2194934295996849E-8</v>
      </c>
      <c r="DT46" s="363">
        <f t="shared" si="73"/>
        <v>9.8914638759220988E-9</v>
      </c>
      <c r="DU46" s="363">
        <f t="shared" si="74"/>
        <v>0</v>
      </c>
      <c r="DV46" s="363">
        <f t="shared" si="75"/>
        <v>2.3250270165525335E-9</v>
      </c>
      <c r="DW46" s="363">
        <f t="shared" si="76"/>
        <v>1.0249744156089271E-8</v>
      </c>
      <c r="DX46" s="363">
        <f t="shared" si="101"/>
        <v>0</v>
      </c>
      <c r="DY46" s="388">
        <f t="shared" si="102"/>
        <v>8.4661169344560745E-8</v>
      </c>
    </row>
    <row r="47" spans="2:129" x14ac:dyDescent="0.15">
      <c r="B47" s="448" t="s">
        <v>588</v>
      </c>
      <c r="C47" s="238">
        <v>38</v>
      </c>
      <c r="D47" s="238">
        <v>100</v>
      </c>
      <c r="E47" s="444">
        <f t="shared" si="7"/>
        <v>4.2999999999999997E-2</v>
      </c>
      <c r="F47" s="364">
        <v>1.12E-2</v>
      </c>
      <c r="G47" s="363">
        <f t="shared" si="8"/>
        <v>0.78136799999999995</v>
      </c>
      <c r="H47" s="363">
        <f t="shared" si="9"/>
        <v>1</v>
      </c>
      <c r="I47" s="363">
        <f t="shared" si="10"/>
        <v>1</v>
      </c>
      <c r="J47" s="363">
        <f t="shared" si="11"/>
        <v>1</v>
      </c>
      <c r="K47" s="363">
        <f t="shared" si="12"/>
        <v>0.90638687999999989</v>
      </c>
      <c r="L47" s="363"/>
      <c r="N47" s="363">
        <f t="shared" si="77"/>
        <v>1.4541678980223373E-7</v>
      </c>
      <c r="O47" s="363">
        <f t="shared" si="78"/>
        <v>3.0915878695791732E-8</v>
      </c>
      <c r="P47" s="363">
        <f t="shared" si="79"/>
        <v>0</v>
      </c>
      <c r="Q47" s="363">
        <f t="shared" si="80"/>
        <v>8.0525079393690091E-9</v>
      </c>
      <c r="R47" s="363">
        <f t="shared" si="81"/>
        <v>2.069987107187935E-8</v>
      </c>
      <c r="S47" s="363">
        <f t="shared" si="82"/>
        <v>0.99999979491495306</v>
      </c>
      <c r="T47" s="363">
        <f t="shared" si="0"/>
        <v>1.0000000000000007</v>
      </c>
      <c r="U47" s="363">
        <f t="shared" si="1"/>
        <v>2.0508504750927382E-7</v>
      </c>
      <c r="V47" s="376"/>
      <c r="W47" s="363"/>
      <c r="X47" s="363">
        <f t="shared" si="13"/>
        <v>8.4663981691497323E-8</v>
      </c>
      <c r="Y47" s="363">
        <f t="shared" si="14"/>
        <v>1.8584400328643891E-8</v>
      </c>
      <c r="Z47" s="363">
        <f t="shared" si="15"/>
        <v>0</v>
      </c>
      <c r="AA47" s="363">
        <f t="shared" si="16"/>
        <v>4.840587992577013E-9</v>
      </c>
      <c r="AB47" s="363">
        <f t="shared" si="17"/>
        <v>1.1318825293257862E-8</v>
      </c>
      <c r="AC47" s="363">
        <f t="shared" si="18"/>
        <v>0.99999988059220524</v>
      </c>
      <c r="AD47" s="363">
        <f t="shared" si="19"/>
        <v>1.0000000000000007</v>
      </c>
      <c r="AE47" s="363">
        <f t="shared" si="2"/>
        <v>1.1940779530597607E-7</v>
      </c>
      <c r="AF47" s="363"/>
      <c r="AG47" s="376"/>
      <c r="AH47" s="363">
        <f t="shared" si="20"/>
        <v>0.50218279825000012</v>
      </c>
      <c r="AI47" s="363">
        <f t="shared" si="21"/>
        <v>0.46460855087500008</v>
      </c>
      <c r="AJ47" s="363">
        <f t="shared" si="22"/>
        <v>0.48965804912499999</v>
      </c>
      <c r="AK47" s="363">
        <f t="shared" si="23"/>
        <v>0.41928088737499997</v>
      </c>
      <c r="AL47" s="363">
        <f t="shared" si="24"/>
        <v>0.41928088737499997</v>
      </c>
      <c r="AM47" s="363">
        <v>0</v>
      </c>
      <c r="AN47" s="368"/>
      <c r="AP47" s="363">
        <f t="shared" si="25"/>
        <v>1.4708426697222583E-7</v>
      </c>
      <c r="AQ47" s="363">
        <f t="shared" si="26"/>
        <v>3.1270387428831336E-8</v>
      </c>
      <c r="AR47" s="363">
        <f t="shared" si="27"/>
        <v>0</v>
      </c>
      <c r="AS47" s="363">
        <f t="shared" si="28"/>
        <v>8.144845097742116E-9</v>
      </c>
      <c r="AT47" s="363">
        <f t="shared" si="29"/>
        <v>2.0859177245245944E-8</v>
      </c>
      <c r="AU47" s="363">
        <f t="shared" si="30"/>
        <v>0.99999979264132377</v>
      </c>
      <c r="AV47" s="363">
        <f t="shared" si="3"/>
        <v>1.0000000000000004</v>
      </c>
      <c r="AW47" s="363">
        <f t="shared" si="4"/>
        <v>2.0735867674404522E-7</v>
      </c>
      <c r="AX47" s="375"/>
      <c r="AY47" s="363">
        <f t="shared" si="83"/>
        <v>8.5634813579501438E-8</v>
      </c>
      <c r="AZ47" s="363">
        <f t="shared" si="84"/>
        <v>1.8797505454318524E-8</v>
      </c>
      <c r="BA47" s="363">
        <f t="shared" si="85"/>
        <v>0</v>
      </c>
      <c r="BB47" s="363">
        <f t="shared" si="86"/>
        <v>4.8960944439155224E-9</v>
      </c>
      <c r="BC47" s="363">
        <f t="shared" si="87"/>
        <v>1.1405934953903212E-8</v>
      </c>
      <c r="BD47" s="363">
        <f t="shared" si="88"/>
        <v>0.99999987926565215</v>
      </c>
      <c r="BE47" s="363">
        <f t="shared" si="32"/>
        <v>1.0000000000000007</v>
      </c>
      <c r="BF47" s="363">
        <f t="shared" si="33"/>
        <v>1.2073434843163869E-7</v>
      </c>
      <c r="BG47" s="438"/>
      <c r="BH47" s="439"/>
      <c r="BJ47" s="369">
        <f t="shared" si="89"/>
        <v>4.533422719993753E-5</v>
      </c>
      <c r="BK47" s="369">
        <f t="shared" si="34"/>
        <v>5.2166563874368247E-5</v>
      </c>
      <c r="BL47" s="369">
        <f t="shared" si="35"/>
        <v>0</v>
      </c>
      <c r="BM47" s="369">
        <f t="shared" si="36"/>
        <v>4.9308184534281115E-5</v>
      </c>
      <c r="BN47" s="369">
        <f t="shared" si="37"/>
        <v>4.5001751392053997E-5</v>
      </c>
      <c r="BO47" s="369">
        <f t="shared" si="38"/>
        <v>0</v>
      </c>
      <c r="BP47" s="369">
        <f t="shared" si="5"/>
        <v>1.9181072700064089E-4</v>
      </c>
      <c r="BQ47" s="431"/>
      <c r="BR47" s="369">
        <f t="shared" si="90"/>
        <v>2.639431242343883E-5</v>
      </c>
      <c r="BS47" s="369">
        <f t="shared" si="39"/>
        <v>3.1358782208671235E-5</v>
      </c>
      <c r="BT47" s="369">
        <f t="shared" si="40"/>
        <v>0</v>
      </c>
      <c r="BU47" s="369">
        <f t="shared" si="41"/>
        <v>2.9640530352723334E-5</v>
      </c>
      <c r="BV47" s="369">
        <f t="shared" si="42"/>
        <v>2.4607252872664262E-5</v>
      </c>
      <c r="BW47" s="369">
        <f t="shared" si="91"/>
        <v>0</v>
      </c>
      <c r="BX47" s="371">
        <f t="shared" si="43"/>
        <v>1.1200087785749766E-4</v>
      </c>
      <c r="BY47" s="371"/>
      <c r="CA47" s="369">
        <f t="shared" si="92"/>
        <v>4.5854069433959733E-5</v>
      </c>
      <c r="CB47" s="369">
        <f t="shared" si="44"/>
        <v>5.276475170684442E-5</v>
      </c>
      <c r="CC47" s="369">
        <f>(AR47*c_post_rinfar_mkv)/(1+disc_cost)^C47</f>
        <v>0</v>
      </c>
      <c r="CD47" s="369">
        <f t="shared" si="45"/>
        <v>4.987359566814323E-5</v>
      </c>
      <c r="CE47" s="369">
        <f t="shared" si="46"/>
        <v>4.5348084795975634E-5</v>
      </c>
      <c r="CF47" s="369">
        <f t="shared" si="47"/>
        <v>0</v>
      </c>
      <c r="CG47" s="369">
        <f t="shared" si="48"/>
        <v>1.9384050160492304E-4</v>
      </c>
      <c r="CH47" s="369"/>
      <c r="CI47" s="384"/>
      <c r="CJ47" s="369">
        <f t="shared" si="93"/>
        <v>2.6696972889562301E-5</v>
      </c>
      <c r="CK47" s="369">
        <f t="shared" si="94"/>
        <v>3.1718369664031973E-5</v>
      </c>
      <c r="CL47" s="369">
        <f t="shared" si="95"/>
        <v>0</v>
      </c>
      <c r="CM47" s="369">
        <f t="shared" si="96"/>
        <v>2.99804148167996E-5</v>
      </c>
      <c r="CN47" s="369">
        <f t="shared" si="97"/>
        <v>2.479663024987574E-5</v>
      </c>
      <c r="CO47" s="369">
        <f t="shared" si="98"/>
        <v>0</v>
      </c>
      <c r="CP47" s="369">
        <f t="shared" si="99"/>
        <v>1.131923876202696E-4</v>
      </c>
      <c r="CR47" s="363">
        <f t="shared" si="55"/>
        <v>1.9758005099773022E-8</v>
      </c>
      <c r="CS47" s="363">
        <f t="shared" si="56"/>
        <v>3.8862926475995498E-9</v>
      </c>
      <c r="CT47" s="363">
        <f t="shared" si="57"/>
        <v>0</v>
      </c>
      <c r="CU47" s="363">
        <f t="shared" si="58"/>
        <v>9.1348818670746053E-10</v>
      </c>
      <c r="CV47" s="363">
        <f t="shared" si="59"/>
        <v>2.3482234147304661E-9</v>
      </c>
      <c r="CW47" s="363">
        <v>0</v>
      </c>
      <c r="CX47" s="363">
        <f t="shared" si="6"/>
        <v>2.6906009348810499E-8</v>
      </c>
      <c r="CY47" s="363"/>
      <c r="CZ47" s="440"/>
      <c r="DA47" s="363">
        <f t="shared" si="60"/>
        <v>1.150342669716945E-8</v>
      </c>
      <c r="DB47" s="363">
        <f t="shared" si="61"/>
        <v>2.3361593266662215E-9</v>
      </c>
      <c r="DC47" s="363">
        <f t="shared" si="62"/>
        <v>0</v>
      </c>
      <c r="DD47" s="363">
        <f t="shared" si="63"/>
        <v>5.4912332669908221E-10</v>
      </c>
      <c r="DE47" s="363">
        <f t="shared" si="64"/>
        <v>1.2840239675202196E-9</v>
      </c>
      <c r="DF47" s="363">
        <v>0</v>
      </c>
      <c r="DG47" s="363">
        <f t="shared" si="65"/>
        <v>1.5672733318054974E-8</v>
      </c>
      <c r="DJ47" s="363">
        <f t="shared" si="66"/>
        <v>1.998456781287696E-8</v>
      </c>
      <c r="DK47" s="363">
        <f t="shared" si="67"/>
        <v>3.9308563068206983E-9</v>
      </c>
      <c r="DL47" s="363">
        <f t="shared" si="68"/>
        <v>0</v>
      </c>
      <c r="DM47" s="363">
        <f t="shared" si="69"/>
        <v>9.2396304795603911E-10</v>
      </c>
      <c r="DN47" s="363">
        <f t="shared" si="70"/>
        <v>2.366295338227552E-9</v>
      </c>
      <c r="DO47" s="363">
        <f t="shared" si="71"/>
        <v>0</v>
      </c>
      <c r="DP47" s="363">
        <f t="shared" si="100"/>
        <v>2.7205682505881249E-8</v>
      </c>
      <c r="DQ47" s="440"/>
      <c r="DS47" s="363">
        <f t="shared" si="72"/>
        <v>1.1635335133741972E-8</v>
      </c>
      <c r="DT47" s="363">
        <f t="shared" si="73"/>
        <v>2.3629477900065127E-9</v>
      </c>
      <c r="DU47" s="363">
        <f t="shared" si="74"/>
        <v>0</v>
      </c>
      <c r="DV47" s="363">
        <f t="shared" si="75"/>
        <v>5.5542005909171783E-10</v>
      </c>
      <c r="DW47" s="363">
        <f t="shared" si="76"/>
        <v>1.2939058138402444E-9</v>
      </c>
      <c r="DX47" s="363">
        <f t="shared" si="101"/>
        <v>0</v>
      </c>
      <c r="DY47" s="388">
        <f t="shared" si="102"/>
        <v>1.5847608796680447E-8</v>
      </c>
    </row>
    <row r="48" spans="2:129" x14ac:dyDescent="0.15">
      <c r="B48" s="448" t="s">
        <v>588</v>
      </c>
      <c r="C48" s="238">
        <v>39</v>
      </c>
      <c r="D48" s="238">
        <v>101</v>
      </c>
      <c r="E48" s="444">
        <f t="shared" si="7"/>
        <v>4.2999999999999997E-2</v>
      </c>
      <c r="F48" s="364">
        <v>1.12E-2</v>
      </c>
      <c r="G48" s="363">
        <f t="shared" si="8"/>
        <v>0.78136799999999995</v>
      </c>
      <c r="H48" s="363">
        <f t="shared" si="9"/>
        <v>1</v>
      </c>
      <c r="I48" s="363">
        <f t="shared" si="10"/>
        <v>1</v>
      </c>
      <c r="J48" s="363">
        <f t="shared" si="11"/>
        <v>1</v>
      </c>
      <c r="K48" s="363">
        <f t="shared" si="12"/>
        <v>0.90638687999999989</v>
      </c>
      <c r="L48" s="363"/>
      <c r="N48" s="363">
        <f t="shared" si="77"/>
        <v>2.3911173580760914E-8</v>
      </c>
      <c r="O48" s="363">
        <f t="shared" si="78"/>
        <v>6.25292196149605E-9</v>
      </c>
      <c r="P48" s="363">
        <f t="shared" si="79"/>
        <v>0</v>
      </c>
      <c r="Q48" s="363">
        <f t="shared" si="80"/>
        <v>1.6286680457850178E-9</v>
      </c>
      <c r="R48" s="363">
        <f t="shared" si="81"/>
        <v>1.9377795146363734E-9</v>
      </c>
      <c r="S48" s="363">
        <f t="shared" si="82"/>
        <v>0.99999996626945753</v>
      </c>
      <c r="T48" s="363">
        <f t="shared" si="0"/>
        <v>1.0000000000000007</v>
      </c>
      <c r="U48" s="363">
        <f t="shared" si="1"/>
        <v>3.3730543102678356E-8</v>
      </c>
      <c r="V48" s="376"/>
      <c r="W48" s="363"/>
      <c r="X48" s="363">
        <f t="shared" si="13"/>
        <v>1.1955586790380457E-8</v>
      </c>
      <c r="Y48" s="363">
        <f t="shared" si="14"/>
        <v>3.126460980748025E-9</v>
      </c>
      <c r="Z48" s="363">
        <f t="shared" si="15"/>
        <v>0</v>
      </c>
      <c r="AA48" s="363">
        <f t="shared" si="16"/>
        <v>8.1433402289250888E-10</v>
      </c>
      <c r="AB48" s="363">
        <f t="shared" si="17"/>
        <v>9.6888975731818669E-10</v>
      </c>
      <c r="AC48" s="363">
        <f t="shared" si="18"/>
        <v>0.49999998313472876</v>
      </c>
      <c r="AD48" s="363">
        <f t="shared" si="19"/>
        <v>0.50000000000000033</v>
      </c>
      <c r="AE48" s="363">
        <f t="shared" si="2"/>
        <v>1.6865271551339178E-8</v>
      </c>
      <c r="AF48" s="363"/>
      <c r="AG48" s="376"/>
      <c r="AH48" s="363">
        <f t="shared" si="20"/>
        <v>0.49624829805000004</v>
      </c>
      <c r="AI48" s="363">
        <f t="shared" si="21"/>
        <v>0.45911808097500006</v>
      </c>
      <c r="AJ48" s="363">
        <f t="shared" si="22"/>
        <v>0.48387155902500001</v>
      </c>
      <c r="AK48" s="363">
        <f t="shared" si="23"/>
        <v>0.41432607307500002</v>
      </c>
      <c r="AL48" s="363">
        <f t="shared" si="24"/>
        <v>0.41432607307500002</v>
      </c>
      <c r="AM48" s="363">
        <v>0</v>
      </c>
      <c r="AN48" s="368"/>
      <c r="AP48" s="363">
        <f t="shared" si="25"/>
        <v>2.4185360186777048E-8</v>
      </c>
      <c r="AQ48" s="363">
        <f t="shared" si="26"/>
        <v>6.32462347980571E-9</v>
      </c>
      <c r="AR48" s="363">
        <f t="shared" si="27"/>
        <v>0</v>
      </c>
      <c r="AS48" s="363">
        <f t="shared" si="28"/>
        <v>1.6473437900889293E-9</v>
      </c>
      <c r="AT48" s="363">
        <f t="shared" si="29"/>
        <v>1.9526926625604793E-9</v>
      </c>
      <c r="AU48" s="363">
        <f t="shared" si="30"/>
        <v>0.99999996588998041</v>
      </c>
      <c r="AV48" s="363">
        <f t="shared" si="3"/>
        <v>1.0000000000000004</v>
      </c>
      <c r="AW48" s="363">
        <f t="shared" si="4"/>
        <v>3.4110020119232168E-8</v>
      </c>
      <c r="AX48" s="375"/>
      <c r="AY48" s="363">
        <f t="shared" si="83"/>
        <v>1.2092680093388524E-8</v>
      </c>
      <c r="AZ48" s="363">
        <f t="shared" si="84"/>
        <v>3.162311739902855E-9</v>
      </c>
      <c r="BA48" s="363">
        <f t="shared" si="85"/>
        <v>0</v>
      </c>
      <c r="BB48" s="363">
        <f t="shared" si="86"/>
        <v>8.2367189504446465E-10</v>
      </c>
      <c r="BC48" s="363">
        <f t="shared" si="87"/>
        <v>9.7634633128023967E-10</v>
      </c>
      <c r="BD48" s="363">
        <f t="shared" si="88"/>
        <v>0.49999998294499021</v>
      </c>
      <c r="BE48" s="363">
        <f t="shared" si="32"/>
        <v>0.50000000000000022</v>
      </c>
      <c r="BF48" s="363">
        <f t="shared" si="33"/>
        <v>1.7055010059616084E-8</v>
      </c>
      <c r="BG48" s="438"/>
      <c r="BH48" s="439"/>
      <c r="BJ48" s="369">
        <f t="shared" si="89"/>
        <v>7.2023165670919176E-6</v>
      </c>
      <c r="BK48" s="369">
        <f t="shared" si="34"/>
        <v>1.0194203423163499E-5</v>
      </c>
      <c r="BL48" s="369">
        <f t="shared" si="35"/>
        <v>0</v>
      </c>
      <c r="BM48" s="369">
        <f t="shared" si="36"/>
        <v>9.6356291508845986E-6</v>
      </c>
      <c r="BN48" s="369">
        <f t="shared" si="37"/>
        <v>4.0702940611348072E-6</v>
      </c>
      <c r="BO48" s="369">
        <f t="shared" si="38"/>
        <v>0</v>
      </c>
      <c r="BP48" s="369">
        <f t="shared" si="5"/>
        <v>3.1102443202274822E-5</v>
      </c>
      <c r="BQ48" s="431"/>
      <c r="BR48" s="369">
        <f t="shared" si="90"/>
        <v>3.6011582835459588E-6</v>
      </c>
      <c r="BS48" s="369">
        <f t="shared" si="39"/>
        <v>5.0971017115817497E-6</v>
      </c>
      <c r="BT48" s="369">
        <f t="shared" si="40"/>
        <v>0</v>
      </c>
      <c r="BU48" s="369">
        <f t="shared" si="41"/>
        <v>4.8178145754422993E-6</v>
      </c>
      <c r="BV48" s="369">
        <f t="shared" si="42"/>
        <v>2.0351470305674036E-6</v>
      </c>
      <c r="BW48" s="369">
        <f t="shared" si="91"/>
        <v>0</v>
      </c>
      <c r="BX48" s="371">
        <f t="shared" si="43"/>
        <v>1.5551221601137411E-5</v>
      </c>
      <c r="BY48" s="371"/>
      <c r="CA48" s="369">
        <f t="shared" si="92"/>
        <v>7.2849046813187172E-6</v>
      </c>
      <c r="CB48" s="369">
        <f t="shared" si="44"/>
        <v>1.031109915093674E-5</v>
      </c>
      <c r="CC48" s="369">
        <f>(AR48*c_post_rinfar_mkv)/(1+disc_cost)^C48</f>
        <v>0</v>
      </c>
      <c r="CD48" s="369">
        <f t="shared" si="45"/>
        <v>9.746119773387417E-6</v>
      </c>
      <c r="CE48" s="369">
        <f t="shared" si="46"/>
        <v>4.1016190374645859E-6</v>
      </c>
      <c r="CF48" s="369">
        <f t="shared" si="47"/>
        <v>0</v>
      </c>
      <c r="CG48" s="369">
        <f t="shared" si="48"/>
        <v>3.1443742643107461E-5</v>
      </c>
      <c r="CH48" s="369"/>
      <c r="CI48" s="384"/>
      <c r="CJ48" s="369">
        <f t="shared" si="93"/>
        <v>3.6424523406593586E-6</v>
      </c>
      <c r="CK48" s="369">
        <f t="shared" si="94"/>
        <v>5.1555495754683702E-6</v>
      </c>
      <c r="CL48" s="369">
        <f t="shared" si="95"/>
        <v>0</v>
      </c>
      <c r="CM48" s="369">
        <f t="shared" si="96"/>
        <v>4.8730598866937085E-6</v>
      </c>
      <c r="CN48" s="369">
        <f t="shared" si="97"/>
        <v>2.0508095187322929E-6</v>
      </c>
      <c r="CO48" s="369">
        <f t="shared" si="98"/>
        <v>0</v>
      </c>
      <c r="CP48" s="369">
        <f t="shared" si="99"/>
        <v>1.5721871321553731E-5</v>
      </c>
      <c r="CR48" s="363">
        <f t="shared" si="55"/>
        <v>3.1018891991195892E-9</v>
      </c>
      <c r="CS48" s="363">
        <f t="shared" si="56"/>
        <v>7.5047073804219324E-10</v>
      </c>
      <c r="CT48" s="363">
        <f t="shared" si="57"/>
        <v>0</v>
      </c>
      <c r="CU48" s="363">
        <f t="shared" si="58"/>
        <v>1.764010628727651E-10</v>
      </c>
      <c r="CV48" s="363">
        <f t="shared" si="59"/>
        <v>2.0988093115694848E-10</v>
      </c>
      <c r="CW48" s="363">
        <v>0</v>
      </c>
      <c r="CX48" s="363">
        <f t="shared" si="6"/>
        <v>4.238641931191496E-9</v>
      </c>
      <c r="CY48" s="363"/>
      <c r="CZ48" s="440"/>
      <c r="DA48" s="363">
        <f t="shared" si="60"/>
        <v>1.5509445995597946E-9</v>
      </c>
      <c r="DB48" s="363">
        <f t="shared" si="61"/>
        <v>3.7523536902109662E-10</v>
      </c>
      <c r="DC48" s="363">
        <f t="shared" si="62"/>
        <v>0</v>
      </c>
      <c r="DD48" s="363">
        <f t="shared" si="63"/>
        <v>8.820053143638255E-11</v>
      </c>
      <c r="DE48" s="363">
        <f t="shared" si="64"/>
        <v>1.0494046557847424E-10</v>
      </c>
      <c r="DF48" s="363">
        <v>0</v>
      </c>
      <c r="DG48" s="363">
        <f t="shared" si="65"/>
        <v>2.119320965595748E-9</v>
      </c>
      <c r="DJ48" s="363">
        <f t="shared" si="66"/>
        <v>3.1374581965538691E-9</v>
      </c>
      <c r="DK48" s="363">
        <f t="shared" si="67"/>
        <v>7.5907629744241358E-10</v>
      </c>
      <c r="DL48" s="363">
        <f t="shared" si="68"/>
        <v>0</v>
      </c>
      <c r="DM48" s="363">
        <f t="shared" si="69"/>
        <v>1.7842383304602167E-10</v>
      </c>
      <c r="DN48" s="363">
        <f t="shared" si="70"/>
        <v>2.114961744543161E-10</v>
      </c>
      <c r="DO48" s="363">
        <f t="shared" si="71"/>
        <v>0</v>
      </c>
      <c r="DP48" s="363">
        <f t="shared" si="100"/>
        <v>4.2864545014966208E-9</v>
      </c>
      <c r="DQ48" s="440"/>
      <c r="DS48" s="363">
        <f t="shared" si="72"/>
        <v>1.5687290982769345E-9</v>
      </c>
      <c r="DT48" s="363">
        <f t="shared" si="73"/>
        <v>3.7953814872120679E-10</v>
      </c>
      <c r="DU48" s="363">
        <f t="shared" si="74"/>
        <v>0</v>
      </c>
      <c r="DV48" s="363">
        <f t="shared" si="75"/>
        <v>8.9211916523010833E-11</v>
      </c>
      <c r="DW48" s="363">
        <f t="shared" si="76"/>
        <v>1.0574808722715805E-10</v>
      </c>
      <c r="DX48" s="363">
        <f t="shared" si="101"/>
        <v>0</v>
      </c>
      <c r="DY48" s="388">
        <f t="shared" si="102"/>
        <v>2.1432272507483104E-9</v>
      </c>
    </row>
    <row r="49" spans="13:129" x14ac:dyDescent="0.15">
      <c r="U49" s="370">
        <f>SUM(U9:U48)</f>
        <v>13.024244898837461</v>
      </c>
      <c r="V49" s="429"/>
      <c r="AE49" s="370">
        <f>SUM(AE9:AE48)</f>
        <v>12.577572691372849</v>
      </c>
      <c r="AU49" s="365"/>
      <c r="AW49" s="363">
        <f>SUM(AW9:AW48)</f>
        <v>13.133919668125769</v>
      </c>
      <c r="BF49" s="363">
        <f>SUM(BF9:BF48)</f>
        <v>12.683591496907125</v>
      </c>
      <c r="BP49" s="377">
        <f>SUM(BP9:BP48)</f>
        <v>25178.219216672092</v>
      </c>
      <c r="BX49" s="371">
        <f>SUM(BX9:BX48)</f>
        <v>24745.262249416981</v>
      </c>
      <c r="CE49" s="549" t="s">
        <v>1251</v>
      </c>
      <c r="CF49" s="549"/>
      <c r="CG49" s="386">
        <f>SUM(CG9:CG48)</f>
        <v>25222.116450846264</v>
      </c>
      <c r="CH49" s="386"/>
      <c r="CI49" s="385"/>
      <c r="CJ49" s="380">
        <v>25334.556342617052</v>
      </c>
      <c r="CK49" s="380"/>
      <c r="CL49" s="380"/>
      <c r="CM49" s="380"/>
      <c r="CN49" s="549" t="s">
        <v>1251</v>
      </c>
      <c r="CO49" s="549"/>
      <c r="CP49" s="386">
        <f>SUM(CP9:CP48)</f>
        <v>24787.009935208134</v>
      </c>
      <c r="CX49" s="363">
        <f>SUM(CX9:CX48)</f>
        <v>6.4725414416832816</v>
      </c>
      <c r="CY49" s="363"/>
      <c r="CZ49" s="363"/>
      <c r="DA49" s="363"/>
      <c r="DB49" s="363"/>
      <c r="DC49" s="363"/>
      <c r="DD49" s="363"/>
      <c r="DE49" s="363"/>
      <c r="DF49" s="363"/>
      <c r="DG49" s="363">
        <f>SUM(DG9:DG48)</f>
        <v>6.2897502239653926</v>
      </c>
      <c r="DI49" s="358"/>
      <c r="DN49" s="547" t="s">
        <v>1251</v>
      </c>
      <c r="DO49" s="547"/>
      <c r="DP49" s="389">
        <f>SUM(DP9:DP48)</f>
        <v>6.5243052789393277</v>
      </c>
      <c r="DQ49" s="363"/>
      <c r="DW49" s="547" t="s">
        <v>1251</v>
      </c>
      <c r="DX49" s="547"/>
      <c r="DY49" s="389">
        <f>SUM(DY9:DY48)</f>
        <v>6.3400124017455664</v>
      </c>
    </row>
    <row r="50" spans="13:129" ht="14.5" customHeight="1" x14ac:dyDescent="0.15">
      <c r="M50" s="358"/>
      <c r="V50" s="358"/>
      <c r="AG50" s="358"/>
      <c r="AO50" s="358"/>
      <c r="AU50" s="365"/>
      <c r="AX50" s="367"/>
      <c r="BH50" s="367"/>
      <c r="BQ50" s="358"/>
      <c r="BZ50" s="358"/>
      <c r="CD50" s="382"/>
      <c r="CE50" s="549" t="s">
        <v>1249</v>
      </c>
      <c r="CF50" s="549"/>
      <c r="CG50" s="386">
        <f>(CG49*(prob_test_order))+(c_st_total*(1-prob_test_order))</f>
        <v>25188.736656746216</v>
      </c>
      <c r="CH50" s="386"/>
      <c r="CI50" s="385"/>
      <c r="CJ50" s="380">
        <v>25334.556342617052</v>
      </c>
      <c r="CK50" s="380"/>
      <c r="CL50" s="380"/>
      <c r="CM50" s="380"/>
      <c r="CN50" s="549" t="s">
        <v>1249</v>
      </c>
      <c r="CO50" s="549"/>
      <c r="CP50" s="386">
        <f>(CP49*(prob_test_order))+(c_st_total*(1-prob_test_order))</f>
        <v>24784.087597202753</v>
      </c>
      <c r="CV50" s="358" t="s">
        <v>954</v>
      </c>
      <c r="CZ50" s="367"/>
      <c r="DI50" s="358"/>
      <c r="DN50" s="547" t="s">
        <v>1249</v>
      </c>
      <c r="DO50" s="547"/>
      <c r="DP50" s="389">
        <f>(DP49*(prob_test_order))+(qaly_st_total*(1-prob_test_order))</f>
        <v>6.5078864250911517</v>
      </c>
      <c r="DQ50" s="363"/>
      <c r="DW50" s="547" t="s">
        <v>1249</v>
      </c>
      <c r="DX50" s="547"/>
      <c r="DY50" s="389">
        <f>(DY49*(prob_test_order))+(qaly_st_total*(1-prob_test_order))</f>
        <v>6.3364940493009536</v>
      </c>
    </row>
    <row r="51" spans="13:129" ht="14.5" customHeight="1" x14ac:dyDescent="0.15">
      <c r="M51" s="358"/>
      <c r="V51" s="358"/>
      <c r="AE51" s="370" cm="1">
        <f t="array" ref="AE51">SUM(1 - AC9:AC48)</f>
        <v>13.077572691372836</v>
      </c>
      <c r="AG51" s="358"/>
      <c r="AO51" s="358"/>
      <c r="AU51" s="365"/>
      <c r="AX51" s="367"/>
      <c r="BH51" s="367"/>
      <c r="BQ51" s="358"/>
      <c r="BZ51" s="358"/>
      <c r="CD51" s="382"/>
      <c r="CE51" s="549" t="s">
        <v>1250</v>
      </c>
      <c r="CF51" s="549"/>
      <c r="CG51" s="386">
        <f>(CG50*prob_test_follow)+((c_st_total+c_poc_test)*(1-prob_test_follow))</f>
        <v>25166.443448233171</v>
      </c>
      <c r="CH51" s="386"/>
      <c r="CI51" s="385"/>
      <c r="CJ51" s="380">
        <v>25334.556342617052</v>
      </c>
      <c r="CK51" s="380"/>
      <c r="CL51" s="380"/>
      <c r="CM51" s="380"/>
      <c r="CN51" s="549" t="s">
        <v>1250</v>
      </c>
      <c r="CO51" s="549"/>
      <c r="CP51" s="386">
        <f>(CP50*prob_test_follow)+((c_st_total+c_poc_test)*(1-prob_test_follow))</f>
        <v>24790.119822857749</v>
      </c>
      <c r="CZ51" s="367"/>
      <c r="DI51" s="358"/>
      <c r="DN51" s="547" t="s">
        <v>1250</v>
      </c>
      <c r="DO51" s="547"/>
      <c r="DP51" s="389">
        <f>(DP50*prob_test_follow)+(qaly_st_total*(1-prob_test_follow))</f>
        <v>6.4926168910123483</v>
      </c>
      <c r="DQ51" s="363"/>
      <c r="DW51" s="547" t="s">
        <v>1250</v>
      </c>
      <c r="DX51" s="547"/>
      <c r="DY51" s="389">
        <f>(DY50*prob_test_follow)+(qaly_st_total*(1-prob_test_follow))</f>
        <v>6.3332219815274637</v>
      </c>
    </row>
    <row r="52" spans="13:129" x14ac:dyDescent="0.15">
      <c r="M52" s="358"/>
      <c r="V52" s="358"/>
      <c r="AE52" s="358">
        <f>U49 - 0.5 *(1 - S10)</f>
        <v>12.577572691372847</v>
      </c>
      <c r="AG52" s="358"/>
      <c r="AO52" s="358"/>
      <c r="AU52" s="365"/>
      <c r="AX52" s="367"/>
      <c r="BD52" s="367">
        <f>N9-((N9*E9)+(N9*F9)+(N9*G9))</f>
        <v>0.78084415792677631</v>
      </c>
      <c r="BH52" s="367"/>
      <c r="BQ52" s="358"/>
      <c r="BZ52" s="358"/>
      <c r="CD52" s="382"/>
      <c r="CR52" s="369"/>
      <c r="CZ52" s="367"/>
      <c r="DI52" s="358"/>
      <c r="DM52" s="382"/>
      <c r="DN52" s="381"/>
      <c r="DO52" s="381"/>
      <c r="DP52" s="369"/>
      <c r="DQ52" s="369"/>
    </row>
    <row r="53" spans="13:129" x14ac:dyDescent="0.15">
      <c r="M53" s="358"/>
      <c r="V53" s="358"/>
      <c r="AG53" s="358"/>
      <c r="AO53" s="358"/>
      <c r="AU53" s="365"/>
      <c r="AX53" s="367"/>
      <c r="BH53" s="367"/>
      <c r="BQ53" s="358"/>
      <c r="BZ53" s="358"/>
      <c r="CD53" s="383"/>
      <c r="CS53" s="371"/>
      <c r="CZ53" s="367"/>
      <c r="DI53" s="358"/>
      <c r="DM53" s="382"/>
      <c r="DN53" s="553"/>
      <c r="DO53" s="553"/>
      <c r="DP53" s="369"/>
      <c r="DQ53" s="369"/>
    </row>
    <row r="54" spans="13:129" x14ac:dyDescent="0.15">
      <c r="M54" s="358"/>
      <c r="V54" s="358"/>
      <c r="AG54" s="358"/>
      <c r="AO54" s="358"/>
      <c r="AU54" s="365"/>
      <c r="AX54" s="367"/>
      <c r="BH54" s="367"/>
      <c r="BQ54" s="358"/>
      <c r="BV54" s="371">
        <f>1000*(BR41 + BR42)</f>
        <v>80.240925660884116</v>
      </c>
      <c r="BZ54" s="358"/>
      <c r="CD54" s="383"/>
      <c r="CP54" s="371">
        <f>SUM(CP10:CP48)</f>
        <v>18855.351693358392</v>
      </c>
      <c r="CS54" s="371"/>
      <c r="CZ54" s="367"/>
      <c r="DI54" s="358"/>
      <c r="DM54" s="382"/>
      <c r="DN54" s="381"/>
      <c r="DO54" s="381"/>
      <c r="DP54" s="369"/>
      <c r="DQ54" s="369"/>
    </row>
    <row r="55" spans="13:129" x14ac:dyDescent="0.15">
      <c r="M55" s="358"/>
      <c r="V55" s="358"/>
      <c r="AG55" s="358"/>
      <c r="AO55" s="358"/>
      <c r="AU55" s="365"/>
      <c r="AX55" s="367"/>
      <c r="BH55" s="367"/>
      <c r="BK55" s="358">
        <f>c_post_stk_mkv</f>
        <v>8035.1699666768254</v>
      </c>
      <c r="BQ55" s="358"/>
      <c r="BV55" s="358">
        <f>1000*BR41 +1000* BR42</f>
        <v>80.24092566088413</v>
      </c>
      <c r="BZ55" s="358"/>
      <c r="CD55" s="383"/>
      <c r="CS55" s="371"/>
      <c r="CZ55" s="367"/>
      <c r="DI55" s="358"/>
      <c r="DM55" s="382"/>
      <c r="DN55" s="381"/>
      <c r="DO55" s="381"/>
      <c r="DP55" s="369"/>
      <c r="DQ55" s="369"/>
    </row>
    <row r="56" spans="13:129" x14ac:dyDescent="0.15">
      <c r="M56" s="358"/>
      <c r="V56" s="358"/>
      <c r="AG56" s="358"/>
      <c r="AO56" s="358"/>
      <c r="AU56" s="365"/>
      <c r="AX56" s="367"/>
      <c r="BF56" s="367">
        <f>(N10*c_noevent_markov)</f>
        <v>899.72403306293734</v>
      </c>
      <c r="BH56" s="367"/>
      <c r="BQ56" s="358"/>
      <c r="BZ56" s="358"/>
      <c r="CA56" s="358">
        <f>c_noevent_markov</f>
        <v>1152.2453282506456</v>
      </c>
      <c r="CN56" s="358" t="s">
        <v>954</v>
      </c>
      <c r="CS56" s="370"/>
      <c r="CZ56" s="367"/>
      <c r="DI56" s="358"/>
      <c r="DQ56" s="358"/>
      <c r="DV56" s="371"/>
    </row>
    <row r="57" spans="13:129" x14ac:dyDescent="0.15">
      <c r="M57" s="358"/>
      <c r="V57" s="358"/>
      <c r="AG57" s="358"/>
      <c r="AO57" s="358"/>
      <c r="AU57" s="365"/>
      <c r="AX57" s="367"/>
      <c r="BH57" s="367"/>
      <c r="BQ57" s="358"/>
      <c r="BZ57" s="358"/>
      <c r="CV57" s="358" t="s">
        <v>1235</v>
      </c>
      <c r="CW57" s="358" t="s">
        <v>954</v>
      </c>
      <c r="CZ57" s="367"/>
      <c r="DI57" s="358"/>
      <c r="DQ57" s="358"/>
      <c r="DU57" s="370"/>
      <c r="DV57" s="370"/>
    </row>
    <row r="58" spans="13:129" x14ac:dyDescent="0.15">
      <c r="M58" s="358"/>
      <c r="V58" s="358"/>
      <c r="AG58" s="358"/>
      <c r="AO58" s="358"/>
      <c r="AU58" s="365"/>
      <c r="AX58" s="367"/>
      <c r="BH58" s="367"/>
      <c r="BQ58" s="358"/>
      <c r="BZ58" s="358"/>
      <c r="CZ58" s="367"/>
      <c r="DI58" s="358"/>
      <c r="DQ58" s="358"/>
    </row>
    <row r="59" spans="13:129" x14ac:dyDescent="0.15">
      <c r="M59" s="358"/>
      <c r="V59" s="358"/>
      <c r="AG59" s="358"/>
      <c r="AO59" s="358"/>
      <c r="AU59" s="365"/>
      <c r="AX59" s="367"/>
      <c r="BH59" s="367"/>
      <c r="BK59" s="358">
        <f>(N10*c_noevent_markov)/(1+disc_cost)^C10</f>
        <v>869.29858266950475</v>
      </c>
      <c r="BL59" s="370">
        <f>N10</f>
        <v>0.78084415792677631</v>
      </c>
      <c r="BM59" s="358">
        <f>1/(1+disc_cost)^C10</f>
        <v>0.96618357487922713</v>
      </c>
      <c r="BN59" s="358">
        <f>c_noevent_markov</f>
        <v>1152.2453282506456</v>
      </c>
      <c r="BQ59" s="358"/>
      <c r="BZ59" s="358"/>
      <c r="CZ59" s="367"/>
      <c r="DI59" s="358"/>
      <c r="DQ59" s="358"/>
    </row>
    <row r="60" spans="13:129" x14ac:dyDescent="0.15">
      <c r="M60" s="358"/>
      <c r="V60" s="358"/>
      <c r="AG60" s="358"/>
      <c r="AO60" s="358"/>
      <c r="AU60" s="365"/>
      <c r="AX60" s="367"/>
      <c r="BH60" s="367"/>
      <c r="BQ60" s="358"/>
      <c r="BZ60" s="358"/>
      <c r="CA60" s="370">
        <f>AP10</f>
        <v>0.78979800574885661</v>
      </c>
      <c r="CB60" s="358">
        <f>c_noevent_markov</f>
        <v>1152.2453282506456</v>
      </c>
      <c r="CC60" s="358">
        <f>1/(1+disc_cost)^C10</f>
        <v>0.96618357487922713</v>
      </c>
      <c r="CZ60" s="367"/>
      <c r="DI60" s="358"/>
      <c r="DQ60" s="358"/>
    </row>
    <row r="61" spans="13:129" x14ac:dyDescent="0.15">
      <c r="M61" s="358"/>
      <c r="V61" s="358"/>
      <c r="AG61" s="358"/>
      <c r="AO61" s="358"/>
      <c r="AU61" s="365"/>
      <c r="AX61" s="367"/>
      <c r="BH61" s="367"/>
      <c r="BQ61" s="358"/>
      <c r="BZ61" s="358"/>
      <c r="CZ61" s="367"/>
      <c r="DI61" s="358"/>
      <c r="DQ61" s="358"/>
    </row>
    <row r="62" spans="13:129" x14ac:dyDescent="0.15">
      <c r="M62" s="358"/>
      <c r="V62" s="358"/>
      <c r="AG62" s="358"/>
      <c r="AO62" s="358"/>
      <c r="AU62" s="365"/>
      <c r="AX62" s="367"/>
      <c r="BH62" s="367"/>
      <c r="BQ62" s="358"/>
      <c r="BZ62" s="358"/>
      <c r="CZ62" s="367"/>
      <c r="DI62" s="358"/>
      <c r="DQ62" s="358"/>
    </row>
    <row r="63" spans="13:129" x14ac:dyDescent="0.15">
      <c r="M63" s="358"/>
      <c r="V63" s="358"/>
      <c r="AG63" s="358"/>
      <c r="AO63" s="358"/>
      <c r="AU63" s="365"/>
      <c r="AX63" s="367"/>
      <c r="BH63" s="367"/>
      <c r="BQ63" s="358"/>
      <c r="BZ63" s="358"/>
      <c r="CZ63" s="367"/>
      <c r="DI63" s="358"/>
      <c r="DQ63" s="358"/>
    </row>
    <row r="64" spans="13:129" x14ac:dyDescent="0.15">
      <c r="M64" s="358"/>
      <c r="V64" s="358"/>
      <c r="AG64" s="358"/>
      <c r="AO64" s="358"/>
      <c r="AU64" s="365"/>
      <c r="AX64" s="367"/>
      <c r="BH64" s="367"/>
      <c r="BQ64" s="358"/>
      <c r="BZ64" s="358"/>
      <c r="CA64" s="358">
        <f>(AR25*c_post_rinfar_mkv)/(1+disc_cost)^C24</f>
        <v>158.94252357129596</v>
      </c>
      <c r="CB64" s="370">
        <f>AR25</f>
        <v>0.1540123855854266</v>
      </c>
      <c r="CC64" s="358">
        <f>c_post_rinfar_mkv</f>
        <v>1728.9789389975226</v>
      </c>
      <c r="CD64" s="358">
        <f>1/(1+disc_cost)^C24</f>
        <v>0.59689061862480497</v>
      </c>
      <c r="CE64" s="358">
        <f>C24</f>
        <v>15</v>
      </c>
      <c r="CZ64" s="367"/>
      <c r="DI64" s="358"/>
      <c r="DQ64" s="358"/>
    </row>
    <row r="65" spans="13:121" x14ac:dyDescent="0.15">
      <c r="M65" s="358"/>
      <c r="V65" s="358"/>
      <c r="AG65" s="358"/>
      <c r="AO65" s="358"/>
      <c r="AU65" s="365"/>
      <c r="AX65" s="367"/>
      <c r="BH65" s="367"/>
      <c r="BQ65" s="358"/>
      <c r="BZ65" s="358"/>
      <c r="CZ65" s="367"/>
      <c r="DI65" s="358"/>
      <c r="DQ65" s="358"/>
    </row>
    <row r="66" spans="13:121" x14ac:dyDescent="0.15">
      <c r="M66" s="358"/>
      <c r="V66" s="358"/>
      <c r="AG66" s="358"/>
      <c r="AO66" s="358"/>
      <c r="AU66" s="365"/>
      <c r="AX66" s="367"/>
      <c r="BH66" s="367"/>
      <c r="BQ66" s="358"/>
      <c r="BZ66" s="358"/>
      <c r="CZ66" s="367"/>
      <c r="DI66" s="358"/>
      <c r="DQ66" s="358"/>
    </row>
    <row r="67" spans="13:121" x14ac:dyDescent="0.15">
      <c r="M67" s="358"/>
      <c r="V67" s="358"/>
      <c r="AG67" s="358"/>
      <c r="AO67" s="358"/>
      <c r="AU67" s="365"/>
      <c r="AX67" s="367"/>
      <c r="BH67" s="367"/>
      <c r="BQ67" s="358"/>
      <c r="BZ67" s="358"/>
      <c r="CZ67" s="367"/>
      <c r="DI67" s="358"/>
      <c r="DQ67" s="358"/>
    </row>
    <row r="68" spans="13:121" x14ac:dyDescent="0.15">
      <c r="M68" s="358"/>
      <c r="V68" s="358"/>
      <c r="AG68" s="358"/>
      <c r="AO68" s="358"/>
      <c r="AU68" s="365"/>
      <c r="AX68" s="367"/>
      <c r="BH68" s="367"/>
      <c r="BQ68" s="358"/>
      <c r="BZ68" s="358"/>
      <c r="CZ68" s="367"/>
      <c r="DI68" s="358"/>
      <c r="DQ68" s="358"/>
    </row>
    <row r="69" spans="13:121" x14ac:dyDescent="0.15">
      <c r="M69" s="358"/>
      <c r="V69" s="358"/>
      <c r="AG69" s="358"/>
      <c r="AO69" s="358"/>
      <c r="AU69" s="365"/>
      <c r="AX69" s="367"/>
      <c r="BH69" s="367"/>
      <c r="BQ69" s="358"/>
      <c r="BZ69" s="358"/>
      <c r="CZ69" s="367"/>
      <c r="DI69" s="358"/>
      <c r="DQ69" s="358"/>
    </row>
    <row r="70" spans="13:121" x14ac:dyDescent="0.15">
      <c r="M70" s="358"/>
      <c r="V70" s="358"/>
      <c r="AG70" s="358"/>
      <c r="AO70" s="358"/>
      <c r="AX70" s="367"/>
      <c r="BH70" s="367"/>
      <c r="BQ70" s="358"/>
      <c r="BZ70" s="358"/>
      <c r="CZ70" s="367"/>
      <c r="DI70" s="358"/>
      <c r="DQ70" s="358"/>
    </row>
    <row r="71" spans="13:121" x14ac:dyDescent="0.15">
      <c r="M71" s="358"/>
      <c r="V71" s="358"/>
      <c r="AG71" s="358"/>
      <c r="AO71" s="358"/>
      <c r="AX71" s="367"/>
      <c r="BH71" s="367"/>
      <c r="BQ71" s="358"/>
      <c r="BZ71" s="358"/>
      <c r="CZ71" s="367"/>
      <c r="DI71" s="358"/>
      <c r="DQ71" s="358"/>
    </row>
    <row r="72" spans="13:121" x14ac:dyDescent="0.15">
      <c r="M72" s="358"/>
      <c r="V72" s="358"/>
      <c r="AG72" s="358"/>
      <c r="AO72" s="358"/>
      <c r="AX72" s="367"/>
      <c r="BH72" s="367"/>
      <c r="BQ72" s="358"/>
      <c r="BZ72" s="358"/>
      <c r="CZ72" s="367"/>
      <c r="DI72" s="358"/>
      <c r="DQ72" s="358"/>
    </row>
    <row r="73" spans="13:121" x14ac:dyDescent="0.15">
      <c r="M73" s="358"/>
      <c r="V73" s="358"/>
      <c r="AG73" s="358"/>
      <c r="AO73" s="358"/>
      <c r="AX73" s="367"/>
      <c r="BH73" s="367"/>
      <c r="BQ73" s="358"/>
      <c r="BZ73" s="358"/>
      <c r="CZ73" s="367"/>
      <c r="DI73" s="358"/>
      <c r="DQ73" s="358"/>
    </row>
    <row r="74" spans="13:121" x14ac:dyDescent="0.15">
      <c r="M74" s="358"/>
      <c r="V74" s="358"/>
      <c r="AG74" s="358"/>
      <c r="AO74" s="358"/>
      <c r="AX74" s="367"/>
      <c r="BH74" s="367"/>
      <c r="BQ74" s="358"/>
      <c r="BZ74" s="358"/>
      <c r="CZ74" s="367"/>
      <c r="DI74" s="358"/>
      <c r="DQ74" s="358"/>
    </row>
    <row r="75" spans="13:121" x14ac:dyDescent="0.15">
      <c r="M75" s="358"/>
      <c r="V75" s="358"/>
      <c r="AG75" s="358"/>
      <c r="AO75" s="358"/>
      <c r="AX75" s="367"/>
      <c r="BH75" s="367"/>
      <c r="BQ75" s="358"/>
      <c r="BZ75" s="358"/>
      <c r="CZ75" s="367"/>
      <c r="DI75" s="358"/>
      <c r="DQ75" s="358"/>
    </row>
    <row r="76" spans="13:121" x14ac:dyDescent="0.15">
      <c r="M76" s="358"/>
      <c r="V76" s="358"/>
      <c r="AG76" s="358"/>
      <c r="AO76" s="358"/>
      <c r="AX76" s="367"/>
      <c r="BH76" s="367"/>
      <c r="BQ76" s="358"/>
      <c r="BZ76" s="358"/>
      <c r="CZ76" s="367"/>
      <c r="DI76" s="358"/>
      <c r="DQ76" s="358"/>
    </row>
    <row r="77" spans="13:121" x14ac:dyDescent="0.15">
      <c r="M77" s="358"/>
      <c r="V77" s="358"/>
      <c r="AG77" s="358"/>
      <c r="AO77" s="358"/>
      <c r="AX77" s="367"/>
      <c r="BH77" s="367"/>
      <c r="BQ77" s="358"/>
      <c r="BZ77" s="358"/>
      <c r="CZ77" s="367"/>
      <c r="DI77" s="358"/>
      <c r="DQ77" s="358"/>
    </row>
    <row r="78" spans="13:121" x14ac:dyDescent="0.15">
      <c r="M78" s="358"/>
      <c r="V78" s="358"/>
      <c r="AG78" s="358"/>
      <c r="AO78" s="358"/>
      <c r="AX78" s="367"/>
      <c r="BH78" s="367"/>
      <c r="BQ78" s="358"/>
      <c r="BZ78" s="358"/>
      <c r="CZ78" s="367"/>
      <c r="DI78" s="358"/>
      <c r="DQ78" s="358"/>
    </row>
    <row r="79" spans="13:121" x14ac:dyDescent="0.15">
      <c r="M79" s="358"/>
      <c r="V79" s="358"/>
      <c r="AG79" s="358"/>
      <c r="AO79" s="358"/>
      <c r="AX79" s="367"/>
      <c r="BH79" s="367"/>
      <c r="BQ79" s="358"/>
      <c r="BZ79" s="358"/>
      <c r="CZ79" s="367"/>
      <c r="DI79" s="358"/>
      <c r="DQ79" s="358"/>
    </row>
    <row r="80" spans="13:121" x14ac:dyDescent="0.15">
      <c r="M80" s="358"/>
      <c r="V80" s="358"/>
      <c r="AG80" s="358"/>
      <c r="AO80" s="358"/>
      <c r="AX80" s="367"/>
      <c r="BD80" s="367">
        <f>1/(1+disc_cost)^C10</f>
        <v>0.96618357487922713</v>
      </c>
      <c r="BH80" s="367"/>
      <c r="BQ80" s="358"/>
      <c r="BZ80" s="358"/>
      <c r="CZ80" s="367"/>
      <c r="DI80" s="358"/>
      <c r="DQ80" s="358"/>
    </row>
    <row r="81" spans="13:121" x14ac:dyDescent="0.15">
      <c r="M81" s="358"/>
      <c r="V81" s="358"/>
      <c r="AG81" s="358"/>
      <c r="AO81" s="358"/>
      <c r="AX81" s="367"/>
      <c r="BD81" s="367">
        <f>1/(1+disc_cost)^C11</f>
        <v>0.93351070036640305</v>
      </c>
      <c r="BH81" s="367"/>
      <c r="BQ81" s="358"/>
      <c r="BZ81" s="358"/>
      <c r="CZ81" s="367"/>
      <c r="DI81" s="358"/>
      <c r="DQ81" s="358"/>
    </row>
    <row r="82" spans="13:121" x14ac:dyDescent="0.15">
      <c r="M82" s="358"/>
      <c r="V82" s="358"/>
      <c r="AG82" s="358"/>
      <c r="AO82" s="358"/>
      <c r="AX82" s="367"/>
      <c r="BD82" s="367">
        <f>1/(1+disc_cost)^C12</f>
        <v>0.90194270566802237</v>
      </c>
      <c r="BH82" s="367"/>
      <c r="BQ82" s="358"/>
      <c r="BZ82" s="358"/>
      <c r="CZ82" s="367"/>
      <c r="DI82" s="358"/>
      <c r="DQ82" s="358"/>
    </row>
    <row r="83" spans="13:121" x14ac:dyDescent="0.15">
      <c r="M83" s="358"/>
      <c r="V83" s="358"/>
      <c r="AG83" s="358"/>
      <c r="AO83" s="358"/>
      <c r="AX83" s="367"/>
      <c r="BD83" s="367">
        <f>1/(1+disc_cost)^C13</f>
        <v>0.87144222769857238</v>
      </c>
      <c r="BH83" s="367"/>
      <c r="BQ83" s="358"/>
      <c r="BZ83" s="358"/>
      <c r="CZ83" s="367"/>
      <c r="DI83" s="358"/>
      <c r="DQ83" s="358"/>
    </row>
    <row r="84" spans="13:121" x14ac:dyDescent="0.15">
      <c r="M84" s="358"/>
      <c r="V84" s="358"/>
      <c r="AG84" s="358"/>
      <c r="AO84" s="358"/>
      <c r="AX84" s="367"/>
      <c r="BD84" s="367">
        <f>1/(1+disc_cost)^C14</f>
        <v>0.84197316685852419</v>
      </c>
      <c r="BH84" s="367"/>
      <c r="BQ84" s="358"/>
      <c r="BZ84" s="358"/>
      <c r="CZ84" s="367"/>
      <c r="DI84" s="358"/>
      <c r="DQ84" s="358"/>
    </row>
    <row r="85" spans="13:121" x14ac:dyDescent="0.15">
      <c r="M85" s="358"/>
      <c r="V85" s="358"/>
      <c r="AG85" s="358"/>
      <c r="AO85" s="358"/>
      <c r="AX85" s="367"/>
      <c r="BD85" s="367">
        <f>1/(1+disc_cost)^C15</f>
        <v>0.81350064430775282</v>
      </c>
      <c r="BH85" s="367"/>
      <c r="BQ85" s="358"/>
      <c r="BZ85" s="358"/>
      <c r="CZ85" s="367"/>
      <c r="DI85" s="358"/>
      <c r="DQ85" s="358"/>
    </row>
    <row r="86" spans="13:121" x14ac:dyDescent="0.15">
      <c r="M86" s="358"/>
      <c r="V86" s="358"/>
      <c r="AG86" s="358"/>
      <c r="AO86" s="358"/>
      <c r="AX86" s="367"/>
      <c r="BD86" s="367">
        <f>1/(1+disc_cost)^C16</f>
        <v>0.78599096068381913</v>
      </c>
      <c r="BH86" s="367"/>
      <c r="BQ86" s="358"/>
      <c r="BZ86" s="358"/>
      <c r="CZ86" s="367"/>
      <c r="DI86" s="358"/>
      <c r="DQ86" s="358"/>
    </row>
    <row r="87" spans="13:121" x14ac:dyDescent="0.15">
      <c r="M87" s="358"/>
      <c r="V87" s="358"/>
      <c r="AG87" s="358"/>
      <c r="AO87" s="358"/>
      <c r="AX87" s="367"/>
      <c r="BD87" s="367">
        <f>1/(1+disc_cost)^C17</f>
        <v>0.75941155621625056</v>
      </c>
      <c r="BH87" s="367"/>
      <c r="BQ87" s="358"/>
      <c r="BZ87" s="358"/>
      <c r="CZ87" s="367"/>
      <c r="DI87" s="358"/>
      <c r="DQ87" s="358"/>
    </row>
    <row r="88" spans="13:121" x14ac:dyDescent="0.15">
      <c r="M88" s="358"/>
      <c r="V88" s="358"/>
      <c r="AG88" s="358"/>
      <c r="AO88" s="358"/>
      <c r="AX88" s="367"/>
      <c r="BH88" s="367"/>
      <c r="BQ88" s="358"/>
      <c r="BZ88" s="358"/>
      <c r="CZ88" s="367"/>
      <c r="DI88" s="358"/>
      <c r="DQ88" s="358"/>
    </row>
    <row r="89" spans="13:121" x14ac:dyDescent="0.15">
      <c r="M89" s="358"/>
      <c r="V89" s="358"/>
      <c r="AG89" s="358"/>
      <c r="AO89" s="358"/>
      <c r="AX89" s="367"/>
      <c r="BH89" s="367"/>
      <c r="BQ89" s="358"/>
      <c r="BZ89" s="358"/>
      <c r="CZ89" s="367"/>
      <c r="DI89" s="358"/>
      <c r="DQ89" s="358"/>
    </row>
    <row r="90" spans="13:121" x14ac:dyDescent="0.15">
      <c r="M90" s="358"/>
      <c r="V90" s="358"/>
      <c r="AG90" s="358"/>
      <c r="AO90" s="358"/>
      <c r="AX90" s="367"/>
      <c r="BH90" s="367"/>
      <c r="BQ90" s="358"/>
      <c r="BZ90" s="358"/>
      <c r="CZ90" s="367"/>
      <c r="DI90" s="358"/>
      <c r="DQ90" s="358"/>
    </row>
    <row r="91" spans="13:121" x14ac:dyDescent="0.15">
      <c r="M91" s="358"/>
      <c r="V91" s="358"/>
      <c r="AG91" s="358"/>
      <c r="AO91" s="358"/>
      <c r="AX91" s="367"/>
      <c r="BH91" s="367"/>
      <c r="BQ91" s="358"/>
      <c r="BZ91" s="358"/>
      <c r="CZ91" s="367"/>
      <c r="DI91" s="358"/>
      <c r="DQ91" s="358"/>
    </row>
    <row r="92" spans="13:121" x14ac:dyDescent="0.15">
      <c r="M92" s="358"/>
      <c r="V92" s="358"/>
      <c r="AG92" s="358"/>
      <c r="AO92" s="358"/>
      <c r="AX92" s="367"/>
      <c r="BH92" s="367"/>
      <c r="BQ92" s="358"/>
      <c r="BZ92" s="358"/>
      <c r="CZ92" s="367"/>
      <c r="DI92" s="358"/>
      <c r="DQ92" s="358"/>
    </row>
    <row r="93" spans="13:121" x14ac:dyDescent="0.15">
      <c r="M93" s="358"/>
      <c r="V93" s="358"/>
      <c r="AG93" s="358"/>
      <c r="AO93" s="358"/>
      <c r="AX93" s="367"/>
      <c r="BH93" s="367"/>
      <c r="BQ93" s="358"/>
      <c r="BZ93" s="358"/>
      <c r="CZ93" s="367"/>
      <c r="DI93" s="358"/>
      <c r="DQ93" s="358"/>
    </row>
    <row r="94" spans="13:121" x14ac:dyDescent="0.15">
      <c r="M94" s="358"/>
      <c r="V94" s="358"/>
      <c r="AG94" s="358"/>
      <c r="AO94" s="358"/>
      <c r="AX94" s="367"/>
      <c r="BH94" s="367"/>
      <c r="BQ94" s="358"/>
      <c r="BZ94" s="358"/>
      <c r="CZ94" s="367"/>
      <c r="DI94" s="358"/>
      <c r="DQ94" s="358"/>
    </row>
    <row r="95" spans="13:121" x14ac:dyDescent="0.15">
      <c r="M95" s="358"/>
      <c r="V95" s="358"/>
      <c r="AG95" s="358"/>
      <c r="AO95" s="358"/>
      <c r="AX95" s="367"/>
      <c r="BH95" s="367"/>
      <c r="BQ95" s="358"/>
      <c r="BZ95" s="358"/>
      <c r="CZ95" s="367"/>
      <c r="DI95" s="358"/>
      <c r="DQ95" s="358"/>
    </row>
    <row r="96" spans="13:121" x14ac:dyDescent="0.15">
      <c r="M96" s="358"/>
      <c r="V96" s="358"/>
      <c r="AG96" s="358"/>
      <c r="AO96" s="358"/>
      <c r="AX96" s="367"/>
      <c r="BH96" s="367"/>
      <c r="BQ96" s="358"/>
      <c r="BZ96" s="358"/>
      <c r="CZ96" s="367"/>
      <c r="DI96" s="358"/>
      <c r="DQ96" s="358"/>
    </row>
    <row r="97" spans="13:121" x14ac:dyDescent="0.15">
      <c r="M97" s="358"/>
      <c r="V97" s="358"/>
      <c r="AG97" s="358"/>
      <c r="AO97" s="358"/>
      <c r="AX97" s="367"/>
      <c r="BH97" s="367"/>
      <c r="BQ97" s="358"/>
      <c r="BZ97" s="358"/>
      <c r="CZ97" s="367"/>
      <c r="DI97" s="358"/>
      <c r="DQ97" s="358"/>
    </row>
    <row r="98" spans="13:121" x14ac:dyDescent="0.15">
      <c r="M98" s="358"/>
      <c r="V98" s="358"/>
      <c r="AG98" s="358"/>
      <c r="AO98" s="358"/>
      <c r="AX98" s="367"/>
      <c r="BH98" s="367"/>
      <c r="BQ98" s="358"/>
      <c r="BZ98" s="358"/>
      <c r="CZ98" s="367"/>
      <c r="DI98" s="358"/>
      <c r="DQ98" s="358"/>
    </row>
    <row r="99" spans="13:121" x14ac:dyDescent="0.15">
      <c r="M99" s="358"/>
      <c r="V99" s="358"/>
      <c r="AG99" s="358"/>
      <c r="AO99" s="358"/>
      <c r="AX99" s="367"/>
      <c r="BH99" s="367"/>
      <c r="BQ99" s="358"/>
      <c r="BZ99" s="358"/>
      <c r="CZ99" s="367"/>
      <c r="DI99" s="358"/>
      <c r="DQ99" s="358"/>
    </row>
    <row r="100" spans="13:121" x14ac:dyDescent="0.15">
      <c r="M100" s="358"/>
      <c r="V100" s="358"/>
      <c r="AG100" s="358"/>
      <c r="AO100" s="358"/>
      <c r="AX100" s="367"/>
      <c r="BH100" s="367"/>
      <c r="BQ100" s="358"/>
      <c r="BZ100" s="358"/>
      <c r="CZ100" s="367"/>
      <c r="DI100" s="358"/>
      <c r="DQ100" s="358"/>
    </row>
    <row r="101" spans="13:121" x14ac:dyDescent="0.15">
      <c r="M101" s="358"/>
      <c r="V101" s="358"/>
      <c r="AG101" s="358"/>
      <c r="AO101" s="358"/>
      <c r="AX101" s="367"/>
      <c r="BH101" s="367"/>
      <c r="BQ101" s="358"/>
      <c r="BZ101" s="358"/>
      <c r="CZ101" s="367"/>
      <c r="DI101" s="358"/>
      <c r="DQ101" s="358"/>
    </row>
    <row r="102" spans="13:121" x14ac:dyDescent="0.15">
      <c r="M102" s="358"/>
      <c r="V102" s="358"/>
      <c r="AG102" s="358"/>
      <c r="AO102" s="358"/>
      <c r="AX102" s="367"/>
      <c r="BH102" s="367"/>
      <c r="BQ102" s="358"/>
      <c r="BZ102" s="358"/>
      <c r="CZ102" s="367"/>
      <c r="DI102" s="358"/>
      <c r="DQ102" s="358"/>
    </row>
    <row r="103" spans="13:121" x14ac:dyDescent="0.15">
      <c r="M103" s="358"/>
      <c r="V103" s="358"/>
      <c r="AG103" s="358"/>
      <c r="AO103" s="358"/>
      <c r="AX103" s="367"/>
      <c r="BH103" s="367"/>
      <c r="BQ103" s="358"/>
      <c r="BZ103" s="358"/>
      <c r="CZ103" s="367"/>
      <c r="DI103" s="358"/>
      <c r="DQ103" s="358"/>
    </row>
    <row r="104" spans="13:121" x14ac:dyDescent="0.15">
      <c r="M104" s="358"/>
      <c r="V104" s="358"/>
      <c r="AG104" s="358"/>
      <c r="AO104" s="358"/>
      <c r="AX104" s="367"/>
      <c r="BH104" s="367"/>
      <c r="BQ104" s="358"/>
      <c r="BZ104" s="358"/>
      <c r="CZ104" s="367"/>
      <c r="DI104" s="358"/>
      <c r="DQ104" s="358"/>
    </row>
    <row r="105" spans="13:121" x14ac:dyDescent="0.15">
      <c r="M105" s="358"/>
      <c r="V105" s="358"/>
      <c r="AG105" s="358"/>
      <c r="AO105" s="358"/>
      <c r="AX105" s="367"/>
      <c r="BH105" s="367"/>
      <c r="BQ105" s="358"/>
      <c r="BZ105" s="358"/>
      <c r="CZ105" s="367"/>
      <c r="DI105" s="358"/>
      <c r="DQ105" s="358"/>
    </row>
    <row r="106" spans="13:121" x14ac:dyDescent="0.15">
      <c r="M106" s="358"/>
      <c r="V106" s="358"/>
      <c r="AG106" s="358"/>
      <c r="AO106" s="358"/>
      <c r="AX106" s="367"/>
      <c r="BH106" s="367"/>
      <c r="BQ106" s="358"/>
      <c r="BZ106" s="358"/>
      <c r="CZ106" s="367"/>
      <c r="DI106" s="358"/>
      <c r="DQ106" s="358"/>
    </row>
    <row r="107" spans="13:121" x14ac:dyDescent="0.15">
      <c r="M107" s="358"/>
      <c r="V107" s="358"/>
      <c r="AG107" s="358"/>
      <c r="AO107" s="358"/>
      <c r="AX107" s="367"/>
      <c r="BH107" s="367"/>
      <c r="BQ107" s="358"/>
      <c r="BZ107" s="358"/>
      <c r="CZ107" s="367"/>
      <c r="DI107" s="358"/>
      <c r="DQ107" s="358"/>
    </row>
    <row r="108" spans="13:121" x14ac:dyDescent="0.15">
      <c r="M108" s="358"/>
      <c r="V108" s="358"/>
      <c r="AG108" s="358"/>
      <c r="AO108" s="358"/>
      <c r="AX108" s="367"/>
      <c r="BH108" s="367"/>
      <c r="BQ108" s="358"/>
      <c r="BZ108" s="358"/>
      <c r="CZ108" s="367"/>
      <c r="DI108" s="358"/>
      <c r="DQ108" s="358"/>
    </row>
    <row r="109" spans="13:121" x14ac:dyDescent="0.15">
      <c r="M109" s="358"/>
      <c r="V109" s="358"/>
      <c r="AG109" s="358"/>
      <c r="AO109" s="358"/>
      <c r="AX109" s="367"/>
      <c r="BH109" s="367"/>
      <c r="BQ109" s="358"/>
      <c r="BZ109" s="358"/>
      <c r="CZ109" s="367"/>
      <c r="DI109" s="358"/>
      <c r="DQ109" s="358"/>
    </row>
    <row r="110" spans="13:121" x14ac:dyDescent="0.15">
      <c r="M110" s="358"/>
      <c r="V110" s="358"/>
      <c r="AG110" s="358"/>
      <c r="AO110" s="358"/>
      <c r="AX110" s="367"/>
      <c r="BH110" s="367"/>
      <c r="BQ110" s="358"/>
      <c r="BZ110" s="358"/>
      <c r="CZ110" s="367"/>
      <c r="DI110" s="358"/>
      <c r="DQ110" s="358"/>
    </row>
    <row r="111" spans="13:121" x14ac:dyDescent="0.15">
      <c r="M111" s="358"/>
      <c r="V111" s="358"/>
      <c r="AG111" s="358"/>
      <c r="AO111" s="358"/>
      <c r="AX111" s="367"/>
      <c r="BH111" s="367"/>
      <c r="BQ111" s="358"/>
      <c r="BZ111" s="358"/>
      <c r="CZ111" s="367"/>
      <c r="DI111" s="358"/>
      <c r="DQ111" s="358"/>
    </row>
    <row r="112" spans="13:121" x14ac:dyDescent="0.15">
      <c r="M112" s="358"/>
      <c r="V112" s="358"/>
      <c r="AG112" s="358"/>
      <c r="AO112" s="358"/>
      <c r="AX112" s="367"/>
      <c r="BH112" s="367"/>
      <c r="BQ112" s="358"/>
      <c r="BZ112" s="358"/>
      <c r="CZ112" s="367"/>
      <c r="DI112" s="358"/>
      <c r="DQ112" s="358"/>
    </row>
    <row r="113" spans="13:121" x14ac:dyDescent="0.15">
      <c r="M113" s="358"/>
      <c r="V113" s="358"/>
      <c r="AG113" s="358"/>
      <c r="AO113" s="358"/>
      <c r="AX113" s="367"/>
      <c r="BH113" s="367"/>
      <c r="BQ113" s="358"/>
      <c r="BZ113" s="358"/>
      <c r="CZ113" s="367"/>
      <c r="DI113" s="358"/>
      <c r="DQ113" s="358"/>
    </row>
    <row r="114" spans="13:121" x14ac:dyDescent="0.15">
      <c r="M114" s="358"/>
      <c r="V114" s="358"/>
      <c r="AG114" s="358"/>
      <c r="AO114" s="358"/>
      <c r="AX114" s="367"/>
      <c r="BH114" s="367"/>
      <c r="BQ114" s="358"/>
      <c r="BZ114" s="358"/>
      <c r="CZ114" s="367"/>
      <c r="DI114" s="358"/>
      <c r="DQ114" s="358"/>
    </row>
    <row r="115" spans="13:121" x14ac:dyDescent="0.15">
      <c r="M115" s="358"/>
      <c r="V115" s="358"/>
      <c r="AG115" s="358"/>
      <c r="AO115" s="358"/>
      <c r="AX115" s="367"/>
      <c r="BH115" s="367"/>
      <c r="BQ115" s="358"/>
      <c r="BZ115" s="358"/>
      <c r="CZ115" s="367"/>
      <c r="DI115" s="358"/>
      <c r="DQ115" s="358"/>
    </row>
    <row r="116" spans="13:121" x14ac:dyDescent="0.15">
      <c r="M116" s="358"/>
      <c r="V116" s="358"/>
      <c r="AG116" s="358"/>
      <c r="AO116" s="358"/>
      <c r="AX116" s="367"/>
      <c r="BH116" s="367"/>
      <c r="BQ116" s="358"/>
      <c r="BZ116" s="358"/>
      <c r="CZ116" s="367"/>
      <c r="DI116" s="358"/>
      <c r="DQ116" s="358"/>
    </row>
    <row r="117" spans="13:121" x14ac:dyDescent="0.15">
      <c r="M117" s="358"/>
      <c r="V117" s="358"/>
      <c r="AG117" s="358"/>
      <c r="AO117" s="358"/>
      <c r="AX117" s="367"/>
      <c r="BH117" s="367"/>
      <c r="BQ117" s="358"/>
      <c r="BZ117" s="358"/>
      <c r="CZ117" s="367"/>
      <c r="DI117" s="358"/>
      <c r="DQ117" s="358"/>
    </row>
    <row r="118" spans="13:121" x14ac:dyDescent="0.15">
      <c r="M118" s="358"/>
      <c r="V118" s="358"/>
      <c r="AG118" s="358"/>
      <c r="AO118" s="358"/>
      <c r="AX118" s="367"/>
      <c r="BH118" s="367"/>
      <c r="BQ118" s="358"/>
      <c r="BZ118" s="358"/>
      <c r="CZ118" s="367"/>
      <c r="DI118" s="358"/>
      <c r="DQ118" s="358"/>
    </row>
    <row r="119" spans="13:121" x14ac:dyDescent="0.15">
      <c r="M119" s="358"/>
      <c r="V119" s="358"/>
      <c r="AG119" s="358"/>
      <c r="AO119" s="358"/>
      <c r="AX119" s="367"/>
      <c r="BH119" s="367"/>
      <c r="BQ119" s="358"/>
      <c r="BZ119" s="358"/>
      <c r="CZ119" s="367"/>
      <c r="DI119" s="358"/>
      <c r="DQ119" s="358"/>
    </row>
    <row r="120" spans="13:121" x14ac:dyDescent="0.15">
      <c r="M120" s="358"/>
      <c r="V120" s="358"/>
      <c r="AG120" s="358"/>
      <c r="AO120" s="358"/>
      <c r="AX120" s="367"/>
      <c r="BH120" s="367"/>
      <c r="BQ120" s="358"/>
      <c r="BZ120" s="358"/>
      <c r="CZ120" s="367"/>
      <c r="DI120" s="358"/>
      <c r="DQ120" s="358"/>
    </row>
    <row r="121" spans="13:121" x14ac:dyDescent="0.15">
      <c r="M121" s="358"/>
      <c r="V121" s="358"/>
      <c r="AG121" s="358"/>
      <c r="AO121" s="358"/>
      <c r="AX121" s="367"/>
      <c r="BH121" s="367"/>
      <c r="BQ121" s="358"/>
      <c r="BZ121" s="358"/>
      <c r="CZ121" s="367"/>
      <c r="DI121" s="358"/>
      <c r="DQ121" s="358"/>
    </row>
    <row r="122" spans="13:121" x14ac:dyDescent="0.15">
      <c r="M122" s="358"/>
      <c r="V122" s="358"/>
      <c r="AG122" s="358"/>
      <c r="AO122" s="358"/>
      <c r="AX122" s="367"/>
      <c r="BH122" s="367"/>
      <c r="BQ122" s="358"/>
      <c r="BZ122" s="358"/>
      <c r="CZ122" s="367"/>
      <c r="DI122" s="358"/>
      <c r="DQ122" s="358"/>
    </row>
    <row r="123" spans="13:121" x14ac:dyDescent="0.15">
      <c r="M123" s="358"/>
      <c r="V123" s="358"/>
      <c r="AG123" s="358"/>
      <c r="AO123" s="358"/>
      <c r="AX123" s="367"/>
      <c r="BH123" s="367"/>
      <c r="BQ123" s="358"/>
      <c r="BZ123" s="358"/>
      <c r="CZ123" s="367"/>
      <c r="DI123" s="358"/>
      <c r="DQ123" s="358"/>
    </row>
    <row r="124" spans="13:121" x14ac:dyDescent="0.15">
      <c r="M124" s="358"/>
      <c r="V124" s="358"/>
      <c r="AG124" s="358"/>
      <c r="AO124" s="358"/>
      <c r="AX124" s="367"/>
      <c r="BH124" s="367"/>
      <c r="BQ124" s="358"/>
      <c r="BZ124" s="358"/>
      <c r="CZ124" s="367"/>
      <c r="DI124" s="358"/>
      <c r="DQ124" s="358"/>
    </row>
    <row r="125" spans="13:121" x14ac:dyDescent="0.15">
      <c r="M125" s="358"/>
      <c r="V125" s="358"/>
      <c r="AG125" s="358"/>
      <c r="AO125" s="358"/>
      <c r="AX125" s="367"/>
      <c r="BH125" s="367"/>
      <c r="BQ125" s="358"/>
      <c r="BZ125" s="358"/>
      <c r="CZ125" s="367"/>
      <c r="DI125" s="358"/>
      <c r="DQ125" s="358"/>
    </row>
    <row r="126" spans="13:121" x14ac:dyDescent="0.15">
      <c r="M126" s="358"/>
      <c r="V126" s="358"/>
      <c r="AG126" s="358"/>
      <c r="AO126" s="358"/>
      <c r="AX126" s="367"/>
      <c r="BH126" s="367"/>
      <c r="BQ126" s="358"/>
      <c r="BZ126" s="358"/>
      <c r="CZ126" s="367"/>
      <c r="DI126" s="358"/>
      <c r="DQ126" s="358"/>
    </row>
    <row r="127" spans="13:121" x14ac:dyDescent="0.15">
      <c r="M127" s="358"/>
      <c r="V127" s="358"/>
      <c r="AG127" s="358"/>
      <c r="AO127" s="358"/>
      <c r="AX127" s="367"/>
      <c r="BH127" s="367"/>
      <c r="BQ127" s="358"/>
      <c r="BZ127" s="358"/>
      <c r="CZ127" s="367"/>
      <c r="DI127" s="358"/>
      <c r="DQ127" s="358"/>
    </row>
    <row r="128" spans="13:121" x14ac:dyDescent="0.15">
      <c r="M128" s="358"/>
      <c r="V128" s="358"/>
      <c r="AG128" s="358"/>
      <c r="AO128" s="358"/>
      <c r="AX128" s="367"/>
      <c r="BH128" s="367"/>
      <c r="BQ128" s="358"/>
      <c r="BZ128" s="358"/>
      <c r="CZ128" s="367"/>
      <c r="DI128" s="358"/>
      <c r="DQ128" s="358"/>
    </row>
    <row r="129" spans="13:121" x14ac:dyDescent="0.15">
      <c r="M129" s="358"/>
      <c r="V129" s="358"/>
      <c r="AG129" s="358"/>
      <c r="AO129" s="358"/>
      <c r="AX129" s="367"/>
      <c r="BH129" s="367"/>
      <c r="BQ129" s="358"/>
      <c r="BZ129" s="358"/>
      <c r="CZ129" s="367"/>
      <c r="DI129" s="358"/>
      <c r="DQ129" s="358"/>
    </row>
    <row r="130" spans="13:121" x14ac:dyDescent="0.15">
      <c r="M130" s="358"/>
      <c r="V130" s="358"/>
      <c r="AG130" s="358"/>
      <c r="AO130" s="358"/>
      <c r="AX130" s="367"/>
      <c r="BH130" s="367"/>
      <c r="BQ130" s="358"/>
      <c r="BZ130" s="358"/>
      <c r="CZ130" s="367"/>
      <c r="DI130" s="358"/>
      <c r="DQ130" s="358"/>
    </row>
    <row r="131" spans="13:121" x14ac:dyDescent="0.15">
      <c r="M131" s="358"/>
      <c r="V131" s="358"/>
      <c r="AG131" s="358"/>
      <c r="AO131" s="358"/>
      <c r="AX131" s="367"/>
      <c r="BH131" s="367"/>
      <c r="BQ131" s="358"/>
      <c r="BZ131" s="358"/>
      <c r="CZ131" s="367"/>
      <c r="DI131" s="358"/>
      <c r="DQ131" s="358"/>
    </row>
    <row r="132" spans="13:121" x14ac:dyDescent="0.15">
      <c r="M132" s="358"/>
      <c r="V132" s="358"/>
      <c r="AG132" s="358"/>
      <c r="AO132" s="358"/>
      <c r="AX132" s="367"/>
      <c r="BH132" s="367"/>
      <c r="BQ132" s="358"/>
      <c r="BZ132" s="358"/>
      <c r="CZ132" s="367"/>
      <c r="DI132" s="358"/>
      <c r="DQ132" s="358"/>
    </row>
    <row r="133" spans="13:121" x14ac:dyDescent="0.15">
      <c r="M133" s="358"/>
      <c r="V133" s="358"/>
      <c r="AG133" s="358"/>
      <c r="AO133" s="358"/>
      <c r="AX133" s="367"/>
      <c r="BH133" s="367"/>
      <c r="BQ133" s="358"/>
      <c r="BZ133" s="358"/>
      <c r="CZ133" s="367"/>
      <c r="DI133" s="358"/>
      <c r="DQ133" s="358"/>
    </row>
    <row r="134" spans="13:121" x14ac:dyDescent="0.15">
      <c r="M134" s="358"/>
      <c r="V134" s="358"/>
      <c r="AG134" s="358"/>
      <c r="AO134" s="358"/>
      <c r="AX134" s="367"/>
      <c r="BH134" s="367"/>
      <c r="BQ134" s="358"/>
      <c r="BZ134" s="358"/>
      <c r="CZ134" s="367"/>
      <c r="DI134" s="358"/>
      <c r="DQ134" s="358"/>
    </row>
    <row r="135" spans="13:121" x14ac:dyDescent="0.15">
      <c r="M135" s="358"/>
      <c r="V135" s="358"/>
      <c r="AG135" s="358"/>
      <c r="AO135" s="358"/>
      <c r="AX135" s="367"/>
      <c r="BH135" s="367"/>
      <c r="BQ135" s="358"/>
      <c r="BZ135" s="358"/>
      <c r="CZ135" s="367"/>
      <c r="DI135" s="358"/>
      <c r="DQ135" s="358"/>
    </row>
    <row r="136" spans="13:121" x14ac:dyDescent="0.15">
      <c r="M136" s="358"/>
      <c r="V136" s="358"/>
      <c r="AG136" s="358"/>
      <c r="AO136" s="358"/>
      <c r="AX136" s="367"/>
      <c r="BH136" s="367"/>
      <c r="BQ136" s="358"/>
      <c r="BZ136" s="358"/>
      <c r="CZ136" s="367"/>
      <c r="DI136" s="358"/>
      <c r="DQ136" s="358"/>
    </row>
    <row r="137" spans="13:121" x14ac:dyDescent="0.15">
      <c r="M137" s="358"/>
      <c r="V137" s="358"/>
      <c r="AG137" s="358"/>
      <c r="AO137" s="358"/>
      <c r="AX137" s="367"/>
      <c r="BH137" s="367"/>
      <c r="BQ137" s="358"/>
      <c r="BZ137" s="358"/>
      <c r="CZ137" s="367"/>
      <c r="DI137" s="358"/>
      <c r="DQ137" s="358"/>
    </row>
    <row r="138" spans="13:121" x14ac:dyDescent="0.15">
      <c r="M138" s="358"/>
      <c r="V138" s="358"/>
      <c r="AG138" s="358"/>
      <c r="AO138" s="358"/>
      <c r="AX138" s="367"/>
      <c r="BH138" s="367"/>
      <c r="BQ138" s="358"/>
      <c r="BZ138" s="358"/>
      <c r="CZ138" s="367"/>
      <c r="DI138" s="358"/>
      <c r="DQ138" s="358"/>
    </row>
    <row r="139" spans="13:121" x14ac:dyDescent="0.15">
      <c r="M139" s="358"/>
      <c r="V139" s="358"/>
      <c r="AG139" s="358"/>
      <c r="AO139" s="358"/>
      <c r="AX139" s="367"/>
      <c r="BH139" s="367"/>
      <c r="BQ139" s="358"/>
      <c r="BZ139" s="358"/>
      <c r="CZ139" s="367"/>
      <c r="DI139" s="358"/>
      <c r="DQ139" s="358"/>
    </row>
    <row r="140" spans="13:121" x14ac:dyDescent="0.15">
      <c r="M140" s="358"/>
      <c r="V140" s="358"/>
      <c r="AG140" s="358"/>
      <c r="AO140" s="358"/>
      <c r="AX140" s="367"/>
      <c r="BH140" s="367"/>
      <c r="BQ140" s="358"/>
      <c r="BZ140" s="358"/>
      <c r="CZ140" s="367"/>
      <c r="DI140" s="358"/>
      <c r="DQ140" s="358"/>
    </row>
    <row r="141" spans="13:121" x14ac:dyDescent="0.15">
      <c r="M141" s="358"/>
      <c r="V141" s="358"/>
      <c r="AG141" s="358"/>
      <c r="AO141" s="358"/>
      <c r="AX141" s="367"/>
      <c r="BH141" s="367"/>
      <c r="BQ141" s="358"/>
      <c r="BZ141" s="358"/>
      <c r="CZ141" s="367"/>
      <c r="DI141" s="358"/>
      <c r="DQ141" s="358"/>
    </row>
    <row r="142" spans="13:121" x14ac:dyDescent="0.15">
      <c r="M142" s="358"/>
      <c r="V142" s="358"/>
      <c r="AG142" s="358"/>
      <c r="AO142" s="358"/>
      <c r="AX142" s="367"/>
      <c r="BH142" s="367"/>
      <c r="BQ142" s="358"/>
      <c r="BZ142" s="358"/>
      <c r="CZ142" s="367"/>
      <c r="DI142" s="358"/>
      <c r="DQ142" s="358"/>
    </row>
    <row r="143" spans="13:121" x14ac:dyDescent="0.15">
      <c r="M143" s="358"/>
      <c r="V143" s="358"/>
      <c r="AG143" s="358"/>
      <c r="AO143" s="358"/>
      <c r="AX143" s="367"/>
      <c r="BH143" s="367"/>
      <c r="BQ143" s="358"/>
      <c r="BZ143" s="358"/>
      <c r="CZ143" s="367"/>
      <c r="DI143" s="358"/>
      <c r="DQ143" s="358"/>
    </row>
    <row r="144" spans="13:121" x14ac:dyDescent="0.15">
      <c r="M144" s="358"/>
      <c r="V144" s="358"/>
      <c r="AG144" s="358"/>
      <c r="AO144" s="358"/>
      <c r="AX144" s="367"/>
      <c r="BH144" s="367"/>
      <c r="BQ144" s="358"/>
      <c r="BZ144" s="358"/>
      <c r="CZ144" s="367"/>
      <c r="DI144" s="358"/>
      <c r="DQ144" s="358"/>
    </row>
    <row r="145" spans="13:121" x14ac:dyDescent="0.15">
      <c r="M145" s="358"/>
      <c r="V145" s="358"/>
      <c r="AG145" s="358"/>
      <c r="AO145" s="358"/>
      <c r="AX145" s="367"/>
      <c r="BH145" s="367"/>
      <c r="BQ145" s="358"/>
      <c r="BZ145" s="358"/>
      <c r="CZ145" s="367"/>
      <c r="DI145" s="358"/>
      <c r="DQ145" s="358"/>
    </row>
    <row r="146" spans="13:121" x14ac:dyDescent="0.15">
      <c r="M146" s="358"/>
      <c r="V146" s="358"/>
      <c r="AG146" s="358"/>
      <c r="AO146" s="358"/>
      <c r="AX146" s="367"/>
      <c r="BH146" s="367"/>
      <c r="BQ146" s="358"/>
      <c r="BZ146" s="358"/>
      <c r="CZ146" s="367"/>
      <c r="DI146" s="358"/>
      <c r="DQ146" s="358"/>
    </row>
    <row r="147" spans="13:121" x14ac:dyDescent="0.15">
      <c r="M147" s="358"/>
      <c r="V147" s="358"/>
      <c r="AG147" s="358"/>
      <c r="AO147" s="358"/>
      <c r="AX147" s="367"/>
      <c r="BH147" s="367"/>
      <c r="BQ147" s="358"/>
      <c r="BZ147" s="358"/>
      <c r="CZ147" s="367"/>
      <c r="DI147" s="358"/>
      <c r="DQ147" s="358"/>
    </row>
    <row r="148" spans="13:121" x14ac:dyDescent="0.15">
      <c r="M148" s="358"/>
      <c r="V148" s="358"/>
      <c r="AG148" s="358"/>
      <c r="AO148" s="358"/>
      <c r="AX148" s="367"/>
      <c r="BH148" s="367"/>
      <c r="BQ148" s="358"/>
      <c r="BZ148" s="358"/>
      <c r="CZ148" s="367"/>
      <c r="DI148" s="358"/>
      <c r="DQ148" s="358"/>
    </row>
    <row r="149" spans="13:121" x14ac:dyDescent="0.15">
      <c r="M149" s="358"/>
      <c r="V149" s="358"/>
      <c r="AG149" s="358"/>
      <c r="AO149" s="358"/>
      <c r="AX149" s="367"/>
      <c r="BH149" s="367"/>
      <c r="BQ149" s="358"/>
      <c r="BZ149" s="358"/>
      <c r="CZ149" s="367"/>
      <c r="DI149" s="358"/>
      <c r="DQ149" s="358"/>
    </row>
    <row r="150" spans="13:121" x14ac:dyDescent="0.15">
      <c r="M150" s="358"/>
      <c r="V150" s="358"/>
      <c r="AG150" s="358"/>
      <c r="AO150" s="358"/>
      <c r="AX150" s="367"/>
      <c r="BH150" s="367"/>
      <c r="BQ150" s="358"/>
      <c r="BZ150" s="358"/>
      <c r="CZ150" s="367"/>
      <c r="DI150" s="358"/>
      <c r="DQ150" s="358"/>
    </row>
    <row r="151" spans="13:121" x14ac:dyDescent="0.15">
      <c r="M151" s="358"/>
      <c r="V151" s="358"/>
      <c r="AG151" s="358"/>
      <c r="AO151" s="358"/>
      <c r="AX151" s="367"/>
      <c r="BH151" s="367"/>
      <c r="BQ151" s="358"/>
      <c r="BZ151" s="358"/>
      <c r="CZ151" s="367"/>
      <c r="DI151" s="358"/>
      <c r="DQ151" s="358"/>
    </row>
    <row r="152" spans="13:121" x14ac:dyDescent="0.15">
      <c r="M152" s="358"/>
      <c r="V152" s="358"/>
      <c r="AG152" s="358"/>
      <c r="AO152" s="358"/>
      <c r="AX152" s="367"/>
      <c r="BH152" s="367"/>
      <c r="BQ152" s="358"/>
      <c r="BZ152" s="358"/>
      <c r="CZ152" s="367"/>
      <c r="DI152" s="358"/>
      <c r="DQ152" s="358"/>
    </row>
    <row r="153" spans="13:121" x14ac:dyDescent="0.15">
      <c r="M153" s="358"/>
      <c r="V153" s="358"/>
      <c r="AG153" s="358"/>
      <c r="AO153" s="358"/>
      <c r="AX153" s="367"/>
      <c r="BH153" s="367"/>
      <c r="BQ153" s="358"/>
      <c r="BZ153" s="358"/>
      <c r="CZ153" s="367"/>
      <c r="DI153" s="358"/>
      <c r="DQ153" s="358"/>
    </row>
    <row r="154" spans="13:121" x14ac:dyDescent="0.15">
      <c r="M154" s="358"/>
      <c r="V154" s="358"/>
      <c r="AG154" s="358"/>
      <c r="AO154" s="358"/>
      <c r="AX154" s="367"/>
      <c r="BH154" s="367"/>
      <c r="BQ154" s="358"/>
      <c r="BZ154" s="358"/>
      <c r="CZ154" s="367"/>
      <c r="DI154" s="358"/>
      <c r="DQ154" s="358"/>
    </row>
    <row r="155" spans="13:121" x14ac:dyDescent="0.15">
      <c r="M155" s="358"/>
      <c r="V155" s="358"/>
      <c r="AG155" s="358"/>
      <c r="AO155" s="358"/>
      <c r="AX155" s="367"/>
      <c r="BH155" s="367"/>
      <c r="BQ155" s="358"/>
      <c r="BZ155" s="358"/>
      <c r="CZ155" s="367"/>
      <c r="DI155" s="358"/>
      <c r="DQ155" s="358"/>
    </row>
    <row r="156" spans="13:121" x14ac:dyDescent="0.15">
      <c r="M156" s="358"/>
      <c r="V156" s="358"/>
      <c r="AG156" s="358"/>
      <c r="AO156" s="358"/>
      <c r="AX156" s="367"/>
      <c r="BH156" s="367"/>
      <c r="BQ156" s="358"/>
      <c r="BZ156" s="358"/>
      <c r="CZ156" s="367"/>
      <c r="DI156" s="358"/>
      <c r="DQ156" s="358"/>
    </row>
    <row r="157" spans="13:121" x14ac:dyDescent="0.15">
      <c r="M157" s="358"/>
      <c r="V157" s="358"/>
      <c r="AG157" s="358"/>
      <c r="AO157" s="358"/>
      <c r="AX157" s="367"/>
      <c r="BH157" s="367"/>
      <c r="BQ157" s="358"/>
      <c r="BZ157" s="358"/>
      <c r="CZ157" s="367"/>
      <c r="DI157" s="358"/>
      <c r="DQ157" s="358"/>
    </row>
    <row r="158" spans="13:121" x14ac:dyDescent="0.15">
      <c r="M158" s="358"/>
      <c r="V158" s="358"/>
      <c r="AG158" s="358"/>
      <c r="AO158" s="358"/>
      <c r="AX158" s="367"/>
      <c r="BH158" s="367"/>
      <c r="BQ158" s="358"/>
      <c r="BZ158" s="358"/>
      <c r="CZ158" s="367"/>
      <c r="DI158" s="358"/>
      <c r="DQ158" s="358"/>
    </row>
    <row r="159" spans="13:121" x14ac:dyDescent="0.15">
      <c r="M159" s="358"/>
      <c r="V159" s="358"/>
      <c r="AG159" s="358"/>
      <c r="AO159" s="358"/>
      <c r="AX159" s="367"/>
      <c r="BH159" s="367"/>
      <c r="BQ159" s="358"/>
      <c r="BZ159" s="358"/>
      <c r="CZ159" s="367"/>
      <c r="DI159" s="358"/>
      <c r="DQ159" s="358"/>
    </row>
    <row r="160" spans="13:121" x14ac:dyDescent="0.15">
      <c r="M160" s="358"/>
      <c r="V160" s="358"/>
      <c r="AG160" s="358"/>
      <c r="AO160" s="358"/>
      <c r="AX160" s="367"/>
      <c r="BH160" s="367"/>
      <c r="BQ160" s="358"/>
      <c r="BZ160" s="358"/>
      <c r="CZ160" s="367"/>
      <c r="DI160" s="358"/>
      <c r="DQ160" s="358"/>
    </row>
    <row r="161" spans="13:121" x14ac:dyDescent="0.15">
      <c r="M161" s="358"/>
      <c r="V161" s="358"/>
      <c r="AG161" s="358"/>
      <c r="AO161" s="358"/>
      <c r="AX161" s="367"/>
      <c r="BH161" s="367"/>
      <c r="BQ161" s="358"/>
      <c r="BZ161" s="358"/>
      <c r="CZ161" s="367"/>
      <c r="DI161" s="358"/>
      <c r="DQ161" s="358"/>
    </row>
    <row r="162" spans="13:121" x14ac:dyDescent="0.15">
      <c r="M162" s="358"/>
      <c r="V162" s="358"/>
      <c r="AG162" s="358"/>
      <c r="AO162" s="358"/>
      <c r="AX162" s="367"/>
      <c r="BH162" s="367"/>
      <c r="BQ162" s="358"/>
      <c r="BZ162" s="358"/>
      <c r="CZ162" s="367"/>
      <c r="DI162" s="358"/>
      <c r="DQ162" s="358"/>
    </row>
    <row r="163" spans="13:121" x14ac:dyDescent="0.15">
      <c r="M163" s="358"/>
      <c r="V163" s="358"/>
      <c r="AG163" s="358"/>
      <c r="AO163" s="358"/>
      <c r="AX163" s="367"/>
      <c r="BH163" s="367"/>
      <c r="BQ163" s="358"/>
      <c r="BZ163" s="358"/>
      <c r="CZ163" s="367"/>
      <c r="DI163" s="358"/>
      <c r="DQ163" s="358"/>
    </row>
    <row r="164" spans="13:121" x14ac:dyDescent="0.15">
      <c r="M164" s="358"/>
      <c r="V164" s="358"/>
      <c r="AG164" s="358"/>
      <c r="AO164" s="358"/>
      <c r="AX164" s="367"/>
      <c r="BH164" s="367"/>
      <c r="BQ164" s="358"/>
      <c r="BZ164" s="358"/>
      <c r="CZ164" s="367"/>
      <c r="DI164" s="358"/>
      <c r="DQ164" s="358"/>
    </row>
    <row r="165" spans="13:121" x14ac:dyDescent="0.15">
      <c r="M165" s="358"/>
      <c r="V165" s="358"/>
      <c r="AG165" s="358"/>
      <c r="AO165" s="358"/>
      <c r="AX165" s="367"/>
      <c r="BH165" s="367"/>
      <c r="BQ165" s="358"/>
      <c r="BZ165" s="358"/>
      <c r="CZ165" s="367"/>
      <c r="DI165" s="358"/>
      <c r="DQ165" s="358"/>
    </row>
    <row r="166" spans="13:121" x14ac:dyDescent="0.15">
      <c r="M166" s="358"/>
      <c r="V166" s="358"/>
      <c r="AG166" s="358"/>
      <c r="AO166" s="358"/>
      <c r="AX166" s="367"/>
      <c r="BH166" s="367"/>
      <c r="BQ166" s="358"/>
      <c r="BZ166" s="358"/>
      <c r="CZ166" s="367"/>
      <c r="DI166" s="358"/>
      <c r="DQ166" s="358"/>
    </row>
    <row r="167" spans="13:121" x14ac:dyDescent="0.15">
      <c r="M167" s="358"/>
      <c r="V167" s="358"/>
      <c r="AG167" s="358"/>
      <c r="AO167" s="358"/>
      <c r="AX167" s="367"/>
      <c r="BH167" s="367"/>
      <c r="BQ167" s="358"/>
      <c r="BZ167" s="358"/>
      <c r="CZ167" s="367"/>
      <c r="DI167" s="358"/>
      <c r="DQ167" s="358"/>
    </row>
    <row r="168" spans="13:121" x14ac:dyDescent="0.15">
      <c r="M168" s="358"/>
      <c r="V168" s="358"/>
      <c r="AG168" s="358"/>
      <c r="AO168" s="358"/>
      <c r="AX168" s="367"/>
      <c r="BH168" s="367"/>
      <c r="BQ168" s="358"/>
      <c r="BZ168" s="358"/>
      <c r="CZ168" s="367"/>
      <c r="DI168" s="358"/>
      <c r="DQ168" s="358"/>
    </row>
    <row r="169" spans="13:121" x14ac:dyDescent="0.15">
      <c r="M169" s="358"/>
      <c r="V169" s="358"/>
      <c r="AG169" s="358"/>
      <c r="AO169" s="358"/>
      <c r="AX169" s="367"/>
      <c r="BH169" s="367"/>
      <c r="BQ169" s="358"/>
      <c r="BZ169" s="358"/>
      <c r="CZ169" s="367"/>
      <c r="DI169" s="358"/>
      <c r="DQ169" s="358"/>
    </row>
    <row r="170" spans="13:121" x14ac:dyDescent="0.15">
      <c r="M170" s="358"/>
      <c r="V170" s="358"/>
      <c r="AG170" s="358"/>
      <c r="AO170" s="358"/>
      <c r="AX170" s="367"/>
      <c r="BH170" s="367"/>
      <c r="BQ170" s="358"/>
      <c r="BZ170" s="358"/>
      <c r="CZ170" s="367"/>
      <c r="DI170" s="358"/>
      <c r="DQ170" s="358"/>
    </row>
    <row r="171" spans="13:121" x14ac:dyDescent="0.15">
      <c r="M171" s="358"/>
      <c r="V171" s="358"/>
      <c r="AG171" s="358"/>
      <c r="AO171" s="358"/>
      <c r="AX171" s="367"/>
      <c r="BH171" s="367"/>
      <c r="BQ171" s="358"/>
      <c r="BZ171" s="358"/>
      <c r="CZ171" s="367"/>
      <c r="DI171" s="358"/>
      <c r="DQ171" s="358"/>
    </row>
    <row r="172" spans="13:121" x14ac:dyDescent="0.15">
      <c r="M172" s="358"/>
      <c r="V172" s="358"/>
      <c r="AG172" s="358"/>
      <c r="AO172" s="358"/>
      <c r="AX172" s="367"/>
      <c r="BH172" s="367"/>
      <c r="BQ172" s="358"/>
      <c r="BZ172" s="358"/>
      <c r="CZ172" s="367"/>
      <c r="DI172" s="358"/>
      <c r="DQ172" s="358"/>
    </row>
    <row r="173" spans="13:121" x14ac:dyDescent="0.15">
      <c r="M173" s="358"/>
      <c r="V173" s="358"/>
      <c r="AG173" s="358"/>
      <c r="AO173" s="358"/>
      <c r="AX173" s="367"/>
      <c r="BH173" s="367"/>
      <c r="BQ173" s="358"/>
      <c r="BZ173" s="358"/>
      <c r="CZ173" s="367"/>
      <c r="DI173" s="358"/>
      <c r="DQ173" s="358"/>
    </row>
    <row r="174" spans="13:121" x14ac:dyDescent="0.15">
      <c r="M174" s="358"/>
      <c r="V174" s="358"/>
      <c r="AG174" s="358"/>
      <c r="AO174" s="358"/>
      <c r="AX174" s="367"/>
      <c r="BH174" s="367"/>
      <c r="BQ174" s="358"/>
      <c r="BZ174" s="358"/>
      <c r="CZ174" s="367"/>
      <c r="DI174" s="358"/>
      <c r="DQ174" s="358"/>
    </row>
    <row r="175" spans="13:121" x14ac:dyDescent="0.15">
      <c r="M175" s="358"/>
      <c r="V175" s="358"/>
      <c r="AG175" s="358"/>
      <c r="AO175" s="358"/>
      <c r="AX175" s="367"/>
      <c r="BH175" s="367"/>
      <c r="BQ175" s="358"/>
      <c r="BZ175" s="358"/>
      <c r="CZ175" s="367"/>
      <c r="DI175" s="358"/>
      <c r="DQ175" s="358"/>
    </row>
    <row r="176" spans="13:121" x14ac:dyDescent="0.15">
      <c r="M176" s="358"/>
      <c r="V176" s="358"/>
      <c r="AG176" s="358"/>
      <c r="AO176" s="358"/>
      <c r="AX176" s="367"/>
      <c r="BH176" s="367"/>
      <c r="BQ176" s="358"/>
      <c r="BZ176" s="358"/>
      <c r="CZ176" s="367"/>
      <c r="DI176" s="358"/>
      <c r="DQ176" s="358"/>
    </row>
    <row r="177" spans="13:121" x14ac:dyDescent="0.15">
      <c r="M177" s="358"/>
      <c r="V177" s="358"/>
      <c r="AG177" s="358"/>
      <c r="AO177" s="358"/>
      <c r="AX177" s="367"/>
      <c r="BH177" s="367"/>
      <c r="BQ177" s="358"/>
      <c r="BZ177" s="358"/>
      <c r="CZ177" s="367"/>
      <c r="DI177" s="358"/>
      <c r="DQ177" s="358"/>
    </row>
    <row r="178" spans="13:121" x14ac:dyDescent="0.15">
      <c r="M178" s="358"/>
      <c r="V178" s="358"/>
      <c r="AG178" s="358"/>
      <c r="AO178" s="358"/>
      <c r="AX178" s="367"/>
      <c r="BH178" s="367"/>
      <c r="BQ178" s="358"/>
      <c r="BZ178" s="358"/>
      <c r="CZ178" s="367"/>
      <c r="DI178" s="358"/>
      <c r="DQ178" s="358"/>
    </row>
    <row r="179" spans="13:121" x14ac:dyDescent="0.15">
      <c r="M179" s="358"/>
      <c r="V179" s="358"/>
      <c r="AG179" s="358"/>
      <c r="AO179" s="358"/>
      <c r="AX179" s="367"/>
      <c r="BH179" s="367"/>
      <c r="BQ179" s="358"/>
      <c r="BZ179" s="358"/>
      <c r="CZ179" s="367"/>
      <c r="DI179" s="358"/>
      <c r="DQ179" s="358"/>
    </row>
    <row r="180" spans="13:121" x14ac:dyDescent="0.15">
      <c r="M180" s="358"/>
      <c r="V180" s="358"/>
      <c r="AG180" s="358"/>
      <c r="AO180" s="358"/>
      <c r="AX180" s="367"/>
      <c r="BH180" s="367"/>
      <c r="BQ180" s="358"/>
      <c r="BZ180" s="358"/>
      <c r="CZ180" s="367"/>
      <c r="DI180" s="358"/>
      <c r="DQ180" s="358"/>
    </row>
    <row r="181" spans="13:121" x14ac:dyDescent="0.15">
      <c r="M181" s="358"/>
      <c r="V181" s="358"/>
      <c r="AG181" s="358"/>
      <c r="AO181" s="358"/>
      <c r="AX181" s="367"/>
      <c r="BH181" s="367"/>
      <c r="BQ181" s="358"/>
      <c r="BZ181" s="358"/>
      <c r="CZ181" s="367"/>
      <c r="DI181" s="358"/>
      <c r="DQ181" s="358"/>
    </row>
    <row r="182" spans="13:121" x14ac:dyDescent="0.15">
      <c r="M182" s="358"/>
      <c r="V182" s="358"/>
      <c r="AG182" s="358"/>
      <c r="AO182" s="358"/>
      <c r="AX182" s="367"/>
      <c r="BH182" s="367"/>
      <c r="BQ182" s="358"/>
      <c r="BZ182" s="358"/>
      <c r="CZ182" s="367"/>
      <c r="DI182" s="358"/>
      <c r="DQ182" s="358"/>
    </row>
    <row r="183" spans="13:121" x14ac:dyDescent="0.15">
      <c r="M183" s="358"/>
      <c r="V183" s="358"/>
      <c r="AG183" s="358"/>
      <c r="AO183" s="358"/>
      <c r="AX183" s="367"/>
      <c r="BH183" s="367"/>
      <c r="BQ183" s="358"/>
      <c r="BZ183" s="358"/>
      <c r="CZ183" s="367"/>
      <c r="DI183" s="358"/>
      <c r="DQ183" s="358"/>
    </row>
    <row r="184" spans="13:121" x14ac:dyDescent="0.15">
      <c r="M184" s="358"/>
      <c r="V184" s="358"/>
      <c r="AG184" s="358"/>
      <c r="AO184" s="358"/>
      <c r="AX184" s="367"/>
      <c r="BH184" s="367"/>
      <c r="BQ184" s="358"/>
      <c r="BZ184" s="358"/>
      <c r="CZ184" s="367"/>
      <c r="DI184" s="358"/>
      <c r="DQ184" s="358"/>
    </row>
    <row r="185" spans="13:121" x14ac:dyDescent="0.15">
      <c r="M185" s="358"/>
      <c r="V185" s="358"/>
      <c r="AG185" s="358"/>
      <c r="AO185" s="358"/>
      <c r="AX185" s="367"/>
      <c r="BH185" s="367"/>
      <c r="BQ185" s="358"/>
      <c r="BZ185" s="358"/>
      <c r="CZ185" s="367"/>
      <c r="DI185" s="358"/>
      <c r="DQ185" s="358"/>
    </row>
    <row r="186" spans="13:121" x14ac:dyDescent="0.15">
      <c r="M186" s="358"/>
      <c r="V186" s="358"/>
      <c r="AG186" s="358"/>
      <c r="AO186" s="358"/>
      <c r="AX186" s="367"/>
      <c r="BH186" s="367"/>
      <c r="BQ186" s="358"/>
      <c r="BZ186" s="358"/>
      <c r="CZ186" s="367"/>
      <c r="DI186" s="358"/>
      <c r="DQ186" s="358"/>
    </row>
    <row r="187" spans="13:121" x14ac:dyDescent="0.15">
      <c r="M187" s="358"/>
      <c r="V187" s="358"/>
      <c r="AG187" s="358"/>
      <c r="AO187" s="358"/>
      <c r="AX187" s="367"/>
      <c r="BH187" s="367"/>
      <c r="BQ187" s="358"/>
      <c r="BZ187" s="358"/>
      <c r="CZ187" s="367"/>
      <c r="DI187" s="358"/>
      <c r="DQ187" s="358"/>
    </row>
    <row r="188" spans="13:121" x14ac:dyDescent="0.15">
      <c r="M188" s="358"/>
      <c r="V188" s="358"/>
      <c r="AG188" s="358"/>
      <c r="AO188" s="358"/>
      <c r="AX188" s="367"/>
      <c r="BH188" s="367"/>
      <c r="BQ188" s="358"/>
      <c r="BZ188" s="358"/>
      <c r="CZ188" s="367"/>
      <c r="DI188" s="358"/>
      <c r="DQ188" s="358"/>
    </row>
    <row r="189" spans="13:121" x14ac:dyDescent="0.15">
      <c r="M189" s="358"/>
      <c r="V189" s="358"/>
      <c r="AG189" s="358"/>
      <c r="AO189" s="358"/>
      <c r="AX189" s="367"/>
      <c r="BH189" s="367"/>
      <c r="BQ189" s="358"/>
      <c r="BZ189" s="358"/>
      <c r="CZ189" s="367"/>
      <c r="DI189" s="358"/>
      <c r="DQ189" s="358"/>
    </row>
    <row r="190" spans="13:121" x14ac:dyDescent="0.15">
      <c r="M190" s="358"/>
      <c r="V190" s="358"/>
      <c r="AG190" s="358"/>
      <c r="AO190" s="358"/>
      <c r="AX190" s="367"/>
      <c r="BH190" s="367"/>
      <c r="BQ190" s="358"/>
      <c r="BZ190" s="358"/>
      <c r="CZ190" s="367"/>
      <c r="DI190" s="358"/>
      <c r="DQ190" s="358"/>
    </row>
    <row r="191" spans="13:121" x14ac:dyDescent="0.15">
      <c r="M191" s="358"/>
      <c r="V191" s="358"/>
      <c r="AG191" s="358"/>
      <c r="AO191" s="358"/>
      <c r="AX191" s="367"/>
      <c r="BH191" s="367"/>
      <c r="BQ191" s="358"/>
      <c r="BZ191" s="358"/>
      <c r="CZ191" s="367"/>
      <c r="DI191" s="358"/>
      <c r="DQ191" s="358"/>
    </row>
    <row r="192" spans="13:121" x14ac:dyDescent="0.15">
      <c r="M192" s="358"/>
      <c r="V192" s="358"/>
      <c r="AG192" s="358"/>
      <c r="AO192" s="358"/>
      <c r="AX192" s="367"/>
      <c r="BH192" s="367"/>
      <c r="BQ192" s="358"/>
      <c r="BZ192" s="358"/>
      <c r="CZ192" s="367"/>
      <c r="DI192" s="358"/>
      <c r="DQ192" s="358"/>
    </row>
    <row r="193" spans="13:121" x14ac:dyDescent="0.15">
      <c r="M193" s="358"/>
      <c r="V193" s="358"/>
      <c r="AG193" s="358"/>
      <c r="AO193" s="358"/>
      <c r="AX193" s="367"/>
      <c r="BH193" s="367"/>
      <c r="BQ193" s="358"/>
      <c r="BZ193" s="358"/>
      <c r="CZ193" s="367"/>
      <c r="DI193" s="358"/>
      <c r="DQ193" s="358"/>
    </row>
    <row r="194" spans="13:121" x14ac:dyDescent="0.15">
      <c r="M194" s="358"/>
      <c r="V194" s="358"/>
      <c r="AG194" s="358"/>
      <c r="AO194" s="358"/>
      <c r="AX194" s="367"/>
      <c r="BH194" s="367"/>
      <c r="BQ194" s="358"/>
      <c r="BZ194" s="358"/>
      <c r="CZ194" s="367"/>
      <c r="DI194" s="358"/>
      <c r="DQ194" s="358"/>
    </row>
    <row r="195" spans="13:121" x14ac:dyDescent="0.15">
      <c r="M195" s="358"/>
      <c r="V195" s="358"/>
      <c r="AG195" s="358"/>
      <c r="AO195" s="358"/>
      <c r="AX195" s="367"/>
      <c r="BH195" s="367"/>
      <c r="BQ195" s="358"/>
      <c r="BZ195" s="358"/>
      <c r="CZ195" s="367"/>
      <c r="DI195" s="358"/>
      <c r="DQ195" s="358"/>
    </row>
    <row r="196" spans="13:121" x14ac:dyDescent="0.15">
      <c r="M196" s="358"/>
      <c r="V196" s="358"/>
      <c r="AG196" s="358"/>
      <c r="AO196" s="358"/>
      <c r="AX196" s="367"/>
      <c r="BH196" s="367"/>
      <c r="BQ196" s="358"/>
      <c r="BZ196" s="358"/>
      <c r="CZ196" s="367"/>
      <c r="DI196" s="358"/>
      <c r="DQ196" s="358"/>
    </row>
    <row r="197" spans="13:121" x14ac:dyDescent="0.15">
      <c r="M197" s="358"/>
      <c r="V197" s="358"/>
      <c r="AG197" s="358"/>
      <c r="AO197" s="358"/>
      <c r="AX197" s="367"/>
      <c r="BH197" s="367"/>
      <c r="BQ197" s="358"/>
      <c r="BZ197" s="358"/>
      <c r="CZ197" s="367"/>
      <c r="DI197" s="358"/>
      <c r="DQ197" s="358"/>
    </row>
    <row r="198" spans="13:121" x14ac:dyDescent="0.15">
      <c r="M198" s="358"/>
      <c r="V198" s="358"/>
      <c r="AG198" s="358"/>
      <c r="AO198" s="358"/>
      <c r="AX198" s="367"/>
      <c r="BH198" s="367"/>
      <c r="BQ198" s="358"/>
      <c r="BZ198" s="358"/>
      <c r="CZ198" s="367"/>
      <c r="DI198" s="358"/>
      <c r="DQ198" s="358"/>
    </row>
    <row r="199" spans="13:121" x14ac:dyDescent="0.15">
      <c r="M199" s="358"/>
      <c r="V199" s="358"/>
      <c r="AG199" s="358"/>
      <c r="AO199" s="358"/>
      <c r="AX199" s="367"/>
      <c r="BH199" s="367"/>
      <c r="BQ199" s="358"/>
      <c r="BZ199" s="358"/>
      <c r="CZ199" s="367"/>
      <c r="DI199" s="358"/>
      <c r="DQ199" s="358"/>
    </row>
    <row r="200" spans="13:121" x14ac:dyDescent="0.15">
      <c r="M200" s="358"/>
      <c r="V200" s="358"/>
      <c r="AG200" s="358"/>
      <c r="AO200" s="358"/>
      <c r="AX200" s="367"/>
      <c r="BH200" s="367"/>
      <c r="BQ200" s="358"/>
      <c r="BZ200" s="358"/>
      <c r="CZ200" s="367"/>
      <c r="DI200" s="358"/>
      <c r="DQ200" s="358"/>
    </row>
    <row r="201" spans="13:121" x14ac:dyDescent="0.15">
      <c r="M201" s="358"/>
      <c r="V201" s="358"/>
      <c r="AG201" s="358"/>
      <c r="AO201" s="358"/>
      <c r="AX201" s="367"/>
      <c r="BH201" s="367"/>
      <c r="BQ201" s="358"/>
      <c r="BZ201" s="358"/>
      <c r="CZ201" s="367"/>
      <c r="DI201" s="358"/>
      <c r="DQ201" s="358"/>
    </row>
    <row r="202" spans="13:121" x14ac:dyDescent="0.15">
      <c r="M202" s="358"/>
      <c r="V202" s="358"/>
      <c r="AG202" s="358"/>
      <c r="AO202" s="358"/>
      <c r="AX202" s="367"/>
      <c r="BH202" s="367"/>
      <c r="BQ202" s="358"/>
      <c r="BZ202" s="358"/>
      <c r="CZ202" s="367"/>
      <c r="DI202" s="358"/>
      <c r="DQ202" s="358"/>
    </row>
    <row r="203" spans="13:121" x14ac:dyDescent="0.15">
      <c r="M203" s="358"/>
      <c r="V203" s="358"/>
      <c r="AG203" s="358"/>
      <c r="AO203" s="358"/>
      <c r="AX203" s="367"/>
      <c r="BH203" s="367"/>
      <c r="BQ203" s="358"/>
      <c r="BZ203" s="358"/>
      <c r="CZ203" s="367"/>
      <c r="DI203" s="358"/>
      <c r="DQ203" s="358"/>
    </row>
    <row r="204" spans="13:121" x14ac:dyDescent="0.15">
      <c r="M204" s="358"/>
      <c r="V204" s="358"/>
      <c r="AG204" s="358"/>
      <c r="AO204" s="358"/>
      <c r="AX204" s="367"/>
      <c r="BH204" s="367"/>
      <c r="BQ204" s="358"/>
      <c r="BZ204" s="358"/>
      <c r="CZ204" s="367"/>
      <c r="DI204" s="358"/>
      <c r="DQ204" s="358"/>
    </row>
    <row r="205" spans="13:121" x14ac:dyDescent="0.15">
      <c r="M205" s="358"/>
      <c r="V205" s="358"/>
      <c r="AG205" s="358"/>
      <c r="AO205" s="358"/>
      <c r="AX205" s="367"/>
      <c r="BH205" s="367"/>
      <c r="BQ205" s="358"/>
      <c r="BZ205" s="358"/>
      <c r="CZ205" s="367"/>
      <c r="DI205" s="358"/>
      <c r="DQ205" s="358"/>
    </row>
    <row r="206" spans="13:121" x14ac:dyDescent="0.15">
      <c r="M206" s="358"/>
      <c r="V206" s="358"/>
      <c r="AG206" s="358"/>
      <c r="AO206" s="358"/>
      <c r="AX206" s="367"/>
      <c r="BH206" s="367"/>
      <c r="BQ206" s="358"/>
      <c r="BZ206" s="358"/>
      <c r="CZ206" s="367"/>
      <c r="DI206" s="358"/>
      <c r="DQ206" s="358"/>
    </row>
    <row r="207" spans="13:121" x14ac:dyDescent="0.15">
      <c r="M207" s="358"/>
      <c r="V207" s="358"/>
      <c r="AG207" s="358"/>
      <c r="AO207" s="358"/>
      <c r="AX207" s="367"/>
      <c r="BH207" s="367"/>
      <c r="BQ207" s="358"/>
      <c r="BZ207" s="358"/>
      <c r="CZ207" s="367"/>
      <c r="DI207" s="358"/>
      <c r="DQ207" s="358"/>
    </row>
    <row r="208" spans="13:121" x14ac:dyDescent="0.15">
      <c r="M208" s="358"/>
      <c r="V208" s="358"/>
      <c r="AG208" s="358"/>
      <c r="AO208" s="358"/>
      <c r="AX208" s="367"/>
      <c r="BH208" s="367"/>
      <c r="BQ208" s="358"/>
      <c r="BZ208" s="358"/>
      <c r="CZ208" s="367"/>
      <c r="DI208" s="358"/>
      <c r="DQ208" s="358"/>
    </row>
    <row r="209" spans="13:121" x14ac:dyDescent="0.15">
      <c r="M209" s="358"/>
      <c r="V209" s="358"/>
      <c r="AG209" s="358"/>
      <c r="AO209" s="358"/>
      <c r="AX209" s="367"/>
      <c r="BH209" s="367"/>
      <c r="BQ209" s="358"/>
      <c r="BZ209" s="358"/>
      <c r="CZ209" s="367"/>
      <c r="DI209" s="358"/>
      <c r="DQ209" s="358"/>
    </row>
    <row r="210" spans="13:121" x14ac:dyDescent="0.15">
      <c r="M210" s="358"/>
      <c r="V210" s="358"/>
      <c r="AG210" s="358"/>
      <c r="AO210" s="358"/>
      <c r="AX210" s="367"/>
      <c r="BH210" s="367"/>
      <c r="BQ210" s="358"/>
      <c r="BZ210" s="358"/>
      <c r="CZ210" s="367"/>
      <c r="DI210" s="358"/>
      <c r="DQ210" s="358"/>
    </row>
    <row r="211" spans="13:121" x14ac:dyDescent="0.15">
      <c r="M211" s="358"/>
      <c r="V211" s="358"/>
      <c r="AG211" s="358"/>
      <c r="AO211" s="358"/>
      <c r="AX211" s="367"/>
      <c r="BH211" s="367"/>
      <c r="BQ211" s="358"/>
      <c r="BZ211" s="358"/>
      <c r="CZ211" s="367"/>
      <c r="DI211" s="358"/>
      <c r="DQ211" s="358"/>
    </row>
    <row r="212" spans="13:121" x14ac:dyDescent="0.15">
      <c r="M212" s="358"/>
      <c r="V212" s="358"/>
      <c r="AG212" s="358"/>
      <c r="AO212" s="358"/>
      <c r="AX212" s="367"/>
      <c r="BH212" s="367"/>
      <c r="BQ212" s="358"/>
      <c r="BZ212" s="358"/>
      <c r="CZ212" s="367"/>
      <c r="DI212" s="358"/>
      <c r="DQ212" s="358"/>
    </row>
    <row r="213" spans="13:121" x14ac:dyDescent="0.15">
      <c r="M213" s="358"/>
      <c r="V213" s="358"/>
      <c r="AG213" s="358"/>
      <c r="AO213" s="358"/>
      <c r="AX213" s="367"/>
      <c r="BH213" s="367"/>
      <c r="BQ213" s="358"/>
      <c r="BZ213" s="358"/>
      <c r="CZ213" s="367"/>
      <c r="DI213" s="358"/>
      <c r="DQ213" s="358"/>
    </row>
    <row r="214" spans="13:121" x14ac:dyDescent="0.15">
      <c r="M214" s="358"/>
      <c r="V214" s="358"/>
      <c r="AG214" s="358"/>
      <c r="AO214" s="358"/>
      <c r="AX214" s="367"/>
      <c r="BH214" s="367"/>
      <c r="BQ214" s="358"/>
      <c r="BZ214" s="358"/>
      <c r="CZ214" s="367"/>
      <c r="DI214" s="358"/>
      <c r="DQ214" s="358"/>
    </row>
    <row r="215" spans="13:121" x14ac:dyDescent="0.15">
      <c r="M215" s="358"/>
      <c r="V215" s="358"/>
      <c r="AG215" s="358"/>
      <c r="AO215" s="358"/>
      <c r="AX215" s="367"/>
      <c r="BH215" s="367"/>
      <c r="BQ215" s="358"/>
      <c r="BZ215" s="358"/>
      <c r="CZ215" s="367"/>
      <c r="DI215" s="358"/>
      <c r="DQ215" s="358"/>
    </row>
    <row r="216" spans="13:121" x14ac:dyDescent="0.15">
      <c r="M216" s="358"/>
      <c r="V216" s="358"/>
      <c r="AG216" s="358"/>
      <c r="AO216" s="358"/>
      <c r="AX216" s="367"/>
      <c r="BH216" s="367"/>
      <c r="BQ216" s="358"/>
      <c r="BZ216" s="358"/>
      <c r="CZ216" s="367"/>
      <c r="DI216" s="358"/>
      <c r="DQ216" s="358"/>
    </row>
    <row r="217" spans="13:121" x14ac:dyDescent="0.15">
      <c r="M217" s="358"/>
      <c r="V217" s="358"/>
      <c r="AG217" s="358"/>
      <c r="AO217" s="358"/>
      <c r="AX217" s="367"/>
      <c r="BH217" s="367"/>
      <c r="BQ217" s="358"/>
      <c r="BZ217" s="358"/>
      <c r="CZ217" s="367"/>
      <c r="DI217" s="358"/>
      <c r="DQ217" s="358"/>
    </row>
    <row r="218" spans="13:121" x14ac:dyDescent="0.15">
      <c r="M218" s="358"/>
      <c r="V218" s="358"/>
      <c r="AG218" s="358"/>
      <c r="AO218" s="358"/>
      <c r="AX218" s="367"/>
      <c r="BH218" s="367"/>
      <c r="BQ218" s="358"/>
      <c r="BZ218" s="358"/>
      <c r="CZ218" s="367"/>
      <c r="DI218" s="358"/>
      <c r="DQ218" s="358"/>
    </row>
    <row r="219" spans="13:121" x14ac:dyDescent="0.15">
      <c r="M219" s="358"/>
      <c r="V219" s="358"/>
      <c r="AG219" s="358"/>
      <c r="AO219" s="358"/>
      <c r="AX219" s="367"/>
      <c r="BH219" s="367"/>
      <c r="BQ219" s="358"/>
      <c r="BZ219" s="358"/>
      <c r="CZ219" s="367"/>
      <c r="DI219" s="358"/>
      <c r="DQ219" s="358"/>
    </row>
    <row r="220" spans="13:121" x14ac:dyDescent="0.15">
      <c r="M220" s="358"/>
      <c r="V220" s="358"/>
      <c r="AG220" s="358"/>
      <c r="AO220" s="358"/>
      <c r="AX220" s="367"/>
      <c r="BH220" s="367"/>
      <c r="BQ220" s="358"/>
      <c r="BZ220" s="358"/>
      <c r="CZ220" s="367"/>
      <c r="DI220" s="358"/>
      <c r="DQ220" s="358"/>
    </row>
    <row r="221" spans="13:121" x14ac:dyDescent="0.15">
      <c r="M221" s="358"/>
      <c r="V221" s="358"/>
      <c r="AG221" s="358"/>
      <c r="AO221" s="358"/>
      <c r="AX221" s="367"/>
      <c r="BH221" s="367"/>
      <c r="BQ221" s="358"/>
      <c r="BZ221" s="358"/>
      <c r="CZ221" s="367"/>
      <c r="DI221" s="358"/>
      <c r="DQ221" s="358"/>
    </row>
    <row r="222" spans="13:121" x14ac:dyDescent="0.15">
      <c r="M222" s="358"/>
      <c r="V222" s="358"/>
      <c r="AG222" s="358"/>
      <c r="AO222" s="358"/>
      <c r="AX222" s="367"/>
      <c r="BH222" s="367"/>
      <c r="BQ222" s="358"/>
      <c r="BZ222" s="358"/>
      <c r="CZ222" s="367"/>
      <c r="DI222" s="358"/>
      <c r="DQ222" s="358"/>
    </row>
    <row r="223" spans="13:121" x14ac:dyDescent="0.15">
      <c r="M223" s="358"/>
      <c r="V223" s="358"/>
      <c r="AG223" s="358"/>
      <c r="AO223" s="358"/>
      <c r="AX223" s="367"/>
      <c r="BH223" s="367"/>
      <c r="BQ223" s="358"/>
      <c r="BZ223" s="358"/>
      <c r="CZ223" s="367"/>
      <c r="DI223" s="358"/>
      <c r="DQ223" s="358"/>
    </row>
    <row r="224" spans="13:121" x14ac:dyDescent="0.15">
      <c r="M224" s="358"/>
      <c r="V224" s="358"/>
      <c r="AG224" s="358"/>
      <c r="AO224" s="358"/>
      <c r="AX224" s="367"/>
      <c r="BH224" s="367"/>
      <c r="BQ224" s="358"/>
      <c r="BZ224" s="358"/>
      <c r="CZ224" s="367"/>
      <c r="DI224" s="358"/>
      <c r="DQ224" s="358"/>
    </row>
    <row r="225" spans="13:121" x14ac:dyDescent="0.15">
      <c r="M225" s="358"/>
      <c r="V225" s="358"/>
      <c r="AG225" s="358"/>
      <c r="AO225" s="358"/>
      <c r="AX225" s="367"/>
      <c r="BH225" s="367"/>
      <c r="BQ225" s="358"/>
      <c r="BZ225" s="358"/>
      <c r="CZ225" s="367"/>
      <c r="DI225" s="358"/>
      <c r="DQ225" s="358"/>
    </row>
    <row r="226" spans="13:121" x14ac:dyDescent="0.15">
      <c r="M226" s="358"/>
      <c r="V226" s="358"/>
      <c r="AG226" s="358"/>
      <c r="AO226" s="358"/>
      <c r="AX226" s="367"/>
      <c r="BH226" s="367"/>
      <c r="BQ226" s="358"/>
      <c r="BZ226" s="358"/>
      <c r="CZ226" s="367"/>
      <c r="DI226" s="358"/>
      <c r="DQ226" s="358"/>
    </row>
    <row r="227" spans="13:121" x14ac:dyDescent="0.15">
      <c r="M227" s="358"/>
      <c r="V227" s="358"/>
      <c r="AG227" s="358"/>
      <c r="AO227" s="358"/>
      <c r="AX227" s="367"/>
      <c r="BH227" s="367"/>
      <c r="BQ227" s="358"/>
      <c r="BZ227" s="358"/>
      <c r="CZ227" s="367"/>
      <c r="DI227" s="358"/>
      <c r="DQ227" s="358"/>
    </row>
    <row r="228" spans="13:121" x14ac:dyDescent="0.15">
      <c r="M228" s="358"/>
      <c r="V228" s="358"/>
      <c r="AG228" s="358"/>
      <c r="AO228" s="358"/>
      <c r="AX228" s="367"/>
      <c r="BH228" s="367"/>
      <c r="BQ228" s="358"/>
      <c r="BZ228" s="358"/>
      <c r="CZ228" s="367"/>
      <c r="DI228" s="358"/>
      <c r="DQ228" s="358"/>
    </row>
    <row r="229" spans="13:121" x14ac:dyDescent="0.15">
      <c r="M229" s="358"/>
      <c r="V229" s="358"/>
      <c r="AG229" s="358"/>
      <c r="AO229" s="358"/>
      <c r="AX229" s="367"/>
      <c r="BH229" s="367"/>
      <c r="BQ229" s="358"/>
      <c r="BZ229" s="358"/>
      <c r="CZ229" s="367"/>
      <c r="DI229" s="358"/>
      <c r="DQ229" s="358"/>
    </row>
    <row r="230" spans="13:121" x14ac:dyDescent="0.15">
      <c r="M230" s="358"/>
      <c r="V230" s="358"/>
      <c r="AG230" s="358"/>
      <c r="AO230" s="358"/>
      <c r="AX230" s="367"/>
      <c r="BH230" s="367"/>
      <c r="BQ230" s="358"/>
      <c r="BZ230" s="358"/>
      <c r="CZ230" s="367"/>
      <c r="DI230" s="358"/>
      <c r="DQ230" s="358"/>
    </row>
    <row r="231" spans="13:121" x14ac:dyDescent="0.15">
      <c r="M231" s="358"/>
      <c r="V231" s="358"/>
      <c r="AG231" s="358"/>
      <c r="AO231" s="358"/>
      <c r="AX231" s="367"/>
      <c r="BH231" s="367"/>
      <c r="BQ231" s="358"/>
      <c r="BZ231" s="358"/>
      <c r="CZ231" s="367"/>
      <c r="DI231" s="358"/>
      <c r="DQ231" s="358"/>
    </row>
    <row r="232" spans="13:121" x14ac:dyDescent="0.15">
      <c r="M232" s="358"/>
      <c r="V232" s="358"/>
      <c r="AG232" s="358"/>
      <c r="AO232" s="358"/>
      <c r="AX232" s="367"/>
      <c r="BH232" s="367"/>
      <c r="BQ232" s="358"/>
      <c r="BZ232" s="358"/>
      <c r="CZ232" s="367"/>
      <c r="DI232" s="358"/>
      <c r="DQ232" s="358"/>
    </row>
    <row r="233" spans="13:121" x14ac:dyDescent="0.15">
      <c r="M233" s="358"/>
      <c r="V233" s="358"/>
      <c r="AG233" s="358"/>
      <c r="AO233" s="358"/>
      <c r="AX233" s="367"/>
      <c r="BH233" s="367"/>
      <c r="BQ233" s="358"/>
      <c r="BZ233" s="358"/>
      <c r="CZ233" s="367"/>
      <c r="DI233" s="358"/>
      <c r="DQ233" s="358"/>
    </row>
    <row r="234" spans="13:121" x14ac:dyDescent="0.15">
      <c r="M234" s="358"/>
      <c r="V234" s="358"/>
      <c r="AG234" s="358"/>
      <c r="AO234" s="358"/>
      <c r="AX234" s="367"/>
      <c r="BH234" s="367"/>
      <c r="BQ234" s="358"/>
      <c r="BZ234" s="358"/>
      <c r="CZ234" s="367"/>
      <c r="DI234" s="358"/>
      <c r="DQ234" s="358"/>
    </row>
    <row r="235" spans="13:121" x14ac:dyDescent="0.15">
      <c r="M235" s="358"/>
      <c r="V235" s="358"/>
      <c r="AG235" s="358"/>
      <c r="AO235" s="358"/>
      <c r="AX235" s="367"/>
      <c r="BH235" s="367"/>
      <c r="BQ235" s="358"/>
      <c r="BZ235" s="358"/>
      <c r="CZ235" s="367"/>
      <c r="DI235" s="358"/>
      <c r="DQ235" s="358"/>
    </row>
    <row r="236" spans="13:121" x14ac:dyDescent="0.15">
      <c r="M236" s="358"/>
      <c r="V236" s="358"/>
      <c r="AG236" s="358"/>
      <c r="AO236" s="358"/>
      <c r="AX236" s="367"/>
      <c r="BH236" s="367"/>
      <c r="BQ236" s="358"/>
      <c r="BZ236" s="358"/>
      <c r="CZ236" s="367"/>
      <c r="DI236" s="358"/>
      <c r="DQ236" s="358"/>
    </row>
    <row r="237" spans="13:121" x14ac:dyDescent="0.15">
      <c r="M237" s="358"/>
      <c r="V237" s="358"/>
      <c r="AG237" s="358"/>
      <c r="AO237" s="358"/>
      <c r="AX237" s="367"/>
      <c r="BH237" s="367"/>
      <c r="BQ237" s="358"/>
      <c r="BZ237" s="358"/>
      <c r="CZ237" s="367"/>
      <c r="DI237" s="358"/>
      <c r="DQ237" s="358"/>
    </row>
    <row r="238" spans="13:121" x14ac:dyDescent="0.15">
      <c r="M238" s="358"/>
      <c r="V238" s="358"/>
      <c r="AG238" s="358"/>
      <c r="AO238" s="358"/>
      <c r="AX238" s="367"/>
      <c r="BH238" s="367"/>
      <c r="BQ238" s="358"/>
      <c r="BZ238" s="358"/>
      <c r="CZ238" s="367"/>
      <c r="DI238" s="358"/>
      <c r="DQ238" s="358"/>
    </row>
    <row r="239" spans="13:121" x14ac:dyDescent="0.15">
      <c r="M239" s="358"/>
      <c r="V239" s="358"/>
      <c r="AG239" s="358"/>
      <c r="AO239" s="358"/>
      <c r="AX239" s="367"/>
      <c r="BH239" s="367"/>
      <c r="BQ239" s="358"/>
      <c r="BZ239" s="358"/>
      <c r="CZ239" s="367"/>
      <c r="DI239" s="358"/>
      <c r="DQ239" s="358"/>
    </row>
    <row r="240" spans="13:121" x14ac:dyDescent="0.15">
      <c r="M240" s="358"/>
      <c r="V240" s="358"/>
      <c r="AG240" s="358"/>
      <c r="AO240" s="358"/>
      <c r="AX240" s="367"/>
      <c r="BH240" s="367"/>
      <c r="BQ240" s="358"/>
      <c r="BZ240" s="358"/>
      <c r="CZ240" s="367"/>
      <c r="DI240" s="358"/>
      <c r="DQ240" s="358"/>
    </row>
    <row r="241" spans="13:121" x14ac:dyDescent="0.15">
      <c r="M241" s="358"/>
      <c r="V241" s="358"/>
      <c r="AG241" s="358"/>
      <c r="AO241" s="358"/>
      <c r="AX241" s="367"/>
      <c r="BH241" s="367"/>
      <c r="BQ241" s="358"/>
      <c r="BZ241" s="358"/>
      <c r="CZ241" s="367"/>
      <c r="DI241" s="358"/>
      <c r="DQ241" s="358"/>
    </row>
    <row r="242" spans="13:121" x14ac:dyDescent="0.15">
      <c r="M242" s="358"/>
      <c r="V242" s="358"/>
      <c r="AG242" s="358"/>
      <c r="AO242" s="358"/>
      <c r="AX242" s="367"/>
      <c r="BH242" s="367"/>
      <c r="BQ242" s="358"/>
      <c r="BZ242" s="358"/>
      <c r="CZ242" s="367"/>
      <c r="DI242" s="358"/>
      <c r="DQ242" s="358"/>
    </row>
    <row r="243" spans="13:121" x14ac:dyDescent="0.15">
      <c r="M243" s="358"/>
      <c r="V243" s="358"/>
      <c r="AG243" s="358"/>
      <c r="AO243" s="358"/>
      <c r="AX243" s="367"/>
      <c r="BH243" s="367"/>
      <c r="BQ243" s="358"/>
      <c r="BZ243" s="358"/>
      <c r="CZ243" s="367"/>
      <c r="DI243" s="358"/>
      <c r="DQ243" s="358"/>
    </row>
    <row r="244" spans="13:121" x14ac:dyDescent="0.15">
      <c r="M244" s="358"/>
      <c r="V244" s="358"/>
      <c r="AG244" s="358"/>
      <c r="AO244" s="358"/>
      <c r="AX244" s="367"/>
      <c r="BH244" s="367"/>
      <c r="BQ244" s="358"/>
      <c r="BZ244" s="358"/>
      <c r="CZ244" s="367"/>
      <c r="DI244" s="358"/>
      <c r="DQ244" s="358"/>
    </row>
    <row r="245" spans="13:121" x14ac:dyDescent="0.15">
      <c r="M245" s="358"/>
      <c r="V245" s="358"/>
      <c r="AG245" s="358"/>
      <c r="AO245" s="358"/>
      <c r="AX245" s="367"/>
      <c r="BH245" s="367"/>
      <c r="BQ245" s="358"/>
      <c r="BZ245" s="358"/>
      <c r="CZ245" s="367"/>
      <c r="DI245" s="358"/>
      <c r="DQ245" s="358"/>
    </row>
    <row r="246" spans="13:121" x14ac:dyDescent="0.15">
      <c r="M246" s="358"/>
      <c r="V246" s="358"/>
      <c r="AG246" s="358"/>
      <c r="AO246" s="358"/>
      <c r="AX246" s="367"/>
      <c r="BH246" s="367"/>
      <c r="BQ246" s="358"/>
      <c r="BZ246" s="358"/>
      <c r="CZ246" s="367"/>
      <c r="DI246" s="358"/>
      <c r="DQ246" s="358"/>
    </row>
    <row r="247" spans="13:121" x14ac:dyDescent="0.15">
      <c r="M247" s="358"/>
      <c r="V247" s="358"/>
      <c r="AG247" s="358"/>
      <c r="AO247" s="358"/>
      <c r="AX247" s="367"/>
      <c r="BH247" s="367"/>
      <c r="BQ247" s="358"/>
      <c r="BZ247" s="358"/>
      <c r="CZ247" s="367"/>
      <c r="DI247" s="358"/>
      <c r="DQ247" s="358"/>
    </row>
    <row r="248" spans="13:121" x14ac:dyDescent="0.15">
      <c r="M248" s="358"/>
      <c r="V248" s="358"/>
      <c r="AG248" s="358"/>
      <c r="AO248" s="358"/>
      <c r="AX248" s="367"/>
      <c r="BH248" s="367"/>
      <c r="BQ248" s="358"/>
      <c r="BZ248" s="358"/>
      <c r="CZ248" s="367"/>
      <c r="DI248" s="358"/>
      <c r="DQ248" s="358"/>
    </row>
    <row r="249" spans="13:121" x14ac:dyDescent="0.15">
      <c r="M249" s="358"/>
      <c r="V249" s="358"/>
      <c r="AG249" s="358"/>
      <c r="AO249" s="358"/>
      <c r="AX249" s="367"/>
      <c r="BH249" s="367"/>
      <c r="BQ249" s="358"/>
      <c r="BZ249" s="358"/>
      <c r="CZ249" s="367"/>
      <c r="DI249" s="358"/>
      <c r="DQ249" s="358"/>
    </row>
    <row r="250" spans="13:121" x14ac:dyDescent="0.15">
      <c r="M250" s="358"/>
      <c r="V250" s="358"/>
      <c r="AG250" s="358"/>
      <c r="AO250" s="358"/>
      <c r="AX250" s="367"/>
      <c r="BH250" s="367"/>
      <c r="BQ250" s="358"/>
      <c r="BZ250" s="358"/>
      <c r="CZ250" s="367"/>
      <c r="DI250" s="358"/>
      <c r="DQ250" s="358"/>
    </row>
    <row r="251" spans="13:121" x14ac:dyDescent="0.15">
      <c r="M251" s="358"/>
      <c r="V251" s="358"/>
      <c r="AG251" s="358"/>
      <c r="AO251" s="358"/>
      <c r="AX251" s="367"/>
      <c r="BH251" s="367"/>
      <c r="BQ251" s="358"/>
      <c r="BZ251" s="358"/>
      <c r="CZ251" s="367"/>
      <c r="DI251" s="358"/>
      <c r="DQ251" s="358"/>
    </row>
    <row r="252" spans="13:121" x14ac:dyDescent="0.15">
      <c r="M252" s="358"/>
      <c r="V252" s="358"/>
      <c r="AG252" s="358"/>
      <c r="AO252" s="358"/>
      <c r="AX252" s="367"/>
      <c r="BH252" s="367"/>
      <c r="BQ252" s="358"/>
      <c r="BZ252" s="358"/>
      <c r="CZ252" s="367"/>
      <c r="DI252" s="358"/>
      <c r="DQ252" s="358"/>
    </row>
    <row r="253" spans="13:121" x14ac:dyDescent="0.15">
      <c r="M253" s="358"/>
      <c r="V253" s="358"/>
      <c r="AG253" s="358"/>
      <c r="AO253" s="358"/>
      <c r="AX253" s="367"/>
      <c r="BH253" s="367"/>
      <c r="BQ253" s="358"/>
      <c r="BZ253" s="358"/>
      <c r="CZ253" s="367"/>
      <c r="DI253" s="358"/>
      <c r="DQ253" s="358"/>
    </row>
    <row r="254" spans="13:121" x14ac:dyDescent="0.15">
      <c r="M254" s="358"/>
      <c r="V254" s="358"/>
      <c r="AG254" s="358"/>
      <c r="AO254" s="358"/>
      <c r="AX254" s="367"/>
      <c r="BH254" s="367"/>
      <c r="BQ254" s="358"/>
      <c r="BZ254" s="358"/>
      <c r="CZ254" s="367"/>
      <c r="DI254" s="358"/>
      <c r="DQ254" s="358"/>
    </row>
    <row r="255" spans="13:121" x14ac:dyDescent="0.15">
      <c r="M255" s="358"/>
      <c r="V255" s="358"/>
      <c r="AG255" s="358"/>
      <c r="AO255" s="358"/>
      <c r="AX255" s="367"/>
      <c r="BH255" s="367"/>
      <c r="BQ255" s="358"/>
      <c r="BZ255" s="358"/>
      <c r="CZ255" s="367"/>
      <c r="DI255" s="358"/>
      <c r="DQ255" s="358"/>
    </row>
    <row r="256" spans="13:121" x14ac:dyDescent="0.15">
      <c r="M256" s="358"/>
      <c r="V256" s="358"/>
      <c r="AG256" s="358"/>
      <c r="AO256" s="358"/>
      <c r="AX256" s="367"/>
      <c r="BH256" s="367"/>
      <c r="BQ256" s="358"/>
      <c r="BZ256" s="358"/>
      <c r="CZ256" s="367"/>
      <c r="DI256" s="358"/>
      <c r="DQ256" s="358"/>
    </row>
    <row r="257" spans="13:121" x14ac:dyDescent="0.15">
      <c r="M257" s="358"/>
      <c r="V257" s="358"/>
      <c r="AG257" s="358"/>
      <c r="AO257" s="358"/>
      <c r="AX257" s="367"/>
      <c r="BH257" s="367"/>
      <c r="BQ257" s="358"/>
      <c r="BZ257" s="358"/>
      <c r="CZ257" s="367"/>
      <c r="DI257" s="358"/>
      <c r="DQ257" s="358"/>
    </row>
    <row r="258" spans="13:121" x14ac:dyDescent="0.15">
      <c r="M258" s="358"/>
      <c r="V258" s="358"/>
      <c r="AG258" s="358"/>
      <c r="AO258" s="358"/>
      <c r="AX258" s="367"/>
      <c r="BH258" s="367"/>
      <c r="BQ258" s="358"/>
      <c r="BZ258" s="358"/>
      <c r="CZ258" s="367"/>
      <c r="DI258" s="358"/>
      <c r="DQ258" s="358"/>
    </row>
    <row r="259" spans="13:121" x14ac:dyDescent="0.15">
      <c r="M259" s="358"/>
      <c r="V259" s="358"/>
      <c r="AG259" s="358"/>
      <c r="AO259" s="358"/>
      <c r="AX259" s="367"/>
      <c r="BH259" s="367"/>
      <c r="BQ259" s="358"/>
      <c r="BZ259" s="358"/>
      <c r="CZ259" s="367"/>
      <c r="DI259" s="358"/>
      <c r="DQ259" s="358"/>
    </row>
    <row r="260" spans="13:121" x14ac:dyDescent="0.15">
      <c r="M260" s="358"/>
      <c r="V260" s="358"/>
      <c r="AG260" s="358"/>
      <c r="AO260" s="358"/>
      <c r="AX260" s="367"/>
      <c r="BH260" s="367"/>
      <c r="BQ260" s="358"/>
      <c r="BZ260" s="358"/>
      <c r="CZ260" s="367"/>
      <c r="DI260" s="358"/>
      <c r="DQ260" s="358"/>
    </row>
    <row r="261" spans="13:121" x14ac:dyDescent="0.15">
      <c r="M261" s="358"/>
      <c r="V261" s="358"/>
      <c r="AG261" s="358"/>
      <c r="AO261" s="358"/>
      <c r="AX261" s="367"/>
      <c r="BH261" s="367"/>
      <c r="BQ261" s="358"/>
      <c r="BZ261" s="358"/>
      <c r="CZ261" s="367"/>
      <c r="DI261" s="358"/>
      <c r="DQ261" s="358"/>
    </row>
    <row r="262" spans="13:121" x14ac:dyDescent="0.15">
      <c r="M262" s="358"/>
      <c r="V262" s="358"/>
      <c r="AG262" s="358"/>
      <c r="AO262" s="358"/>
      <c r="AX262" s="367"/>
      <c r="BH262" s="367"/>
      <c r="BQ262" s="358"/>
      <c r="BZ262" s="358"/>
      <c r="CZ262" s="367"/>
      <c r="DI262" s="358"/>
      <c r="DQ262" s="358"/>
    </row>
    <row r="263" spans="13:121" x14ac:dyDescent="0.15">
      <c r="M263" s="358"/>
      <c r="V263" s="358"/>
      <c r="AG263" s="358"/>
      <c r="AO263" s="358"/>
      <c r="AX263" s="367"/>
      <c r="BH263" s="367"/>
      <c r="BQ263" s="358"/>
      <c r="BZ263" s="358"/>
      <c r="CZ263" s="367"/>
      <c r="DI263" s="358"/>
      <c r="DQ263" s="358"/>
    </row>
    <row r="264" spans="13:121" x14ac:dyDescent="0.15">
      <c r="M264" s="358"/>
      <c r="V264" s="358"/>
      <c r="AG264" s="358"/>
      <c r="AO264" s="358"/>
      <c r="AX264" s="367"/>
      <c r="BH264" s="367"/>
      <c r="BQ264" s="358"/>
      <c r="BZ264" s="358"/>
      <c r="CZ264" s="367"/>
      <c r="DI264" s="358"/>
      <c r="DQ264" s="358"/>
    </row>
    <row r="265" spans="13:121" x14ac:dyDescent="0.15">
      <c r="M265" s="358"/>
      <c r="V265" s="358"/>
      <c r="AG265" s="358"/>
      <c r="AO265" s="358"/>
      <c r="AX265" s="367"/>
      <c r="BH265" s="367"/>
      <c r="BQ265" s="358"/>
      <c r="BZ265" s="358"/>
      <c r="CZ265" s="367"/>
      <c r="DI265" s="358"/>
      <c r="DQ265" s="358"/>
    </row>
    <row r="266" spans="13:121" x14ac:dyDescent="0.15">
      <c r="M266" s="358"/>
      <c r="V266" s="358"/>
      <c r="AG266" s="358"/>
      <c r="AO266" s="358"/>
      <c r="AX266" s="367"/>
      <c r="BH266" s="367"/>
      <c r="BQ266" s="358"/>
      <c r="BZ266" s="358"/>
      <c r="CZ266" s="367"/>
      <c r="DI266" s="358"/>
      <c r="DQ266" s="358"/>
    </row>
    <row r="267" spans="13:121" x14ac:dyDescent="0.15">
      <c r="M267" s="358"/>
      <c r="V267" s="358"/>
      <c r="AG267" s="358"/>
      <c r="AO267" s="358"/>
      <c r="AX267" s="367"/>
      <c r="BH267" s="367"/>
      <c r="BQ267" s="358"/>
      <c r="BZ267" s="358"/>
      <c r="CZ267" s="367"/>
      <c r="DI267" s="358"/>
      <c r="DQ267" s="358"/>
    </row>
    <row r="268" spans="13:121" x14ac:dyDescent="0.15">
      <c r="M268" s="358"/>
      <c r="V268" s="358"/>
      <c r="AG268" s="358"/>
      <c r="AO268" s="358"/>
      <c r="AX268" s="367"/>
      <c r="BH268" s="367"/>
      <c r="BQ268" s="358"/>
      <c r="BZ268" s="358"/>
      <c r="CZ268" s="367"/>
      <c r="DI268" s="358"/>
      <c r="DQ268" s="358"/>
    </row>
    <row r="269" spans="13:121" x14ac:dyDescent="0.15">
      <c r="M269" s="358"/>
      <c r="V269" s="358"/>
      <c r="AG269" s="358"/>
      <c r="AO269" s="358"/>
      <c r="AX269" s="367"/>
      <c r="BH269" s="367"/>
      <c r="BQ269" s="358"/>
      <c r="BZ269" s="358"/>
      <c r="CZ269" s="367"/>
      <c r="DI269" s="358"/>
      <c r="DQ269" s="358"/>
    </row>
    <row r="270" spans="13:121" x14ac:dyDescent="0.15">
      <c r="M270" s="358"/>
      <c r="V270" s="358"/>
      <c r="AG270" s="358"/>
      <c r="AO270" s="358"/>
      <c r="AX270" s="367"/>
      <c r="BH270" s="367"/>
      <c r="BQ270" s="358"/>
      <c r="BZ270" s="358"/>
      <c r="CZ270" s="367"/>
      <c r="DI270" s="358"/>
      <c r="DQ270" s="358"/>
    </row>
    <row r="271" spans="13:121" x14ac:dyDescent="0.15">
      <c r="M271" s="358"/>
      <c r="V271" s="358"/>
      <c r="AG271" s="358"/>
      <c r="AO271" s="358"/>
      <c r="AX271" s="367"/>
      <c r="BH271" s="367"/>
      <c r="BQ271" s="358"/>
      <c r="BZ271" s="358"/>
      <c r="CZ271" s="367"/>
      <c r="DI271" s="358"/>
      <c r="DQ271" s="358"/>
    </row>
    <row r="272" spans="13:121" x14ac:dyDescent="0.15">
      <c r="M272" s="358"/>
      <c r="V272" s="358"/>
      <c r="AG272" s="358"/>
      <c r="AO272" s="358"/>
      <c r="AX272" s="367"/>
      <c r="BH272" s="367"/>
      <c r="BQ272" s="358"/>
      <c r="BZ272" s="358"/>
      <c r="CZ272" s="367"/>
      <c r="DI272" s="358"/>
      <c r="DQ272" s="358"/>
    </row>
    <row r="273" spans="13:121" x14ac:dyDescent="0.15">
      <c r="M273" s="358"/>
      <c r="V273" s="358"/>
      <c r="AG273" s="358"/>
      <c r="AO273" s="358"/>
      <c r="AX273" s="367"/>
      <c r="BH273" s="367"/>
      <c r="BQ273" s="358"/>
      <c r="BZ273" s="358"/>
      <c r="CZ273" s="367"/>
      <c r="DI273" s="358"/>
      <c r="DQ273" s="358"/>
    </row>
    <row r="274" spans="13:121" x14ac:dyDescent="0.15">
      <c r="M274" s="358"/>
      <c r="V274" s="358"/>
      <c r="AG274" s="358"/>
      <c r="AO274" s="358"/>
      <c r="AX274" s="367"/>
      <c r="BH274" s="367"/>
      <c r="BQ274" s="358"/>
      <c r="BZ274" s="358"/>
      <c r="CZ274" s="367"/>
      <c r="DI274" s="358"/>
      <c r="DQ274" s="358"/>
    </row>
    <row r="275" spans="13:121" x14ac:dyDescent="0.15">
      <c r="M275" s="358"/>
      <c r="V275" s="358"/>
      <c r="AG275" s="358"/>
      <c r="AO275" s="358"/>
      <c r="AX275" s="367"/>
      <c r="BH275" s="367"/>
      <c r="BQ275" s="358"/>
      <c r="BZ275" s="358"/>
      <c r="CZ275" s="367"/>
      <c r="DI275" s="358"/>
      <c r="DQ275" s="358"/>
    </row>
    <row r="276" spans="13:121" x14ac:dyDescent="0.15">
      <c r="M276" s="358"/>
      <c r="V276" s="358"/>
      <c r="AG276" s="358"/>
      <c r="AO276" s="358"/>
      <c r="AX276" s="367"/>
      <c r="BH276" s="367"/>
      <c r="BQ276" s="358"/>
      <c r="BZ276" s="358"/>
      <c r="CZ276" s="367"/>
      <c r="DI276" s="358"/>
      <c r="DQ276" s="358"/>
    </row>
    <row r="277" spans="13:121" x14ac:dyDescent="0.15">
      <c r="M277" s="358"/>
      <c r="V277" s="358"/>
      <c r="AG277" s="358"/>
      <c r="AO277" s="358"/>
      <c r="AX277" s="367"/>
      <c r="BH277" s="367"/>
      <c r="BQ277" s="358"/>
      <c r="BZ277" s="358"/>
      <c r="CZ277" s="367"/>
      <c r="DI277" s="358"/>
      <c r="DQ277" s="358"/>
    </row>
    <row r="278" spans="13:121" x14ac:dyDescent="0.15">
      <c r="M278" s="358"/>
      <c r="V278" s="358"/>
      <c r="AG278" s="358"/>
      <c r="AO278" s="358"/>
      <c r="AX278" s="367"/>
      <c r="BH278" s="367"/>
      <c r="BQ278" s="358"/>
      <c r="BZ278" s="358"/>
      <c r="CZ278" s="367"/>
      <c r="DI278" s="358"/>
      <c r="DQ278" s="358"/>
    </row>
    <row r="279" spans="13:121" x14ac:dyDescent="0.15">
      <c r="M279" s="358"/>
      <c r="V279" s="358"/>
      <c r="AG279" s="358"/>
      <c r="AO279" s="358"/>
      <c r="AX279" s="367"/>
      <c r="BH279" s="367"/>
      <c r="BQ279" s="358"/>
      <c r="BZ279" s="358"/>
      <c r="CZ279" s="367"/>
      <c r="DI279" s="358"/>
      <c r="DQ279" s="358"/>
    </row>
    <row r="280" spans="13:121" x14ac:dyDescent="0.15">
      <c r="M280" s="358"/>
      <c r="V280" s="358"/>
      <c r="AG280" s="358"/>
      <c r="AO280" s="358"/>
      <c r="AX280" s="367"/>
      <c r="BH280" s="367"/>
      <c r="BQ280" s="358"/>
      <c r="BZ280" s="358"/>
      <c r="CZ280" s="367"/>
      <c r="DI280" s="358"/>
      <c r="DQ280" s="358"/>
    </row>
    <row r="281" spans="13:121" x14ac:dyDescent="0.15">
      <c r="M281" s="358"/>
      <c r="V281" s="358"/>
      <c r="AG281" s="358"/>
      <c r="AO281" s="358"/>
      <c r="AX281" s="367"/>
      <c r="BH281" s="367"/>
      <c r="BQ281" s="358"/>
      <c r="BZ281" s="358"/>
      <c r="CZ281" s="367"/>
      <c r="DI281" s="358"/>
      <c r="DQ281" s="358"/>
    </row>
    <row r="282" spans="13:121" x14ac:dyDescent="0.15">
      <c r="M282" s="358"/>
      <c r="V282" s="358"/>
      <c r="AG282" s="358"/>
      <c r="AO282" s="358"/>
      <c r="AX282" s="367"/>
      <c r="BH282" s="367"/>
      <c r="BQ282" s="358"/>
      <c r="BZ282" s="358"/>
      <c r="CZ282" s="367"/>
      <c r="DI282" s="358"/>
      <c r="DQ282" s="358"/>
    </row>
    <row r="283" spans="13:121" x14ac:dyDescent="0.15">
      <c r="M283" s="358"/>
      <c r="V283" s="358"/>
      <c r="AG283" s="358"/>
      <c r="AO283" s="358"/>
      <c r="AX283" s="367"/>
      <c r="BH283" s="367"/>
      <c r="BQ283" s="358"/>
      <c r="BZ283" s="358"/>
      <c r="CZ283" s="367"/>
      <c r="DI283" s="358"/>
      <c r="DQ283" s="358"/>
    </row>
    <row r="284" spans="13:121" x14ac:dyDescent="0.15">
      <c r="M284" s="358"/>
      <c r="V284" s="358"/>
      <c r="AG284" s="358"/>
      <c r="AO284" s="358"/>
      <c r="AX284" s="367"/>
      <c r="BH284" s="367"/>
      <c r="BQ284" s="358"/>
      <c r="BZ284" s="358"/>
      <c r="CZ284" s="367"/>
      <c r="DI284" s="358"/>
      <c r="DQ284" s="358"/>
    </row>
    <row r="285" spans="13:121" x14ac:dyDescent="0.15">
      <c r="M285" s="358"/>
      <c r="V285" s="358"/>
      <c r="AG285" s="358"/>
      <c r="AO285" s="358"/>
      <c r="AX285" s="367"/>
      <c r="BH285" s="367"/>
      <c r="BQ285" s="358"/>
      <c r="BZ285" s="358"/>
      <c r="CZ285" s="367"/>
      <c r="DI285" s="358"/>
      <c r="DQ285" s="358"/>
    </row>
    <row r="286" spans="13:121" x14ac:dyDescent="0.15">
      <c r="M286" s="358"/>
      <c r="V286" s="358"/>
      <c r="AG286" s="358"/>
      <c r="AO286" s="358"/>
      <c r="AX286" s="367"/>
      <c r="BH286" s="367"/>
      <c r="BQ286" s="358"/>
      <c r="BZ286" s="358"/>
      <c r="CZ286" s="367"/>
      <c r="DI286" s="358"/>
      <c r="DQ286" s="358"/>
    </row>
    <row r="287" spans="13:121" x14ac:dyDescent="0.15">
      <c r="M287" s="358"/>
      <c r="V287" s="358"/>
      <c r="AG287" s="358"/>
      <c r="AO287" s="358"/>
      <c r="AX287" s="367"/>
      <c r="BH287" s="367"/>
      <c r="BQ287" s="358"/>
      <c r="BZ287" s="358"/>
      <c r="CZ287" s="367"/>
      <c r="DI287" s="358"/>
      <c r="DQ287" s="358"/>
    </row>
    <row r="288" spans="13:121" x14ac:dyDescent="0.15">
      <c r="M288" s="358"/>
      <c r="V288" s="358"/>
      <c r="AG288" s="358"/>
      <c r="AO288" s="358"/>
      <c r="AX288" s="367"/>
      <c r="BH288" s="367"/>
      <c r="BQ288" s="358"/>
      <c r="BZ288" s="358"/>
      <c r="CZ288" s="367"/>
      <c r="DI288" s="358"/>
      <c r="DQ288" s="358"/>
    </row>
    <row r="289" spans="13:121" x14ac:dyDescent="0.15">
      <c r="M289" s="358"/>
      <c r="V289" s="358"/>
      <c r="AG289" s="358"/>
      <c r="AO289" s="358"/>
      <c r="AX289" s="367"/>
      <c r="BH289" s="367"/>
      <c r="BQ289" s="358"/>
      <c r="BZ289" s="358"/>
      <c r="CZ289" s="367"/>
      <c r="DI289" s="358"/>
      <c r="DQ289" s="358"/>
    </row>
    <row r="290" spans="13:121" x14ac:dyDescent="0.15">
      <c r="M290" s="358"/>
      <c r="V290" s="358"/>
      <c r="AG290" s="358"/>
      <c r="AO290" s="358"/>
      <c r="AX290" s="367"/>
      <c r="BH290" s="367"/>
      <c r="BQ290" s="358"/>
      <c r="BZ290" s="358"/>
      <c r="CZ290" s="367"/>
      <c r="DI290" s="358"/>
      <c r="DQ290" s="358"/>
    </row>
    <row r="291" spans="13:121" x14ac:dyDescent="0.15">
      <c r="M291" s="358"/>
      <c r="V291" s="358"/>
      <c r="AG291" s="358"/>
      <c r="AO291" s="358"/>
      <c r="AX291" s="367"/>
      <c r="BH291" s="367"/>
      <c r="BQ291" s="358"/>
      <c r="BZ291" s="358"/>
      <c r="CZ291" s="367"/>
      <c r="DI291" s="358"/>
      <c r="DQ291" s="358"/>
    </row>
    <row r="292" spans="13:121" x14ac:dyDescent="0.15">
      <c r="M292" s="358"/>
      <c r="V292" s="358"/>
      <c r="AG292" s="358"/>
      <c r="AO292" s="358"/>
      <c r="AX292" s="367"/>
      <c r="BH292" s="367"/>
      <c r="BQ292" s="358"/>
      <c r="BZ292" s="358"/>
      <c r="CZ292" s="367"/>
      <c r="DI292" s="358"/>
      <c r="DQ292" s="358"/>
    </row>
    <row r="293" spans="13:121" x14ac:dyDescent="0.15">
      <c r="M293" s="358"/>
      <c r="V293" s="358"/>
      <c r="AG293" s="358"/>
      <c r="AO293" s="358"/>
      <c r="AX293" s="367"/>
      <c r="BH293" s="367"/>
      <c r="BQ293" s="358"/>
      <c r="BZ293" s="358"/>
      <c r="CZ293" s="367"/>
      <c r="DI293" s="358"/>
      <c r="DQ293" s="358"/>
    </row>
    <row r="294" spans="13:121" x14ac:dyDescent="0.15">
      <c r="M294" s="358"/>
      <c r="V294" s="358"/>
      <c r="AG294" s="358"/>
      <c r="AO294" s="358"/>
      <c r="AX294" s="367"/>
      <c r="BH294" s="367"/>
      <c r="BQ294" s="358"/>
      <c r="BZ294" s="358"/>
      <c r="CZ294" s="367"/>
      <c r="DI294" s="358"/>
      <c r="DQ294" s="358"/>
    </row>
    <row r="295" spans="13:121" x14ac:dyDescent="0.15">
      <c r="M295" s="358"/>
      <c r="V295" s="358"/>
      <c r="AG295" s="358"/>
      <c r="AO295" s="358"/>
      <c r="AX295" s="367"/>
      <c r="BH295" s="367"/>
      <c r="BQ295" s="358"/>
      <c r="BZ295" s="358"/>
      <c r="CZ295" s="367"/>
      <c r="DI295" s="358"/>
      <c r="DQ295" s="358"/>
    </row>
    <row r="296" spans="13:121" x14ac:dyDescent="0.15">
      <c r="M296" s="358"/>
      <c r="V296" s="358"/>
      <c r="AG296" s="358"/>
      <c r="AO296" s="358"/>
      <c r="AX296" s="367"/>
      <c r="BH296" s="367"/>
      <c r="BQ296" s="358"/>
      <c r="BZ296" s="358"/>
      <c r="CZ296" s="367"/>
      <c r="DI296" s="358"/>
      <c r="DQ296" s="358"/>
    </row>
    <row r="297" spans="13:121" x14ac:dyDescent="0.15">
      <c r="M297" s="358"/>
      <c r="V297" s="358"/>
      <c r="AG297" s="358"/>
      <c r="AO297" s="358"/>
      <c r="AX297" s="367"/>
      <c r="BH297" s="367"/>
      <c r="BQ297" s="358"/>
      <c r="BZ297" s="358"/>
      <c r="CZ297" s="367"/>
      <c r="DI297" s="358"/>
      <c r="DQ297" s="358"/>
    </row>
    <row r="298" spans="13:121" x14ac:dyDescent="0.15">
      <c r="M298" s="358"/>
      <c r="V298" s="358"/>
      <c r="AG298" s="358"/>
      <c r="AO298" s="358"/>
      <c r="AX298" s="367"/>
      <c r="BH298" s="367"/>
      <c r="BQ298" s="358"/>
      <c r="BZ298" s="358"/>
      <c r="CZ298" s="367"/>
      <c r="DI298" s="358"/>
      <c r="DQ298" s="358"/>
    </row>
    <row r="299" spans="13:121" x14ac:dyDescent="0.15">
      <c r="M299" s="358"/>
      <c r="V299" s="358"/>
      <c r="AG299" s="358"/>
      <c r="AO299" s="358"/>
      <c r="AX299" s="367"/>
      <c r="BH299" s="367"/>
      <c r="BQ299" s="358"/>
      <c r="BZ299" s="358"/>
      <c r="CZ299" s="367"/>
      <c r="DI299" s="358"/>
      <c r="DQ299" s="358"/>
    </row>
    <row r="300" spans="13:121" x14ac:dyDescent="0.15">
      <c r="M300" s="358"/>
      <c r="V300" s="358"/>
      <c r="AG300" s="358"/>
      <c r="AO300" s="358"/>
      <c r="AX300" s="367"/>
      <c r="BH300" s="367"/>
      <c r="BQ300" s="358"/>
      <c r="BZ300" s="358"/>
      <c r="CZ300" s="367"/>
      <c r="DI300" s="358"/>
      <c r="DQ300" s="358"/>
    </row>
    <row r="301" spans="13:121" x14ac:dyDescent="0.15">
      <c r="M301" s="358"/>
      <c r="V301" s="358"/>
      <c r="AG301" s="358"/>
      <c r="AO301" s="358"/>
      <c r="AX301" s="367"/>
      <c r="BH301" s="367"/>
      <c r="BQ301" s="358"/>
      <c r="BZ301" s="358"/>
      <c r="CZ301" s="367"/>
      <c r="DI301" s="358"/>
      <c r="DQ301" s="358"/>
    </row>
    <row r="302" spans="13:121" x14ac:dyDescent="0.15">
      <c r="M302" s="358"/>
      <c r="V302" s="358"/>
      <c r="AG302" s="358"/>
      <c r="AO302" s="358"/>
      <c r="AX302" s="367"/>
      <c r="BH302" s="367"/>
      <c r="BQ302" s="358"/>
      <c r="BZ302" s="358"/>
      <c r="CZ302" s="367"/>
      <c r="DI302" s="358"/>
      <c r="DQ302" s="358"/>
    </row>
    <row r="303" spans="13:121" x14ac:dyDescent="0.15">
      <c r="M303" s="358"/>
      <c r="V303" s="358"/>
      <c r="AG303" s="358"/>
      <c r="AO303" s="358"/>
      <c r="AX303" s="367"/>
      <c r="BH303" s="367"/>
      <c r="BQ303" s="358"/>
      <c r="BZ303" s="358"/>
      <c r="CZ303" s="367"/>
      <c r="DI303" s="358"/>
      <c r="DQ303" s="358"/>
    </row>
    <row r="304" spans="13:121" x14ac:dyDescent="0.15">
      <c r="M304" s="358"/>
      <c r="V304" s="358"/>
      <c r="AG304" s="358"/>
      <c r="AO304" s="358"/>
      <c r="AX304" s="367"/>
      <c r="BH304" s="367"/>
      <c r="BQ304" s="358"/>
      <c r="BZ304" s="358"/>
      <c r="CZ304" s="367"/>
      <c r="DI304" s="358"/>
      <c r="DQ304" s="358"/>
    </row>
    <row r="305" spans="13:121" x14ac:dyDescent="0.15">
      <c r="M305" s="358"/>
      <c r="V305" s="358"/>
      <c r="AG305" s="358"/>
      <c r="AO305" s="358"/>
      <c r="AX305" s="367"/>
      <c r="BH305" s="367"/>
      <c r="BQ305" s="358"/>
      <c r="BZ305" s="358"/>
      <c r="CZ305" s="367"/>
      <c r="DI305" s="358"/>
      <c r="DQ305" s="358"/>
    </row>
    <row r="306" spans="13:121" x14ac:dyDescent="0.15">
      <c r="M306" s="358"/>
      <c r="V306" s="358"/>
      <c r="AG306" s="358"/>
      <c r="AO306" s="358"/>
      <c r="AX306" s="367"/>
      <c r="BH306" s="367"/>
      <c r="BQ306" s="358"/>
      <c r="BZ306" s="358"/>
      <c r="CZ306" s="367"/>
      <c r="DI306" s="358"/>
      <c r="DQ306" s="358"/>
    </row>
    <row r="307" spans="13:121" x14ac:dyDescent="0.15">
      <c r="M307" s="358"/>
      <c r="V307" s="358"/>
      <c r="AG307" s="358"/>
      <c r="AO307" s="358"/>
      <c r="AX307" s="367"/>
      <c r="BH307" s="367"/>
      <c r="BQ307" s="358"/>
      <c r="BZ307" s="358"/>
      <c r="CZ307" s="367"/>
      <c r="DI307" s="358"/>
      <c r="DQ307" s="358"/>
    </row>
    <row r="308" spans="13:121" x14ac:dyDescent="0.15">
      <c r="M308" s="358"/>
      <c r="V308" s="358"/>
      <c r="AG308" s="358"/>
      <c r="AO308" s="358"/>
      <c r="AX308" s="367"/>
      <c r="BH308" s="367"/>
      <c r="BQ308" s="358"/>
      <c r="BZ308" s="358"/>
      <c r="CZ308" s="367"/>
      <c r="DI308" s="358"/>
      <c r="DQ308" s="358"/>
    </row>
    <row r="309" spans="13:121" x14ac:dyDescent="0.15">
      <c r="M309" s="358"/>
      <c r="V309" s="358"/>
      <c r="AG309" s="358"/>
      <c r="AO309" s="358"/>
      <c r="AX309" s="367"/>
      <c r="BH309" s="367"/>
      <c r="BQ309" s="358"/>
      <c r="BZ309" s="358"/>
      <c r="CZ309" s="367"/>
      <c r="DI309" s="358"/>
      <c r="DQ309" s="358"/>
    </row>
    <row r="310" spans="13:121" x14ac:dyDescent="0.15">
      <c r="M310" s="358"/>
      <c r="V310" s="358"/>
      <c r="AG310" s="358"/>
      <c r="AO310" s="358"/>
      <c r="AX310" s="367"/>
      <c r="BH310" s="367"/>
      <c r="BQ310" s="358"/>
      <c r="BZ310" s="358"/>
      <c r="CZ310" s="367"/>
      <c r="DI310" s="358"/>
      <c r="DQ310" s="358"/>
    </row>
    <row r="311" spans="13:121" x14ac:dyDescent="0.15">
      <c r="M311" s="358"/>
      <c r="V311" s="358"/>
      <c r="AG311" s="358"/>
      <c r="AO311" s="358"/>
      <c r="AX311" s="367"/>
      <c r="BH311" s="367"/>
      <c r="BQ311" s="358"/>
      <c r="BZ311" s="358"/>
      <c r="CZ311" s="367"/>
      <c r="DI311" s="358"/>
      <c r="DQ311" s="358"/>
    </row>
    <row r="312" spans="13:121" x14ac:dyDescent="0.15">
      <c r="M312" s="358"/>
      <c r="V312" s="358"/>
      <c r="AG312" s="358"/>
      <c r="AO312" s="358"/>
      <c r="AX312" s="367"/>
      <c r="BH312" s="367"/>
      <c r="BQ312" s="358"/>
      <c r="BZ312" s="358"/>
      <c r="CZ312" s="367"/>
      <c r="DI312" s="358"/>
      <c r="DQ312" s="358"/>
    </row>
    <row r="313" spans="13:121" x14ac:dyDescent="0.15">
      <c r="M313" s="358"/>
      <c r="V313" s="358"/>
      <c r="AG313" s="358"/>
      <c r="AO313" s="358"/>
      <c r="AX313" s="367"/>
      <c r="BH313" s="367"/>
      <c r="BQ313" s="358"/>
      <c r="BZ313" s="358"/>
      <c r="CZ313" s="367"/>
      <c r="DI313" s="358"/>
      <c r="DQ313" s="358"/>
    </row>
    <row r="314" spans="13:121" x14ac:dyDescent="0.15">
      <c r="M314" s="358"/>
      <c r="V314" s="358"/>
      <c r="AG314" s="358"/>
      <c r="AO314" s="358"/>
      <c r="AX314" s="367"/>
      <c r="BH314" s="367"/>
      <c r="BQ314" s="358"/>
      <c r="BZ314" s="358"/>
      <c r="CZ314" s="367"/>
      <c r="DI314" s="358"/>
      <c r="DQ314" s="358"/>
    </row>
    <row r="315" spans="13:121" x14ac:dyDescent="0.15">
      <c r="M315" s="358"/>
      <c r="V315" s="358"/>
      <c r="AG315" s="358"/>
      <c r="AO315" s="358"/>
      <c r="AX315" s="367"/>
      <c r="BH315" s="367"/>
      <c r="BQ315" s="358"/>
      <c r="BZ315" s="358"/>
      <c r="CZ315" s="367"/>
      <c r="DI315" s="358"/>
      <c r="DQ315" s="358"/>
    </row>
    <row r="316" spans="13:121" x14ac:dyDescent="0.15">
      <c r="M316" s="358"/>
      <c r="V316" s="358"/>
      <c r="AG316" s="358"/>
      <c r="AO316" s="358"/>
      <c r="AX316" s="367"/>
      <c r="BH316" s="367"/>
      <c r="BQ316" s="358"/>
      <c r="BZ316" s="358"/>
      <c r="CZ316" s="367"/>
      <c r="DI316" s="358"/>
      <c r="DQ316" s="358"/>
    </row>
    <row r="317" spans="13:121" x14ac:dyDescent="0.15">
      <c r="M317" s="358"/>
      <c r="V317" s="358"/>
      <c r="AG317" s="358"/>
      <c r="AO317" s="358"/>
      <c r="AX317" s="367"/>
      <c r="BH317" s="367"/>
      <c r="BQ317" s="358"/>
      <c r="BZ317" s="358"/>
      <c r="CZ317" s="367"/>
      <c r="DI317" s="358"/>
      <c r="DQ317" s="358"/>
    </row>
    <row r="318" spans="13:121" x14ac:dyDescent="0.15">
      <c r="M318" s="358"/>
      <c r="V318" s="358"/>
      <c r="AG318" s="358"/>
      <c r="AO318" s="358"/>
      <c r="AX318" s="367"/>
      <c r="BH318" s="367"/>
      <c r="BQ318" s="358"/>
      <c r="BZ318" s="358"/>
      <c r="CZ318" s="367"/>
      <c r="DI318" s="358"/>
      <c r="DQ318" s="358"/>
    </row>
    <row r="319" spans="13:121" x14ac:dyDescent="0.15">
      <c r="M319" s="358"/>
      <c r="V319" s="358"/>
      <c r="AG319" s="358"/>
      <c r="AO319" s="358"/>
      <c r="AX319" s="367"/>
      <c r="BH319" s="367"/>
      <c r="BQ319" s="358"/>
      <c r="BZ319" s="358"/>
      <c r="CZ319" s="367"/>
      <c r="DI319" s="358"/>
      <c r="DQ319" s="358"/>
    </row>
    <row r="320" spans="13:121" x14ac:dyDescent="0.15">
      <c r="M320" s="358"/>
      <c r="V320" s="358"/>
      <c r="AG320" s="358"/>
      <c r="AO320" s="358"/>
      <c r="AX320" s="367"/>
      <c r="BH320" s="367"/>
      <c r="BQ320" s="358"/>
      <c r="BZ320" s="358"/>
      <c r="CZ320" s="367"/>
      <c r="DI320" s="358"/>
      <c r="DQ320" s="358"/>
    </row>
    <row r="321" spans="13:121" x14ac:dyDescent="0.15">
      <c r="M321" s="358"/>
      <c r="V321" s="358"/>
      <c r="AG321" s="358"/>
      <c r="AO321" s="358"/>
      <c r="AX321" s="367"/>
      <c r="BH321" s="367"/>
      <c r="BQ321" s="358"/>
      <c r="BZ321" s="358"/>
      <c r="CZ321" s="367"/>
      <c r="DI321" s="358"/>
      <c r="DQ321" s="358"/>
    </row>
    <row r="322" spans="13:121" x14ac:dyDescent="0.15">
      <c r="M322" s="358"/>
      <c r="V322" s="358"/>
      <c r="AG322" s="358"/>
      <c r="AO322" s="358"/>
      <c r="AX322" s="367"/>
      <c r="BH322" s="367"/>
      <c r="BQ322" s="358"/>
      <c r="BZ322" s="358"/>
      <c r="CZ322" s="367"/>
      <c r="DI322" s="358"/>
      <c r="DQ322" s="358"/>
    </row>
    <row r="323" spans="13:121" x14ac:dyDescent="0.15">
      <c r="M323" s="358"/>
      <c r="V323" s="358"/>
      <c r="AG323" s="358"/>
      <c r="AO323" s="358"/>
      <c r="AX323" s="367"/>
      <c r="BH323" s="367"/>
      <c r="BQ323" s="358"/>
      <c r="BZ323" s="358"/>
      <c r="CZ323" s="367"/>
      <c r="DI323" s="358"/>
      <c r="DQ323" s="358"/>
    </row>
    <row r="324" spans="13:121" x14ac:dyDescent="0.15">
      <c r="M324" s="358"/>
      <c r="V324" s="358"/>
      <c r="AG324" s="358"/>
      <c r="AO324" s="358"/>
      <c r="AX324" s="367"/>
      <c r="BH324" s="367"/>
      <c r="BQ324" s="358"/>
      <c r="BZ324" s="358"/>
      <c r="CZ324" s="367"/>
      <c r="DI324" s="358"/>
      <c r="DQ324" s="358"/>
    </row>
    <row r="325" spans="13:121" x14ac:dyDescent="0.15">
      <c r="M325" s="358"/>
      <c r="V325" s="358"/>
      <c r="AG325" s="358"/>
      <c r="AO325" s="358"/>
      <c r="AX325" s="367"/>
      <c r="BH325" s="367"/>
      <c r="BQ325" s="358"/>
      <c r="BZ325" s="358"/>
      <c r="CZ325" s="367"/>
      <c r="DI325" s="358"/>
      <c r="DQ325" s="358"/>
    </row>
    <row r="326" spans="13:121" x14ac:dyDescent="0.15">
      <c r="M326" s="358"/>
      <c r="V326" s="358"/>
      <c r="AG326" s="358"/>
      <c r="AO326" s="358"/>
      <c r="AX326" s="367"/>
      <c r="BH326" s="367"/>
      <c r="BQ326" s="358"/>
      <c r="BZ326" s="358"/>
      <c r="CZ326" s="367"/>
      <c r="DI326" s="358"/>
      <c r="DQ326" s="358"/>
    </row>
    <row r="327" spans="13:121" x14ac:dyDescent="0.15">
      <c r="M327" s="358"/>
      <c r="V327" s="358"/>
      <c r="AG327" s="358"/>
      <c r="AO327" s="358"/>
      <c r="AX327" s="367"/>
      <c r="BH327" s="367"/>
      <c r="BQ327" s="358"/>
      <c r="BZ327" s="358"/>
      <c r="CZ327" s="367"/>
      <c r="DI327" s="358"/>
      <c r="DQ327" s="358"/>
    </row>
    <row r="328" spans="13:121" x14ac:dyDescent="0.15">
      <c r="M328" s="358"/>
      <c r="V328" s="358"/>
      <c r="AG328" s="358"/>
      <c r="AO328" s="358"/>
      <c r="AX328" s="367"/>
      <c r="BH328" s="367"/>
      <c r="BQ328" s="358"/>
      <c r="BZ328" s="358"/>
      <c r="CZ328" s="367"/>
      <c r="DI328" s="358"/>
      <c r="DQ328" s="358"/>
    </row>
    <row r="329" spans="13:121" x14ac:dyDescent="0.15">
      <c r="M329" s="358"/>
      <c r="V329" s="358"/>
      <c r="AG329" s="358"/>
      <c r="AO329" s="358"/>
      <c r="AX329" s="367"/>
      <c r="BH329" s="367"/>
      <c r="BQ329" s="358"/>
      <c r="BZ329" s="358"/>
      <c r="CZ329" s="367"/>
      <c r="DI329" s="358"/>
      <c r="DQ329" s="358"/>
    </row>
    <row r="330" spans="13:121" x14ac:dyDescent="0.15">
      <c r="M330" s="358"/>
      <c r="V330" s="358"/>
      <c r="AG330" s="358"/>
      <c r="AO330" s="358"/>
      <c r="AX330" s="367"/>
      <c r="BH330" s="367"/>
      <c r="BQ330" s="358"/>
      <c r="BZ330" s="358"/>
      <c r="CZ330" s="367"/>
      <c r="DI330" s="358"/>
      <c r="DQ330" s="358"/>
    </row>
    <row r="331" spans="13:121" x14ac:dyDescent="0.15">
      <c r="M331" s="358"/>
      <c r="V331" s="358"/>
      <c r="AG331" s="358"/>
      <c r="AO331" s="358"/>
      <c r="AX331" s="367"/>
      <c r="BH331" s="367"/>
      <c r="BQ331" s="358"/>
      <c r="BZ331" s="358"/>
      <c r="CZ331" s="367"/>
      <c r="DI331" s="358"/>
      <c r="DQ331" s="358"/>
    </row>
    <row r="332" spans="13:121" x14ac:dyDescent="0.15">
      <c r="M332" s="358"/>
      <c r="V332" s="358"/>
      <c r="AG332" s="358"/>
      <c r="AO332" s="358"/>
      <c r="AX332" s="367"/>
      <c r="BH332" s="367"/>
      <c r="BQ332" s="358"/>
      <c r="BZ332" s="358"/>
      <c r="CZ332" s="367"/>
      <c r="DI332" s="358"/>
      <c r="DQ332" s="358"/>
    </row>
    <row r="333" spans="13:121" x14ac:dyDescent="0.15">
      <c r="M333" s="358"/>
      <c r="V333" s="358"/>
      <c r="AG333" s="358"/>
      <c r="AO333" s="358"/>
      <c r="AX333" s="367"/>
      <c r="BH333" s="367"/>
      <c r="BQ333" s="358"/>
      <c r="BZ333" s="358"/>
      <c r="CZ333" s="367"/>
      <c r="DI333" s="358"/>
      <c r="DQ333" s="358"/>
    </row>
    <row r="334" spans="13:121" x14ac:dyDescent="0.15">
      <c r="M334" s="358"/>
      <c r="V334" s="358"/>
      <c r="AG334" s="358"/>
      <c r="AO334" s="358"/>
      <c r="AX334" s="367"/>
      <c r="BH334" s="367"/>
      <c r="BQ334" s="358"/>
      <c r="BZ334" s="358"/>
      <c r="CZ334" s="367"/>
      <c r="DI334" s="358"/>
      <c r="DQ334" s="358"/>
    </row>
    <row r="335" spans="13:121" x14ac:dyDescent="0.15">
      <c r="M335" s="358"/>
      <c r="V335" s="358"/>
      <c r="AG335" s="358"/>
      <c r="AO335" s="358"/>
      <c r="AX335" s="367"/>
      <c r="BH335" s="367"/>
      <c r="BQ335" s="358"/>
      <c r="BZ335" s="358"/>
      <c r="CZ335" s="367"/>
      <c r="DI335" s="358"/>
      <c r="DQ335" s="358"/>
    </row>
    <row r="336" spans="13:121" x14ac:dyDescent="0.15">
      <c r="M336" s="358"/>
      <c r="V336" s="358"/>
      <c r="AG336" s="358"/>
      <c r="AO336" s="358"/>
      <c r="AX336" s="367"/>
      <c r="BH336" s="367"/>
      <c r="BQ336" s="358"/>
      <c r="BZ336" s="358"/>
      <c r="CZ336" s="367"/>
      <c r="DI336" s="358"/>
      <c r="DQ336" s="358"/>
    </row>
    <row r="337" spans="13:121" x14ac:dyDescent="0.15">
      <c r="M337" s="358"/>
      <c r="V337" s="358"/>
      <c r="AG337" s="358"/>
      <c r="AO337" s="358"/>
      <c r="AX337" s="367"/>
      <c r="BH337" s="367"/>
      <c r="BQ337" s="358"/>
      <c r="BZ337" s="358"/>
      <c r="CZ337" s="367"/>
      <c r="DI337" s="358"/>
      <c r="DQ337" s="358"/>
    </row>
    <row r="338" spans="13:121" x14ac:dyDescent="0.15">
      <c r="M338" s="358"/>
      <c r="V338" s="358"/>
      <c r="AG338" s="358"/>
      <c r="AO338" s="358"/>
      <c r="AX338" s="367"/>
      <c r="BH338" s="367"/>
      <c r="BQ338" s="358"/>
      <c r="BZ338" s="358"/>
      <c r="CZ338" s="367"/>
      <c r="DI338" s="358"/>
      <c r="DQ338" s="358"/>
    </row>
    <row r="339" spans="13:121" x14ac:dyDescent="0.15">
      <c r="M339" s="358"/>
      <c r="V339" s="358"/>
      <c r="AG339" s="358"/>
      <c r="AO339" s="358"/>
      <c r="AX339" s="367"/>
      <c r="BH339" s="367"/>
      <c r="BQ339" s="358"/>
      <c r="BZ339" s="358"/>
      <c r="CZ339" s="367"/>
      <c r="DI339" s="358"/>
      <c r="DQ339" s="358"/>
    </row>
    <row r="340" spans="13:121" x14ac:dyDescent="0.15">
      <c r="M340" s="358"/>
      <c r="V340" s="358"/>
      <c r="AG340" s="358"/>
      <c r="AO340" s="358"/>
      <c r="AX340" s="367"/>
      <c r="BH340" s="367"/>
      <c r="BQ340" s="358"/>
      <c r="BZ340" s="358"/>
      <c r="CZ340" s="367"/>
      <c r="DI340" s="358"/>
      <c r="DQ340" s="358"/>
    </row>
    <row r="341" spans="13:121" x14ac:dyDescent="0.15">
      <c r="M341" s="358"/>
      <c r="V341" s="358"/>
      <c r="AG341" s="358"/>
      <c r="AO341" s="358"/>
      <c r="AX341" s="367"/>
      <c r="BH341" s="367"/>
      <c r="BQ341" s="358"/>
      <c r="BZ341" s="358"/>
      <c r="CZ341" s="367"/>
      <c r="DI341" s="358"/>
      <c r="DQ341" s="358"/>
    </row>
    <row r="342" spans="13:121" x14ac:dyDescent="0.15">
      <c r="M342" s="358"/>
      <c r="V342" s="358"/>
      <c r="AG342" s="358"/>
      <c r="AO342" s="358"/>
      <c r="AX342" s="367"/>
      <c r="BH342" s="367"/>
      <c r="BQ342" s="358"/>
      <c r="BZ342" s="358"/>
      <c r="CZ342" s="367"/>
      <c r="DI342" s="358"/>
      <c r="DQ342" s="358"/>
    </row>
    <row r="343" spans="13:121" x14ac:dyDescent="0.15">
      <c r="M343" s="358"/>
      <c r="V343" s="358"/>
      <c r="AG343" s="358"/>
      <c r="AO343" s="358"/>
      <c r="AX343" s="367"/>
      <c r="BH343" s="367"/>
      <c r="BQ343" s="358"/>
      <c r="BZ343" s="358"/>
      <c r="CZ343" s="367"/>
      <c r="DI343" s="358"/>
      <c r="DQ343" s="358"/>
    </row>
    <row r="344" spans="13:121" x14ac:dyDescent="0.15">
      <c r="M344" s="358"/>
      <c r="V344" s="358"/>
      <c r="AG344" s="358"/>
      <c r="AO344" s="358"/>
      <c r="AX344" s="367"/>
      <c r="BH344" s="367"/>
      <c r="BQ344" s="358"/>
      <c r="BZ344" s="358"/>
      <c r="CZ344" s="367"/>
      <c r="DI344" s="358"/>
      <c r="DQ344" s="358"/>
    </row>
    <row r="345" spans="13:121" x14ac:dyDescent="0.15">
      <c r="M345" s="358"/>
      <c r="V345" s="358"/>
      <c r="AG345" s="358"/>
      <c r="AO345" s="358"/>
      <c r="AX345" s="367"/>
      <c r="BH345" s="367"/>
      <c r="BQ345" s="358"/>
      <c r="BZ345" s="358"/>
      <c r="CZ345" s="367"/>
      <c r="DI345" s="358"/>
      <c r="DQ345" s="358"/>
    </row>
    <row r="346" spans="13:121" x14ac:dyDescent="0.15">
      <c r="M346" s="358"/>
      <c r="V346" s="358"/>
      <c r="AG346" s="358"/>
      <c r="AO346" s="358"/>
      <c r="AX346" s="367"/>
      <c r="BH346" s="367"/>
      <c r="BQ346" s="358"/>
      <c r="BZ346" s="358"/>
      <c r="CZ346" s="367"/>
      <c r="DI346" s="358"/>
      <c r="DQ346" s="358"/>
    </row>
    <row r="347" spans="13:121" x14ac:dyDescent="0.15">
      <c r="M347" s="358"/>
      <c r="V347" s="358"/>
      <c r="AG347" s="358"/>
      <c r="AO347" s="358"/>
      <c r="AX347" s="367"/>
      <c r="BH347" s="367"/>
      <c r="BQ347" s="358"/>
      <c r="BZ347" s="358"/>
      <c r="CZ347" s="367"/>
      <c r="DI347" s="358"/>
      <c r="DQ347" s="358"/>
    </row>
    <row r="348" spans="13:121" x14ac:dyDescent="0.15">
      <c r="M348" s="358"/>
      <c r="V348" s="358"/>
      <c r="AG348" s="358"/>
      <c r="AO348" s="358"/>
      <c r="AX348" s="367"/>
      <c r="BH348" s="367"/>
      <c r="BQ348" s="358"/>
      <c r="BZ348" s="358"/>
      <c r="CZ348" s="367"/>
      <c r="DI348" s="358"/>
      <c r="DQ348" s="358"/>
    </row>
    <row r="349" spans="13:121" x14ac:dyDescent="0.15">
      <c r="M349" s="358"/>
      <c r="V349" s="358"/>
      <c r="AG349" s="358"/>
      <c r="AO349" s="358"/>
      <c r="AX349" s="367"/>
      <c r="BH349" s="367"/>
      <c r="BQ349" s="358"/>
      <c r="BZ349" s="358"/>
      <c r="CZ349" s="367"/>
      <c r="DI349" s="358"/>
      <c r="DQ349" s="358"/>
    </row>
    <row r="350" spans="13:121" x14ac:dyDescent="0.15">
      <c r="M350" s="358"/>
      <c r="V350" s="358"/>
      <c r="AG350" s="358"/>
      <c r="AO350" s="358"/>
      <c r="AX350" s="367"/>
      <c r="BH350" s="367"/>
      <c r="BQ350" s="358"/>
      <c r="BZ350" s="358"/>
      <c r="CZ350" s="367"/>
      <c r="DI350" s="358"/>
      <c r="DQ350" s="358"/>
    </row>
    <row r="351" spans="13:121" x14ac:dyDescent="0.15">
      <c r="M351" s="358"/>
      <c r="V351" s="358"/>
      <c r="AG351" s="358"/>
      <c r="AO351" s="358"/>
      <c r="AX351" s="367"/>
      <c r="BH351" s="367"/>
      <c r="BQ351" s="358"/>
      <c r="BZ351" s="358"/>
      <c r="CZ351" s="367"/>
      <c r="DI351" s="358"/>
      <c r="DQ351" s="358"/>
    </row>
    <row r="352" spans="13:121" x14ac:dyDescent="0.15">
      <c r="M352" s="358"/>
      <c r="V352" s="358"/>
      <c r="AG352" s="358"/>
      <c r="AO352" s="358"/>
      <c r="AX352" s="367"/>
      <c r="BH352" s="367"/>
      <c r="BQ352" s="358"/>
      <c r="BZ352" s="358"/>
      <c r="CZ352" s="367"/>
      <c r="DI352" s="358"/>
      <c r="DQ352" s="358"/>
    </row>
    <row r="353" spans="13:121" x14ac:dyDescent="0.15">
      <c r="M353" s="358"/>
      <c r="V353" s="358"/>
      <c r="AG353" s="358"/>
      <c r="AO353" s="358"/>
      <c r="AX353" s="367"/>
      <c r="BH353" s="367"/>
      <c r="BQ353" s="358"/>
      <c r="BZ353" s="358"/>
      <c r="CZ353" s="367"/>
      <c r="DI353" s="358"/>
      <c r="DQ353" s="358"/>
    </row>
    <row r="354" spans="13:121" x14ac:dyDescent="0.15">
      <c r="M354" s="358"/>
      <c r="V354" s="358"/>
      <c r="AG354" s="358"/>
      <c r="AO354" s="358"/>
      <c r="AX354" s="367"/>
      <c r="BH354" s="367"/>
      <c r="BQ354" s="358"/>
      <c r="BZ354" s="358"/>
      <c r="CZ354" s="367"/>
      <c r="DI354" s="358"/>
      <c r="DQ354" s="358"/>
    </row>
    <row r="355" spans="13:121" x14ac:dyDescent="0.15">
      <c r="M355" s="358"/>
      <c r="V355" s="358"/>
      <c r="AG355" s="358"/>
      <c r="AO355" s="358"/>
      <c r="AX355" s="367"/>
      <c r="BH355" s="367"/>
      <c r="BQ355" s="358"/>
      <c r="BZ355" s="358"/>
      <c r="CZ355" s="367"/>
      <c r="DI355" s="358"/>
      <c r="DQ355" s="358"/>
    </row>
    <row r="356" spans="13:121" x14ac:dyDescent="0.15">
      <c r="M356" s="358"/>
      <c r="V356" s="358"/>
      <c r="AG356" s="358"/>
      <c r="AO356" s="358"/>
      <c r="AX356" s="367"/>
      <c r="BH356" s="367"/>
      <c r="BQ356" s="358"/>
      <c r="BZ356" s="358"/>
      <c r="CZ356" s="367"/>
      <c r="DI356" s="358"/>
      <c r="DQ356" s="358"/>
    </row>
    <row r="357" spans="13:121" x14ac:dyDescent="0.15">
      <c r="M357" s="358"/>
      <c r="V357" s="358"/>
      <c r="AG357" s="358"/>
      <c r="AO357" s="358"/>
      <c r="AX357" s="367"/>
      <c r="BH357" s="367"/>
      <c r="BQ357" s="358"/>
      <c r="BZ357" s="358"/>
      <c r="CZ357" s="367"/>
      <c r="DI357" s="358"/>
      <c r="DQ357" s="358"/>
    </row>
    <row r="358" spans="13:121" x14ac:dyDescent="0.15">
      <c r="M358" s="358"/>
      <c r="V358" s="358"/>
      <c r="AG358" s="358"/>
      <c r="AO358" s="358"/>
      <c r="AX358" s="367"/>
      <c r="BH358" s="367"/>
      <c r="BQ358" s="358"/>
      <c r="BZ358" s="358"/>
      <c r="CZ358" s="367"/>
      <c r="DI358" s="358"/>
      <c r="DQ358" s="358"/>
    </row>
    <row r="359" spans="13:121" x14ac:dyDescent="0.15">
      <c r="M359" s="358"/>
      <c r="V359" s="358"/>
      <c r="AG359" s="358"/>
      <c r="AO359" s="358"/>
      <c r="AX359" s="367"/>
      <c r="BH359" s="367"/>
      <c r="BQ359" s="358"/>
      <c r="BZ359" s="358"/>
      <c r="CZ359" s="367"/>
      <c r="DI359" s="358"/>
      <c r="DQ359" s="358"/>
    </row>
    <row r="360" spans="13:121" x14ac:dyDescent="0.15">
      <c r="M360" s="358"/>
      <c r="V360" s="358"/>
      <c r="AG360" s="358"/>
      <c r="AO360" s="358"/>
      <c r="AX360" s="367"/>
      <c r="BH360" s="367"/>
      <c r="BQ360" s="358"/>
      <c r="BZ360" s="358"/>
      <c r="CZ360" s="367"/>
      <c r="DI360" s="358"/>
      <c r="DQ360" s="358"/>
    </row>
    <row r="361" spans="13:121" x14ac:dyDescent="0.15">
      <c r="M361" s="358"/>
      <c r="V361" s="358"/>
      <c r="AG361" s="358"/>
      <c r="AO361" s="358"/>
      <c r="AX361" s="367"/>
      <c r="BH361" s="367"/>
      <c r="BQ361" s="358"/>
      <c r="BZ361" s="358"/>
      <c r="CZ361" s="367"/>
      <c r="DI361" s="358"/>
      <c r="DQ361" s="358"/>
    </row>
    <row r="362" spans="13:121" x14ac:dyDescent="0.15">
      <c r="M362" s="358"/>
      <c r="V362" s="358"/>
      <c r="AG362" s="358"/>
      <c r="AO362" s="358"/>
      <c r="AX362" s="367"/>
      <c r="BH362" s="367"/>
      <c r="BQ362" s="358"/>
      <c r="BZ362" s="358"/>
      <c r="CZ362" s="367"/>
      <c r="DI362" s="358"/>
      <c r="DQ362" s="358"/>
    </row>
    <row r="363" spans="13:121" x14ac:dyDescent="0.15">
      <c r="M363" s="358"/>
      <c r="V363" s="358"/>
      <c r="AG363" s="358"/>
      <c r="AO363" s="358"/>
      <c r="AX363" s="367"/>
      <c r="BH363" s="367"/>
      <c r="BQ363" s="358"/>
      <c r="BZ363" s="358"/>
      <c r="CZ363" s="367"/>
      <c r="DI363" s="358"/>
      <c r="DQ363" s="358"/>
    </row>
    <row r="364" spans="13:121" x14ac:dyDescent="0.15">
      <c r="M364" s="358"/>
      <c r="V364" s="358"/>
      <c r="AG364" s="358"/>
      <c r="AO364" s="358"/>
      <c r="AX364" s="367"/>
      <c r="BH364" s="367"/>
      <c r="BQ364" s="358"/>
      <c r="BZ364" s="358"/>
      <c r="CZ364" s="367"/>
      <c r="DI364" s="358"/>
      <c r="DQ364" s="358"/>
    </row>
    <row r="365" spans="13:121" x14ac:dyDescent="0.15">
      <c r="M365" s="358"/>
      <c r="V365" s="358"/>
      <c r="AG365" s="358"/>
      <c r="AO365" s="358"/>
      <c r="AX365" s="367"/>
      <c r="BH365" s="367"/>
      <c r="BQ365" s="358"/>
      <c r="BZ365" s="358"/>
      <c r="CZ365" s="367"/>
      <c r="DI365" s="358"/>
      <c r="DQ365" s="358"/>
    </row>
    <row r="366" spans="13:121" x14ac:dyDescent="0.15">
      <c r="M366" s="358"/>
      <c r="V366" s="358"/>
      <c r="AG366" s="358"/>
      <c r="AO366" s="358"/>
      <c r="AX366" s="367"/>
      <c r="BH366" s="367"/>
      <c r="BQ366" s="358"/>
      <c r="BZ366" s="358"/>
      <c r="CZ366" s="367"/>
      <c r="DI366" s="358"/>
      <c r="DQ366" s="358"/>
    </row>
    <row r="367" spans="13:121" x14ac:dyDescent="0.15">
      <c r="M367" s="358"/>
      <c r="V367" s="358"/>
      <c r="AG367" s="358"/>
      <c r="AO367" s="358"/>
      <c r="AX367" s="367"/>
      <c r="BH367" s="367"/>
      <c r="BQ367" s="358"/>
      <c r="BZ367" s="358"/>
      <c r="CZ367" s="367"/>
      <c r="DI367" s="358"/>
      <c r="DQ367" s="358"/>
    </row>
    <row r="368" spans="13:121" x14ac:dyDescent="0.15">
      <c r="M368" s="358"/>
      <c r="V368" s="358"/>
      <c r="AG368" s="358"/>
      <c r="AO368" s="358"/>
      <c r="AX368" s="367"/>
      <c r="BH368" s="367"/>
      <c r="BQ368" s="358"/>
      <c r="BZ368" s="358"/>
      <c r="CZ368" s="367"/>
      <c r="DI368" s="358"/>
      <c r="DQ368" s="358"/>
    </row>
    <row r="369" spans="13:121" x14ac:dyDescent="0.15">
      <c r="M369" s="358"/>
      <c r="V369" s="358"/>
      <c r="AG369" s="358"/>
      <c r="AO369" s="358"/>
      <c r="AX369" s="367"/>
      <c r="BH369" s="367"/>
      <c r="BQ369" s="358"/>
      <c r="BZ369" s="358"/>
      <c r="CZ369" s="367"/>
      <c r="DI369" s="358"/>
      <c r="DQ369" s="358"/>
    </row>
    <row r="370" spans="13:121" x14ac:dyDescent="0.15">
      <c r="M370" s="358"/>
      <c r="V370" s="358"/>
      <c r="AG370" s="358"/>
      <c r="AO370" s="358"/>
      <c r="AX370" s="367"/>
      <c r="BH370" s="367"/>
      <c r="BQ370" s="358"/>
      <c r="BZ370" s="358"/>
      <c r="CZ370" s="367"/>
      <c r="DI370" s="358"/>
      <c r="DQ370" s="358"/>
    </row>
    <row r="371" spans="13:121" x14ac:dyDescent="0.15">
      <c r="M371" s="358"/>
      <c r="V371" s="358"/>
      <c r="AG371" s="358"/>
      <c r="AO371" s="358"/>
      <c r="AX371" s="367"/>
      <c r="BH371" s="367"/>
      <c r="BQ371" s="358"/>
      <c r="BZ371" s="358"/>
      <c r="CZ371" s="367"/>
      <c r="DI371" s="358"/>
      <c r="DQ371" s="358"/>
    </row>
    <row r="372" spans="13:121" x14ac:dyDescent="0.15">
      <c r="M372" s="358"/>
      <c r="V372" s="358"/>
      <c r="AG372" s="358"/>
      <c r="AO372" s="358"/>
      <c r="AX372" s="367"/>
      <c r="BH372" s="367"/>
      <c r="BQ372" s="358"/>
      <c r="BZ372" s="358"/>
      <c r="CZ372" s="367"/>
      <c r="DI372" s="358"/>
      <c r="DQ372" s="358"/>
    </row>
    <row r="373" spans="13:121" x14ac:dyDescent="0.15">
      <c r="M373" s="358"/>
      <c r="V373" s="358"/>
      <c r="AG373" s="358"/>
      <c r="AO373" s="358"/>
      <c r="AX373" s="367"/>
      <c r="BH373" s="367"/>
      <c r="BQ373" s="358"/>
      <c r="BZ373" s="358"/>
      <c r="CZ373" s="367"/>
      <c r="DI373" s="358"/>
      <c r="DQ373" s="358"/>
    </row>
    <row r="374" spans="13:121" x14ac:dyDescent="0.15">
      <c r="M374" s="358"/>
      <c r="V374" s="358"/>
      <c r="AG374" s="358"/>
      <c r="AO374" s="358"/>
      <c r="AX374" s="367"/>
      <c r="BH374" s="367"/>
      <c r="BQ374" s="358"/>
      <c r="BZ374" s="358"/>
      <c r="CZ374" s="367"/>
      <c r="DI374" s="358"/>
      <c r="DQ374" s="358"/>
    </row>
    <row r="375" spans="13:121" x14ac:dyDescent="0.15">
      <c r="M375" s="358"/>
      <c r="V375" s="358"/>
      <c r="AG375" s="358"/>
      <c r="AO375" s="358"/>
      <c r="AX375" s="367"/>
      <c r="BH375" s="367"/>
      <c r="BQ375" s="358"/>
      <c r="BZ375" s="358"/>
      <c r="CZ375" s="367"/>
      <c r="DI375" s="358"/>
      <c r="DQ375" s="358"/>
    </row>
    <row r="376" spans="13:121" x14ac:dyDescent="0.15">
      <c r="M376" s="358"/>
      <c r="V376" s="358"/>
      <c r="AG376" s="358"/>
      <c r="AO376" s="358"/>
      <c r="AX376" s="367"/>
      <c r="BH376" s="367"/>
      <c r="BQ376" s="358"/>
      <c r="BZ376" s="358"/>
      <c r="CZ376" s="367"/>
      <c r="DI376" s="358"/>
      <c r="DQ376" s="358"/>
    </row>
    <row r="377" spans="13:121" x14ac:dyDescent="0.15">
      <c r="M377" s="358"/>
      <c r="V377" s="358"/>
      <c r="AG377" s="358"/>
      <c r="AO377" s="358"/>
      <c r="AX377" s="367"/>
      <c r="BH377" s="367"/>
      <c r="BQ377" s="358"/>
      <c r="BZ377" s="358"/>
      <c r="CZ377" s="367"/>
      <c r="DI377" s="358"/>
      <c r="DQ377" s="358"/>
    </row>
    <row r="378" spans="13:121" x14ac:dyDescent="0.15">
      <c r="M378" s="358"/>
      <c r="V378" s="358"/>
      <c r="AG378" s="358"/>
      <c r="AO378" s="358"/>
      <c r="AX378" s="367"/>
      <c r="BH378" s="367"/>
      <c r="BQ378" s="358"/>
      <c r="BZ378" s="358"/>
      <c r="CZ378" s="367"/>
      <c r="DI378" s="358"/>
      <c r="DQ378" s="358"/>
    </row>
    <row r="379" spans="13:121" x14ac:dyDescent="0.15">
      <c r="M379" s="358"/>
      <c r="V379" s="358"/>
      <c r="AG379" s="358"/>
      <c r="AO379" s="358"/>
      <c r="AX379" s="367"/>
      <c r="BH379" s="367"/>
      <c r="BQ379" s="358"/>
      <c r="BZ379" s="358"/>
      <c r="CZ379" s="367"/>
      <c r="DI379" s="358"/>
      <c r="DQ379" s="358"/>
    </row>
    <row r="380" spans="13:121" x14ac:dyDescent="0.15">
      <c r="M380" s="358"/>
      <c r="V380" s="358"/>
      <c r="AG380" s="358"/>
      <c r="AO380" s="358"/>
      <c r="AX380" s="367"/>
      <c r="BH380" s="367"/>
      <c r="BQ380" s="358"/>
      <c r="BZ380" s="358"/>
      <c r="CZ380" s="367"/>
      <c r="DI380" s="358"/>
      <c r="DQ380" s="358"/>
    </row>
    <row r="381" spans="13:121" x14ac:dyDescent="0.15">
      <c r="M381" s="358"/>
      <c r="V381" s="358"/>
      <c r="AG381" s="358"/>
      <c r="AO381" s="358"/>
      <c r="AX381" s="367"/>
      <c r="BH381" s="367"/>
      <c r="BQ381" s="358"/>
      <c r="BZ381" s="358"/>
    </row>
    <row r="382" spans="13:121" x14ac:dyDescent="0.15">
      <c r="M382" s="358"/>
      <c r="V382" s="358"/>
      <c r="AG382" s="358"/>
      <c r="AO382" s="358"/>
      <c r="AX382" s="367"/>
      <c r="BH382" s="367"/>
      <c r="BQ382" s="358"/>
      <c r="BZ382" s="358"/>
    </row>
  </sheetData>
  <mergeCells count="27">
    <mergeCell ref="DN53:DO53"/>
    <mergeCell ref="C5:K5"/>
    <mergeCell ref="AH5:AM5"/>
    <mergeCell ref="CE50:CF50"/>
    <mergeCell ref="CE51:CF51"/>
    <mergeCell ref="CE49:CF49"/>
    <mergeCell ref="DN49:DO49"/>
    <mergeCell ref="DN50:DO50"/>
    <mergeCell ref="X5:AE5"/>
    <mergeCell ref="N5:U5"/>
    <mergeCell ref="BJ5:BP5"/>
    <mergeCell ref="CA5:CG5"/>
    <mergeCell ref="BR5:BX5"/>
    <mergeCell ref="AY5:BF5"/>
    <mergeCell ref="AP5:AW5"/>
    <mergeCell ref="CN50:CO50"/>
    <mergeCell ref="CN51:CO51"/>
    <mergeCell ref="CR5:CX5"/>
    <mergeCell ref="DA5:DG5"/>
    <mergeCell ref="DN51:DO51"/>
    <mergeCell ref="CJ5:CP5"/>
    <mergeCell ref="CN49:CO49"/>
    <mergeCell ref="DW51:DX51"/>
    <mergeCell ref="DJ5:DP5"/>
    <mergeCell ref="DS5:DY5"/>
    <mergeCell ref="DW49:DX49"/>
    <mergeCell ref="DW50:DX50"/>
  </mergeCells>
  <pageMargins left="0.7" right="0.7" top="0.75" bottom="0.75" header="0.3" footer="0.3"/>
  <pageSetup paperSize="9" orientation="portrait" r:id="rId1"/>
  <ignoredErrors>
    <ignoredError sqref="Q10 AS20 AS10:AS19 AS21:AS26 AS27:AS44 AS45:AS48 Q11:Q26 Q27:Q43 Q44:Q48" 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354F-E70A-4FE1-BE81-BCEC4964482B}">
  <dimension ref="C2:AA73"/>
  <sheetViews>
    <sheetView workbookViewId="0">
      <pane ySplit="4" topLeftCell="A5" activePane="bottomLeft" state="frozen"/>
      <selection activeCell="B1" sqref="B1"/>
      <selection pane="bottomLeft" activeCell="I4" sqref="I4"/>
    </sheetView>
  </sheetViews>
  <sheetFormatPr baseColWidth="10" defaultColWidth="8.83203125" defaultRowHeight="15" x14ac:dyDescent="0.2"/>
  <cols>
    <col min="2" max="2" width="17.83203125" customWidth="1"/>
    <col min="3" max="3" width="6.1640625" style="358" customWidth="1"/>
    <col min="4" max="4" width="7.5" style="367" customWidth="1"/>
    <col min="5" max="5" width="10.83203125" style="358" customWidth="1"/>
    <col min="6" max="6" width="6.5" style="358" customWidth="1"/>
    <col min="7" max="7" width="5.83203125" style="358" customWidth="1"/>
    <col min="8" max="8" width="1.33203125" customWidth="1"/>
    <col min="9" max="9" width="10.5" customWidth="1"/>
    <col min="10" max="10" width="1.33203125" customWidth="1"/>
    <col min="11" max="11" width="10.1640625" customWidth="1"/>
    <col min="12" max="12" width="1.1640625" customWidth="1"/>
    <col min="13" max="13" width="12.1640625" customWidth="1"/>
    <col min="14" max="14" width="1.1640625" customWidth="1"/>
    <col min="15" max="15" width="10.5" customWidth="1"/>
    <col min="16" max="16" width="1.33203125" customWidth="1"/>
    <col min="17" max="17" width="12" bestFit="1" customWidth="1"/>
    <col min="18" max="18" width="1" customWidth="1"/>
    <col min="19" max="19" width="9.5" bestFit="1" customWidth="1"/>
    <col min="20" max="20" width="1.1640625" customWidth="1"/>
    <col min="21" max="21" width="10" customWidth="1"/>
    <col min="22" max="22" width="1.1640625" customWidth="1"/>
    <col min="23" max="23" width="10.6640625" customWidth="1"/>
    <col min="24" max="24" width="1.1640625" customWidth="1"/>
    <col min="25" max="25" width="9.33203125" customWidth="1"/>
    <col min="26" max="26" width="1.5" customWidth="1"/>
    <col min="27" max="27" width="10.83203125" customWidth="1"/>
    <col min="2000" max="2000" width="2.5" customWidth="1"/>
    <col min="2004" max="2005" width="2.5" customWidth="1"/>
  </cols>
  <sheetData>
    <row r="2" spans="3:27" s="458" customFormat="1" ht="26" x14ac:dyDescent="0.2">
      <c r="C2" s="456"/>
      <c r="D2" s="457"/>
      <c r="E2" s="456"/>
      <c r="F2" s="456"/>
      <c r="G2" s="456"/>
      <c r="I2" s="472" t="s">
        <v>1252</v>
      </c>
      <c r="J2" s="473"/>
      <c r="K2" s="474" t="s">
        <v>1253</v>
      </c>
      <c r="L2" s="473"/>
      <c r="M2" s="474" t="s">
        <v>1177</v>
      </c>
      <c r="N2" s="473"/>
      <c r="O2" s="474" t="s">
        <v>1254</v>
      </c>
      <c r="P2" s="473"/>
      <c r="Q2" s="474" t="s">
        <v>1002</v>
      </c>
      <c r="R2" s="473"/>
      <c r="S2" s="474" t="s">
        <v>1178</v>
      </c>
      <c r="T2" s="473"/>
      <c r="U2" s="474" t="s">
        <v>1255</v>
      </c>
      <c r="V2" s="473"/>
      <c r="W2" s="474" t="s">
        <v>998</v>
      </c>
      <c r="X2" s="473"/>
      <c r="Y2" s="475" t="s">
        <v>1003</v>
      </c>
      <c r="Z2" s="457"/>
      <c r="AA2" s="459" t="s">
        <v>1256</v>
      </c>
    </row>
    <row r="3" spans="3:27" ht="6.5" customHeight="1" x14ac:dyDescent="0.2">
      <c r="I3" s="420"/>
      <c r="J3" s="367"/>
      <c r="K3" s="367"/>
      <c r="L3" s="367"/>
      <c r="M3" s="367"/>
      <c r="N3" s="367"/>
      <c r="O3" s="367"/>
      <c r="P3" s="367"/>
      <c r="Q3" s="367"/>
      <c r="R3" s="367"/>
      <c r="S3" s="367"/>
      <c r="T3" s="367"/>
      <c r="U3" s="367"/>
      <c r="V3" s="367"/>
      <c r="W3" s="367"/>
      <c r="X3" s="367"/>
      <c r="Y3" s="422"/>
      <c r="Z3" s="367"/>
      <c r="AA3" s="367"/>
    </row>
    <row r="4" spans="3:27" x14ac:dyDescent="0.2">
      <c r="I4" s="476">
        <f>LYGs_st</f>
        <v>12.577572691372849</v>
      </c>
      <c r="J4" s="413"/>
      <c r="K4" s="419">
        <f>LYGs_poc</f>
        <v>12.683591496907125</v>
      </c>
      <c r="L4" s="413"/>
      <c r="M4" s="426">
        <f>c_st_total</f>
        <v>24745.262249416981</v>
      </c>
      <c r="N4" s="419"/>
      <c r="O4" s="426">
        <f>c_poc_total</f>
        <v>24790.119822857749</v>
      </c>
      <c r="P4" s="419"/>
      <c r="Q4" s="426">
        <f>O4-M4</f>
        <v>44.857573440767737</v>
      </c>
      <c r="R4" s="419"/>
      <c r="S4" s="419">
        <f>qaly_st_total</f>
        <v>6.2897502239653926</v>
      </c>
      <c r="T4" s="419"/>
      <c r="U4" s="477">
        <f>qaly_poc_total</f>
        <v>6.3332219815274637</v>
      </c>
      <c r="V4" s="419"/>
      <c r="W4" s="477">
        <f>U4-S4</f>
        <v>4.3471757562071112E-2</v>
      </c>
      <c r="X4" s="419"/>
      <c r="Y4" s="427">
        <f>Q4/W4</f>
        <v>1031.8785334758525</v>
      </c>
      <c r="Z4" s="367"/>
      <c r="AA4" s="380">
        <f>(U4*ce_tresh)-O4</f>
        <v>101874.31980769153</v>
      </c>
    </row>
    <row r="5" spans="3:27" x14ac:dyDescent="0.2">
      <c r="I5" s="363"/>
      <c r="J5" s="367"/>
      <c r="K5" s="363"/>
      <c r="L5" s="367"/>
      <c r="M5" s="380"/>
      <c r="N5" s="363"/>
      <c r="O5" s="380"/>
      <c r="P5" s="363"/>
      <c r="Q5" s="380"/>
      <c r="R5" s="363"/>
      <c r="S5" s="363"/>
      <c r="T5" s="363"/>
      <c r="U5" s="388"/>
      <c r="V5" s="363"/>
      <c r="W5" s="388"/>
      <c r="X5" s="363"/>
      <c r="Y5" s="380"/>
      <c r="Z5" s="367"/>
      <c r="AA5" s="380"/>
    </row>
    <row r="6" spans="3:27" ht="16" thickBot="1" x14ac:dyDescent="0.25">
      <c r="I6" s="363"/>
      <c r="J6" s="367"/>
      <c r="K6" s="363"/>
      <c r="L6" s="367"/>
      <c r="M6" s="380"/>
      <c r="N6" s="363"/>
      <c r="O6" s="380"/>
      <c r="P6" s="363"/>
      <c r="Q6" s="380"/>
      <c r="R6" s="363"/>
      <c r="S6" s="363"/>
      <c r="T6" s="363"/>
      <c r="U6" s="388"/>
      <c r="V6" s="363"/>
      <c r="W6" s="388"/>
      <c r="X6" s="363"/>
      <c r="Y6" s="380"/>
      <c r="Z6" s="367"/>
      <c r="AA6" s="380"/>
    </row>
    <row r="7" spans="3:27" x14ac:dyDescent="0.2">
      <c r="C7" s="557" t="s">
        <v>29</v>
      </c>
      <c r="D7" s="558"/>
      <c r="E7" s="558"/>
      <c r="F7" s="558"/>
      <c r="G7" s="559"/>
      <c r="I7" s="363"/>
      <c r="J7" s="367"/>
      <c r="K7" s="363"/>
      <c r="L7" s="367"/>
      <c r="M7" s="380"/>
      <c r="N7" s="363"/>
      <c r="O7" s="380"/>
      <c r="P7" s="363"/>
      <c r="Q7" s="380"/>
      <c r="R7" s="363"/>
      <c r="S7" s="363"/>
      <c r="T7" s="363"/>
      <c r="U7" s="388"/>
      <c r="V7" s="363"/>
      <c r="W7" s="388"/>
      <c r="X7" s="363"/>
      <c r="Y7" s="380"/>
      <c r="Z7" s="367"/>
      <c r="AA7" s="380"/>
    </row>
    <row r="8" spans="3:27" x14ac:dyDescent="0.2">
      <c r="C8" s="358" t="s">
        <v>1277</v>
      </c>
      <c r="E8" s="358">
        <v>1</v>
      </c>
      <c r="F8" s="358">
        <v>1</v>
      </c>
      <c r="I8" s="363"/>
      <c r="J8" s="367"/>
      <c r="K8" s="363"/>
      <c r="L8" s="367"/>
      <c r="M8" s="380"/>
      <c r="N8" s="363"/>
      <c r="O8" s="380"/>
      <c r="P8" s="363"/>
      <c r="Q8" s="380"/>
      <c r="R8" s="363"/>
      <c r="S8" s="363"/>
      <c r="T8" s="363"/>
      <c r="U8" s="388"/>
      <c r="V8" s="363"/>
      <c r="W8" s="388"/>
      <c r="X8" s="363"/>
      <c r="Y8" s="380"/>
      <c r="Z8" s="367"/>
      <c r="AA8" s="380"/>
    </row>
    <row r="9" spans="3:27" x14ac:dyDescent="0.2">
      <c r="C9" s="358" t="s">
        <v>1278</v>
      </c>
      <c r="E9" s="358">
        <v>2</v>
      </c>
      <c r="I9" s="363"/>
      <c r="J9" s="367"/>
      <c r="K9" s="363"/>
      <c r="L9" s="367"/>
      <c r="M9" s="380"/>
      <c r="N9" s="363"/>
      <c r="O9" s="380"/>
      <c r="P9" s="363"/>
      <c r="Q9" s="380"/>
      <c r="R9" s="363"/>
      <c r="S9" s="363"/>
      <c r="T9" s="363"/>
      <c r="U9" s="388"/>
      <c r="V9" s="363"/>
      <c r="W9" s="388"/>
      <c r="X9" s="363"/>
      <c r="Y9" s="380"/>
      <c r="Z9" s="367"/>
      <c r="AA9" s="380"/>
    </row>
    <row r="10" spans="3:27" x14ac:dyDescent="0.2">
      <c r="I10" s="363"/>
      <c r="J10" s="367"/>
      <c r="K10" s="363"/>
      <c r="L10" s="367"/>
      <c r="M10" s="380"/>
      <c r="N10" s="363"/>
      <c r="O10" s="380"/>
      <c r="P10" s="363"/>
      <c r="Q10" s="380"/>
      <c r="R10" s="363"/>
      <c r="S10" s="363"/>
      <c r="T10" s="363"/>
      <c r="U10" s="388"/>
      <c r="V10" s="363"/>
      <c r="W10" s="388"/>
      <c r="X10" s="363"/>
      <c r="Y10" s="380"/>
      <c r="Z10" s="367"/>
      <c r="AA10" s="380"/>
    </row>
    <row r="11" spans="3:27" ht="16" thickBot="1" x14ac:dyDescent="0.25">
      <c r="C11" s="560"/>
      <c r="D11" s="560"/>
      <c r="E11" s="560"/>
      <c r="F11" s="560"/>
      <c r="G11" s="560"/>
      <c r="H11" s="3"/>
      <c r="I11" s="3"/>
      <c r="J11" s="3"/>
      <c r="K11" s="3"/>
      <c r="L11" s="3"/>
      <c r="M11" s="227"/>
      <c r="Q11" s="227"/>
      <c r="S11" s="164"/>
      <c r="T11" s="164"/>
      <c r="U11" s="164"/>
      <c r="V11" s="164"/>
      <c r="W11" s="225"/>
      <c r="Y11" s="227"/>
    </row>
    <row r="12" spans="3:27" x14ac:dyDescent="0.2">
      <c r="C12" s="561" t="s">
        <v>1181</v>
      </c>
      <c r="D12" s="562"/>
      <c r="E12" s="562"/>
      <c r="F12" s="562"/>
      <c r="G12" s="563"/>
      <c r="H12" s="103"/>
      <c r="I12" s="103"/>
      <c r="J12" s="103"/>
      <c r="K12" s="103"/>
      <c r="L12" s="103"/>
      <c r="M12" s="3"/>
      <c r="N12" s="3"/>
      <c r="O12" s="3"/>
      <c r="P12" s="3"/>
      <c r="Q12" s="3"/>
      <c r="R12" s="3"/>
      <c r="S12" s="164"/>
      <c r="T12" s="164"/>
      <c r="U12" s="164"/>
      <c r="V12" s="164"/>
      <c r="W12" s="164"/>
      <c r="X12" s="3"/>
      <c r="Y12" s="3"/>
    </row>
    <row r="13" spans="3:27" x14ac:dyDescent="0.2">
      <c r="C13" s="394" t="s">
        <v>1176</v>
      </c>
      <c r="D13" s="395">
        <v>0.93</v>
      </c>
      <c r="E13" s="395"/>
      <c r="G13" s="396">
        <v>0.93</v>
      </c>
      <c r="H13" s="172"/>
      <c r="I13" s="164"/>
      <c r="J13" s="172"/>
      <c r="K13" s="164"/>
      <c r="L13" s="172"/>
      <c r="M13" s="227"/>
      <c r="N13" s="3"/>
      <c r="O13" s="227"/>
      <c r="P13" s="3"/>
      <c r="Q13" s="227"/>
      <c r="R13" s="3"/>
      <c r="S13" s="164"/>
      <c r="T13" s="164"/>
      <c r="U13" s="164"/>
      <c r="V13" s="164"/>
      <c r="W13" s="225"/>
      <c r="X13" s="3"/>
      <c r="Y13" s="227"/>
      <c r="AA13" s="227"/>
    </row>
    <row r="14" spans="3:27" ht="16" thickBot="1" x14ac:dyDescent="0.25">
      <c r="C14" s="397" t="s">
        <v>1185</v>
      </c>
      <c r="D14" s="398">
        <v>1</v>
      </c>
      <c r="E14" s="398"/>
      <c r="F14" s="399"/>
      <c r="G14" s="400"/>
      <c r="H14" s="172"/>
      <c r="I14" s="172"/>
      <c r="J14" s="172"/>
      <c r="K14" s="172"/>
      <c r="L14" s="172"/>
      <c r="M14" s="3"/>
      <c r="N14" s="3"/>
      <c r="O14" s="227"/>
      <c r="P14" s="3"/>
      <c r="Q14" s="3"/>
      <c r="R14" s="3"/>
      <c r="S14" s="3"/>
      <c r="T14" s="3"/>
      <c r="U14" s="3"/>
      <c r="V14" s="3"/>
      <c r="W14" s="227"/>
      <c r="X14" s="3"/>
      <c r="Y14" s="390"/>
      <c r="Z14" s="391"/>
    </row>
    <row r="15" spans="3:27" x14ac:dyDescent="0.2">
      <c r="D15" s="395"/>
      <c r="E15" s="395"/>
      <c r="G15" s="395"/>
      <c r="H15" s="172"/>
      <c r="I15" s="172"/>
      <c r="J15" s="172"/>
      <c r="K15" s="172"/>
      <c r="L15" s="172"/>
      <c r="M15" s="3"/>
      <c r="N15" s="3"/>
      <c r="O15" s="227"/>
      <c r="P15" s="3"/>
      <c r="Q15" s="227"/>
      <c r="R15" s="3"/>
      <c r="S15" s="3"/>
      <c r="T15" s="3"/>
      <c r="U15" s="164"/>
      <c r="V15" s="3"/>
      <c r="W15" s="341"/>
      <c r="X15" s="3"/>
      <c r="Y15" s="3"/>
    </row>
    <row r="16" spans="3:27" x14ac:dyDescent="0.2">
      <c r="W16" s="3"/>
      <c r="X16" s="3"/>
      <c r="Y16" s="3"/>
    </row>
    <row r="17" spans="3:27" x14ac:dyDescent="0.2">
      <c r="C17" s="554" t="s">
        <v>1180</v>
      </c>
      <c r="D17" s="555"/>
      <c r="E17" s="555"/>
      <c r="F17" s="555"/>
      <c r="G17" s="556"/>
      <c r="H17" s="103"/>
      <c r="I17" s="164"/>
      <c r="J17" s="164"/>
      <c r="K17" s="164"/>
      <c r="L17" s="103"/>
      <c r="M17" s="227"/>
      <c r="N17" s="227"/>
      <c r="O17" s="227"/>
      <c r="P17" s="227"/>
      <c r="Q17" s="227"/>
      <c r="R17" s="3"/>
      <c r="S17" s="164"/>
      <c r="T17" s="164"/>
      <c r="U17" s="164"/>
      <c r="V17" s="164"/>
      <c r="W17" s="225"/>
      <c r="X17" s="3"/>
      <c r="Y17" s="227"/>
      <c r="AA17" s="227"/>
    </row>
    <row r="18" spans="3:27" x14ac:dyDescent="0.2">
      <c r="C18" s="401" t="s">
        <v>1179</v>
      </c>
      <c r="D18" s="395">
        <v>0.93</v>
      </c>
      <c r="G18" s="396">
        <v>0.93</v>
      </c>
      <c r="H18" s="172"/>
      <c r="I18" s="172"/>
      <c r="J18" s="172"/>
      <c r="K18" s="172"/>
      <c r="L18" s="172"/>
      <c r="M18" s="3"/>
      <c r="N18" s="3"/>
      <c r="O18" s="227"/>
      <c r="P18" s="3"/>
      <c r="Q18" s="227"/>
      <c r="R18" s="3"/>
      <c r="S18" s="3"/>
      <c r="T18" s="3"/>
      <c r="U18" s="3"/>
      <c r="V18" s="3"/>
      <c r="W18" s="3"/>
      <c r="X18" s="3"/>
      <c r="Y18" s="3"/>
    </row>
    <row r="19" spans="3:27" x14ac:dyDescent="0.2">
      <c r="C19" s="402" t="s">
        <v>1185</v>
      </c>
      <c r="D19" s="403">
        <v>1</v>
      </c>
      <c r="E19" s="404"/>
      <c r="F19" s="404"/>
      <c r="G19" s="405"/>
      <c r="M19" s="3"/>
      <c r="N19" s="3"/>
      <c r="O19" s="227"/>
      <c r="P19" s="3"/>
      <c r="Q19" s="3"/>
      <c r="R19" s="3"/>
      <c r="S19" s="3"/>
      <c r="T19" s="3"/>
      <c r="U19" s="3"/>
      <c r="V19" s="3"/>
      <c r="W19" s="227"/>
      <c r="X19" s="3"/>
      <c r="Y19" s="3"/>
    </row>
    <row r="20" spans="3:27" x14ac:dyDescent="0.2">
      <c r="D20" s="364"/>
      <c r="M20" s="3"/>
      <c r="N20" s="3"/>
      <c r="O20" s="227"/>
      <c r="P20" s="3"/>
      <c r="Q20" s="227"/>
      <c r="R20" s="3"/>
      <c r="S20" s="3"/>
      <c r="T20" s="3"/>
      <c r="U20" s="164"/>
      <c r="V20" s="3"/>
      <c r="W20" s="227"/>
      <c r="X20" s="3"/>
      <c r="Y20" s="164"/>
      <c r="Z20" s="391"/>
    </row>
    <row r="21" spans="3:27" x14ac:dyDescent="0.2">
      <c r="D21" s="364"/>
      <c r="Q21" s="217"/>
    </row>
    <row r="22" spans="3:27" x14ac:dyDescent="0.2">
      <c r="C22" s="554" t="s">
        <v>1182</v>
      </c>
      <c r="D22" s="555"/>
      <c r="E22" s="555"/>
      <c r="F22" s="555"/>
      <c r="G22" s="556"/>
      <c r="H22" s="103"/>
      <c r="I22" s="103"/>
      <c r="J22" s="103"/>
      <c r="K22" s="103"/>
      <c r="L22" s="103"/>
    </row>
    <row r="23" spans="3:27" x14ac:dyDescent="0.2">
      <c r="C23" s="406"/>
      <c r="D23" s="407"/>
      <c r="E23" s="407" t="s">
        <v>464</v>
      </c>
      <c r="F23" s="407" t="s">
        <v>465</v>
      </c>
      <c r="G23" s="408" t="s">
        <v>340</v>
      </c>
      <c r="H23" s="3"/>
      <c r="I23" s="3"/>
      <c r="J23" s="3"/>
      <c r="K23" s="3"/>
      <c r="L23" s="3"/>
      <c r="M23" s="227"/>
      <c r="O23" s="227"/>
      <c r="Q23" s="172"/>
      <c r="S23" s="164"/>
      <c r="U23" s="164"/>
      <c r="W23" s="164"/>
      <c r="Y23" s="227"/>
    </row>
    <row r="24" spans="3:27" x14ac:dyDescent="0.2">
      <c r="C24" s="409"/>
      <c r="D24" s="364"/>
      <c r="E24" s="410">
        <v>0.219</v>
      </c>
      <c r="F24" s="410">
        <v>0.55200000000000005</v>
      </c>
      <c r="G24" s="396">
        <v>0.22900000000000001</v>
      </c>
      <c r="H24" s="172"/>
      <c r="I24" s="172"/>
      <c r="J24" s="172"/>
      <c r="K24" s="172"/>
      <c r="L24" s="172"/>
    </row>
    <row r="25" spans="3:27" x14ac:dyDescent="0.2">
      <c r="C25" s="401" t="s">
        <v>1179</v>
      </c>
      <c r="E25" s="395">
        <v>0.219</v>
      </c>
      <c r="F25" s="395">
        <v>0.55200000000000005</v>
      </c>
      <c r="G25" s="411">
        <v>0.22900000000000001</v>
      </c>
      <c r="H25" s="172"/>
      <c r="I25" s="172"/>
      <c r="J25" s="172"/>
      <c r="K25" s="172"/>
      <c r="L25" s="172"/>
    </row>
    <row r="26" spans="3:27" x14ac:dyDescent="0.2">
      <c r="C26" s="401" t="s">
        <v>1194</v>
      </c>
      <c r="E26" s="395">
        <v>0.1</v>
      </c>
      <c r="F26" s="395">
        <v>0.6</v>
      </c>
      <c r="G26" s="411">
        <v>0.3</v>
      </c>
      <c r="H26" s="172"/>
      <c r="I26" s="172"/>
      <c r="J26" s="172"/>
      <c r="K26" s="172"/>
      <c r="L26" s="172"/>
    </row>
    <row r="27" spans="3:27" x14ac:dyDescent="0.2">
      <c r="C27" s="401" t="s">
        <v>201</v>
      </c>
      <c r="E27" s="395">
        <v>0.98</v>
      </c>
      <c r="F27" s="364">
        <v>0.01</v>
      </c>
      <c r="G27" s="412">
        <v>0.01</v>
      </c>
      <c r="H27" s="144"/>
      <c r="I27" s="144"/>
      <c r="J27" s="144"/>
      <c r="K27" s="144"/>
      <c r="L27" s="144"/>
    </row>
    <row r="28" spans="3:27" x14ac:dyDescent="0.2">
      <c r="C28" s="402" t="s">
        <v>1195</v>
      </c>
      <c r="D28" s="413"/>
      <c r="E28" s="414">
        <v>0.1</v>
      </c>
      <c r="F28" s="403">
        <v>0.4</v>
      </c>
      <c r="G28" s="415">
        <v>0.5</v>
      </c>
      <c r="H28" s="144"/>
      <c r="I28" s="144"/>
      <c r="J28" s="144"/>
      <c r="K28" s="144"/>
      <c r="L28" s="144"/>
    </row>
    <row r="29" spans="3:27" x14ac:dyDescent="0.2">
      <c r="E29" s="395"/>
      <c r="F29" s="364"/>
      <c r="G29" s="364"/>
      <c r="H29" s="144"/>
      <c r="I29" s="144"/>
      <c r="J29" s="144"/>
      <c r="K29" s="144"/>
      <c r="L29" s="144"/>
    </row>
    <row r="31" spans="3:27" x14ac:dyDescent="0.2">
      <c r="C31" s="554" t="s">
        <v>1183</v>
      </c>
      <c r="D31" s="555"/>
      <c r="E31" s="555"/>
      <c r="F31" s="555"/>
      <c r="G31" s="556"/>
      <c r="H31" s="103"/>
      <c r="I31" s="103"/>
      <c r="J31" s="103"/>
      <c r="K31" s="103"/>
      <c r="L31" s="103"/>
    </row>
    <row r="32" spans="3:27" x14ac:dyDescent="0.2">
      <c r="C32" s="401"/>
      <c r="G32" s="416">
        <v>0.29699999999999999</v>
      </c>
      <c r="H32" s="3"/>
      <c r="I32" s="3"/>
      <c r="J32" s="3"/>
      <c r="K32" s="3"/>
      <c r="L32" s="3"/>
    </row>
    <row r="33" spans="3:13" x14ac:dyDescent="0.2">
      <c r="C33" s="401" t="s">
        <v>1179</v>
      </c>
      <c r="D33" s="367">
        <v>0.29699999999999999</v>
      </c>
      <c r="G33" s="417"/>
    </row>
    <row r="34" spans="3:13" x14ac:dyDescent="0.2">
      <c r="C34" s="402" t="s">
        <v>1184</v>
      </c>
      <c r="D34" s="413">
        <v>0.56799999999999995</v>
      </c>
      <c r="E34" s="404"/>
      <c r="F34" s="404"/>
      <c r="G34" s="405"/>
    </row>
    <row r="36" spans="3:13" x14ac:dyDescent="0.2">
      <c r="C36" s="554" t="s">
        <v>1186</v>
      </c>
      <c r="D36" s="555"/>
      <c r="E36" s="555"/>
      <c r="F36" s="555"/>
      <c r="G36" s="556"/>
      <c r="H36" s="103"/>
      <c r="I36" s="103"/>
      <c r="J36" s="103"/>
      <c r="K36" s="103"/>
      <c r="L36" s="103"/>
    </row>
    <row r="37" spans="3:13" x14ac:dyDescent="0.2">
      <c r="C37" s="401" t="s">
        <v>1179</v>
      </c>
      <c r="D37" s="363">
        <v>1.2500000000000001E-2</v>
      </c>
      <c r="G37" s="418">
        <v>1.2500000000000001E-2</v>
      </c>
      <c r="H37" s="164"/>
      <c r="I37" s="164"/>
      <c r="J37" s="164"/>
      <c r="K37" s="164"/>
      <c r="L37" s="164"/>
    </row>
    <row r="38" spans="3:13" x14ac:dyDescent="0.2">
      <c r="C38" s="402" t="s">
        <v>1185</v>
      </c>
      <c r="D38" s="419">
        <v>7.1999999999999998E-3</v>
      </c>
      <c r="E38" s="404"/>
      <c r="F38" s="404"/>
      <c r="G38" s="405"/>
    </row>
    <row r="39" spans="3:13" x14ac:dyDescent="0.2">
      <c r="D39" s="388"/>
    </row>
    <row r="40" spans="3:13" x14ac:dyDescent="0.2">
      <c r="C40" s="554" t="s">
        <v>1187</v>
      </c>
      <c r="D40" s="555"/>
      <c r="E40" s="555"/>
      <c r="F40" s="555"/>
      <c r="G40" s="556"/>
      <c r="H40" s="103"/>
      <c r="I40" s="103"/>
      <c r="J40" s="103"/>
      <c r="K40" s="103"/>
      <c r="L40" s="103"/>
    </row>
    <row r="41" spans="3:13" x14ac:dyDescent="0.2">
      <c r="C41" s="401" t="s">
        <v>1176</v>
      </c>
      <c r="D41" s="358">
        <v>6.6000000000000003E-2</v>
      </c>
      <c r="G41" s="418">
        <v>6.6000000000000003E-2</v>
      </c>
      <c r="H41" s="164"/>
      <c r="I41" s="164"/>
      <c r="J41" s="164"/>
      <c r="K41" s="164"/>
      <c r="L41" s="164"/>
    </row>
    <row r="42" spans="3:13" x14ac:dyDescent="0.2">
      <c r="C42" s="402" t="s">
        <v>1185</v>
      </c>
      <c r="D42" s="404">
        <v>5.3999999999999999E-2</v>
      </c>
      <c r="E42" s="404"/>
      <c r="F42" s="404"/>
      <c r="G42" s="405"/>
    </row>
    <row r="43" spans="3:13" x14ac:dyDescent="0.2">
      <c r="D43" s="358"/>
    </row>
    <row r="44" spans="3:13" x14ac:dyDescent="0.2">
      <c r="C44" s="554" t="s">
        <v>1191</v>
      </c>
      <c r="D44" s="555"/>
      <c r="E44" s="555"/>
      <c r="F44" s="555"/>
      <c r="G44" s="556"/>
      <c r="H44" s="103"/>
      <c r="I44" s="103"/>
      <c r="J44" s="103"/>
      <c r="K44" s="103"/>
      <c r="L44" s="103"/>
    </row>
    <row r="45" spans="3:13" ht="24" customHeight="1" x14ac:dyDescent="0.2">
      <c r="C45" s="420"/>
      <c r="D45" s="460" t="s">
        <v>1188</v>
      </c>
      <c r="E45" s="460" t="s">
        <v>1189</v>
      </c>
      <c r="F45" s="460" t="s">
        <v>1190</v>
      </c>
      <c r="G45" s="208"/>
      <c r="H45" s="135"/>
      <c r="I45" s="135"/>
      <c r="J45" s="135"/>
      <c r="K45" s="135"/>
      <c r="L45" s="135"/>
      <c r="M45" s="249"/>
    </row>
    <row r="46" spans="3:13" x14ac:dyDescent="0.2">
      <c r="C46" s="420"/>
      <c r="D46" s="421">
        <v>2</v>
      </c>
      <c r="E46" s="421">
        <v>4.5</v>
      </c>
      <c r="F46" s="421">
        <v>3</v>
      </c>
      <c r="G46" s="422"/>
      <c r="H46" s="3"/>
      <c r="I46" s="3"/>
      <c r="J46" s="3"/>
      <c r="K46" s="3"/>
      <c r="L46" s="3"/>
    </row>
    <row r="47" spans="3:13" x14ac:dyDescent="0.2">
      <c r="C47" s="420" t="s">
        <v>1176</v>
      </c>
      <c r="D47" s="367">
        <v>2</v>
      </c>
      <c r="E47" s="367">
        <v>4.5</v>
      </c>
      <c r="F47" s="367">
        <v>3</v>
      </c>
      <c r="G47" s="422"/>
      <c r="H47" s="3"/>
      <c r="I47" s="3"/>
      <c r="J47" s="3"/>
      <c r="K47" s="3"/>
      <c r="L47" s="3"/>
    </row>
    <row r="48" spans="3:13" x14ac:dyDescent="0.2">
      <c r="C48" s="423" t="s">
        <v>1185</v>
      </c>
      <c r="D48" s="413">
        <v>1.6</v>
      </c>
      <c r="E48" s="413">
        <v>3.6</v>
      </c>
      <c r="F48" s="413">
        <v>2.4000000000000004</v>
      </c>
      <c r="G48" s="424"/>
      <c r="H48" s="3"/>
      <c r="I48" s="3"/>
      <c r="J48" s="3"/>
      <c r="K48" s="3"/>
      <c r="L48" s="3"/>
    </row>
    <row r="49" spans="3:12" x14ac:dyDescent="0.2">
      <c r="C49" s="367"/>
      <c r="E49" s="367"/>
      <c r="F49" s="367"/>
      <c r="G49" s="367"/>
      <c r="H49" s="3"/>
      <c r="I49" s="3"/>
      <c r="J49" s="3"/>
      <c r="K49" s="3"/>
      <c r="L49" s="3"/>
    </row>
    <row r="50" spans="3:12" x14ac:dyDescent="0.2">
      <c r="C50" s="564" t="s">
        <v>1192</v>
      </c>
      <c r="D50" s="565"/>
      <c r="E50" s="565"/>
      <c r="F50" s="565"/>
      <c r="G50" s="566"/>
      <c r="H50" s="3"/>
      <c r="I50" s="3"/>
      <c r="J50" s="3"/>
      <c r="K50" s="3"/>
      <c r="L50" s="3"/>
    </row>
    <row r="51" spans="3:12" x14ac:dyDescent="0.2">
      <c r="C51" s="401"/>
      <c r="G51" s="425">
        <v>215</v>
      </c>
      <c r="H51" s="227"/>
      <c r="I51" s="227"/>
      <c r="J51" s="227"/>
      <c r="K51" s="227"/>
      <c r="L51" s="227"/>
    </row>
    <row r="52" spans="3:12" x14ac:dyDescent="0.2">
      <c r="C52" s="401" t="s">
        <v>1179</v>
      </c>
      <c r="D52" s="380">
        <v>215</v>
      </c>
      <c r="G52" s="417"/>
    </row>
    <row r="53" spans="3:12" x14ac:dyDescent="0.2">
      <c r="C53" s="402" t="s">
        <v>1185</v>
      </c>
      <c r="D53" s="426">
        <v>893.20396071179425</v>
      </c>
      <c r="E53" s="404"/>
      <c r="F53" s="404"/>
      <c r="G53" s="427"/>
      <c r="H53" s="227"/>
      <c r="I53" s="227"/>
      <c r="J53" s="227"/>
      <c r="K53" s="227"/>
      <c r="L53" s="227"/>
    </row>
    <row r="54" spans="3:12" x14ac:dyDescent="0.2">
      <c r="D54" s="380"/>
      <c r="G54" s="380"/>
      <c r="H54" s="227"/>
      <c r="I54" s="227"/>
      <c r="J54" s="227"/>
      <c r="K54" s="227"/>
      <c r="L54" s="227"/>
    </row>
    <row r="55" spans="3:12" x14ac:dyDescent="0.2">
      <c r="C55" s="564" t="s">
        <v>1233</v>
      </c>
      <c r="D55" s="565"/>
      <c r="E55" s="565"/>
      <c r="F55" s="565"/>
      <c r="G55" s="566"/>
    </row>
    <row r="56" spans="3:12" ht="16" thickBot="1" x14ac:dyDescent="0.25">
      <c r="C56" s="401"/>
      <c r="D56" s="367" t="s">
        <v>823</v>
      </c>
      <c r="E56" s="358" t="s">
        <v>1232</v>
      </c>
      <c r="G56" s="417"/>
    </row>
    <row r="57" spans="3:12" x14ac:dyDescent="0.2">
      <c r="C57" s="401"/>
      <c r="D57" s="428">
        <v>3.5000000000000003E-2</v>
      </c>
      <c r="E57" s="428">
        <v>3.5000000000000003E-2</v>
      </c>
      <c r="G57" s="417"/>
    </row>
    <row r="58" spans="3:12" x14ac:dyDescent="0.2">
      <c r="C58" s="401" t="s">
        <v>1230</v>
      </c>
      <c r="D58" s="395">
        <v>0</v>
      </c>
      <c r="E58" s="395">
        <v>0</v>
      </c>
      <c r="G58" s="417"/>
    </row>
    <row r="59" spans="3:12" x14ac:dyDescent="0.2">
      <c r="C59" s="401" t="s">
        <v>1179</v>
      </c>
      <c r="D59" s="364">
        <v>3.5000000000000003E-2</v>
      </c>
      <c r="E59" s="364">
        <v>3.5000000000000003E-2</v>
      </c>
      <c r="G59" s="417"/>
    </row>
    <row r="60" spans="3:12" x14ac:dyDescent="0.2">
      <c r="C60" s="402" t="s">
        <v>1231</v>
      </c>
      <c r="D60" s="403">
        <v>1.4999999999999999E-2</v>
      </c>
      <c r="E60" s="403">
        <v>1.4999999999999999E-2</v>
      </c>
      <c r="F60" s="404"/>
      <c r="G60" s="405"/>
    </row>
    <row r="61" spans="3:12" x14ac:dyDescent="0.2">
      <c r="D61" s="363"/>
    </row>
    <row r="62" spans="3:12" x14ac:dyDescent="0.2">
      <c r="C62" s="564" t="s">
        <v>1263</v>
      </c>
      <c r="D62" s="565"/>
      <c r="E62" s="565"/>
      <c r="F62" s="565"/>
      <c r="G62" s="566"/>
    </row>
    <row r="63" spans="3:12" x14ac:dyDescent="0.2">
      <c r="C63" s="401"/>
      <c r="F63" s="461">
        <v>2388.8012902757291</v>
      </c>
    </row>
    <row r="64" spans="3:12" x14ac:dyDescent="0.2">
      <c r="C64" s="575" t="s">
        <v>1179</v>
      </c>
      <c r="D64" s="576"/>
      <c r="E64" s="227">
        <v>2388.8012902757291</v>
      </c>
      <c r="G64" s="417"/>
    </row>
    <row r="65" spans="3:7" x14ac:dyDescent="0.2">
      <c r="C65" s="573" t="s">
        <v>1265</v>
      </c>
      <c r="D65" s="574"/>
      <c r="E65" s="227">
        <v>3528.2167394737421</v>
      </c>
      <c r="G65" s="417"/>
    </row>
    <row r="66" spans="3:7" x14ac:dyDescent="0.2">
      <c r="C66" s="573" t="s">
        <v>1266</v>
      </c>
      <c r="D66" s="574"/>
      <c r="E66" s="227">
        <v>3848.9637157895368</v>
      </c>
      <c r="G66" s="417"/>
    </row>
    <row r="67" spans="3:7" x14ac:dyDescent="0.2">
      <c r="C67" s="573" t="s">
        <v>1267</v>
      </c>
      <c r="D67" s="574"/>
      <c r="E67" s="227">
        <v>4169.7106921053319</v>
      </c>
      <c r="G67" s="417"/>
    </row>
    <row r="68" spans="3:7" x14ac:dyDescent="0.2">
      <c r="C68" s="571" t="s">
        <v>1268</v>
      </c>
      <c r="D68" s="572"/>
      <c r="E68" s="462">
        <v>4490.4576684211261</v>
      </c>
      <c r="F68" s="404"/>
      <c r="G68" s="405"/>
    </row>
    <row r="69" spans="3:7" x14ac:dyDescent="0.2">
      <c r="C69" s="103"/>
      <c r="D69" s="3"/>
    </row>
    <row r="70" spans="3:7" x14ac:dyDescent="0.2">
      <c r="C70" s="564" t="s">
        <v>1269</v>
      </c>
      <c r="D70" s="565"/>
      <c r="E70" s="565"/>
      <c r="F70" s="565"/>
      <c r="G70" s="566"/>
    </row>
    <row r="71" spans="3:7" x14ac:dyDescent="0.2">
      <c r="C71" s="232"/>
      <c r="D71" s="3"/>
      <c r="F71" s="461">
        <v>125</v>
      </c>
      <c r="G71" s="417"/>
    </row>
    <row r="72" spans="3:7" x14ac:dyDescent="0.2">
      <c r="C72" s="567" t="s">
        <v>1270</v>
      </c>
      <c r="D72" s="568"/>
      <c r="E72" s="463">
        <v>125</v>
      </c>
      <c r="G72" s="417"/>
    </row>
    <row r="73" spans="3:7" x14ac:dyDescent="0.2">
      <c r="C73" s="569"/>
      <c r="D73" s="570"/>
      <c r="E73" s="464">
        <v>250</v>
      </c>
      <c r="F73" s="404"/>
      <c r="G73" s="405"/>
    </row>
  </sheetData>
  <mergeCells count="20">
    <mergeCell ref="C70:G70"/>
    <mergeCell ref="C72:D72"/>
    <mergeCell ref="C73:D73"/>
    <mergeCell ref="C55:G55"/>
    <mergeCell ref="C40:G40"/>
    <mergeCell ref="C44:G44"/>
    <mergeCell ref="C50:G50"/>
    <mergeCell ref="C68:D68"/>
    <mergeCell ref="C62:G62"/>
    <mergeCell ref="C65:D65"/>
    <mergeCell ref="C66:D66"/>
    <mergeCell ref="C67:D67"/>
    <mergeCell ref="C64:D64"/>
    <mergeCell ref="C31:G31"/>
    <mergeCell ref="C36:G36"/>
    <mergeCell ref="C7:G7"/>
    <mergeCell ref="C11:G11"/>
    <mergeCell ref="C12:G12"/>
    <mergeCell ref="C17:G17"/>
    <mergeCell ref="C22:G22"/>
  </mergeCells>
  <dataValidations count="17">
    <dataValidation type="list" allowBlank="1" showInputMessage="1" showErrorMessage="1" sqref="G13:L13" xr:uid="{B23AE67F-36F8-4C62-85ED-568E0C64A512}">
      <formula1>$D$13:$D$14</formula1>
    </dataValidation>
    <dataValidation type="list" allowBlank="1" showInputMessage="1" showErrorMessage="1" sqref="G18:J18 L18" xr:uid="{8C86C904-EED2-4C62-B6F9-2C101F244577}">
      <formula1>$D$18:$D$19</formula1>
    </dataValidation>
    <dataValidation type="list" allowBlank="1" showInputMessage="1" showErrorMessage="1" sqref="E24" xr:uid="{FA02C47B-DD45-4313-A95D-09DCAD631C4A}">
      <formula1>$E$25:$E$28</formula1>
    </dataValidation>
    <dataValidation type="list" allowBlank="1" showInputMessage="1" showErrorMessage="1" sqref="F24" xr:uid="{C95A8686-5133-4023-956C-EF66EC7F299C}">
      <formula1>$F$25:$F$28</formula1>
    </dataValidation>
    <dataValidation type="list" allowBlank="1" showInputMessage="1" showErrorMessage="1" sqref="G24:L24" xr:uid="{5653D721-341E-4002-B21F-4AB2D0C347F3}">
      <formula1>$G$25:$G$28</formula1>
    </dataValidation>
    <dataValidation allowBlank="1" showInputMessage="1" showErrorMessage="1" promptTitle="test order" sqref="D13:E15" xr:uid="{0FBA60FE-FEC5-4BCB-99A4-B05B1A862966}"/>
    <dataValidation type="list" allowBlank="1" showInputMessage="1" showErrorMessage="1" sqref="G32:L32" xr:uid="{13AEEE51-79EE-480F-8F94-72901B08EBED}">
      <formula1>$D$33:$D$34</formula1>
    </dataValidation>
    <dataValidation type="list" allowBlank="1" showInputMessage="1" showErrorMessage="1" sqref="G37:L37" xr:uid="{32B8F199-96F4-4F99-B519-A01D376B163A}">
      <formula1>$D$37:$D$38</formula1>
    </dataValidation>
    <dataValidation type="list" allowBlank="1" showInputMessage="1" showErrorMessage="1" sqref="G41:L41" xr:uid="{FCD1A5DC-75C3-4CEE-AA25-133E2BE91700}">
      <formula1>$D$41:$D$42</formula1>
    </dataValidation>
    <dataValidation type="list" allowBlank="1" showInputMessage="1" showErrorMessage="1" sqref="D46" xr:uid="{995146C3-5A4B-42FE-9B37-7E16D97764FC}">
      <formula1>$D$47:$D$48</formula1>
    </dataValidation>
    <dataValidation type="list" allowBlank="1" showInputMessage="1" showErrorMessage="1" sqref="E46" xr:uid="{9CC15C6C-1052-4DAF-BFCD-95A5250B5659}">
      <formula1>$E$47:$E$48</formula1>
    </dataValidation>
    <dataValidation type="list" allowBlank="1" showInputMessage="1" showErrorMessage="1" sqref="F46" xr:uid="{D1F2D813-7FDD-4A60-AF39-D28C657C4FD9}">
      <formula1>$F$47:$F$48</formula1>
    </dataValidation>
    <dataValidation type="list" allowBlank="1" showInputMessage="1" showErrorMessage="1" sqref="G51:L51" xr:uid="{98B77BF7-88CC-4977-BD5F-DD24D2C6400E}">
      <formula1>$D$52:$D$53</formula1>
    </dataValidation>
    <dataValidation type="list" allowBlank="1" showInputMessage="1" showErrorMessage="1" sqref="D57" xr:uid="{ABC7A0FC-B5CD-4969-90DD-A5CBA05D8E57}">
      <formula1>$D$58:$D$60</formula1>
    </dataValidation>
    <dataValidation type="list" allowBlank="1" showInputMessage="1" showErrorMessage="1" sqref="E57" xr:uid="{57EA219A-FDC1-4EB8-9601-86407FBCC0C5}">
      <formula1>$E$58:$E$60</formula1>
    </dataValidation>
    <dataValidation type="list" allowBlank="1" showInputMessage="1" showErrorMessage="1" sqref="F63" xr:uid="{3CEA9729-0343-44D8-9DB2-06C778E5A8B5}">
      <formula1>$E$64:$E$68</formula1>
    </dataValidation>
    <dataValidation type="list" allowBlank="1" showInputMessage="1" showErrorMessage="1" sqref="F71" xr:uid="{18E3A93C-A7E0-4A44-BCA7-B5F38E8D49B0}">
      <formula1>$E$72:$E$73</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5601" r:id="rId4" name="Drop Down 1">
              <controlPr defaultSize="0" autoLine="0" autoPict="0">
                <anchor moveWithCells="1">
                  <from>
                    <xdr:col>1</xdr:col>
                    <xdr:colOff>1244600</xdr:colOff>
                    <xdr:row>4</xdr:row>
                    <xdr:rowOff>152400</xdr:rowOff>
                  </from>
                  <to>
                    <xdr:col>7</xdr:col>
                    <xdr:colOff>12700</xdr:colOff>
                    <xdr:row>5</xdr:row>
                    <xdr:rowOff>177800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E3FC4-C0AB-47BB-BC82-13FEBC66AB91}">
  <dimension ref="B1:WN44"/>
  <sheetViews>
    <sheetView showGridLines="0" topLeftCell="WH1" workbookViewId="0">
      <pane ySplit="1" topLeftCell="A2" activePane="bottomLeft" state="frozen"/>
      <selection pane="bottomLeft" activeCell="SU4" sqref="SU4:WW4"/>
    </sheetView>
  </sheetViews>
  <sheetFormatPr baseColWidth="10" defaultColWidth="8.6640625" defaultRowHeight="12" x14ac:dyDescent="0.15"/>
  <cols>
    <col min="1" max="1" width="2.33203125" style="367" customWidth="1"/>
    <col min="2" max="2" width="21.6640625" style="457" customWidth="1"/>
    <col min="3" max="3" width="0.83203125" style="511" customWidth="1"/>
    <col min="4" max="4" width="10.5" style="367" customWidth="1"/>
    <col min="5" max="5" width="1.1640625" style="511" customWidth="1"/>
    <col min="6" max="8" width="8.6640625" style="367" customWidth="1"/>
    <col min="9" max="9" width="39.6640625" style="367" customWidth="1"/>
    <col min="10" max="10" width="21.6640625" style="367" customWidth="1"/>
    <col min="11" max="11" width="11.1640625" style="367" customWidth="1"/>
    <col min="12" max="12" width="0.83203125" style="421" customWidth="1"/>
    <col min="13" max="13" width="10.83203125" style="367" customWidth="1"/>
    <col min="14" max="14" width="9.1640625" style="367" customWidth="1"/>
    <col min="15" max="1999" width="8.6640625" style="367"/>
    <col min="2000" max="2000" width="2.1640625" style="367" customWidth="1"/>
    <col min="2001" max="2001" width="8.6640625" style="367"/>
    <col min="2002" max="2003" width="2.5" style="367" customWidth="1"/>
    <col min="2004" max="16384" width="8.6640625" style="367"/>
  </cols>
  <sheetData>
    <row r="1" spans="2:612" s="421" customFormat="1" ht="13" x14ac:dyDescent="0.15">
      <c r="B1" s="482" t="s">
        <v>912</v>
      </c>
      <c r="C1" s="511"/>
      <c r="D1" s="421" t="s">
        <v>1271</v>
      </c>
      <c r="E1" s="511"/>
      <c r="F1" s="421" t="s">
        <v>1279</v>
      </c>
      <c r="G1" s="421" t="s">
        <v>335</v>
      </c>
      <c r="H1" s="421" t="s">
        <v>377</v>
      </c>
      <c r="I1" s="421" t="s">
        <v>1296</v>
      </c>
      <c r="J1" s="421" t="s">
        <v>1297</v>
      </c>
      <c r="K1" s="421" t="s">
        <v>1272</v>
      </c>
      <c r="M1" s="421" t="s">
        <v>1276</v>
      </c>
      <c r="DI1" s="421" t="s">
        <v>1276</v>
      </c>
      <c r="HE1" s="421" t="s">
        <v>1276</v>
      </c>
      <c r="LA1" s="421" t="s">
        <v>1276</v>
      </c>
      <c r="OW1" s="421" t="s">
        <v>1276</v>
      </c>
      <c r="SS1" s="421" t="s">
        <v>1276</v>
      </c>
    </row>
    <row r="2" spans="2:612" ht="5.5" customHeight="1" x14ac:dyDescent="0.15">
      <c r="B2" s="465"/>
    </row>
    <row r="3" spans="2:612" x14ac:dyDescent="0.15">
      <c r="B3" s="466" t="s">
        <v>913</v>
      </c>
      <c r="D3" s="512">
        <f t="shared" ref="D3:D44" si="0">IF(model_type=1, F3, M3)</f>
        <v>0.93</v>
      </c>
      <c r="F3" s="512">
        <v>0.93</v>
      </c>
      <c r="G3" s="367">
        <v>235</v>
      </c>
      <c r="H3" s="363" t="s">
        <v>350</v>
      </c>
      <c r="I3" s="438">
        <f t="shared" ref="I3:I4" si="1">F3*G3</f>
        <v>218.55</v>
      </c>
      <c r="J3" s="438">
        <f t="shared" ref="J3:J4" si="2">G3-I3</f>
        <v>16.449999999999989</v>
      </c>
      <c r="K3" s="367" t="s">
        <v>1273</v>
      </c>
      <c r="M3" s="363">
        <f ca="1">MAX(0.5, MIN(1, _xlfn.BETA.INV(RAND(),$I$3,$J$3)))</f>
        <v>0.9283981607369004</v>
      </c>
      <c r="N3" s="363">
        <f t="shared" ref="N3:BY3" ca="1" si="3">MAX(0.5, MIN(1, _xlfn.BETA.INV(RAND(),$I$3,$J$3)))</f>
        <v>0.91916241249990982</v>
      </c>
      <c r="O3" s="363">
        <f t="shared" ca="1" si="3"/>
        <v>0.93923304215937697</v>
      </c>
      <c r="P3" s="363">
        <f t="shared" ca="1" si="3"/>
        <v>0.9444926205137707</v>
      </c>
      <c r="Q3" s="363">
        <f t="shared" ca="1" si="3"/>
        <v>0.91452760856636917</v>
      </c>
      <c r="R3" s="363">
        <f t="shared" ca="1" si="3"/>
        <v>0.93685252912983374</v>
      </c>
      <c r="S3" s="363">
        <f t="shared" ca="1" si="3"/>
        <v>0.90381924804093228</v>
      </c>
      <c r="T3" s="363">
        <f t="shared" ca="1" si="3"/>
        <v>0.92697552594299271</v>
      </c>
      <c r="U3" s="363">
        <f t="shared" ca="1" si="3"/>
        <v>0.93869922526966554</v>
      </c>
      <c r="V3" s="363">
        <f t="shared" ca="1" si="3"/>
        <v>0.93881282244562703</v>
      </c>
      <c r="W3" s="363">
        <f t="shared" ca="1" si="3"/>
        <v>0.94429176851555174</v>
      </c>
      <c r="X3" s="363">
        <f t="shared" ca="1" si="3"/>
        <v>0.94545763000893268</v>
      </c>
      <c r="Y3" s="363">
        <f t="shared" ca="1" si="3"/>
        <v>0.93743271581495369</v>
      </c>
      <c r="Z3" s="363">
        <f t="shared" ca="1" si="3"/>
        <v>0.93757532397537258</v>
      </c>
      <c r="AA3" s="363">
        <f t="shared" ca="1" si="3"/>
        <v>0.95472281591267483</v>
      </c>
      <c r="AB3" s="363">
        <f t="shared" ca="1" si="3"/>
        <v>0.92603589420820298</v>
      </c>
      <c r="AC3" s="363">
        <f t="shared" ca="1" si="3"/>
        <v>0.91319406772613121</v>
      </c>
      <c r="AD3" s="363">
        <f t="shared" ca="1" si="3"/>
        <v>0.92419742745433064</v>
      </c>
      <c r="AE3" s="363">
        <f t="shared" ca="1" si="3"/>
        <v>0.93656315603998053</v>
      </c>
      <c r="AF3" s="363">
        <f t="shared" ca="1" si="3"/>
        <v>0.94371478343228143</v>
      </c>
      <c r="AG3" s="363">
        <f t="shared" ca="1" si="3"/>
        <v>0.93544157993740396</v>
      </c>
      <c r="AH3" s="363">
        <f t="shared" ca="1" si="3"/>
        <v>0.94520406934662349</v>
      </c>
      <c r="AI3" s="363">
        <f t="shared" ca="1" si="3"/>
        <v>0.90136506072972888</v>
      </c>
      <c r="AJ3" s="363">
        <f t="shared" ca="1" si="3"/>
        <v>0.93260584045623718</v>
      </c>
      <c r="AK3" s="363">
        <f t="shared" ca="1" si="3"/>
        <v>0.93234991808341339</v>
      </c>
      <c r="AL3" s="363">
        <f t="shared" ca="1" si="3"/>
        <v>0.9453639439559669</v>
      </c>
      <c r="AM3" s="363">
        <f t="shared" ca="1" si="3"/>
        <v>0.92008669833143419</v>
      </c>
      <c r="AN3" s="363">
        <f t="shared" ca="1" si="3"/>
        <v>0.94070192736860991</v>
      </c>
      <c r="AO3" s="363">
        <f t="shared" ca="1" si="3"/>
        <v>0.95807004848609478</v>
      </c>
      <c r="AP3" s="363">
        <f t="shared" ca="1" si="3"/>
        <v>0.95317071735408598</v>
      </c>
      <c r="AQ3" s="363">
        <f t="shared" ca="1" si="3"/>
        <v>0.93522447364147032</v>
      </c>
      <c r="AR3" s="363">
        <f t="shared" ca="1" si="3"/>
        <v>0.89581846142124844</v>
      </c>
      <c r="AS3" s="363">
        <f t="shared" ca="1" si="3"/>
        <v>0.9094949095809306</v>
      </c>
      <c r="AT3" s="363">
        <f t="shared" ca="1" si="3"/>
        <v>0.9132783145180785</v>
      </c>
      <c r="AU3" s="363">
        <f t="shared" ca="1" si="3"/>
        <v>0.9164561207782681</v>
      </c>
      <c r="AV3" s="363">
        <f t="shared" ca="1" si="3"/>
        <v>0.93612885440673654</v>
      </c>
      <c r="AW3" s="363">
        <f t="shared" ca="1" si="3"/>
        <v>0.91611126987573321</v>
      </c>
      <c r="AX3" s="363">
        <f t="shared" ca="1" si="3"/>
        <v>0.93211392092873835</v>
      </c>
      <c r="AY3" s="363">
        <f t="shared" ca="1" si="3"/>
        <v>0.93869025895601466</v>
      </c>
      <c r="AZ3" s="363">
        <f t="shared" ca="1" si="3"/>
        <v>0.9373143165905089</v>
      </c>
      <c r="BA3" s="363">
        <f t="shared" ca="1" si="3"/>
        <v>0.93817651950893155</v>
      </c>
      <c r="BB3" s="363">
        <f t="shared" ca="1" si="3"/>
        <v>0.95235098363807125</v>
      </c>
      <c r="BC3" s="363">
        <f t="shared" ca="1" si="3"/>
        <v>0.91947702357315297</v>
      </c>
      <c r="BD3" s="363">
        <f t="shared" ca="1" si="3"/>
        <v>0.93818476381669547</v>
      </c>
      <c r="BE3" s="363">
        <f t="shared" ca="1" si="3"/>
        <v>0.91974974664470643</v>
      </c>
      <c r="BF3" s="363">
        <f t="shared" ca="1" si="3"/>
        <v>0.92784453117534205</v>
      </c>
      <c r="BG3" s="363">
        <f t="shared" ca="1" si="3"/>
        <v>0.93352291447925873</v>
      </c>
      <c r="BH3" s="363">
        <f t="shared" ca="1" si="3"/>
        <v>0.91830244021585383</v>
      </c>
      <c r="BI3" s="363">
        <f t="shared" ca="1" si="3"/>
        <v>0.93910823329106885</v>
      </c>
      <c r="BJ3" s="363">
        <f t="shared" ca="1" si="3"/>
        <v>0.8946613297071796</v>
      </c>
      <c r="BK3" s="363">
        <f t="shared" ca="1" si="3"/>
        <v>0.95096332261045191</v>
      </c>
      <c r="BL3" s="363">
        <f t="shared" ca="1" si="3"/>
        <v>0.9203378312377638</v>
      </c>
      <c r="BM3" s="363">
        <f t="shared" ca="1" si="3"/>
        <v>0.95009765903921961</v>
      </c>
      <c r="BN3" s="363">
        <f t="shared" ca="1" si="3"/>
        <v>0.90223508500851679</v>
      </c>
      <c r="BO3" s="363">
        <f t="shared" ca="1" si="3"/>
        <v>0.92933231265080729</v>
      </c>
      <c r="BP3" s="363">
        <f t="shared" ca="1" si="3"/>
        <v>0.93449587230923248</v>
      </c>
      <c r="BQ3" s="363">
        <f t="shared" ca="1" si="3"/>
        <v>0.94291433818808201</v>
      </c>
      <c r="BR3" s="363">
        <f t="shared" ca="1" si="3"/>
        <v>0.93487343041922144</v>
      </c>
      <c r="BS3" s="363">
        <f t="shared" ca="1" si="3"/>
        <v>0.93982207397296702</v>
      </c>
      <c r="BT3" s="363">
        <f t="shared" ca="1" si="3"/>
        <v>0.90623244123427438</v>
      </c>
      <c r="BU3" s="363">
        <f t="shared" ca="1" si="3"/>
        <v>0.92921927053900966</v>
      </c>
      <c r="BV3" s="363">
        <f t="shared" ca="1" si="3"/>
        <v>0.92312293871566831</v>
      </c>
      <c r="BW3" s="363">
        <f t="shared" ca="1" si="3"/>
        <v>0.94322706297370507</v>
      </c>
      <c r="BX3" s="363">
        <f t="shared" ca="1" si="3"/>
        <v>0.96533370650650352</v>
      </c>
      <c r="BY3" s="363">
        <f t="shared" ca="1" si="3"/>
        <v>0.9377874931126382</v>
      </c>
      <c r="BZ3" s="363">
        <f t="shared" ref="BZ3:DH3" ca="1" si="4">MAX(0.5, MIN(1, _xlfn.BETA.INV(RAND(),$I$3,$J$3)))</f>
        <v>0.96182477323233384</v>
      </c>
      <c r="CA3" s="363">
        <f t="shared" ca="1" si="4"/>
        <v>0.89946943975585014</v>
      </c>
      <c r="CB3" s="363">
        <f t="shared" ca="1" si="4"/>
        <v>0.92984192187250858</v>
      </c>
      <c r="CC3" s="363">
        <f t="shared" ca="1" si="4"/>
        <v>0.89287518801753141</v>
      </c>
      <c r="CD3" s="363">
        <f t="shared" ca="1" si="4"/>
        <v>0.94065185239698335</v>
      </c>
      <c r="CE3" s="363">
        <f t="shared" ca="1" si="4"/>
        <v>0.91580828009488946</v>
      </c>
      <c r="CF3" s="363">
        <f t="shared" ca="1" si="4"/>
        <v>0.94206797770306316</v>
      </c>
      <c r="CG3" s="363">
        <f t="shared" ca="1" si="4"/>
        <v>0.91385731686461058</v>
      </c>
      <c r="CH3" s="363">
        <f t="shared" ca="1" si="4"/>
        <v>0.93318105336265544</v>
      </c>
      <c r="CI3" s="363">
        <f t="shared" ca="1" si="4"/>
        <v>0.9206707768026976</v>
      </c>
      <c r="CJ3" s="363">
        <f t="shared" ca="1" si="4"/>
        <v>0.9508092984421489</v>
      </c>
      <c r="CK3" s="363">
        <f t="shared" ca="1" si="4"/>
        <v>0.92750844568717505</v>
      </c>
      <c r="CL3" s="363">
        <f t="shared" ca="1" si="4"/>
        <v>0.93119669874774436</v>
      </c>
      <c r="CM3" s="363">
        <f t="shared" ca="1" si="4"/>
        <v>0.95046261615879546</v>
      </c>
      <c r="CN3" s="363">
        <f t="shared" ca="1" si="4"/>
        <v>0.94009209057988696</v>
      </c>
      <c r="CO3" s="363">
        <f t="shared" ca="1" si="4"/>
        <v>0.92658253961371695</v>
      </c>
      <c r="CP3" s="363">
        <f t="shared" ca="1" si="4"/>
        <v>0.9386289843645248</v>
      </c>
      <c r="CQ3" s="363">
        <f t="shared" ca="1" si="4"/>
        <v>0.94536583246199202</v>
      </c>
      <c r="CR3" s="363">
        <f t="shared" ca="1" si="4"/>
        <v>0.93615917785428937</v>
      </c>
      <c r="CS3" s="363">
        <f t="shared" ca="1" si="4"/>
        <v>0.93230946536149317</v>
      </c>
      <c r="CT3" s="363">
        <f t="shared" ca="1" si="4"/>
        <v>0.95183789382366091</v>
      </c>
      <c r="CU3" s="363">
        <f t="shared" ca="1" si="4"/>
        <v>0.93548456774275313</v>
      </c>
      <c r="CV3" s="363">
        <f t="shared" ca="1" si="4"/>
        <v>0.93890929710534121</v>
      </c>
      <c r="CW3" s="363">
        <f t="shared" ca="1" si="4"/>
        <v>0.95452324196392491</v>
      </c>
      <c r="CX3" s="363">
        <f t="shared" ca="1" si="4"/>
        <v>0.9483011071980999</v>
      </c>
      <c r="CY3" s="363">
        <f t="shared" ca="1" si="4"/>
        <v>0.89163028134811284</v>
      </c>
      <c r="CZ3" s="363">
        <f t="shared" ca="1" si="4"/>
        <v>0.93092916601922782</v>
      </c>
      <c r="DA3" s="363">
        <f t="shared" ca="1" si="4"/>
        <v>0.92594676105470186</v>
      </c>
      <c r="DB3" s="363">
        <f t="shared" ca="1" si="4"/>
        <v>0.90724998224764797</v>
      </c>
      <c r="DC3" s="363">
        <f t="shared" ca="1" si="4"/>
        <v>0.92425426186838133</v>
      </c>
      <c r="DD3" s="363">
        <f t="shared" ca="1" si="4"/>
        <v>0.92989118932673098</v>
      </c>
      <c r="DE3" s="363">
        <f t="shared" ca="1" si="4"/>
        <v>0.95298964864375435</v>
      </c>
      <c r="DF3" s="363">
        <f t="shared" ca="1" si="4"/>
        <v>0.89783751826251723</v>
      </c>
      <c r="DG3" s="363">
        <f t="shared" ca="1" si="4"/>
        <v>0.91584910130966302</v>
      </c>
      <c r="DH3" s="363">
        <f t="shared" ca="1" si="4"/>
        <v>0.93053324394709258</v>
      </c>
      <c r="DI3" s="363">
        <f ca="1">MAX(0.5, MIN(1, _xlfn.BETA.INV(RAND(),$I$3,$J$3)))</f>
        <v>0.91090398662166694</v>
      </c>
      <c r="DJ3" s="363">
        <f t="shared" ref="DJ3:FU3" ca="1" si="5">MAX(0.5, MIN(1, _xlfn.BETA.INV(RAND(),$I$3,$J$3)))</f>
        <v>0.91284390585180253</v>
      </c>
      <c r="DK3" s="363">
        <f t="shared" ca="1" si="5"/>
        <v>0.95137576375737831</v>
      </c>
      <c r="DL3" s="363">
        <f t="shared" ca="1" si="5"/>
        <v>0.84638148994192486</v>
      </c>
      <c r="DM3" s="363">
        <f t="shared" ca="1" si="5"/>
        <v>0.89654992082742657</v>
      </c>
      <c r="DN3" s="363">
        <f t="shared" ca="1" si="5"/>
        <v>0.92256602794988862</v>
      </c>
      <c r="DO3" s="363">
        <f t="shared" ca="1" si="5"/>
        <v>0.92831334161820744</v>
      </c>
      <c r="DP3" s="363">
        <f t="shared" ca="1" si="5"/>
        <v>0.94402623709604128</v>
      </c>
      <c r="DQ3" s="363">
        <f t="shared" ca="1" si="5"/>
        <v>0.93154455112087042</v>
      </c>
      <c r="DR3" s="363">
        <f t="shared" ca="1" si="5"/>
        <v>0.93604557272454469</v>
      </c>
      <c r="DS3" s="363">
        <f t="shared" ca="1" si="5"/>
        <v>0.94745782166288239</v>
      </c>
      <c r="DT3" s="363">
        <f t="shared" ca="1" si="5"/>
        <v>0.95824843077081656</v>
      </c>
      <c r="DU3" s="363">
        <f t="shared" ca="1" si="5"/>
        <v>0.93360757982656062</v>
      </c>
      <c r="DV3" s="363">
        <f t="shared" ca="1" si="5"/>
        <v>0.94872726180070621</v>
      </c>
      <c r="DW3" s="363">
        <f t="shared" ca="1" si="5"/>
        <v>0.91877768813802829</v>
      </c>
      <c r="DX3" s="363">
        <f t="shared" ca="1" si="5"/>
        <v>0.9510907902610376</v>
      </c>
      <c r="DY3" s="363">
        <f t="shared" ca="1" si="5"/>
        <v>0.93126067302251303</v>
      </c>
      <c r="DZ3" s="363">
        <f t="shared" ca="1" si="5"/>
        <v>0.94863784404502272</v>
      </c>
      <c r="EA3" s="363">
        <f t="shared" ca="1" si="5"/>
        <v>0.94434560178462601</v>
      </c>
      <c r="EB3" s="363">
        <f t="shared" ca="1" si="5"/>
        <v>0.92991924042318008</v>
      </c>
      <c r="EC3" s="363">
        <f t="shared" ca="1" si="5"/>
        <v>0.89633420976365019</v>
      </c>
      <c r="ED3" s="363">
        <f t="shared" ca="1" si="5"/>
        <v>0.9445570996838818</v>
      </c>
      <c r="EE3" s="363">
        <f t="shared" ca="1" si="5"/>
        <v>0.94169393717168992</v>
      </c>
      <c r="EF3" s="363">
        <f t="shared" ca="1" si="5"/>
        <v>0.93402245236245662</v>
      </c>
      <c r="EG3" s="363">
        <f t="shared" ca="1" si="5"/>
        <v>0.91541411445042398</v>
      </c>
      <c r="EH3" s="363">
        <f t="shared" ca="1" si="5"/>
        <v>0.93363540897165509</v>
      </c>
      <c r="EI3" s="363">
        <f t="shared" ca="1" si="5"/>
        <v>0.94812742274989037</v>
      </c>
      <c r="EJ3" s="363">
        <f t="shared" ca="1" si="5"/>
        <v>0.92520997112221159</v>
      </c>
      <c r="EK3" s="363">
        <f t="shared" ca="1" si="5"/>
        <v>0.94657366373161045</v>
      </c>
      <c r="EL3" s="363">
        <f t="shared" ca="1" si="5"/>
        <v>0.93922421949169987</v>
      </c>
      <c r="EM3" s="363">
        <f t="shared" ca="1" si="5"/>
        <v>0.92373634712212438</v>
      </c>
      <c r="EN3" s="363">
        <f t="shared" ca="1" si="5"/>
        <v>0.93261572137396354</v>
      </c>
      <c r="EO3" s="363">
        <f t="shared" ca="1" si="5"/>
        <v>0.92705866608355625</v>
      </c>
      <c r="EP3" s="363">
        <f t="shared" ca="1" si="5"/>
        <v>0.93760461301182096</v>
      </c>
      <c r="EQ3" s="363">
        <f t="shared" ca="1" si="5"/>
        <v>0.92223611135101358</v>
      </c>
      <c r="ER3" s="363">
        <f t="shared" ca="1" si="5"/>
        <v>0.95581588808970253</v>
      </c>
      <c r="ES3" s="363">
        <f t="shared" ca="1" si="5"/>
        <v>0.92476745361201895</v>
      </c>
      <c r="ET3" s="363">
        <f t="shared" ca="1" si="5"/>
        <v>0.89599779951971847</v>
      </c>
      <c r="EU3" s="363">
        <f t="shared" ca="1" si="5"/>
        <v>0.93033154479409697</v>
      </c>
      <c r="EV3" s="363">
        <f t="shared" ca="1" si="5"/>
        <v>0.91873448699353477</v>
      </c>
      <c r="EW3" s="363">
        <f t="shared" ca="1" si="5"/>
        <v>0.91397525933258406</v>
      </c>
      <c r="EX3" s="363">
        <f t="shared" ca="1" si="5"/>
        <v>0.91397720086878886</v>
      </c>
      <c r="EY3" s="363">
        <f t="shared" ca="1" si="5"/>
        <v>0.92904601675142828</v>
      </c>
      <c r="EZ3" s="363">
        <f t="shared" ca="1" si="5"/>
        <v>0.9351117353961198</v>
      </c>
      <c r="FA3" s="363">
        <f t="shared" ca="1" si="5"/>
        <v>0.92480453529229401</v>
      </c>
      <c r="FB3" s="363">
        <f t="shared" ca="1" si="5"/>
        <v>0.9294849062076278</v>
      </c>
      <c r="FC3" s="363">
        <f t="shared" ca="1" si="5"/>
        <v>0.91294542833353487</v>
      </c>
      <c r="FD3" s="363">
        <f t="shared" ca="1" si="5"/>
        <v>0.92238704277139361</v>
      </c>
      <c r="FE3" s="363">
        <f t="shared" ca="1" si="5"/>
        <v>0.91707184302130518</v>
      </c>
      <c r="FF3" s="363">
        <f t="shared" ca="1" si="5"/>
        <v>0.93884022688975843</v>
      </c>
      <c r="FG3" s="363">
        <f t="shared" ca="1" si="5"/>
        <v>0.94576898148356425</v>
      </c>
      <c r="FH3" s="363">
        <f t="shared" ca="1" si="5"/>
        <v>0.91997273218554521</v>
      </c>
      <c r="FI3" s="363">
        <f t="shared" ca="1" si="5"/>
        <v>0.94170598478191447</v>
      </c>
      <c r="FJ3" s="363">
        <f t="shared" ca="1" si="5"/>
        <v>0.91538961905621952</v>
      </c>
      <c r="FK3" s="363">
        <f t="shared" ca="1" si="5"/>
        <v>0.9433493160854437</v>
      </c>
      <c r="FL3" s="363">
        <f t="shared" ca="1" si="5"/>
        <v>0.94816286903077296</v>
      </c>
      <c r="FM3" s="363">
        <f t="shared" ca="1" si="5"/>
        <v>0.92576854466397807</v>
      </c>
      <c r="FN3" s="363">
        <f t="shared" ca="1" si="5"/>
        <v>0.91911303401677935</v>
      </c>
      <c r="FO3" s="363">
        <f t="shared" ca="1" si="5"/>
        <v>0.92081735309413348</v>
      </c>
      <c r="FP3" s="363">
        <f t="shared" ca="1" si="5"/>
        <v>0.91088320854128124</v>
      </c>
      <c r="FQ3" s="363">
        <f t="shared" ca="1" si="5"/>
        <v>0.91892247825121587</v>
      </c>
      <c r="FR3" s="363">
        <f t="shared" ca="1" si="5"/>
        <v>0.94177878752987476</v>
      </c>
      <c r="FS3" s="363">
        <f t="shared" ca="1" si="5"/>
        <v>0.92368307077736544</v>
      </c>
      <c r="FT3" s="363">
        <f t="shared" ca="1" si="5"/>
        <v>0.93705509482734017</v>
      </c>
      <c r="FU3" s="363">
        <f t="shared" ca="1" si="5"/>
        <v>0.91465682304891971</v>
      </c>
      <c r="FV3" s="363">
        <f t="shared" ref="FV3:HD3" ca="1" si="6">MAX(0.5, MIN(1, _xlfn.BETA.INV(RAND(),$I$3,$J$3)))</f>
        <v>0.92217008826760904</v>
      </c>
      <c r="FW3" s="363">
        <f t="shared" ca="1" si="6"/>
        <v>0.93840600333771163</v>
      </c>
      <c r="FX3" s="363">
        <f t="shared" ca="1" si="6"/>
        <v>0.93527293604346984</v>
      </c>
      <c r="FY3" s="363">
        <f t="shared" ca="1" si="6"/>
        <v>0.95261345606082026</v>
      </c>
      <c r="FZ3" s="363">
        <f t="shared" ca="1" si="6"/>
        <v>0.94533299981012608</v>
      </c>
      <c r="GA3" s="363">
        <f t="shared" ca="1" si="6"/>
        <v>0.91638246212746244</v>
      </c>
      <c r="GB3" s="363">
        <f t="shared" ca="1" si="6"/>
        <v>0.9398109964501965</v>
      </c>
      <c r="GC3" s="363">
        <f t="shared" ca="1" si="6"/>
        <v>0.93547545645486274</v>
      </c>
      <c r="GD3" s="363">
        <f t="shared" ca="1" si="6"/>
        <v>0.89847521395832453</v>
      </c>
      <c r="GE3" s="363">
        <f t="shared" ca="1" si="6"/>
        <v>0.91699319878942664</v>
      </c>
      <c r="GF3" s="363">
        <f t="shared" ca="1" si="6"/>
        <v>0.92725319057377764</v>
      </c>
      <c r="GG3" s="363">
        <f t="shared" ca="1" si="6"/>
        <v>0.91793663891100619</v>
      </c>
      <c r="GH3" s="363">
        <f t="shared" ca="1" si="6"/>
        <v>0.96141088418345966</v>
      </c>
      <c r="GI3" s="363">
        <f t="shared" ca="1" si="6"/>
        <v>0.93908672743112909</v>
      </c>
      <c r="GJ3" s="363">
        <f t="shared" ca="1" si="6"/>
        <v>0.91676842726910879</v>
      </c>
      <c r="GK3" s="363">
        <f t="shared" ca="1" si="6"/>
        <v>0.91390683355193358</v>
      </c>
      <c r="GL3" s="363">
        <f t="shared" ca="1" si="6"/>
        <v>0.9358489398323766</v>
      </c>
      <c r="GM3" s="363">
        <f t="shared" ca="1" si="6"/>
        <v>0.89474753484944147</v>
      </c>
      <c r="GN3" s="363">
        <f t="shared" ca="1" si="6"/>
        <v>0.92804843349848343</v>
      </c>
      <c r="GO3" s="363">
        <f t="shared" ca="1" si="6"/>
        <v>0.94170498530961599</v>
      </c>
      <c r="GP3" s="363">
        <f t="shared" ca="1" si="6"/>
        <v>0.93528232280332724</v>
      </c>
      <c r="GQ3" s="363">
        <f t="shared" ca="1" si="6"/>
        <v>0.92390993492682383</v>
      </c>
      <c r="GR3" s="363">
        <f t="shared" ca="1" si="6"/>
        <v>0.93966362607916243</v>
      </c>
      <c r="GS3" s="363">
        <f t="shared" ca="1" si="6"/>
        <v>0.94596646780078508</v>
      </c>
      <c r="GT3" s="363">
        <f t="shared" ca="1" si="6"/>
        <v>0.93457269951954358</v>
      </c>
      <c r="GU3" s="363">
        <f t="shared" ca="1" si="6"/>
        <v>0.91816621854946145</v>
      </c>
      <c r="GV3" s="363">
        <f t="shared" ca="1" si="6"/>
        <v>0.92429000218662871</v>
      </c>
      <c r="GW3" s="363">
        <f t="shared" ca="1" si="6"/>
        <v>0.91456526614119626</v>
      </c>
      <c r="GX3" s="363">
        <f t="shared" ca="1" si="6"/>
        <v>0.91731801623978682</v>
      </c>
      <c r="GY3" s="363">
        <f t="shared" ca="1" si="6"/>
        <v>0.95341837207088176</v>
      </c>
      <c r="GZ3" s="363">
        <f t="shared" ca="1" si="6"/>
        <v>0.94709087399130087</v>
      </c>
      <c r="HA3" s="363">
        <f t="shared" ca="1" si="6"/>
        <v>0.95533982728473821</v>
      </c>
      <c r="HB3" s="363">
        <f t="shared" ca="1" si="6"/>
        <v>0.89799754212113059</v>
      </c>
      <c r="HC3" s="363">
        <f t="shared" ca="1" si="6"/>
        <v>0.95107429855229753</v>
      </c>
      <c r="HD3" s="363">
        <f t="shared" ca="1" si="6"/>
        <v>0.93761851369007809</v>
      </c>
      <c r="HE3" s="363">
        <f ca="1">MAX(0.5, MIN(1, _xlfn.BETA.INV(RAND(),$I$3,$J$3)))</f>
        <v>0.92818120711379959</v>
      </c>
      <c r="HF3" s="363">
        <f t="shared" ref="HF3:JQ3" ca="1" si="7">MAX(0.5, MIN(1, _xlfn.BETA.INV(RAND(),$I$3,$J$3)))</f>
        <v>0.92581303444556584</v>
      </c>
      <c r="HG3" s="363">
        <f t="shared" ca="1" si="7"/>
        <v>0.92517457895800381</v>
      </c>
      <c r="HH3" s="363">
        <f t="shared" ca="1" si="7"/>
        <v>0.91127740076055908</v>
      </c>
      <c r="HI3" s="363">
        <f t="shared" ca="1" si="7"/>
        <v>0.96142681240630123</v>
      </c>
      <c r="HJ3" s="363">
        <f t="shared" ca="1" si="7"/>
        <v>0.89240071878756932</v>
      </c>
      <c r="HK3" s="363">
        <f t="shared" ca="1" si="7"/>
        <v>0.91996533160865523</v>
      </c>
      <c r="HL3" s="363">
        <f t="shared" ca="1" si="7"/>
        <v>0.93285949911306176</v>
      </c>
      <c r="HM3" s="363">
        <f t="shared" ca="1" si="7"/>
        <v>0.91482012399492585</v>
      </c>
      <c r="HN3" s="363">
        <f t="shared" ca="1" si="7"/>
        <v>0.92898935102341906</v>
      </c>
      <c r="HO3" s="363">
        <f t="shared" ca="1" si="7"/>
        <v>0.94226489631153276</v>
      </c>
      <c r="HP3" s="363">
        <f t="shared" ca="1" si="7"/>
        <v>0.93656035116997449</v>
      </c>
      <c r="HQ3" s="363">
        <f t="shared" ca="1" si="7"/>
        <v>0.91166778210523558</v>
      </c>
      <c r="HR3" s="363">
        <f t="shared" ca="1" si="7"/>
        <v>0.90210122939177106</v>
      </c>
      <c r="HS3" s="363">
        <f t="shared" ca="1" si="7"/>
        <v>0.94581501774011711</v>
      </c>
      <c r="HT3" s="363">
        <f t="shared" ca="1" si="7"/>
        <v>0.93496850629206274</v>
      </c>
      <c r="HU3" s="363">
        <f t="shared" ca="1" si="7"/>
        <v>0.94719642267956061</v>
      </c>
      <c r="HV3" s="363">
        <f t="shared" ca="1" si="7"/>
        <v>0.95953846173286106</v>
      </c>
      <c r="HW3" s="363">
        <f t="shared" ca="1" si="7"/>
        <v>0.9235212382570549</v>
      </c>
      <c r="HX3" s="363">
        <f t="shared" ca="1" si="7"/>
        <v>0.93980112518713632</v>
      </c>
      <c r="HY3" s="363">
        <f t="shared" ca="1" si="7"/>
        <v>0.93255190819558398</v>
      </c>
      <c r="HZ3" s="363">
        <f t="shared" ca="1" si="7"/>
        <v>0.96022308761916797</v>
      </c>
      <c r="IA3" s="363">
        <f t="shared" ca="1" si="7"/>
        <v>0.93681484667474157</v>
      </c>
      <c r="IB3" s="363">
        <f t="shared" ca="1" si="7"/>
        <v>0.90126959876465373</v>
      </c>
      <c r="IC3" s="363">
        <f t="shared" ca="1" si="7"/>
        <v>0.89046667683450864</v>
      </c>
      <c r="ID3" s="363">
        <f t="shared" ca="1" si="7"/>
        <v>0.9576810721697413</v>
      </c>
      <c r="IE3" s="363">
        <f t="shared" ca="1" si="7"/>
        <v>0.93046175562303868</v>
      </c>
      <c r="IF3" s="363">
        <f t="shared" ca="1" si="7"/>
        <v>0.93494475075766026</v>
      </c>
      <c r="IG3" s="363">
        <f t="shared" ca="1" si="7"/>
        <v>0.94545628029211393</v>
      </c>
      <c r="IH3" s="363">
        <f t="shared" ca="1" si="7"/>
        <v>0.9686860911077384</v>
      </c>
      <c r="II3" s="363">
        <f t="shared" ca="1" si="7"/>
        <v>0.94143178172860731</v>
      </c>
      <c r="IJ3" s="363">
        <f t="shared" ca="1" si="7"/>
        <v>0.92412232396287919</v>
      </c>
      <c r="IK3" s="363">
        <f t="shared" ca="1" si="7"/>
        <v>0.91844405946748775</v>
      </c>
      <c r="IL3" s="363">
        <f t="shared" ca="1" si="7"/>
        <v>0.93836568477574156</v>
      </c>
      <c r="IM3" s="363">
        <f t="shared" ca="1" si="7"/>
        <v>0.93898859970129833</v>
      </c>
      <c r="IN3" s="363">
        <f t="shared" ca="1" si="7"/>
        <v>0.9101173596194676</v>
      </c>
      <c r="IO3" s="363">
        <f t="shared" ca="1" si="7"/>
        <v>0.91156379513035191</v>
      </c>
      <c r="IP3" s="363">
        <f t="shared" ca="1" si="7"/>
        <v>0.90272854907012945</v>
      </c>
      <c r="IQ3" s="363">
        <f t="shared" ca="1" si="7"/>
        <v>0.9421725950597728</v>
      </c>
      <c r="IR3" s="363">
        <f t="shared" ca="1" si="7"/>
        <v>0.93056754462067792</v>
      </c>
      <c r="IS3" s="363">
        <f t="shared" ca="1" si="7"/>
        <v>0.94120687002530112</v>
      </c>
      <c r="IT3" s="363">
        <f t="shared" ca="1" si="7"/>
        <v>0.91758335765133969</v>
      </c>
      <c r="IU3" s="363">
        <f t="shared" ca="1" si="7"/>
        <v>0.94305322262335622</v>
      </c>
      <c r="IV3" s="363">
        <f t="shared" ca="1" si="7"/>
        <v>0.94756449448174962</v>
      </c>
      <c r="IW3" s="363">
        <f t="shared" ca="1" si="7"/>
        <v>0.92443499818302122</v>
      </c>
      <c r="IX3" s="363">
        <f t="shared" ca="1" si="7"/>
        <v>0.93763885409623426</v>
      </c>
      <c r="IY3" s="363">
        <f t="shared" ca="1" si="7"/>
        <v>0.92728337179278864</v>
      </c>
      <c r="IZ3" s="363">
        <f t="shared" ca="1" si="7"/>
        <v>0.92961761589155234</v>
      </c>
      <c r="JA3" s="363">
        <f t="shared" ca="1" si="7"/>
        <v>0.94557964429456787</v>
      </c>
      <c r="JB3" s="363">
        <f t="shared" ca="1" si="7"/>
        <v>0.9246285228210458</v>
      </c>
      <c r="JC3" s="363">
        <f t="shared" ca="1" si="7"/>
        <v>0.93414977529607046</v>
      </c>
      <c r="JD3" s="363">
        <f t="shared" ca="1" si="7"/>
        <v>0.92058494340816766</v>
      </c>
      <c r="JE3" s="363">
        <f t="shared" ca="1" si="7"/>
        <v>0.92598152207515871</v>
      </c>
      <c r="JF3" s="363">
        <f t="shared" ca="1" si="7"/>
        <v>0.94652139732139284</v>
      </c>
      <c r="JG3" s="363">
        <f t="shared" ca="1" si="7"/>
        <v>0.92926351474741575</v>
      </c>
      <c r="JH3" s="363">
        <f t="shared" ca="1" si="7"/>
        <v>0.94564793140448478</v>
      </c>
      <c r="JI3" s="363">
        <f t="shared" ca="1" si="7"/>
        <v>0.93197041241145384</v>
      </c>
      <c r="JJ3" s="363">
        <f t="shared" ca="1" si="7"/>
        <v>0.92029114182218097</v>
      </c>
      <c r="JK3" s="363">
        <f t="shared" ca="1" si="7"/>
        <v>0.94687893956192737</v>
      </c>
      <c r="JL3" s="363">
        <f t="shared" ca="1" si="7"/>
        <v>0.93846850698937678</v>
      </c>
      <c r="JM3" s="363">
        <f t="shared" ca="1" si="7"/>
        <v>0.92761424249963986</v>
      </c>
      <c r="JN3" s="363">
        <f t="shared" ca="1" si="7"/>
        <v>0.9405398722610645</v>
      </c>
      <c r="JO3" s="363">
        <f t="shared" ca="1" si="7"/>
        <v>0.91210226340724221</v>
      </c>
      <c r="JP3" s="363">
        <f t="shared" ca="1" si="7"/>
        <v>0.95020744098413656</v>
      </c>
      <c r="JQ3" s="363">
        <f t="shared" ca="1" si="7"/>
        <v>0.95181095495668555</v>
      </c>
      <c r="JR3" s="363">
        <f t="shared" ref="JR3:KZ3" ca="1" si="8">MAX(0.5, MIN(1, _xlfn.BETA.INV(RAND(),$I$3,$J$3)))</f>
        <v>0.89862265289149956</v>
      </c>
      <c r="JS3" s="363">
        <f t="shared" ca="1" si="8"/>
        <v>0.94093368207013017</v>
      </c>
      <c r="JT3" s="363">
        <f t="shared" ca="1" si="8"/>
        <v>0.92400994796699076</v>
      </c>
      <c r="JU3" s="363">
        <f t="shared" ca="1" si="8"/>
        <v>0.95584549371649608</v>
      </c>
      <c r="JV3" s="363">
        <f t="shared" ca="1" si="8"/>
        <v>0.93195523279981229</v>
      </c>
      <c r="JW3" s="363">
        <f t="shared" ca="1" si="8"/>
        <v>0.9342551439912179</v>
      </c>
      <c r="JX3" s="363">
        <f t="shared" ca="1" si="8"/>
        <v>0.95881419510813548</v>
      </c>
      <c r="JY3" s="363">
        <f t="shared" ca="1" si="8"/>
        <v>0.93357783262751071</v>
      </c>
      <c r="JZ3" s="363">
        <f t="shared" ca="1" si="8"/>
        <v>0.96281050716923333</v>
      </c>
      <c r="KA3" s="363">
        <f t="shared" ca="1" si="8"/>
        <v>0.93625949577031364</v>
      </c>
      <c r="KB3" s="363">
        <f t="shared" ca="1" si="8"/>
        <v>0.95199655655417281</v>
      </c>
      <c r="KC3" s="363">
        <f t="shared" ca="1" si="8"/>
        <v>0.93581564131172423</v>
      </c>
      <c r="KD3" s="363">
        <f t="shared" ca="1" si="8"/>
        <v>0.93086854819563147</v>
      </c>
      <c r="KE3" s="363">
        <f t="shared" ca="1" si="8"/>
        <v>0.92596179414137703</v>
      </c>
      <c r="KF3" s="363">
        <f t="shared" ca="1" si="8"/>
        <v>0.93099596418275876</v>
      </c>
      <c r="KG3" s="363">
        <f t="shared" ca="1" si="8"/>
        <v>0.93386908366972288</v>
      </c>
      <c r="KH3" s="363">
        <f t="shared" ca="1" si="8"/>
        <v>0.91884857351317994</v>
      </c>
      <c r="KI3" s="363">
        <f t="shared" ca="1" si="8"/>
        <v>0.93995427509874263</v>
      </c>
      <c r="KJ3" s="363">
        <f t="shared" ca="1" si="8"/>
        <v>0.93762885281604746</v>
      </c>
      <c r="KK3" s="363">
        <f t="shared" ca="1" si="8"/>
        <v>0.93805898672732246</v>
      </c>
      <c r="KL3" s="363">
        <f t="shared" ca="1" si="8"/>
        <v>0.91652166766901488</v>
      </c>
      <c r="KM3" s="363">
        <f t="shared" ca="1" si="8"/>
        <v>0.94113700460482419</v>
      </c>
      <c r="KN3" s="363">
        <f t="shared" ca="1" si="8"/>
        <v>0.92334588531364836</v>
      </c>
      <c r="KO3" s="363">
        <f t="shared" ca="1" si="8"/>
        <v>0.9448336719201067</v>
      </c>
      <c r="KP3" s="363">
        <f t="shared" ca="1" si="8"/>
        <v>0.92346731060756648</v>
      </c>
      <c r="KQ3" s="363">
        <f t="shared" ca="1" si="8"/>
        <v>0.92112568026716835</v>
      </c>
      <c r="KR3" s="363">
        <f t="shared" ca="1" si="8"/>
        <v>0.91963840938896402</v>
      </c>
      <c r="KS3" s="363">
        <f t="shared" ca="1" si="8"/>
        <v>0.93442446226362341</v>
      </c>
      <c r="KT3" s="363">
        <f t="shared" ca="1" si="8"/>
        <v>0.9199969082096866</v>
      </c>
      <c r="KU3" s="363">
        <f t="shared" ca="1" si="8"/>
        <v>0.93941736750120719</v>
      </c>
      <c r="KV3" s="363">
        <f t="shared" ca="1" si="8"/>
        <v>0.91489425000666291</v>
      </c>
      <c r="KW3" s="363">
        <f t="shared" ca="1" si="8"/>
        <v>0.93880148291150944</v>
      </c>
      <c r="KX3" s="363">
        <f t="shared" ca="1" si="8"/>
        <v>0.92697123403721404</v>
      </c>
      <c r="KY3" s="363">
        <f t="shared" ca="1" si="8"/>
        <v>0.95797011218025285</v>
      </c>
      <c r="KZ3" s="363">
        <f t="shared" ca="1" si="8"/>
        <v>0.93723078885919531</v>
      </c>
      <c r="LA3" s="363">
        <f ca="1">MAX(0.5, MIN(1, _xlfn.BETA.INV(RAND(),$I$3,$J$3)))</f>
        <v>0.9368838972111625</v>
      </c>
      <c r="LB3" s="363">
        <f t="shared" ref="LB3:NM3" ca="1" si="9">MAX(0.5, MIN(1, _xlfn.BETA.INV(RAND(),$I$3,$J$3)))</f>
        <v>0.95200519526907312</v>
      </c>
      <c r="LC3" s="363">
        <f t="shared" ca="1" si="9"/>
        <v>0.93105439814671764</v>
      </c>
      <c r="LD3" s="363">
        <f t="shared" ca="1" si="9"/>
        <v>0.93045903180548561</v>
      </c>
      <c r="LE3" s="363">
        <f t="shared" ca="1" si="9"/>
        <v>0.92659413385201872</v>
      </c>
      <c r="LF3" s="363">
        <f t="shared" ca="1" si="9"/>
        <v>0.95297128390807173</v>
      </c>
      <c r="LG3" s="363">
        <f t="shared" ca="1" si="9"/>
        <v>0.92936036438690284</v>
      </c>
      <c r="LH3" s="363">
        <f t="shared" ca="1" si="9"/>
        <v>0.93457218904592188</v>
      </c>
      <c r="LI3" s="363">
        <f t="shared" ca="1" si="9"/>
        <v>0.897847972583799</v>
      </c>
      <c r="LJ3" s="363">
        <f t="shared" ca="1" si="9"/>
        <v>0.92490117745291223</v>
      </c>
      <c r="LK3" s="363">
        <f t="shared" ca="1" si="9"/>
        <v>0.9216477198386327</v>
      </c>
      <c r="LL3" s="363">
        <f t="shared" ca="1" si="9"/>
        <v>0.931424569771649</v>
      </c>
      <c r="LM3" s="363">
        <f t="shared" ca="1" si="9"/>
        <v>0.91769218854536205</v>
      </c>
      <c r="LN3" s="363">
        <f t="shared" ca="1" si="9"/>
        <v>0.93082346854337616</v>
      </c>
      <c r="LO3" s="363">
        <f t="shared" ca="1" si="9"/>
        <v>0.91224403195168768</v>
      </c>
      <c r="LP3" s="363">
        <f t="shared" ca="1" si="9"/>
        <v>0.93397692974776314</v>
      </c>
      <c r="LQ3" s="363">
        <f t="shared" ca="1" si="9"/>
        <v>0.94108341789440497</v>
      </c>
      <c r="LR3" s="363">
        <f t="shared" ca="1" si="9"/>
        <v>0.92817445439881863</v>
      </c>
      <c r="LS3" s="363">
        <f t="shared" ca="1" si="9"/>
        <v>0.92662279331538355</v>
      </c>
      <c r="LT3" s="363">
        <f t="shared" ca="1" si="9"/>
        <v>0.91865174298388752</v>
      </c>
      <c r="LU3" s="363">
        <f t="shared" ca="1" si="9"/>
        <v>0.88066317198074062</v>
      </c>
      <c r="LV3" s="363">
        <f t="shared" ca="1" si="9"/>
        <v>0.94726571672277793</v>
      </c>
      <c r="LW3" s="363">
        <f t="shared" ca="1" si="9"/>
        <v>0.93745870271593013</v>
      </c>
      <c r="LX3" s="363">
        <f t="shared" ca="1" si="9"/>
        <v>0.94026895481472716</v>
      </c>
      <c r="LY3" s="363">
        <f t="shared" ca="1" si="9"/>
        <v>0.91563204943488574</v>
      </c>
      <c r="LZ3" s="363">
        <f t="shared" ca="1" si="9"/>
        <v>0.92964831085255462</v>
      </c>
      <c r="MA3" s="363">
        <f t="shared" ca="1" si="9"/>
        <v>0.94252384849311677</v>
      </c>
      <c r="MB3" s="363">
        <f t="shared" ca="1" si="9"/>
        <v>0.90746353242703504</v>
      </c>
      <c r="MC3" s="363">
        <f t="shared" ca="1" si="9"/>
        <v>0.92228286540190074</v>
      </c>
      <c r="MD3" s="363">
        <f t="shared" ca="1" si="9"/>
        <v>0.91451052407192301</v>
      </c>
      <c r="ME3" s="363">
        <f t="shared" ca="1" si="9"/>
        <v>0.94544790394430422</v>
      </c>
      <c r="MF3" s="363">
        <f t="shared" ca="1" si="9"/>
        <v>0.93891905082520966</v>
      </c>
      <c r="MG3" s="363">
        <f t="shared" ca="1" si="9"/>
        <v>0.93941260881656907</v>
      </c>
      <c r="MH3" s="363">
        <f t="shared" ca="1" si="9"/>
        <v>0.95052558743476179</v>
      </c>
      <c r="MI3" s="363">
        <f t="shared" ca="1" si="9"/>
        <v>0.91647444874704542</v>
      </c>
      <c r="MJ3" s="363">
        <f t="shared" ca="1" si="9"/>
        <v>0.92540698236149666</v>
      </c>
      <c r="MK3" s="363">
        <f t="shared" ca="1" si="9"/>
        <v>0.93279630555922211</v>
      </c>
      <c r="ML3" s="363">
        <f t="shared" ca="1" si="9"/>
        <v>0.9353296959125057</v>
      </c>
      <c r="MM3" s="363">
        <f t="shared" ca="1" si="9"/>
        <v>0.94962692994073805</v>
      </c>
      <c r="MN3" s="363">
        <f t="shared" ca="1" si="9"/>
        <v>0.95325884996260379</v>
      </c>
      <c r="MO3" s="363">
        <f t="shared" ca="1" si="9"/>
        <v>0.94007181224212344</v>
      </c>
      <c r="MP3" s="363">
        <f t="shared" ca="1" si="9"/>
        <v>0.93898633937486298</v>
      </c>
      <c r="MQ3" s="363">
        <f t="shared" ca="1" si="9"/>
        <v>0.92413275382529181</v>
      </c>
      <c r="MR3" s="363">
        <f t="shared" ca="1" si="9"/>
        <v>0.93583010317831272</v>
      </c>
      <c r="MS3" s="363">
        <f t="shared" ca="1" si="9"/>
        <v>0.93164222277088282</v>
      </c>
      <c r="MT3" s="363">
        <f t="shared" ca="1" si="9"/>
        <v>0.92535402928420862</v>
      </c>
      <c r="MU3" s="363">
        <f t="shared" ca="1" si="9"/>
        <v>0.9370417701374727</v>
      </c>
      <c r="MV3" s="363">
        <f t="shared" ca="1" si="9"/>
        <v>0.93221502223439112</v>
      </c>
      <c r="MW3" s="363">
        <f t="shared" ca="1" si="9"/>
        <v>0.9374757706614526</v>
      </c>
      <c r="MX3" s="363">
        <f t="shared" ca="1" si="9"/>
        <v>0.93540290767792567</v>
      </c>
      <c r="MY3" s="363">
        <f t="shared" ca="1" si="9"/>
        <v>0.93585858048836412</v>
      </c>
      <c r="MZ3" s="363">
        <f t="shared" ca="1" si="9"/>
        <v>0.94135620346291238</v>
      </c>
      <c r="NA3" s="363">
        <f t="shared" ca="1" si="9"/>
        <v>0.91283585893746466</v>
      </c>
      <c r="NB3" s="363">
        <f t="shared" ca="1" si="9"/>
        <v>0.93735624370131521</v>
      </c>
      <c r="NC3" s="363">
        <f t="shared" ca="1" si="9"/>
        <v>0.92254297344729252</v>
      </c>
      <c r="ND3" s="363">
        <f t="shared" ca="1" si="9"/>
        <v>0.9258194434354402</v>
      </c>
      <c r="NE3" s="363">
        <f t="shared" ca="1" si="9"/>
        <v>0.94733535834508176</v>
      </c>
      <c r="NF3" s="363">
        <f t="shared" ca="1" si="9"/>
        <v>0.93657849373726498</v>
      </c>
      <c r="NG3" s="363">
        <f t="shared" ca="1" si="9"/>
        <v>0.8996506221987518</v>
      </c>
      <c r="NH3" s="363">
        <f t="shared" ca="1" si="9"/>
        <v>0.89553388314596627</v>
      </c>
      <c r="NI3" s="363">
        <f t="shared" ca="1" si="9"/>
        <v>0.88316931525198639</v>
      </c>
      <c r="NJ3" s="363">
        <f t="shared" ca="1" si="9"/>
        <v>0.9473622110878267</v>
      </c>
      <c r="NK3" s="363">
        <f t="shared" ca="1" si="9"/>
        <v>0.92351291600565955</v>
      </c>
      <c r="NL3" s="363">
        <f t="shared" ca="1" si="9"/>
        <v>0.93278591599259952</v>
      </c>
      <c r="NM3" s="363">
        <f t="shared" ca="1" si="9"/>
        <v>0.92426511312911408</v>
      </c>
      <c r="NN3" s="363">
        <f t="shared" ref="NN3:OV3" ca="1" si="10">MAX(0.5, MIN(1, _xlfn.BETA.INV(RAND(),$I$3,$J$3)))</f>
        <v>0.9238699524641264</v>
      </c>
      <c r="NO3" s="363">
        <f t="shared" ca="1" si="10"/>
        <v>0.94159598110107523</v>
      </c>
      <c r="NP3" s="363">
        <f t="shared" ca="1" si="10"/>
        <v>0.91351448457820772</v>
      </c>
      <c r="NQ3" s="363">
        <f t="shared" ca="1" si="10"/>
        <v>0.95907079334218992</v>
      </c>
      <c r="NR3" s="363">
        <f t="shared" ca="1" si="10"/>
        <v>0.938458220046267</v>
      </c>
      <c r="NS3" s="363">
        <f t="shared" ca="1" si="10"/>
        <v>0.94893583192245101</v>
      </c>
      <c r="NT3" s="363">
        <f t="shared" ca="1" si="10"/>
        <v>0.92516104935549814</v>
      </c>
      <c r="NU3" s="363">
        <f t="shared" ca="1" si="10"/>
        <v>0.92112603606441823</v>
      </c>
      <c r="NV3" s="363">
        <f t="shared" ca="1" si="10"/>
        <v>0.9537189263690129</v>
      </c>
      <c r="NW3" s="363">
        <f t="shared" ca="1" si="10"/>
        <v>0.90873262587609105</v>
      </c>
      <c r="NX3" s="363">
        <f t="shared" ca="1" si="10"/>
        <v>0.92152386701029287</v>
      </c>
      <c r="NY3" s="363">
        <f t="shared" ca="1" si="10"/>
        <v>0.95430734461642652</v>
      </c>
      <c r="NZ3" s="363">
        <f t="shared" ca="1" si="10"/>
        <v>0.93511511819472926</v>
      </c>
      <c r="OA3" s="363">
        <f t="shared" ca="1" si="10"/>
        <v>0.95208199808200522</v>
      </c>
      <c r="OB3" s="363">
        <f t="shared" ca="1" si="10"/>
        <v>0.94475131879737517</v>
      </c>
      <c r="OC3" s="363">
        <f t="shared" ca="1" si="10"/>
        <v>0.91970104347078008</v>
      </c>
      <c r="OD3" s="363">
        <f t="shared" ca="1" si="10"/>
        <v>0.94281070118668753</v>
      </c>
      <c r="OE3" s="363">
        <f t="shared" ca="1" si="10"/>
        <v>0.90964561237258057</v>
      </c>
      <c r="OF3" s="363">
        <f t="shared" ca="1" si="10"/>
        <v>0.93738718023768031</v>
      </c>
      <c r="OG3" s="363">
        <f t="shared" ca="1" si="10"/>
        <v>0.89410020395378276</v>
      </c>
      <c r="OH3" s="363">
        <f t="shared" ca="1" si="10"/>
        <v>0.92871235974250177</v>
      </c>
      <c r="OI3" s="363">
        <f t="shared" ca="1" si="10"/>
        <v>0.89643752066808047</v>
      </c>
      <c r="OJ3" s="363">
        <f t="shared" ca="1" si="10"/>
        <v>0.9274796042464879</v>
      </c>
      <c r="OK3" s="363">
        <f t="shared" ca="1" si="10"/>
        <v>0.94260109145920323</v>
      </c>
      <c r="OL3" s="363">
        <f t="shared" ca="1" si="10"/>
        <v>0.92164681992974029</v>
      </c>
      <c r="OM3" s="363">
        <f t="shared" ca="1" si="10"/>
        <v>0.94732268750770565</v>
      </c>
      <c r="ON3" s="363">
        <f t="shared" ca="1" si="10"/>
        <v>0.93424389121566875</v>
      </c>
      <c r="OO3" s="363">
        <f t="shared" ca="1" si="10"/>
        <v>0.92438607829674924</v>
      </c>
      <c r="OP3" s="363">
        <f t="shared" ca="1" si="10"/>
        <v>0.95055467744895505</v>
      </c>
      <c r="OQ3" s="363">
        <f t="shared" ca="1" si="10"/>
        <v>0.9428435383494741</v>
      </c>
      <c r="OR3" s="363">
        <f t="shared" ca="1" si="10"/>
        <v>0.9242371055272407</v>
      </c>
      <c r="OS3" s="363">
        <f t="shared" ca="1" si="10"/>
        <v>0.90048730897955331</v>
      </c>
      <c r="OT3" s="363">
        <f t="shared" ca="1" si="10"/>
        <v>0.92464097299601444</v>
      </c>
      <c r="OU3" s="363">
        <f t="shared" ca="1" si="10"/>
        <v>0.89767557736970449</v>
      </c>
      <c r="OV3" s="363">
        <f t="shared" ca="1" si="10"/>
        <v>0.93379458344403887</v>
      </c>
      <c r="OW3" s="363">
        <f ca="1">MAX(0.5, MIN(1, _xlfn.BETA.INV(RAND(),$I$3,$J$3)))</f>
        <v>0.93580823662558632</v>
      </c>
      <c r="OX3" s="363">
        <f t="shared" ref="OX3:RI3" ca="1" si="11">MAX(0.5, MIN(1, _xlfn.BETA.INV(RAND(),$I$3,$J$3)))</f>
        <v>0.94627751794498671</v>
      </c>
      <c r="OY3" s="363">
        <f t="shared" ca="1" si="11"/>
        <v>0.94480086038727606</v>
      </c>
      <c r="OZ3" s="363">
        <f t="shared" ca="1" si="11"/>
        <v>0.90313317856673836</v>
      </c>
      <c r="PA3" s="363">
        <f t="shared" ca="1" si="11"/>
        <v>0.92757919361062602</v>
      </c>
      <c r="PB3" s="363">
        <f t="shared" ca="1" si="11"/>
        <v>0.92207570842582598</v>
      </c>
      <c r="PC3" s="363">
        <f t="shared" ca="1" si="11"/>
        <v>0.91915662745888427</v>
      </c>
      <c r="PD3" s="363">
        <f t="shared" ca="1" si="11"/>
        <v>0.92393642710257151</v>
      </c>
      <c r="PE3" s="363">
        <f t="shared" ca="1" si="11"/>
        <v>0.94367334585264995</v>
      </c>
      <c r="PF3" s="363">
        <f t="shared" ca="1" si="11"/>
        <v>0.89977601035188692</v>
      </c>
      <c r="PG3" s="363">
        <f t="shared" ca="1" si="11"/>
        <v>0.93816821574578735</v>
      </c>
      <c r="PH3" s="363">
        <f t="shared" ca="1" si="11"/>
        <v>0.9253123335691138</v>
      </c>
      <c r="PI3" s="363">
        <f t="shared" ca="1" si="11"/>
        <v>0.91928452547348394</v>
      </c>
      <c r="PJ3" s="363">
        <f t="shared" ca="1" si="11"/>
        <v>0.91463633276224343</v>
      </c>
      <c r="PK3" s="363">
        <f t="shared" ca="1" si="11"/>
        <v>0.96204956036017863</v>
      </c>
      <c r="PL3" s="363">
        <f t="shared" ca="1" si="11"/>
        <v>0.96085146984672676</v>
      </c>
      <c r="PM3" s="363">
        <f t="shared" ca="1" si="11"/>
        <v>0.93738625180439317</v>
      </c>
      <c r="PN3" s="363">
        <f t="shared" ca="1" si="11"/>
        <v>0.94985557705273438</v>
      </c>
      <c r="PO3" s="363">
        <f t="shared" ca="1" si="11"/>
        <v>0.94025342905732634</v>
      </c>
      <c r="PP3" s="363">
        <f t="shared" ca="1" si="11"/>
        <v>0.92603666964364195</v>
      </c>
      <c r="PQ3" s="363">
        <f t="shared" ca="1" si="11"/>
        <v>0.93463392972799375</v>
      </c>
      <c r="PR3" s="363">
        <f t="shared" ca="1" si="11"/>
        <v>0.9330465211376473</v>
      </c>
      <c r="PS3" s="363">
        <f t="shared" ca="1" si="11"/>
        <v>0.91185510350898591</v>
      </c>
      <c r="PT3" s="363">
        <f t="shared" ca="1" si="11"/>
        <v>0.91311123836549701</v>
      </c>
      <c r="PU3" s="363">
        <f t="shared" ca="1" si="11"/>
        <v>0.92355789439462388</v>
      </c>
      <c r="PV3" s="363">
        <f t="shared" ca="1" si="11"/>
        <v>0.94538378905001452</v>
      </c>
      <c r="PW3" s="363">
        <f t="shared" ca="1" si="11"/>
        <v>0.93186962149558317</v>
      </c>
      <c r="PX3" s="363">
        <f t="shared" ca="1" si="11"/>
        <v>0.94264575241054827</v>
      </c>
      <c r="PY3" s="363">
        <f t="shared" ca="1" si="11"/>
        <v>0.92298447856472721</v>
      </c>
      <c r="PZ3" s="363">
        <f t="shared" ca="1" si="11"/>
        <v>0.94468188709986667</v>
      </c>
      <c r="QA3" s="363">
        <f t="shared" ca="1" si="11"/>
        <v>0.93932070262916689</v>
      </c>
      <c r="QB3" s="363">
        <f t="shared" ca="1" si="11"/>
        <v>0.95237968270655426</v>
      </c>
      <c r="QC3" s="363">
        <f t="shared" ca="1" si="11"/>
        <v>0.91857505801585648</v>
      </c>
      <c r="QD3" s="363">
        <f t="shared" ca="1" si="11"/>
        <v>0.96396443359533324</v>
      </c>
      <c r="QE3" s="363">
        <f t="shared" ca="1" si="11"/>
        <v>0.9592930726861324</v>
      </c>
      <c r="QF3" s="363">
        <f t="shared" ca="1" si="11"/>
        <v>0.88173460041268881</v>
      </c>
      <c r="QG3" s="363">
        <f t="shared" ca="1" si="11"/>
        <v>0.95424490638797543</v>
      </c>
      <c r="QH3" s="363">
        <f t="shared" ca="1" si="11"/>
        <v>0.92109956646659363</v>
      </c>
      <c r="QI3" s="363">
        <f t="shared" ca="1" si="11"/>
        <v>0.92333293215351231</v>
      </c>
      <c r="QJ3" s="363">
        <f t="shared" ca="1" si="11"/>
        <v>0.90691332741031572</v>
      </c>
      <c r="QK3" s="363">
        <f t="shared" ca="1" si="11"/>
        <v>0.94714352969691351</v>
      </c>
      <c r="QL3" s="363">
        <f t="shared" ca="1" si="11"/>
        <v>0.93254259774876147</v>
      </c>
      <c r="QM3" s="363">
        <f t="shared" ca="1" si="11"/>
        <v>0.90331853674879392</v>
      </c>
      <c r="QN3" s="363">
        <f t="shared" ca="1" si="11"/>
        <v>0.95660840561401406</v>
      </c>
      <c r="QO3" s="363">
        <f t="shared" ca="1" si="11"/>
        <v>0.94352850409605549</v>
      </c>
      <c r="QP3" s="363">
        <f t="shared" ca="1" si="11"/>
        <v>0.92277571436077876</v>
      </c>
      <c r="QQ3" s="363">
        <f t="shared" ca="1" si="11"/>
        <v>0.93112132961833582</v>
      </c>
      <c r="QR3" s="363">
        <f t="shared" ca="1" si="11"/>
        <v>0.93523105953567787</v>
      </c>
      <c r="QS3" s="363">
        <f t="shared" ca="1" si="11"/>
        <v>0.94188596475951913</v>
      </c>
      <c r="QT3" s="363">
        <f t="shared" ca="1" si="11"/>
        <v>0.92542624846186161</v>
      </c>
      <c r="QU3" s="363">
        <f t="shared" ca="1" si="11"/>
        <v>0.941989251480432</v>
      </c>
      <c r="QV3" s="363">
        <f t="shared" ca="1" si="11"/>
        <v>0.93177237995337991</v>
      </c>
      <c r="QW3" s="363">
        <f t="shared" ca="1" si="11"/>
        <v>0.94270658077242531</v>
      </c>
      <c r="QX3" s="363">
        <f t="shared" ca="1" si="11"/>
        <v>0.91403703908289102</v>
      </c>
      <c r="QY3" s="363">
        <f t="shared" ca="1" si="11"/>
        <v>0.93880051992117342</v>
      </c>
      <c r="QZ3" s="363">
        <f t="shared" ca="1" si="11"/>
        <v>0.94652698121174872</v>
      </c>
      <c r="RA3" s="363">
        <f t="shared" ca="1" si="11"/>
        <v>0.9279262672770886</v>
      </c>
      <c r="RB3" s="363">
        <f t="shared" ca="1" si="11"/>
        <v>0.91796145350262359</v>
      </c>
      <c r="RC3" s="363">
        <f t="shared" ca="1" si="11"/>
        <v>0.91383603854469042</v>
      </c>
      <c r="RD3" s="363">
        <f t="shared" ca="1" si="11"/>
        <v>0.92921645257750773</v>
      </c>
      <c r="RE3" s="363">
        <f t="shared" ca="1" si="11"/>
        <v>0.94586012605974812</v>
      </c>
      <c r="RF3" s="363">
        <f t="shared" ca="1" si="11"/>
        <v>0.92045277264684078</v>
      </c>
      <c r="RG3" s="363">
        <f t="shared" ca="1" si="11"/>
        <v>0.94130072277622856</v>
      </c>
      <c r="RH3" s="363">
        <f t="shared" ca="1" si="11"/>
        <v>0.92576847508560001</v>
      </c>
      <c r="RI3" s="363">
        <f t="shared" ca="1" si="11"/>
        <v>0.94987149006858007</v>
      </c>
      <c r="RJ3" s="363">
        <f t="shared" ref="RJ3:SR3" ca="1" si="12">MAX(0.5, MIN(1, _xlfn.BETA.INV(RAND(),$I$3,$J$3)))</f>
        <v>0.95136383996890617</v>
      </c>
      <c r="RK3" s="363">
        <f t="shared" ca="1" si="12"/>
        <v>0.91483517983016138</v>
      </c>
      <c r="RL3" s="363">
        <f t="shared" ca="1" si="12"/>
        <v>0.94019548887025151</v>
      </c>
      <c r="RM3" s="363">
        <f t="shared" ca="1" si="12"/>
        <v>0.91222221688379557</v>
      </c>
      <c r="RN3" s="363">
        <f t="shared" ca="1" si="12"/>
        <v>0.93032348788872377</v>
      </c>
      <c r="RO3" s="363">
        <f t="shared" ca="1" si="12"/>
        <v>0.93092812752136156</v>
      </c>
      <c r="RP3" s="363">
        <f t="shared" ca="1" si="12"/>
        <v>0.935709338550757</v>
      </c>
      <c r="RQ3" s="363">
        <f t="shared" ca="1" si="12"/>
        <v>0.92480661018532939</v>
      </c>
      <c r="RR3" s="363">
        <f t="shared" ca="1" si="12"/>
        <v>0.93078297125696652</v>
      </c>
      <c r="RS3" s="363">
        <f t="shared" ca="1" si="12"/>
        <v>0.92811065475875387</v>
      </c>
      <c r="RT3" s="363">
        <f t="shared" ca="1" si="12"/>
        <v>0.93972051427742542</v>
      </c>
      <c r="RU3" s="363">
        <f t="shared" ca="1" si="12"/>
        <v>0.94527365633244986</v>
      </c>
      <c r="RV3" s="363">
        <f t="shared" ca="1" si="12"/>
        <v>0.93379099921752284</v>
      </c>
      <c r="RW3" s="363">
        <f t="shared" ca="1" si="12"/>
        <v>0.92989761299566809</v>
      </c>
      <c r="RX3" s="363">
        <f t="shared" ca="1" si="12"/>
        <v>0.92888433061358289</v>
      </c>
      <c r="RY3" s="363">
        <f t="shared" ca="1" si="12"/>
        <v>0.90957553234394006</v>
      </c>
      <c r="RZ3" s="363">
        <f t="shared" ca="1" si="12"/>
        <v>0.93819278838908127</v>
      </c>
      <c r="SA3" s="363">
        <f t="shared" ca="1" si="12"/>
        <v>0.95102080892505436</v>
      </c>
      <c r="SB3" s="363">
        <f t="shared" ca="1" si="12"/>
        <v>0.92857510430981982</v>
      </c>
      <c r="SC3" s="363">
        <f t="shared" ca="1" si="12"/>
        <v>0.9108012517602041</v>
      </c>
      <c r="SD3" s="363">
        <f t="shared" ca="1" si="12"/>
        <v>0.94908425155663301</v>
      </c>
      <c r="SE3" s="363">
        <f t="shared" ca="1" si="12"/>
        <v>0.87098703988883464</v>
      </c>
      <c r="SF3" s="363">
        <f t="shared" ca="1" si="12"/>
        <v>0.93160808222588987</v>
      </c>
      <c r="SG3" s="363">
        <f t="shared" ca="1" si="12"/>
        <v>0.93697198209515231</v>
      </c>
      <c r="SH3" s="363">
        <f t="shared" ca="1" si="12"/>
        <v>0.9201151397453925</v>
      </c>
      <c r="SI3" s="363">
        <f t="shared" ca="1" si="12"/>
        <v>0.93309912264533801</v>
      </c>
      <c r="SJ3" s="363">
        <f t="shared" ca="1" si="12"/>
        <v>0.91172884360914441</v>
      </c>
      <c r="SK3" s="363">
        <f t="shared" ca="1" si="12"/>
        <v>0.93320704324288584</v>
      </c>
      <c r="SL3" s="363">
        <f t="shared" ca="1" si="12"/>
        <v>0.88282188062405687</v>
      </c>
      <c r="SM3" s="363">
        <f t="shared" ca="1" si="12"/>
        <v>0.92751828793778168</v>
      </c>
      <c r="SN3" s="363">
        <f t="shared" ca="1" si="12"/>
        <v>0.94462340200954886</v>
      </c>
      <c r="SO3" s="363">
        <f t="shared" ca="1" si="12"/>
        <v>0.92950733960136522</v>
      </c>
      <c r="SP3" s="363">
        <f t="shared" ca="1" si="12"/>
        <v>0.92175668499665475</v>
      </c>
      <c r="SQ3" s="363">
        <f t="shared" ca="1" si="12"/>
        <v>0.92377990366684448</v>
      </c>
      <c r="SR3" s="363">
        <f t="shared" ca="1" si="12"/>
        <v>0.92531987550825157</v>
      </c>
      <c r="SS3" s="363">
        <f ca="1">MAX(0.5, MIN(1, _xlfn.BETA.INV(RAND(),$I$3,$J$3)))</f>
        <v>0.95178452541313785</v>
      </c>
      <c r="ST3" s="363">
        <f t="shared" ref="ST3:VE3" ca="1" si="13">MAX(0.5, MIN(1, _xlfn.BETA.INV(RAND(),$I$3,$J$3)))</f>
        <v>0.92275766053955577</v>
      </c>
      <c r="SU3" s="363">
        <f t="shared" ca="1" si="13"/>
        <v>0.92997375409252636</v>
      </c>
      <c r="SV3" s="363">
        <f t="shared" ca="1" si="13"/>
        <v>0.91777923347617796</v>
      </c>
      <c r="SW3" s="363">
        <f t="shared" ca="1" si="13"/>
        <v>0.93419360415672426</v>
      </c>
      <c r="SX3" s="363">
        <f t="shared" ca="1" si="13"/>
        <v>0.93369116387232953</v>
      </c>
      <c r="SY3" s="363">
        <f t="shared" ca="1" si="13"/>
        <v>0.9202963274928726</v>
      </c>
      <c r="SZ3" s="363">
        <f t="shared" ca="1" si="13"/>
        <v>0.89817756789266034</v>
      </c>
      <c r="TA3" s="363">
        <f t="shared" ca="1" si="13"/>
        <v>0.9456587030755228</v>
      </c>
      <c r="TB3" s="363">
        <f t="shared" ca="1" si="13"/>
        <v>0.9115333522552167</v>
      </c>
      <c r="TC3" s="363">
        <f t="shared" ca="1" si="13"/>
        <v>0.89482131534572107</v>
      </c>
      <c r="TD3" s="363">
        <f t="shared" ca="1" si="13"/>
        <v>0.94054282087840479</v>
      </c>
      <c r="TE3" s="363">
        <f t="shared" ca="1" si="13"/>
        <v>0.92370069452304937</v>
      </c>
      <c r="TF3" s="363">
        <f t="shared" ca="1" si="13"/>
        <v>0.93128724942047569</v>
      </c>
      <c r="TG3" s="363">
        <f t="shared" ca="1" si="13"/>
        <v>0.9268335176350756</v>
      </c>
      <c r="TH3" s="363">
        <f t="shared" ca="1" si="13"/>
        <v>0.90811813453151946</v>
      </c>
      <c r="TI3" s="363">
        <f t="shared" ca="1" si="13"/>
        <v>0.95296334016318596</v>
      </c>
      <c r="TJ3" s="363">
        <f t="shared" ca="1" si="13"/>
        <v>0.94601060882166543</v>
      </c>
      <c r="TK3" s="363">
        <f t="shared" ca="1" si="13"/>
        <v>0.85834969980600428</v>
      </c>
      <c r="TL3" s="363">
        <f t="shared" ca="1" si="13"/>
        <v>0.9063595841267692</v>
      </c>
      <c r="TM3" s="363">
        <f t="shared" ca="1" si="13"/>
        <v>0.93961072519532229</v>
      </c>
      <c r="TN3" s="363">
        <f t="shared" ca="1" si="13"/>
        <v>0.93282926404048494</v>
      </c>
      <c r="TO3" s="363">
        <f t="shared" ca="1" si="13"/>
        <v>0.92450267041992196</v>
      </c>
      <c r="TP3" s="363">
        <f t="shared" ca="1" si="13"/>
        <v>0.9256841809133749</v>
      </c>
      <c r="TQ3" s="363">
        <f t="shared" ca="1" si="13"/>
        <v>0.92253869563120006</v>
      </c>
      <c r="TR3" s="363">
        <f t="shared" ca="1" si="13"/>
        <v>0.94627069130174535</v>
      </c>
      <c r="TS3" s="363">
        <f t="shared" ca="1" si="13"/>
        <v>0.93297450861077569</v>
      </c>
      <c r="TT3" s="363">
        <f t="shared" ca="1" si="13"/>
        <v>0.91633686564557781</v>
      </c>
      <c r="TU3" s="363">
        <f t="shared" ca="1" si="13"/>
        <v>0.95907013775184602</v>
      </c>
      <c r="TV3" s="363">
        <f t="shared" ca="1" si="13"/>
        <v>0.94197413239371042</v>
      </c>
      <c r="TW3" s="363">
        <f t="shared" ca="1" si="13"/>
        <v>0.92950257938577052</v>
      </c>
      <c r="TX3" s="363">
        <f t="shared" ca="1" si="13"/>
        <v>0.9170875506020344</v>
      </c>
      <c r="TY3" s="363">
        <f t="shared" ca="1" si="13"/>
        <v>0.95948920211153332</v>
      </c>
      <c r="TZ3" s="363">
        <f t="shared" ca="1" si="13"/>
        <v>0.92109981029259569</v>
      </c>
      <c r="UA3" s="363">
        <f t="shared" ca="1" si="13"/>
        <v>0.91483745393354621</v>
      </c>
      <c r="UB3" s="363">
        <f t="shared" ca="1" si="13"/>
        <v>0.93008676034929116</v>
      </c>
      <c r="UC3" s="363">
        <f t="shared" ca="1" si="13"/>
        <v>0.92636612742459634</v>
      </c>
      <c r="UD3" s="363">
        <f t="shared" ca="1" si="13"/>
        <v>0.92710275969795419</v>
      </c>
      <c r="UE3" s="363">
        <f t="shared" ca="1" si="13"/>
        <v>0.86590418095030242</v>
      </c>
      <c r="UF3" s="363">
        <f t="shared" ca="1" si="13"/>
        <v>0.91466052220388261</v>
      </c>
      <c r="UG3" s="363">
        <f t="shared" ca="1" si="13"/>
        <v>0.89522662604683534</v>
      </c>
      <c r="UH3" s="363">
        <f t="shared" ca="1" si="13"/>
        <v>0.94007318414415186</v>
      </c>
      <c r="UI3" s="363">
        <f t="shared" ca="1" si="13"/>
        <v>0.9311775298987649</v>
      </c>
      <c r="UJ3" s="363">
        <f t="shared" ca="1" si="13"/>
        <v>0.95554317061469896</v>
      </c>
      <c r="UK3" s="363">
        <f t="shared" ca="1" si="13"/>
        <v>0.95027358683030039</v>
      </c>
      <c r="UL3" s="363">
        <f t="shared" ca="1" si="13"/>
        <v>0.93264296567163596</v>
      </c>
      <c r="UM3" s="363">
        <f t="shared" ca="1" si="13"/>
        <v>0.93747055073434427</v>
      </c>
      <c r="UN3" s="363">
        <f t="shared" ca="1" si="13"/>
        <v>0.91762564168661498</v>
      </c>
      <c r="UO3" s="363">
        <f t="shared" ca="1" si="13"/>
        <v>0.9299641828591404</v>
      </c>
      <c r="UP3" s="363">
        <f t="shared" ca="1" si="13"/>
        <v>0.92613270270673087</v>
      </c>
      <c r="UQ3" s="363">
        <f t="shared" ca="1" si="13"/>
        <v>0.92280489146465206</v>
      </c>
      <c r="UR3" s="363">
        <f t="shared" ca="1" si="13"/>
        <v>0.94461434462430138</v>
      </c>
      <c r="US3" s="363">
        <f t="shared" ca="1" si="13"/>
        <v>0.9361737239465302</v>
      </c>
      <c r="UT3" s="363">
        <f t="shared" ca="1" si="13"/>
        <v>0.92982288927977208</v>
      </c>
      <c r="UU3" s="363">
        <f t="shared" ca="1" si="13"/>
        <v>0.9272497638144237</v>
      </c>
      <c r="UV3" s="363">
        <f t="shared" ca="1" si="13"/>
        <v>0.93432956317314964</v>
      </c>
      <c r="UW3" s="363">
        <f t="shared" ca="1" si="13"/>
        <v>0.94881690043932587</v>
      </c>
      <c r="UX3" s="363">
        <f t="shared" ca="1" si="13"/>
        <v>0.92536033285249475</v>
      </c>
      <c r="UY3" s="363">
        <f t="shared" ca="1" si="13"/>
        <v>0.92821117690042076</v>
      </c>
      <c r="UZ3" s="363">
        <f t="shared" ca="1" si="13"/>
        <v>0.92883687993541419</v>
      </c>
      <c r="VA3" s="363">
        <f t="shared" ca="1" si="13"/>
        <v>0.89039780461070817</v>
      </c>
      <c r="VB3" s="363">
        <f t="shared" ca="1" si="13"/>
        <v>0.95829024211811809</v>
      </c>
      <c r="VC3" s="363">
        <f t="shared" ca="1" si="13"/>
        <v>0.92779361350321687</v>
      </c>
      <c r="VD3" s="363">
        <f t="shared" ca="1" si="13"/>
        <v>0.97434527625216982</v>
      </c>
      <c r="VE3" s="363">
        <f t="shared" ca="1" si="13"/>
        <v>0.9338363616463905</v>
      </c>
      <c r="VF3" s="363">
        <f t="shared" ref="VF3:WN3" ca="1" si="14">MAX(0.5, MIN(1, _xlfn.BETA.INV(RAND(),$I$3,$J$3)))</f>
        <v>0.94555133159994198</v>
      </c>
      <c r="VG3" s="363">
        <f t="shared" ca="1" si="14"/>
        <v>0.94486766193372773</v>
      </c>
      <c r="VH3" s="363">
        <f t="shared" ca="1" si="14"/>
        <v>0.94765224685739313</v>
      </c>
      <c r="VI3" s="363">
        <f t="shared" ca="1" si="14"/>
        <v>0.95109434096190371</v>
      </c>
      <c r="VJ3" s="363">
        <f t="shared" ca="1" si="14"/>
        <v>0.92567210511765985</v>
      </c>
      <c r="VK3" s="363">
        <f t="shared" ca="1" si="14"/>
        <v>0.91349110349655471</v>
      </c>
      <c r="VL3" s="363">
        <f t="shared" ca="1" si="14"/>
        <v>0.93834040646018357</v>
      </c>
      <c r="VM3" s="363">
        <f t="shared" ca="1" si="14"/>
        <v>0.90302670151106379</v>
      </c>
      <c r="VN3" s="363">
        <f t="shared" ca="1" si="14"/>
        <v>0.92168763960181221</v>
      </c>
      <c r="VO3" s="363">
        <f t="shared" ca="1" si="14"/>
        <v>0.93256463551658164</v>
      </c>
      <c r="VP3" s="363">
        <f t="shared" ca="1" si="14"/>
        <v>0.95822221780246264</v>
      </c>
      <c r="VQ3" s="363">
        <f t="shared" ca="1" si="14"/>
        <v>0.92609277174451798</v>
      </c>
      <c r="VR3" s="363">
        <f t="shared" ca="1" si="14"/>
        <v>0.92124716956831665</v>
      </c>
      <c r="VS3" s="363">
        <f t="shared" ca="1" si="14"/>
        <v>0.93466997338295554</v>
      </c>
      <c r="VT3" s="363">
        <f t="shared" ca="1" si="14"/>
        <v>0.93724521725109877</v>
      </c>
      <c r="VU3" s="363">
        <f t="shared" ca="1" si="14"/>
        <v>0.93387725863404447</v>
      </c>
      <c r="VV3" s="363">
        <f t="shared" ca="1" si="14"/>
        <v>0.95343631300312881</v>
      </c>
      <c r="VW3" s="363">
        <f t="shared" ca="1" si="14"/>
        <v>0.92364830935056796</v>
      </c>
      <c r="VX3" s="363">
        <f t="shared" ca="1" si="14"/>
        <v>0.93116182398564795</v>
      </c>
      <c r="VY3" s="363">
        <f t="shared" ca="1" si="14"/>
        <v>0.92372893595160666</v>
      </c>
      <c r="VZ3" s="363">
        <f t="shared" ca="1" si="14"/>
        <v>0.92701967771440885</v>
      </c>
      <c r="WA3" s="363">
        <f t="shared" ca="1" si="14"/>
        <v>0.93455222122771708</v>
      </c>
      <c r="WB3" s="363">
        <f t="shared" ca="1" si="14"/>
        <v>0.91911422397468712</v>
      </c>
      <c r="WC3" s="363">
        <f t="shared" ca="1" si="14"/>
        <v>0.94447892136535927</v>
      </c>
      <c r="WD3" s="363">
        <f t="shared" ca="1" si="14"/>
        <v>0.93692069389340227</v>
      </c>
      <c r="WE3" s="363">
        <f t="shared" ca="1" si="14"/>
        <v>0.92620921038940263</v>
      </c>
      <c r="WF3" s="363">
        <f t="shared" ca="1" si="14"/>
        <v>0.94865523082541037</v>
      </c>
      <c r="WG3" s="363">
        <f t="shared" ca="1" si="14"/>
        <v>0.91267058833950443</v>
      </c>
      <c r="WH3" s="363">
        <f t="shared" ca="1" si="14"/>
        <v>0.92634037048411311</v>
      </c>
      <c r="WI3" s="363">
        <f t="shared" ca="1" si="14"/>
        <v>0.94814358468598126</v>
      </c>
      <c r="WJ3" s="363">
        <f t="shared" ca="1" si="14"/>
        <v>0.93112295910113607</v>
      </c>
      <c r="WK3" s="363">
        <f t="shared" ca="1" si="14"/>
        <v>0.92683005037696331</v>
      </c>
      <c r="WL3" s="363">
        <f t="shared" ca="1" si="14"/>
        <v>0.92735308088067514</v>
      </c>
      <c r="WM3" s="363">
        <f t="shared" ca="1" si="14"/>
        <v>0.95704635937368587</v>
      </c>
      <c r="WN3" s="363">
        <f t="shared" ca="1" si="14"/>
        <v>0.9177341191320928</v>
      </c>
    </row>
    <row r="4" spans="2:612" x14ac:dyDescent="0.15">
      <c r="B4" s="466" t="s">
        <v>914</v>
      </c>
      <c r="D4" s="512">
        <f t="shared" si="0"/>
        <v>0.93</v>
      </c>
      <c r="F4" s="512">
        <v>0.93</v>
      </c>
      <c r="G4" s="367">
        <v>235</v>
      </c>
      <c r="H4" s="363" t="s">
        <v>350</v>
      </c>
      <c r="I4" s="438">
        <f t="shared" si="1"/>
        <v>218.55</v>
      </c>
      <c r="J4" s="438">
        <f t="shared" si="2"/>
        <v>16.449999999999989</v>
      </c>
      <c r="K4" s="367" t="s">
        <v>1273</v>
      </c>
      <c r="M4" s="363">
        <f ca="1">MAX(0.5, MIN(1, _xlfn.BETA.INV(RAND(),$I$4,$J$4)))</f>
        <v>0.92413154378891738</v>
      </c>
      <c r="N4" s="363">
        <f t="shared" ref="N4:BY4" ca="1" si="15">MAX(0.5, MIN(1, _xlfn.BETA.INV(RAND(),$I$4,$J$4)))</f>
        <v>0.94226761021486405</v>
      </c>
      <c r="O4" s="363">
        <f t="shared" ca="1" si="15"/>
        <v>0.92447150813966039</v>
      </c>
      <c r="P4" s="363">
        <f t="shared" ca="1" si="15"/>
        <v>0.93707243117412253</v>
      </c>
      <c r="Q4" s="363">
        <f t="shared" ca="1" si="15"/>
        <v>0.93948471765330488</v>
      </c>
      <c r="R4" s="363">
        <f t="shared" ca="1" si="15"/>
        <v>0.92325214846780435</v>
      </c>
      <c r="S4" s="363">
        <f t="shared" ca="1" si="15"/>
        <v>0.92252044141389844</v>
      </c>
      <c r="T4" s="363">
        <f t="shared" ca="1" si="15"/>
        <v>0.95365938036620246</v>
      </c>
      <c r="U4" s="363">
        <f t="shared" ca="1" si="15"/>
        <v>0.91115197241969148</v>
      </c>
      <c r="V4" s="363">
        <f t="shared" ca="1" si="15"/>
        <v>0.90182800572175725</v>
      </c>
      <c r="W4" s="363">
        <f t="shared" ca="1" si="15"/>
        <v>0.94024661163732182</v>
      </c>
      <c r="X4" s="363">
        <f t="shared" ca="1" si="15"/>
        <v>0.92945534955358922</v>
      </c>
      <c r="Y4" s="363">
        <f t="shared" ca="1" si="15"/>
        <v>0.93996021666230467</v>
      </c>
      <c r="Z4" s="363">
        <f t="shared" ca="1" si="15"/>
        <v>0.96130850863481099</v>
      </c>
      <c r="AA4" s="363">
        <f t="shared" ca="1" si="15"/>
        <v>0.96659212474837708</v>
      </c>
      <c r="AB4" s="363">
        <f t="shared" ca="1" si="15"/>
        <v>0.93030027105399826</v>
      </c>
      <c r="AC4" s="363">
        <f t="shared" ca="1" si="15"/>
        <v>0.93750010080330526</v>
      </c>
      <c r="AD4" s="363">
        <f t="shared" ca="1" si="15"/>
        <v>0.95422322827044348</v>
      </c>
      <c r="AE4" s="363">
        <f t="shared" ca="1" si="15"/>
        <v>0.92073924083283631</v>
      </c>
      <c r="AF4" s="363">
        <f t="shared" ca="1" si="15"/>
        <v>0.91232908211009001</v>
      </c>
      <c r="AG4" s="363">
        <f t="shared" ca="1" si="15"/>
        <v>0.93326862458458182</v>
      </c>
      <c r="AH4" s="363">
        <f t="shared" ca="1" si="15"/>
        <v>0.91934743127261709</v>
      </c>
      <c r="AI4" s="363">
        <f t="shared" ca="1" si="15"/>
        <v>0.91301140953929016</v>
      </c>
      <c r="AJ4" s="363">
        <f t="shared" ca="1" si="15"/>
        <v>0.92304800275407395</v>
      </c>
      <c r="AK4" s="363">
        <f t="shared" ca="1" si="15"/>
        <v>0.95261694051343238</v>
      </c>
      <c r="AL4" s="363">
        <f t="shared" ca="1" si="15"/>
        <v>0.9455682276730687</v>
      </c>
      <c r="AM4" s="363">
        <f t="shared" ca="1" si="15"/>
        <v>0.95955947322254609</v>
      </c>
      <c r="AN4" s="363">
        <f t="shared" ca="1" si="15"/>
        <v>0.93492273684775185</v>
      </c>
      <c r="AO4" s="363">
        <f t="shared" ca="1" si="15"/>
        <v>0.94429073308318634</v>
      </c>
      <c r="AP4" s="363">
        <f t="shared" ca="1" si="15"/>
        <v>0.92761287443944196</v>
      </c>
      <c r="AQ4" s="363">
        <f t="shared" ca="1" si="15"/>
        <v>0.94446767065863257</v>
      </c>
      <c r="AR4" s="363">
        <f t="shared" ca="1" si="15"/>
        <v>0.90977543544973027</v>
      </c>
      <c r="AS4" s="363">
        <f t="shared" ca="1" si="15"/>
        <v>0.94048253581823049</v>
      </c>
      <c r="AT4" s="363">
        <f t="shared" ca="1" si="15"/>
        <v>0.92806987502594662</v>
      </c>
      <c r="AU4" s="363">
        <f t="shared" ca="1" si="15"/>
        <v>0.91334332858153655</v>
      </c>
      <c r="AV4" s="363">
        <f t="shared" ca="1" si="15"/>
        <v>0.94051239703878875</v>
      </c>
      <c r="AW4" s="363">
        <f t="shared" ca="1" si="15"/>
        <v>0.93687177177882819</v>
      </c>
      <c r="AX4" s="363">
        <f t="shared" ca="1" si="15"/>
        <v>0.91884448347257486</v>
      </c>
      <c r="AY4" s="363">
        <f t="shared" ca="1" si="15"/>
        <v>0.91061264320365165</v>
      </c>
      <c r="AZ4" s="363">
        <f t="shared" ca="1" si="15"/>
        <v>0.92225423954221353</v>
      </c>
      <c r="BA4" s="363">
        <f t="shared" ca="1" si="15"/>
        <v>0.92114003003252709</v>
      </c>
      <c r="BB4" s="363">
        <f t="shared" ca="1" si="15"/>
        <v>0.93281050879248462</v>
      </c>
      <c r="BC4" s="363">
        <f t="shared" ca="1" si="15"/>
        <v>0.92349373660894041</v>
      </c>
      <c r="BD4" s="363">
        <f t="shared" ca="1" si="15"/>
        <v>0.96201943580486193</v>
      </c>
      <c r="BE4" s="363">
        <f t="shared" ca="1" si="15"/>
        <v>0.90177561557768871</v>
      </c>
      <c r="BF4" s="363">
        <f t="shared" ca="1" si="15"/>
        <v>0.94339810188191353</v>
      </c>
      <c r="BG4" s="363">
        <f t="shared" ca="1" si="15"/>
        <v>0.95450930191815653</v>
      </c>
      <c r="BH4" s="363">
        <f t="shared" ca="1" si="15"/>
        <v>0.94355809082212383</v>
      </c>
      <c r="BI4" s="363">
        <f t="shared" ca="1" si="15"/>
        <v>0.93899661753927555</v>
      </c>
      <c r="BJ4" s="363">
        <f t="shared" ca="1" si="15"/>
        <v>0.91361959864360454</v>
      </c>
      <c r="BK4" s="363">
        <f t="shared" ca="1" si="15"/>
        <v>0.8959996221866946</v>
      </c>
      <c r="BL4" s="363">
        <f t="shared" ca="1" si="15"/>
        <v>0.91369707820244284</v>
      </c>
      <c r="BM4" s="363">
        <f t="shared" ca="1" si="15"/>
        <v>0.94279567922843888</v>
      </c>
      <c r="BN4" s="363">
        <f t="shared" ca="1" si="15"/>
        <v>0.9651669611080067</v>
      </c>
      <c r="BO4" s="363">
        <f t="shared" ca="1" si="15"/>
        <v>0.94595454129141343</v>
      </c>
      <c r="BP4" s="363">
        <f t="shared" ca="1" si="15"/>
        <v>0.92123805552481708</v>
      </c>
      <c r="BQ4" s="363">
        <f t="shared" ca="1" si="15"/>
        <v>0.91918465823925743</v>
      </c>
      <c r="BR4" s="363">
        <f t="shared" ca="1" si="15"/>
        <v>0.9415623034568954</v>
      </c>
      <c r="BS4" s="363">
        <f t="shared" ca="1" si="15"/>
        <v>0.89686894279652618</v>
      </c>
      <c r="BT4" s="363">
        <f t="shared" ca="1" si="15"/>
        <v>0.92918196681267995</v>
      </c>
      <c r="BU4" s="363">
        <f t="shared" ca="1" si="15"/>
        <v>0.92700311276179159</v>
      </c>
      <c r="BV4" s="363">
        <f t="shared" ca="1" si="15"/>
        <v>0.92109816283130463</v>
      </c>
      <c r="BW4" s="363">
        <f t="shared" ca="1" si="15"/>
        <v>0.92327720102892774</v>
      </c>
      <c r="BX4" s="363">
        <f t="shared" ca="1" si="15"/>
        <v>0.93248153607121864</v>
      </c>
      <c r="BY4" s="363">
        <f t="shared" ca="1" si="15"/>
        <v>0.93714316608593251</v>
      </c>
      <c r="BZ4" s="363">
        <f t="shared" ref="BZ4:DH4" ca="1" si="16">MAX(0.5, MIN(1, _xlfn.BETA.INV(RAND(),$I$4,$J$4)))</f>
        <v>0.92598993035841448</v>
      </c>
      <c r="CA4" s="363">
        <f t="shared" ca="1" si="16"/>
        <v>0.92431024076219781</v>
      </c>
      <c r="CB4" s="363">
        <f t="shared" ca="1" si="16"/>
        <v>0.93348111937059386</v>
      </c>
      <c r="CC4" s="363">
        <f t="shared" ca="1" si="16"/>
        <v>0.9178340386144449</v>
      </c>
      <c r="CD4" s="363">
        <f t="shared" ca="1" si="16"/>
        <v>0.92686962892557734</v>
      </c>
      <c r="CE4" s="363">
        <f t="shared" ca="1" si="16"/>
        <v>0.94443774794360824</v>
      </c>
      <c r="CF4" s="363">
        <f t="shared" ca="1" si="16"/>
        <v>0.94153066274396935</v>
      </c>
      <c r="CG4" s="363">
        <f t="shared" ca="1" si="16"/>
        <v>0.91801181481456706</v>
      </c>
      <c r="CH4" s="363">
        <f t="shared" ca="1" si="16"/>
        <v>0.93577547337410683</v>
      </c>
      <c r="CI4" s="363">
        <f t="shared" ca="1" si="16"/>
        <v>0.9249818458640956</v>
      </c>
      <c r="CJ4" s="363">
        <f t="shared" ca="1" si="16"/>
        <v>0.91331280022509598</v>
      </c>
      <c r="CK4" s="363">
        <f t="shared" ca="1" si="16"/>
        <v>0.95461048035747709</v>
      </c>
      <c r="CL4" s="363">
        <f t="shared" ca="1" si="16"/>
        <v>0.9339411946717463</v>
      </c>
      <c r="CM4" s="363">
        <f t="shared" ca="1" si="16"/>
        <v>0.94344084061708733</v>
      </c>
      <c r="CN4" s="363">
        <f t="shared" ca="1" si="16"/>
        <v>0.93399434939072035</v>
      </c>
      <c r="CO4" s="363">
        <f t="shared" ca="1" si="16"/>
        <v>0.93200691922917067</v>
      </c>
      <c r="CP4" s="363">
        <f t="shared" ca="1" si="16"/>
        <v>0.93661341280013999</v>
      </c>
      <c r="CQ4" s="363">
        <f t="shared" ca="1" si="16"/>
        <v>0.91974447140818794</v>
      </c>
      <c r="CR4" s="363">
        <f t="shared" ca="1" si="16"/>
        <v>0.91630511392978131</v>
      </c>
      <c r="CS4" s="363">
        <f t="shared" ca="1" si="16"/>
        <v>0.91827582865626345</v>
      </c>
      <c r="CT4" s="363">
        <f t="shared" ca="1" si="16"/>
        <v>0.94418379476312475</v>
      </c>
      <c r="CU4" s="363">
        <f t="shared" ca="1" si="16"/>
        <v>0.91732422219519549</v>
      </c>
      <c r="CV4" s="363">
        <f t="shared" ca="1" si="16"/>
        <v>0.90583303316926556</v>
      </c>
      <c r="CW4" s="363">
        <f t="shared" ca="1" si="16"/>
        <v>0.94419369147146082</v>
      </c>
      <c r="CX4" s="363">
        <f t="shared" ca="1" si="16"/>
        <v>0.93977538725979404</v>
      </c>
      <c r="CY4" s="363">
        <f t="shared" ca="1" si="16"/>
        <v>0.93142820713797336</v>
      </c>
      <c r="CZ4" s="363">
        <f t="shared" ca="1" si="16"/>
        <v>0.93155447760883936</v>
      </c>
      <c r="DA4" s="363">
        <f t="shared" ca="1" si="16"/>
        <v>0.90183423658153461</v>
      </c>
      <c r="DB4" s="363">
        <f t="shared" ca="1" si="16"/>
        <v>0.94468284790141843</v>
      </c>
      <c r="DC4" s="363">
        <f t="shared" ca="1" si="16"/>
        <v>0.93613119441119297</v>
      </c>
      <c r="DD4" s="363">
        <f t="shared" ca="1" si="16"/>
        <v>0.92702844725192324</v>
      </c>
      <c r="DE4" s="363">
        <f t="shared" ca="1" si="16"/>
        <v>0.92448335532766923</v>
      </c>
      <c r="DF4" s="363">
        <f t="shared" ca="1" si="16"/>
        <v>0.9575907658180205</v>
      </c>
      <c r="DG4" s="363">
        <f t="shared" ca="1" si="16"/>
        <v>0.94837253572158264</v>
      </c>
      <c r="DH4" s="363">
        <f t="shared" ca="1" si="16"/>
        <v>0.93659209539828514</v>
      </c>
      <c r="DI4" s="363">
        <f ca="1">MAX(0.5, MIN(1, _xlfn.BETA.INV(RAND(),$I$4,$J$4)))</f>
        <v>0.9507790186892886</v>
      </c>
      <c r="DJ4" s="363">
        <f t="shared" ref="DJ4:FU4" ca="1" si="17">MAX(0.5, MIN(1, _xlfn.BETA.INV(RAND(),$I$4,$J$4)))</f>
        <v>0.93560754180267125</v>
      </c>
      <c r="DK4" s="363">
        <f t="shared" ca="1" si="17"/>
        <v>0.92572293167773723</v>
      </c>
      <c r="DL4" s="363">
        <f t="shared" ca="1" si="17"/>
        <v>0.92470882204664151</v>
      </c>
      <c r="DM4" s="363">
        <f t="shared" ca="1" si="17"/>
        <v>0.92649964524850148</v>
      </c>
      <c r="DN4" s="363">
        <f t="shared" ca="1" si="17"/>
        <v>0.93375541248775451</v>
      </c>
      <c r="DO4" s="363">
        <f t="shared" ca="1" si="17"/>
        <v>0.93304003586613637</v>
      </c>
      <c r="DP4" s="363">
        <f t="shared" ca="1" si="17"/>
        <v>0.94276070309290716</v>
      </c>
      <c r="DQ4" s="363">
        <f t="shared" ca="1" si="17"/>
        <v>0.91364118110105641</v>
      </c>
      <c r="DR4" s="363">
        <f t="shared" ca="1" si="17"/>
        <v>0.9275202061699942</v>
      </c>
      <c r="DS4" s="363">
        <f t="shared" ca="1" si="17"/>
        <v>0.9154751462686469</v>
      </c>
      <c r="DT4" s="363">
        <f t="shared" ca="1" si="17"/>
        <v>0.93300032079596895</v>
      </c>
      <c r="DU4" s="363">
        <f t="shared" ca="1" si="17"/>
        <v>0.94608204832410281</v>
      </c>
      <c r="DV4" s="363">
        <f t="shared" ca="1" si="17"/>
        <v>0.92789962584111929</v>
      </c>
      <c r="DW4" s="363">
        <f t="shared" ca="1" si="17"/>
        <v>0.94231650820208013</v>
      </c>
      <c r="DX4" s="363">
        <f t="shared" ca="1" si="17"/>
        <v>0.90893163143249267</v>
      </c>
      <c r="DY4" s="363">
        <f t="shared" ca="1" si="17"/>
        <v>0.93194166926476651</v>
      </c>
      <c r="DZ4" s="363">
        <f t="shared" ca="1" si="17"/>
        <v>0.93565950103902551</v>
      </c>
      <c r="EA4" s="363">
        <f t="shared" ca="1" si="17"/>
        <v>0.93077762902760686</v>
      </c>
      <c r="EB4" s="363">
        <f t="shared" ca="1" si="17"/>
        <v>0.90654232258793577</v>
      </c>
      <c r="EC4" s="363">
        <f t="shared" ca="1" si="17"/>
        <v>0.93573007243579776</v>
      </c>
      <c r="ED4" s="363">
        <f t="shared" ca="1" si="17"/>
        <v>0.93418014044022057</v>
      </c>
      <c r="EE4" s="363">
        <f t="shared" ca="1" si="17"/>
        <v>0.92552788543453413</v>
      </c>
      <c r="EF4" s="363">
        <f t="shared" ca="1" si="17"/>
        <v>0.9341765833601906</v>
      </c>
      <c r="EG4" s="363">
        <f t="shared" ca="1" si="17"/>
        <v>0.94165260194955636</v>
      </c>
      <c r="EH4" s="363">
        <f t="shared" ca="1" si="17"/>
        <v>0.90698767790454426</v>
      </c>
      <c r="EI4" s="363">
        <f t="shared" ca="1" si="17"/>
        <v>0.9481083918308042</v>
      </c>
      <c r="EJ4" s="363">
        <f t="shared" ca="1" si="17"/>
        <v>0.91336696321525124</v>
      </c>
      <c r="EK4" s="363">
        <f t="shared" ca="1" si="17"/>
        <v>0.91071384555878143</v>
      </c>
      <c r="EL4" s="363">
        <f t="shared" ca="1" si="17"/>
        <v>0.93079871867139274</v>
      </c>
      <c r="EM4" s="363">
        <f t="shared" ca="1" si="17"/>
        <v>0.93893721965689392</v>
      </c>
      <c r="EN4" s="363">
        <f t="shared" ca="1" si="17"/>
        <v>0.93681871418643925</v>
      </c>
      <c r="EO4" s="363">
        <f t="shared" ca="1" si="17"/>
        <v>0.95989151234215497</v>
      </c>
      <c r="EP4" s="363">
        <f t="shared" ca="1" si="17"/>
        <v>0.92930016901671531</v>
      </c>
      <c r="EQ4" s="363">
        <f t="shared" ca="1" si="17"/>
        <v>0.89854562559133866</v>
      </c>
      <c r="ER4" s="363">
        <f t="shared" ca="1" si="17"/>
        <v>0.94588861123568457</v>
      </c>
      <c r="ES4" s="363">
        <f t="shared" ca="1" si="17"/>
        <v>0.94124361335903628</v>
      </c>
      <c r="ET4" s="363">
        <f t="shared" ca="1" si="17"/>
        <v>0.93130536996013125</v>
      </c>
      <c r="EU4" s="363">
        <f t="shared" ca="1" si="17"/>
        <v>0.94524832395573921</v>
      </c>
      <c r="EV4" s="363">
        <f t="shared" ca="1" si="17"/>
        <v>0.92692178025784511</v>
      </c>
      <c r="EW4" s="363">
        <f t="shared" ca="1" si="17"/>
        <v>0.930068508549315</v>
      </c>
      <c r="EX4" s="363">
        <f t="shared" ca="1" si="17"/>
        <v>0.91860670429062619</v>
      </c>
      <c r="EY4" s="363">
        <f t="shared" ca="1" si="17"/>
        <v>0.92906184819117266</v>
      </c>
      <c r="EZ4" s="363">
        <f t="shared" ca="1" si="17"/>
        <v>0.92282363392165689</v>
      </c>
      <c r="FA4" s="363">
        <f t="shared" ca="1" si="17"/>
        <v>0.94491003915800076</v>
      </c>
      <c r="FB4" s="363">
        <f t="shared" ca="1" si="17"/>
        <v>0.94160349277665523</v>
      </c>
      <c r="FC4" s="363">
        <f t="shared" ca="1" si="17"/>
        <v>0.92624315174836092</v>
      </c>
      <c r="FD4" s="363">
        <f t="shared" ca="1" si="17"/>
        <v>0.89502567595317284</v>
      </c>
      <c r="FE4" s="363">
        <f t="shared" ca="1" si="17"/>
        <v>0.95201167813387122</v>
      </c>
      <c r="FF4" s="363">
        <f t="shared" ca="1" si="17"/>
        <v>0.92996614779977815</v>
      </c>
      <c r="FG4" s="363">
        <f t="shared" ca="1" si="17"/>
        <v>0.94384749338893315</v>
      </c>
      <c r="FH4" s="363">
        <f t="shared" ca="1" si="17"/>
        <v>0.90108552056346158</v>
      </c>
      <c r="FI4" s="363">
        <f t="shared" ca="1" si="17"/>
        <v>0.96216051767965516</v>
      </c>
      <c r="FJ4" s="363">
        <f t="shared" ca="1" si="17"/>
        <v>0.9244819455176736</v>
      </c>
      <c r="FK4" s="363">
        <f t="shared" ca="1" si="17"/>
        <v>0.93268245263159444</v>
      </c>
      <c r="FL4" s="363">
        <f t="shared" ca="1" si="17"/>
        <v>0.92931709253472505</v>
      </c>
      <c r="FM4" s="363">
        <f t="shared" ca="1" si="17"/>
        <v>0.94961562825052825</v>
      </c>
      <c r="FN4" s="363">
        <f t="shared" ca="1" si="17"/>
        <v>0.9201298563450504</v>
      </c>
      <c r="FO4" s="363">
        <f t="shared" ca="1" si="17"/>
        <v>0.94087421684181372</v>
      </c>
      <c r="FP4" s="363">
        <f t="shared" ca="1" si="17"/>
        <v>0.91551000842870323</v>
      </c>
      <c r="FQ4" s="363">
        <f t="shared" ca="1" si="17"/>
        <v>0.91089167833873874</v>
      </c>
      <c r="FR4" s="363">
        <f t="shared" ca="1" si="17"/>
        <v>0.9037077201062792</v>
      </c>
      <c r="FS4" s="363">
        <f t="shared" ca="1" si="17"/>
        <v>0.91073833638369228</v>
      </c>
      <c r="FT4" s="363">
        <f t="shared" ca="1" si="17"/>
        <v>0.92787605523970773</v>
      </c>
      <c r="FU4" s="363">
        <f t="shared" ca="1" si="17"/>
        <v>0.94764285520778913</v>
      </c>
      <c r="FV4" s="363">
        <f t="shared" ref="FV4:HD4" ca="1" si="18">MAX(0.5, MIN(1, _xlfn.BETA.INV(RAND(),$I$4,$J$4)))</f>
        <v>0.90404501332222242</v>
      </c>
      <c r="FW4" s="363">
        <f t="shared" ca="1" si="18"/>
        <v>0.91437218748220428</v>
      </c>
      <c r="FX4" s="363">
        <f t="shared" ca="1" si="18"/>
        <v>0.93532548078703037</v>
      </c>
      <c r="FY4" s="363">
        <f t="shared" ca="1" si="18"/>
        <v>0.9160354562124301</v>
      </c>
      <c r="FZ4" s="363">
        <f t="shared" ca="1" si="18"/>
        <v>0.90774886421823631</v>
      </c>
      <c r="GA4" s="363">
        <f t="shared" ca="1" si="18"/>
        <v>0.92694148718848035</v>
      </c>
      <c r="GB4" s="363">
        <f t="shared" ca="1" si="18"/>
        <v>0.90219528277247063</v>
      </c>
      <c r="GC4" s="363">
        <f t="shared" ca="1" si="18"/>
        <v>0.92651496860399041</v>
      </c>
      <c r="GD4" s="363">
        <f t="shared" ca="1" si="18"/>
        <v>0.95868904351657114</v>
      </c>
      <c r="GE4" s="363">
        <f t="shared" ca="1" si="18"/>
        <v>0.87794454292834712</v>
      </c>
      <c r="GF4" s="363">
        <f t="shared" ca="1" si="18"/>
        <v>0.92192152168868802</v>
      </c>
      <c r="GG4" s="363">
        <f t="shared" ca="1" si="18"/>
        <v>0.92107079886587917</v>
      </c>
      <c r="GH4" s="363">
        <f t="shared" ca="1" si="18"/>
        <v>0.93868350525436206</v>
      </c>
      <c r="GI4" s="363">
        <f t="shared" ca="1" si="18"/>
        <v>0.92224946316753953</v>
      </c>
      <c r="GJ4" s="363">
        <f t="shared" ca="1" si="18"/>
        <v>0.93296149035194076</v>
      </c>
      <c r="GK4" s="363">
        <f t="shared" ca="1" si="18"/>
        <v>0.94413280068576044</v>
      </c>
      <c r="GL4" s="363">
        <f t="shared" ca="1" si="18"/>
        <v>0.94010120599575586</v>
      </c>
      <c r="GM4" s="363">
        <f t="shared" ca="1" si="18"/>
        <v>0.90289533818331102</v>
      </c>
      <c r="GN4" s="363">
        <f t="shared" ca="1" si="18"/>
        <v>0.94264018213646439</v>
      </c>
      <c r="GO4" s="363">
        <f t="shared" ca="1" si="18"/>
        <v>0.92563765449657798</v>
      </c>
      <c r="GP4" s="363">
        <f t="shared" ca="1" si="18"/>
        <v>0.94879440688016548</v>
      </c>
      <c r="GQ4" s="363">
        <f t="shared" ca="1" si="18"/>
        <v>0.95081232293006412</v>
      </c>
      <c r="GR4" s="363">
        <f t="shared" ca="1" si="18"/>
        <v>0.92631782174967281</v>
      </c>
      <c r="GS4" s="363">
        <f t="shared" ca="1" si="18"/>
        <v>0.92505714630712332</v>
      </c>
      <c r="GT4" s="363">
        <f t="shared" ca="1" si="18"/>
        <v>0.93240047382177904</v>
      </c>
      <c r="GU4" s="363">
        <f t="shared" ca="1" si="18"/>
        <v>0.93107818387341734</v>
      </c>
      <c r="GV4" s="363">
        <f t="shared" ca="1" si="18"/>
        <v>0.93518896331988211</v>
      </c>
      <c r="GW4" s="363">
        <f t="shared" ca="1" si="18"/>
        <v>0.9421180639423905</v>
      </c>
      <c r="GX4" s="363">
        <f t="shared" ca="1" si="18"/>
        <v>0.94803405935377638</v>
      </c>
      <c r="GY4" s="363">
        <f t="shared" ca="1" si="18"/>
        <v>0.92510118271149544</v>
      </c>
      <c r="GZ4" s="363">
        <f t="shared" ca="1" si="18"/>
        <v>0.91548324220550881</v>
      </c>
      <c r="HA4" s="363">
        <f t="shared" ca="1" si="18"/>
        <v>0.92765876529931313</v>
      </c>
      <c r="HB4" s="363">
        <f t="shared" ca="1" si="18"/>
        <v>0.90811463912572732</v>
      </c>
      <c r="HC4" s="363">
        <f t="shared" ca="1" si="18"/>
        <v>0.93690016788958719</v>
      </c>
      <c r="HD4" s="363">
        <f t="shared" ca="1" si="18"/>
        <v>0.93344934166096405</v>
      </c>
      <c r="HE4" s="363">
        <f ca="1">MAX(0.5, MIN(1, _xlfn.BETA.INV(RAND(),$I$4,$J$4)))</f>
        <v>0.91647838765240641</v>
      </c>
      <c r="HF4" s="363">
        <f t="shared" ref="HF4:JQ4" ca="1" si="19">MAX(0.5, MIN(1, _xlfn.BETA.INV(RAND(),$I$4,$J$4)))</f>
        <v>0.94553124855060022</v>
      </c>
      <c r="HG4" s="363">
        <f t="shared" ca="1" si="19"/>
        <v>0.90615094874785873</v>
      </c>
      <c r="HH4" s="363">
        <f t="shared" ca="1" si="19"/>
        <v>0.97251890931406437</v>
      </c>
      <c r="HI4" s="363">
        <f t="shared" ca="1" si="19"/>
        <v>0.94269973813992625</v>
      </c>
      <c r="HJ4" s="363">
        <f t="shared" ca="1" si="19"/>
        <v>0.92430421291298437</v>
      </c>
      <c r="HK4" s="363">
        <f t="shared" ca="1" si="19"/>
        <v>0.93590592702106012</v>
      </c>
      <c r="HL4" s="363">
        <f t="shared" ca="1" si="19"/>
        <v>0.94016242768755998</v>
      </c>
      <c r="HM4" s="363">
        <f t="shared" ca="1" si="19"/>
        <v>0.92446373097729317</v>
      </c>
      <c r="HN4" s="363">
        <f t="shared" ca="1" si="19"/>
        <v>0.91720285472305441</v>
      </c>
      <c r="HO4" s="363">
        <f t="shared" ca="1" si="19"/>
        <v>0.91082530023458863</v>
      </c>
      <c r="HP4" s="363">
        <f t="shared" ca="1" si="19"/>
        <v>0.91926802692865606</v>
      </c>
      <c r="HQ4" s="363">
        <f t="shared" ca="1" si="19"/>
        <v>0.9403140347937744</v>
      </c>
      <c r="HR4" s="363">
        <f t="shared" ca="1" si="19"/>
        <v>0.88907658588436567</v>
      </c>
      <c r="HS4" s="363">
        <f t="shared" ca="1" si="19"/>
        <v>0.90038425531359123</v>
      </c>
      <c r="HT4" s="363">
        <f t="shared" ca="1" si="19"/>
        <v>0.93503384820173063</v>
      </c>
      <c r="HU4" s="363">
        <f t="shared" ca="1" si="19"/>
        <v>0.93992094921181324</v>
      </c>
      <c r="HV4" s="363">
        <f t="shared" ca="1" si="19"/>
        <v>0.93796401654666473</v>
      </c>
      <c r="HW4" s="363">
        <f t="shared" ca="1" si="19"/>
        <v>0.94168485271773728</v>
      </c>
      <c r="HX4" s="363">
        <f t="shared" ca="1" si="19"/>
        <v>0.91262493764191888</v>
      </c>
      <c r="HY4" s="363">
        <f t="shared" ca="1" si="19"/>
        <v>0.91948712681242117</v>
      </c>
      <c r="HZ4" s="363">
        <f t="shared" ca="1" si="19"/>
        <v>0.93885476110418842</v>
      </c>
      <c r="IA4" s="363">
        <f t="shared" ca="1" si="19"/>
        <v>0.93260914085445412</v>
      </c>
      <c r="IB4" s="363">
        <f t="shared" ca="1" si="19"/>
        <v>0.92307163253003821</v>
      </c>
      <c r="IC4" s="363">
        <f t="shared" ca="1" si="19"/>
        <v>0.92660178478907862</v>
      </c>
      <c r="ID4" s="363">
        <f t="shared" ca="1" si="19"/>
        <v>0.94542136186362624</v>
      </c>
      <c r="IE4" s="363">
        <f t="shared" ca="1" si="19"/>
        <v>0.90445136453342101</v>
      </c>
      <c r="IF4" s="363">
        <f t="shared" ca="1" si="19"/>
        <v>0.93136489773606068</v>
      </c>
      <c r="IG4" s="363">
        <f t="shared" ca="1" si="19"/>
        <v>0.91089195063248407</v>
      </c>
      <c r="IH4" s="363">
        <f t="shared" ca="1" si="19"/>
        <v>0.91476137959167725</v>
      </c>
      <c r="II4" s="363">
        <f t="shared" ca="1" si="19"/>
        <v>0.90949074022790322</v>
      </c>
      <c r="IJ4" s="363">
        <f t="shared" ca="1" si="19"/>
        <v>0.94932766327106755</v>
      </c>
      <c r="IK4" s="363">
        <f t="shared" ca="1" si="19"/>
        <v>0.93247123851460501</v>
      </c>
      <c r="IL4" s="363">
        <f t="shared" ca="1" si="19"/>
        <v>0.93527755049492267</v>
      </c>
      <c r="IM4" s="363">
        <f t="shared" ca="1" si="19"/>
        <v>0.8969490863454268</v>
      </c>
      <c r="IN4" s="363">
        <f t="shared" ca="1" si="19"/>
        <v>0.9163490216043606</v>
      </c>
      <c r="IO4" s="363">
        <f t="shared" ca="1" si="19"/>
        <v>0.91545794913160283</v>
      </c>
      <c r="IP4" s="363">
        <f t="shared" ca="1" si="19"/>
        <v>0.9224247104941371</v>
      </c>
      <c r="IQ4" s="363">
        <f t="shared" ca="1" si="19"/>
        <v>0.94211908269844447</v>
      </c>
      <c r="IR4" s="363">
        <f t="shared" ca="1" si="19"/>
        <v>0.9490589768870068</v>
      </c>
      <c r="IS4" s="363">
        <f t="shared" ca="1" si="19"/>
        <v>0.90694808164483331</v>
      </c>
      <c r="IT4" s="363">
        <f t="shared" ca="1" si="19"/>
        <v>0.90075979155620367</v>
      </c>
      <c r="IU4" s="363">
        <f t="shared" ca="1" si="19"/>
        <v>0.93671153280218911</v>
      </c>
      <c r="IV4" s="363">
        <f t="shared" ca="1" si="19"/>
        <v>0.95965996129097109</v>
      </c>
      <c r="IW4" s="363">
        <f t="shared" ca="1" si="19"/>
        <v>0.940808453394546</v>
      </c>
      <c r="IX4" s="363">
        <f t="shared" ca="1" si="19"/>
        <v>0.93287046125741713</v>
      </c>
      <c r="IY4" s="363">
        <f t="shared" ca="1" si="19"/>
        <v>0.94024916393219127</v>
      </c>
      <c r="IZ4" s="363">
        <f t="shared" ca="1" si="19"/>
        <v>0.94584963547480694</v>
      </c>
      <c r="JA4" s="363">
        <f t="shared" ca="1" si="19"/>
        <v>0.90777490126854421</v>
      </c>
      <c r="JB4" s="363">
        <f t="shared" ca="1" si="19"/>
        <v>0.91435980313093035</v>
      </c>
      <c r="JC4" s="363">
        <f t="shared" ca="1" si="19"/>
        <v>0.92076807442407849</v>
      </c>
      <c r="JD4" s="363">
        <f t="shared" ca="1" si="19"/>
        <v>0.90383499169919768</v>
      </c>
      <c r="JE4" s="363">
        <f t="shared" ca="1" si="19"/>
        <v>0.92923938667744654</v>
      </c>
      <c r="JF4" s="363">
        <f t="shared" ca="1" si="19"/>
        <v>0.94042520925998851</v>
      </c>
      <c r="JG4" s="363">
        <f t="shared" ca="1" si="19"/>
        <v>0.93414166753359251</v>
      </c>
      <c r="JH4" s="363">
        <f t="shared" ca="1" si="19"/>
        <v>0.92146462677754448</v>
      </c>
      <c r="JI4" s="363">
        <f t="shared" ca="1" si="19"/>
        <v>0.92842132124336418</v>
      </c>
      <c r="JJ4" s="363">
        <f t="shared" ca="1" si="19"/>
        <v>0.92366882603159051</v>
      </c>
      <c r="JK4" s="363">
        <f t="shared" ca="1" si="19"/>
        <v>0.94951192079285707</v>
      </c>
      <c r="JL4" s="363">
        <f t="shared" ca="1" si="19"/>
        <v>0.92806413530357079</v>
      </c>
      <c r="JM4" s="363">
        <f t="shared" ca="1" si="19"/>
        <v>0.93860889720764584</v>
      </c>
      <c r="JN4" s="363">
        <f t="shared" ca="1" si="19"/>
        <v>0.94056044924763726</v>
      </c>
      <c r="JO4" s="363">
        <f t="shared" ca="1" si="19"/>
        <v>0.90154516053480438</v>
      </c>
      <c r="JP4" s="363">
        <f t="shared" ca="1" si="19"/>
        <v>0.94457938071649805</v>
      </c>
      <c r="JQ4" s="363">
        <f t="shared" ca="1" si="19"/>
        <v>0.92639178302401193</v>
      </c>
      <c r="JR4" s="363">
        <f t="shared" ref="JR4:KZ4" ca="1" si="20">MAX(0.5, MIN(1, _xlfn.BETA.INV(RAND(),$I$4,$J$4)))</f>
        <v>0.93297367281647103</v>
      </c>
      <c r="JS4" s="363">
        <f t="shared" ca="1" si="20"/>
        <v>0.92927408161186287</v>
      </c>
      <c r="JT4" s="363">
        <f t="shared" ca="1" si="20"/>
        <v>0.90363977586853217</v>
      </c>
      <c r="JU4" s="363">
        <f t="shared" ca="1" si="20"/>
        <v>0.93328630675023949</v>
      </c>
      <c r="JV4" s="363">
        <f t="shared" ca="1" si="20"/>
        <v>0.90487137116031113</v>
      </c>
      <c r="JW4" s="363">
        <f t="shared" ca="1" si="20"/>
        <v>0.92226068309302323</v>
      </c>
      <c r="JX4" s="363">
        <f t="shared" ca="1" si="20"/>
        <v>0.92718264077258628</v>
      </c>
      <c r="JY4" s="363">
        <f t="shared" ca="1" si="20"/>
        <v>0.90932409179325591</v>
      </c>
      <c r="JZ4" s="363">
        <f t="shared" ca="1" si="20"/>
        <v>0.9552963254044855</v>
      </c>
      <c r="KA4" s="363">
        <f t="shared" ca="1" si="20"/>
        <v>0.91935312194132712</v>
      </c>
      <c r="KB4" s="363">
        <f t="shared" ca="1" si="20"/>
        <v>0.90498832059293088</v>
      </c>
      <c r="KC4" s="363">
        <f t="shared" ca="1" si="20"/>
        <v>0.93035143646681551</v>
      </c>
      <c r="KD4" s="363">
        <f t="shared" ca="1" si="20"/>
        <v>0.93164442818566162</v>
      </c>
      <c r="KE4" s="363">
        <f t="shared" ca="1" si="20"/>
        <v>0.93359114257966147</v>
      </c>
      <c r="KF4" s="363">
        <f t="shared" ca="1" si="20"/>
        <v>0.95686222304172741</v>
      </c>
      <c r="KG4" s="363">
        <f t="shared" ca="1" si="20"/>
        <v>0.9366262144356452</v>
      </c>
      <c r="KH4" s="363">
        <f t="shared" ca="1" si="20"/>
        <v>0.96583105860480611</v>
      </c>
      <c r="KI4" s="363">
        <f t="shared" ca="1" si="20"/>
        <v>0.91096849422802295</v>
      </c>
      <c r="KJ4" s="363">
        <f t="shared" ca="1" si="20"/>
        <v>0.92735250499653021</v>
      </c>
      <c r="KK4" s="363">
        <f t="shared" ca="1" si="20"/>
        <v>0.93402112526219172</v>
      </c>
      <c r="KL4" s="363">
        <f t="shared" ca="1" si="20"/>
        <v>0.94537843446058778</v>
      </c>
      <c r="KM4" s="363">
        <f t="shared" ca="1" si="20"/>
        <v>0.94982270924150347</v>
      </c>
      <c r="KN4" s="363">
        <f t="shared" ca="1" si="20"/>
        <v>0.92167216047235556</v>
      </c>
      <c r="KO4" s="363">
        <f t="shared" ca="1" si="20"/>
        <v>0.9611084208842896</v>
      </c>
      <c r="KP4" s="363">
        <f t="shared" ca="1" si="20"/>
        <v>0.92584147477930379</v>
      </c>
      <c r="KQ4" s="363">
        <f t="shared" ca="1" si="20"/>
        <v>0.91443590871718405</v>
      </c>
      <c r="KR4" s="363">
        <f t="shared" ca="1" si="20"/>
        <v>0.9503462393373221</v>
      </c>
      <c r="KS4" s="363">
        <f t="shared" ca="1" si="20"/>
        <v>0.93016393287565113</v>
      </c>
      <c r="KT4" s="363">
        <f t="shared" ca="1" si="20"/>
        <v>0.92879281710465134</v>
      </c>
      <c r="KU4" s="363">
        <f t="shared" ca="1" si="20"/>
        <v>0.91040595652978806</v>
      </c>
      <c r="KV4" s="363">
        <f t="shared" ca="1" si="20"/>
        <v>0.93562573842972696</v>
      </c>
      <c r="KW4" s="363">
        <f t="shared" ca="1" si="20"/>
        <v>0.907869487011145</v>
      </c>
      <c r="KX4" s="363">
        <f t="shared" ca="1" si="20"/>
        <v>0.92797067056639282</v>
      </c>
      <c r="KY4" s="363">
        <f t="shared" ca="1" si="20"/>
        <v>0.93792941984221523</v>
      </c>
      <c r="KZ4" s="363">
        <f t="shared" ca="1" si="20"/>
        <v>0.95219521515628835</v>
      </c>
      <c r="LA4" s="363">
        <f ca="1">MAX(0.5, MIN(1, _xlfn.BETA.INV(RAND(),$I$4,$J$4)))</f>
        <v>0.92115112008777922</v>
      </c>
      <c r="LB4" s="363">
        <f t="shared" ref="LB4:NM4" ca="1" si="21">MAX(0.5, MIN(1, _xlfn.BETA.INV(RAND(),$I$4,$J$4)))</f>
        <v>0.95950168858910445</v>
      </c>
      <c r="LC4" s="363">
        <f t="shared" ca="1" si="21"/>
        <v>0.90930956045434252</v>
      </c>
      <c r="LD4" s="363">
        <f t="shared" ca="1" si="21"/>
        <v>0.93337907338539794</v>
      </c>
      <c r="LE4" s="363">
        <f t="shared" ca="1" si="21"/>
        <v>0.94575545501236991</v>
      </c>
      <c r="LF4" s="363">
        <f t="shared" ca="1" si="21"/>
        <v>0.937196406277923</v>
      </c>
      <c r="LG4" s="363">
        <f t="shared" ca="1" si="21"/>
        <v>0.93536574587390431</v>
      </c>
      <c r="LH4" s="363">
        <f t="shared" ca="1" si="21"/>
        <v>0.9350269936983916</v>
      </c>
      <c r="LI4" s="363">
        <f t="shared" ca="1" si="21"/>
        <v>0.92807892259350511</v>
      </c>
      <c r="LJ4" s="363">
        <f t="shared" ca="1" si="21"/>
        <v>0.94074229375456364</v>
      </c>
      <c r="LK4" s="363">
        <f t="shared" ca="1" si="21"/>
        <v>0.93876257821770592</v>
      </c>
      <c r="LL4" s="363">
        <f t="shared" ca="1" si="21"/>
        <v>0.9341124121796055</v>
      </c>
      <c r="LM4" s="363">
        <f t="shared" ca="1" si="21"/>
        <v>0.92057572382556696</v>
      </c>
      <c r="LN4" s="363">
        <f t="shared" ca="1" si="21"/>
        <v>0.89103332727500717</v>
      </c>
      <c r="LO4" s="363">
        <f t="shared" ca="1" si="21"/>
        <v>0.9342061289659005</v>
      </c>
      <c r="LP4" s="363">
        <f t="shared" ca="1" si="21"/>
        <v>0.93722277911651986</v>
      </c>
      <c r="LQ4" s="363">
        <f t="shared" ca="1" si="21"/>
        <v>0.93804911966727378</v>
      </c>
      <c r="LR4" s="363">
        <f t="shared" ca="1" si="21"/>
        <v>0.93387222241239876</v>
      </c>
      <c r="LS4" s="363">
        <f t="shared" ca="1" si="21"/>
        <v>0.91922336921064607</v>
      </c>
      <c r="LT4" s="363">
        <f t="shared" ca="1" si="21"/>
        <v>0.94204321637648847</v>
      </c>
      <c r="LU4" s="363">
        <f t="shared" ca="1" si="21"/>
        <v>0.92837274424083938</v>
      </c>
      <c r="LV4" s="363">
        <f t="shared" ca="1" si="21"/>
        <v>0.93483114462981509</v>
      </c>
      <c r="LW4" s="363">
        <f t="shared" ca="1" si="21"/>
        <v>0.95218518299223676</v>
      </c>
      <c r="LX4" s="363">
        <f t="shared" ca="1" si="21"/>
        <v>0.92455030498254542</v>
      </c>
      <c r="LY4" s="363">
        <f t="shared" ca="1" si="21"/>
        <v>0.92653990697876343</v>
      </c>
      <c r="LZ4" s="363">
        <f t="shared" ca="1" si="21"/>
        <v>0.94745468299706248</v>
      </c>
      <c r="MA4" s="363">
        <f t="shared" ca="1" si="21"/>
        <v>0.93285965517258451</v>
      </c>
      <c r="MB4" s="363">
        <f t="shared" ca="1" si="21"/>
        <v>0.92024334157071264</v>
      </c>
      <c r="MC4" s="363">
        <f t="shared" ca="1" si="21"/>
        <v>0.95434965444116571</v>
      </c>
      <c r="MD4" s="363">
        <f t="shared" ca="1" si="21"/>
        <v>0.93939743276229892</v>
      </c>
      <c r="ME4" s="363">
        <f t="shared" ca="1" si="21"/>
        <v>0.92590536291321168</v>
      </c>
      <c r="MF4" s="363">
        <f t="shared" ca="1" si="21"/>
        <v>0.93538750410602134</v>
      </c>
      <c r="MG4" s="363">
        <f t="shared" ca="1" si="21"/>
        <v>0.90079149991305119</v>
      </c>
      <c r="MH4" s="363">
        <f t="shared" ca="1" si="21"/>
        <v>0.89803104105287435</v>
      </c>
      <c r="MI4" s="363">
        <f t="shared" ca="1" si="21"/>
        <v>0.92889567613536006</v>
      </c>
      <c r="MJ4" s="363">
        <f t="shared" ca="1" si="21"/>
        <v>0.94658482923093645</v>
      </c>
      <c r="MK4" s="363">
        <f t="shared" ca="1" si="21"/>
        <v>0.95141630668232691</v>
      </c>
      <c r="ML4" s="363">
        <f t="shared" ca="1" si="21"/>
        <v>0.92308330694279395</v>
      </c>
      <c r="MM4" s="363">
        <f t="shared" ca="1" si="21"/>
        <v>0.95155278271902266</v>
      </c>
      <c r="MN4" s="363">
        <f t="shared" ca="1" si="21"/>
        <v>0.90223490533585071</v>
      </c>
      <c r="MO4" s="363">
        <f t="shared" ca="1" si="21"/>
        <v>0.92588942295930221</v>
      </c>
      <c r="MP4" s="363">
        <f t="shared" ca="1" si="21"/>
        <v>0.93822998415343362</v>
      </c>
      <c r="MQ4" s="363">
        <f t="shared" ca="1" si="21"/>
        <v>0.9230179022761148</v>
      </c>
      <c r="MR4" s="363">
        <f t="shared" ca="1" si="21"/>
        <v>0.92552972538623057</v>
      </c>
      <c r="MS4" s="363">
        <f t="shared" ca="1" si="21"/>
        <v>0.94753978638905145</v>
      </c>
      <c r="MT4" s="363">
        <f t="shared" ca="1" si="21"/>
        <v>0.94714236071372071</v>
      </c>
      <c r="MU4" s="363">
        <f t="shared" ca="1" si="21"/>
        <v>0.91370344373450596</v>
      </c>
      <c r="MV4" s="363">
        <f t="shared" ca="1" si="21"/>
        <v>0.92812676093377222</v>
      </c>
      <c r="MW4" s="363">
        <f t="shared" ca="1" si="21"/>
        <v>0.92949130117229395</v>
      </c>
      <c r="MX4" s="363">
        <f t="shared" ca="1" si="21"/>
        <v>0.95314160260709146</v>
      </c>
      <c r="MY4" s="363">
        <f t="shared" ca="1" si="21"/>
        <v>0.92947582798863992</v>
      </c>
      <c r="MZ4" s="363">
        <f t="shared" ca="1" si="21"/>
        <v>0.93167777529028539</v>
      </c>
      <c r="NA4" s="363">
        <f t="shared" ca="1" si="21"/>
        <v>0.93290058190714775</v>
      </c>
      <c r="NB4" s="363">
        <f t="shared" ca="1" si="21"/>
        <v>0.93461687619953271</v>
      </c>
      <c r="NC4" s="363">
        <f t="shared" ca="1" si="21"/>
        <v>0.95577547590598155</v>
      </c>
      <c r="ND4" s="363">
        <f t="shared" ca="1" si="21"/>
        <v>0.94366260460968809</v>
      </c>
      <c r="NE4" s="363">
        <f t="shared" ca="1" si="21"/>
        <v>0.93828562445864072</v>
      </c>
      <c r="NF4" s="363">
        <f t="shared" ca="1" si="21"/>
        <v>0.93917151489583062</v>
      </c>
      <c r="NG4" s="363">
        <f t="shared" ca="1" si="21"/>
        <v>0.91815882406358207</v>
      </c>
      <c r="NH4" s="363">
        <f t="shared" ca="1" si="21"/>
        <v>0.94119164465559191</v>
      </c>
      <c r="NI4" s="363">
        <f t="shared" ca="1" si="21"/>
        <v>0.92908964893303336</v>
      </c>
      <c r="NJ4" s="363">
        <f t="shared" ca="1" si="21"/>
        <v>0.94971088932534253</v>
      </c>
      <c r="NK4" s="363">
        <f t="shared" ca="1" si="21"/>
        <v>0.91992316390584528</v>
      </c>
      <c r="NL4" s="363">
        <f t="shared" ca="1" si="21"/>
        <v>0.92478198587565508</v>
      </c>
      <c r="NM4" s="363">
        <f t="shared" ca="1" si="21"/>
        <v>0.92947083571863565</v>
      </c>
      <c r="NN4" s="363">
        <f t="shared" ref="NN4:OV4" ca="1" si="22">MAX(0.5, MIN(1, _xlfn.BETA.INV(RAND(),$I$4,$J$4)))</f>
        <v>0.95819662949010875</v>
      </c>
      <c r="NO4" s="363">
        <f t="shared" ca="1" si="22"/>
        <v>0.95739820987774116</v>
      </c>
      <c r="NP4" s="363">
        <f t="shared" ca="1" si="22"/>
        <v>0.92595334981044053</v>
      </c>
      <c r="NQ4" s="363">
        <f t="shared" ca="1" si="22"/>
        <v>0.93647179876473174</v>
      </c>
      <c r="NR4" s="363">
        <f t="shared" ca="1" si="22"/>
        <v>0.93056896015996626</v>
      </c>
      <c r="NS4" s="363">
        <f t="shared" ca="1" si="22"/>
        <v>0.92188128783142209</v>
      </c>
      <c r="NT4" s="363">
        <f t="shared" ca="1" si="22"/>
        <v>0.90171227994456449</v>
      </c>
      <c r="NU4" s="363">
        <f t="shared" ca="1" si="22"/>
        <v>0.93404034394811319</v>
      </c>
      <c r="NV4" s="363">
        <f t="shared" ca="1" si="22"/>
        <v>0.93429276198862965</v>
      </c>
      <c r="NW4" s="363">
        <f t="shared" ca="1" si="22"/>
        <v>0.92155716386527953</v>
      </c>
      <c r="NX4" s="363">
        <f t="shared" ca="1" si="22"/>
        <v>0.92006823771685775</v>
      </c>
      <c r="NY4" s="363">
        <f t="shared" ca="1" si="22"/>
        <v>0.91256673924250342</v>
      </c>
      <c r="NZ4" s="363">
        <f t="shared" ca="1" si="22"/>
        <v>0.92942287199369789</v>
      </c>
      <c r="OA4" s="363">
        <f t="shared" ca="1" si="22"/>
        <v>0.94767869541672045</v>
      </c>
      <c r="OB4" s="363">
        <f t="shared" ca="1" si="22"/>
        <v>0.92392877156960274</v>
      </c>
      <c r="OC4" s="363">
        <f t="shared" ca="1" si="22"/>
        <v>0.95052667502799615</v>
      </c>
      <c r="OD4" s="363">
        <f t="shared" ca="1" si="22"/>
        <v>0.92988873422639584</v>
      </c>
      <c r="OE4" s="363">
        <f t="shared" ca="1" si="22"/>
        <v>0.95507924819851653</v>
      </c>
      <c r="OF4" s="363">
        <f t="shared" ca="1" si="22"/>
        <v>0.94869805856277689</v>
      </c>
      <c r="OG4" s="363">
        <f t="shared" ca="1" si="22"/>
        <v>0.96056970595107027</v>
      </c>
      <c r="OH4" s="363">
        <f t="shared" ca="1" si="22"/>
        <v>0.9284228113284293</v>
      </c>
      <c r="OI4" s="363">
        <f t="shared" ca="1" si="22"/>
        <v>0.90372373000875794</v>
      </c>
      <c r="OJ4" s="363">
        <f t="shared" ca="1" si="22"/>
        <v>0.94092108198249413</v>
      </c>
      <c r="OK4" s="363">
        <f t="shared" ca="1" si="22"/>
        <v>0.92206293614440205</v>
      </c>
      <c r="OL4" s="363">
        <f t="shared" ca="1" si="22"/>
        <v>0.94523059850709745</v>
      </c>
      <c r="OM4" s="363">
        <f t="shared" ca="1" si="22"/>
        <v>0.93969435566433401</v>
      </c>
      <c r="ON4" s="363">
        <f t="shared" ca="1" si="22"/>
        <v>0.93598219834550711</v>
      </c>
      <c r="OO4" s="363">
        <f t="shared" ca="1" si="22"/>
        <v>0.91207636781393464</v>
      </c>
      <c r="OP4" s="363">
        <f t="shared" ca="1" si="22"/>
        <v>0.94378545657710666</v>
      </c>
      <c r="OQ4" s="363">
        <f t="shared" ca="1" si="22"/>
        <v>0.96246556239329439</v>
      </c>
      <c r="OR4" s="363">
        <f t="shared" ca="1" si="22"/>
        <v>0.95175287244381235</v>
      </c>
      <c r="OS4" s="363">
        <f t="shared" ca="1" si="22"/>
        <v>0.91296506398680266</v>
      </c>
      <c r="OT4" s="363">
        <f t="shared" ca="1" si="22"/>
        <v>0.94733522252812308</v>
      </c>
      <c r="OU4" s="363">
        <f t="shared" ca="1" si="22"/>
        <v>0.92346834150223434</v>
      </c>
      <c r="OV4" s="363">
        <f t="shared" ca="1" si="22"/>
        <v>0.92109966637749019</v>
      </c>
      <c r="OW4" s="363">
        <f ca="1">MAX(0.5, MIN(1, _xlfn.BETA.INV(RAND(),$I$4,$J$4)))</f>
        <v>0.95594257827185225</v>
      </c>
      <c r="OX4" s="363">
        <f t="shared" ref="OX4:RI4" ca="1" si="23">MAX(0.5, MIN(1, _xlfn.BETA.INV(RAND(),$I$4,$J$4)))</f>
        <v>0.93669789234479384</v>
      </c>
      <c r="OY4" s="363">
        <f t="shared" ca="1" si="23"/>
        <v>0.92279642220065927</v>
      </c>
      <c r="OZ4" s="363">
        <f t="shared" ca="1" si="23"/>
        <v>0.9303552593849892</v>
      </c>
      <c r="PA4" s="363">
        <f t="shared" ca="1" si="23"/>
        <v>0.92021724113327974</v>
      </c>
      <c r="PB4" s="363">
        <f t="shared" ca="1" si="23"/>
        <v>0.94101008974531908</v>
      </c>
      <c r="PC4" s="363">
        <f t="shared" ca="1" si="23"/>
        <v>0.93951058775526963</v>
      </c>
      <c r="PD4" s="363">
        <f t="shared" ca="1" si="23"/>
        <v>0.93394461108340643</v>
      </c>
      <c r="PE4" s="363">
        <f t="shared" ca="1" si="23"/>
        <v>0.92655820116726573</v>
      </c>
      <c r="PF4" s="363">
        <f t="shared" ca="1" si="23"/>
        <v>0.93968655340879104</v>
      </c>
      <c r="PG4" s="363">
        <f t="shared" ca="1" si="23"/>
        <v>0.93573829362484329</v>
      </c>
      <c r="PH4" s="363">
        <f t="shared" ca="1" si="23"/>
        <v>0.90158034885701155</v>
      </c>
      <c r="PI4" s="363">
        <f t="shared" ca="1" si="23"/>
        <v>0.93768971558996661</v>
      </c>
      <c r="PJ4" s="363">
        <f t="shared" ca="1" si="23"/>
        <v>0.92674760160668279</v>
      </c>
      <c r="PK4" s="363">
        <f t="shared" ca="1" si="23"/>
        <v>0.93264906799157565</v>
      </c>
      <c r="PL4" s="363">
        <f t="shared" ca="1" si="23"/>
        <v>0.90639612338858111</v>
      </c>
      <c r="PM4" s="363">
        <f t="shared" ca="1" si="23"/>
        <v>0.90392788620643005</v>
      </c>
      <c r="PN4" s="363">
        <f t="shared" ca="1" si="23"/>
        <v>0.93483914382277256</v>
      </c>
      <c r="PO4" s="363">
        <f t="shared" ca="1" si="23"/>
        <v>0.91511303289055812</v>
      </c>
      <c r="PP4" s="363">
        <f t="shared" ca="1" si="23"/>
        <v>0.92800755755837072</v>
      </c>
      <c r="PQ4" s="363">
        <f t="shared" ca="1" si="23"/>
        <v>0.93070461588599207</v>
      </c>
      <c r="PR4" s="363">
        <f t="shared" ca="1" si="23"/>
        <v>0.93537020097924506</v>
      </c>
      <c r="PS4" s="363">
        <f t="shared" ca="1" si="23"/>
        <v>0.90275175260633411</v>
      </c>
      <c r="PT4" s="363">
        <f t="shared" ca="1" si="23"/>
        <v>0.92788813795227176</v>
      </c>
      <c r="PU4" s="363">
        <f t="shared" ca="1" si="23"/>
        <v>0.94134941392356852</v>
      </c>
      <c r="PV4" s="363">
        <f t="shared" ca="1" si="23"/>
        <v>0.90224754093280723</v>
      </c>
      <c r="PW4" s="363">
        <f t="shared" ca="1" si="23"/>
        <v>0.91615040467682496</v>
      </c>
      <c r="PX4" s="363">
        <f t="shared" ca="1" si="23"/>
        <v>0.9554941619272278</v>
      </c>
      <c r="PY4" s="363">
        <f t="shared" ca="1" si="23"/>
        <v>0.93267017573335997</v>
      </c>
      <c r="PZ4" s="363">
        <f t="shared" ca="1" si="23"/>
        <v>0.9597104617069403</v>
      </c>
      <c r="QA4" s="363">
        <f t="shared" ca="1" si="23"/>
        <v>0.94929627615941392</v>
      </c>
      <c r="QB4" s="363">
        <f t="shared" ca="1" si="23"/>
        <v>0.93372636231251271</v>
      </c>
      <c r="QC4" s="363">
        <f t="shared" ca="1" si="23"/>
        <v>0.92524507634621023</v>
      </c>
      <c r="QD4" s="363">
        <f t="shared" ca="1" si="23"/>
        <v>0.92338616637755822</v>
      </c>
      <c r="QE4" s="363">
        <f t="shared" ca="1" si="23"/>
        <v>0.91772678655857776</v>
      </c>
      <c r="QF4" s="363">
        <f t="shared" ca="1" si="23"/>
        <v>0.93830939265807412</v>
      </c>
      <c r="QG4" s="363">
        <f t="shared" ca="1" si="23"/>
        <v>0.9500914275597776</v>
      </c>
      <c r="QH4" s="363">
        <f t="shared" ca="1" si="23"/>
        <v>0.92744640477245543</v>
      </c>
      <c r="QI4" s="363">
        <f t="shared" ca="1" si="23"/>
        <v>0.91823293981113752</v>
      </c>
      <c r="QJ4" s="363">
        <f t="shared" ca="1" si="23"/>
        <v>0.92525303274919135</v>
      </c>
      <c r="QK4" s="363">
        <f t="shared" ca="1" si="23"/>
        <v>0.95031496907788338</v>
      </c>
      <c r="QL4" s="363">
        <f t="shared" ca="1" si="23"/>
        <v>0.93214336244481255</v>
      </c>
      <c r="QM4" s="363">
        <f t="shared" ca="1" si="23"/>
        <v>0.93390917828110687</v>
      </c>
      <c r="QN4" s="363">
        <f t="shared" ca="1" si="23"/>
        <v>0.9389735415538043</v>
      </c>
      <c r="QO4" s="363">
        <f t="shared" ca="1" si="23"/>
        <v>0.94253282029118968</v>
      </c>
      <c r="QP4" s="363">
        <f t="shared" ca="1" si="23"/>
        <v>0.91035071195008388</v>
      </c>
      <c r="QQ4" s="363">
        <f t="shared" ca="1" si="23"/>
        <v>0.95805317365087661</v>
      </c>
      <c r="QR4" s="363">
        <f t="shared" ca="1" si="23"/>
        <v>0.90629096601067261</v>
      </c>
      <c r="QS4" s="363">
        <f t="shared" ca="1" si="23"/>
        <v>0.90344504120066338</v>
      </c>
      <c r="QT4" s="363">
        <f t="shared" ca="1" si="23"/>
        <v>0.94124059210181055</v>
      </c>
      <c r="QU4" s="363">
        <f t="shared" ca="1" si="23"/>
        <v>0.94501414511328585</v>
      </c>
      <c r="QV4" s="363">
        <f t="shared" ca="1" si="23"/>
        <v>0.94714556874356515</v>
      </c>
      <c r="QW4" s="363">
        <f t="shared" ca="1" si="23"/>
        <v>0.93668048178990382</v>
      </c>
      <c r="QX4" s="363">
        <f t="shared" ca="1" si="23"/>
        <v>0.94106641533385926</v>
      </c>
      <c r="QY4" s="363">
        <f t="shared" ca="1" si="23"/>
        <v>0.93469484328591368</v>
      </c>
      <c r="QZ4" s="363">
        <f t="shared" ca="1" si="23"/>
        <v>0.8865651352745697</v>
      </c>
      <c r="RA4" s="363">
        <f t="shared" ca="1" si="23"/>
        <v>0.91380131232920148</v>
      </c>
      <c r="RB4" s="363">
        <f t="shared" ca="1" si="23"/>
        <v>0.91573229973276837</v>
      </c>
      <c r="RC4" s="363">
        <f t="shared" ca="1" si="23"/>
        <v>0.96444811396599894</v>
      </c>
      <c r="RD4" s="363">
        <f t="shared" ca="1" si="23"/>
        <v>0.91057861396263085</v>
      </c>
      <c r="RE4" s="363">
        <f t="shared" ca="1" si="23"/>
        <v>0.89697543693801829</v>
      </c>
      <c r="RF4" s="363">
        <f t="shared" ca="1" si="23"/>
        <v>0.924071465311189</v>
      </c>
      <c r="RG4" s="363">
        <f t="shared" ca="1" si="23"/>
        <v>0.93807089086035567</v>
      </c>
      <c r="RH4" s="363">
        <f t="shared" ca="1" si="23"/>
        <v>0.92845746348436708</v>
      </c>
      <c r="RI4" s="363">
        <f t="shared" ca="1" si="23"/>
        <v>0.91590977413032415</v>
      </c>
      <c r="RJ4" s="363">
        <f t="shared" ref="RJ4:SR4" ca="1" si="24">MAX(0.5, MIN(1, _xlfn.BETA.INV(RAND(),$I$4,$J$4)))</f>
        <v>0.94031531194750473</v>
      </c>
      <c r="RK4" s="363">
        <f t="shared" ca="1" si="24"/>
        <v>0.92692334324622783</v>
      </c>
      <c r="RL4" s="363">
        <f t="shared" ca="1" si="24"/>
        <v>0.91219985903228129</v>
      </c>
      <c r="RM4" s="363">
        <f t="shared" ca="1" si="24"/>
        <v>0.92569153145935656</v>
      </c>
      <c r="RN4" s="363">
        <f t="shared" ca="1" si="24"/>
        <v>0.95510632676507712</v>
      </c>
      <c r="RO4" s="363">
        <f t="shared" ca="1" si="24"/>
        <v>0.90909460354701499</v>
      </c>
      <c r="RP4" s="363">
        <f t="shared" ca="1" si="24"/>
        <v>0.92662118886526568</v>
      </c>
      <c r="RQ4" s="363">
        <f t="shared" ca="1" si="24"/>
        <v>0.95184690819428286</v>
      </c>
      <c r="RR4" s="363">
        <f t="shared" ca="1" si="24"/>
        <v>0.91713830405240349</v>
      </c>
      <c r="RS4" s="363">
        <f t="shared" ca="1" si="24"/>
        <v>0.91198320300344182</v>
      </c>
      <c r="RT4" s="363">
        <f t="shared" ca="1" si="24"/>
        <v>0.9184314671868149</v>
      </c>
      <c r="RU4" s="363">
        <f t="shared" ca="1" si="24"/>
        <v>0.94168750502763154</v>
      </c>
      <c r="RV4" s="363">
        <f t="shared" ca="1" si="24"/>
        <v>0.92669092161486355</v>
      </c>
      <c r="RW4" s="363">
        <f t="shared" ca="1" si="24"/>
        <v>0.91739537696044404</v>
      </c>
      <c r="RX4" s="363">
        <f t="shared" ca="1" si="24"/>
        <v>0.92203320055733395</v>
      </c>
      <c r="RY4" s="363">
        <f t="shared" ca="1" si="24"/>
        <v>0.92777906252340203</v>
      </c>
      <c r="RZ4" s="363">
        <f t="shared" ca="1" si="24"/>
        <v>0.9454636257056791</v>
      </c>
      <c r="SA4" s="363">
        <f t="shared" ca="1" si="24"/>
        <v>0.92605243302738927</v>
      </c>
      <c r="SB4" s="363">
        <f t="shared" ca="1" si="24"/>
        <v>0.89512235369007354</v>
      </c>
      <c r="SC4" s="363">
        <f t="shared" ca="1" si="24"/>
        <v>0.91396127542638572</v>
      </c>
      <c r="SD4" s="363">
        <f t="shared" ca="1" si="24"/>
        <v>0.9489108712639458</v>
      </c>
      <c r="SE4" s="363">
        <f t="shared" ca="1" si="24"/>
        <v>0.93595161327651266</v>
      </c>
      <c r="SF4" s="363">
        <f t="shared" ca="1" si="24"/>
        <v>0.92035039872363444</v>
      </c>
      <c r="SG4" s="363">
        <f t="shared" ca="1" si="24"/>
        <v>0.90704484491027804</v>
      </c>
      <c r="SH4" s="363">
        <f t="shared" ca="1" si="24"/>
        <v>0.95223461512747765</v>
      </c>
      <c r="SI4" s="363">
        <f t="shared" ca="1" si="24"/>
        <v>0.91309834560241177</v>
      </c>
      <c r="SJ4" s="363">
        <f t="shared" ca="1" si="24"/>
        <v>0.91264981551976099</v>
      </c>
      <c r="SK4" s="363">
        <f t="shared" ca="1" si="24"/>
        <v>0.93697032895042764</v>
      </c>
      <c r="SL4" s="363">
        <f t="shared" ca="1" si="24"/>
        <v>0.94185016730694793</v>
      </c>
      <c r="SM4" s="363">
        <f t="shared" ca="1" si="24"/>
        <v>0.9738349428215487</v>
      </c>
      <c r="SN4" s="363">
        <f t="shared" ca="1" si="24"/>
        <v>0.93203717096025085</v>
      </c>
      <c r="SO4" s="363">
        <f t="shared" ca="1" si="24"/>
        <v>0.92681676272777636</v>
      </c>
      <c r="SP4" s="363">
        <f t="shared" ca="1" si="24"/>
        <v>0.93787565373090143</v>
      </c>
      <c r="SQ4" s="363">
        <f t="shared" ca="1" si="24"/>
        <v>0.92363961982433329</v>
      </c>
      <c r="SR4" s="363">
        <f t="shared" ca="1" si="24"/>
        <v>0.93538343918781586</v>
      </c>
      <c r="SS4" s="363">
        <f ca="1">MAX(0.5, MIN(1, _xlfn.BETA.INV(RAND(),$I$4,$J$4)))</f>
        <v>0.94298473695547025</v>
      </c>
      <c r="ST4" s="363">
        <f t="shared" ref="ST4:VE4" ca="1" si="25">MAX(0.5, MIN(1, _xlfn.BETA.INV(RAND(),$I$4,$J$4)))</f>
        <v>0.9427417689874209</v>
      </c>
      <c r="SU4" s="363">
        <f t="shared" ca="1" si="25"/>
        <v>0.93720873858998455</v>
      </c>
      <c r="SV4" s="363">
        <f t="shared" ca="1" si="25"/>
        <v>0.95309055201376947</v>
      </c>
      <c r="SW4" s="363">
        <f t="shared" ca="1" si="25"/>
        <v>0.93597926822131539</v>
      </c>
      <c r="SX4" s="363">
        <f t="shared" ca="1" si="25"/>
        <v>0.91217214939018376</v>
      </c>
      <c r="SY4" s="363">
        <f t="shared" ca="1" si="25"/>
        <v>0.94420592408515258</v>
      </c>
      <c r="SZ4" s="363">
        <f t="shared" ca="1" si="25"/>
        <v>0.92647888097032527</v>
      </c>
      <c r="TA4" s="363">
        <f t="shared" ca="1" si="25"/>
        <v>0.94366142588118584</v>
      </c>
      <c r="TB4" s="363">
        <f t="shared" ca="1" si="25"/>
        <v>0.95122361608826433</v>
      </c>
      <c r="TC4" s="363">
        <f t="shared" ca="1" si="25"/>
        <v>0.92647373996706239</v>
      </c>
      <c r="TD4" s="363">
        <f t="shared" ca="1" si="25"/>
        <v>0.91534958355594509</v>
      </c>
      <c r="TE4" s="363">
        <f t="shared" ca="1" si="25"/>
        <v>0.93685645356114144</v>
      </c>
      <c r="TF4" s="363">
        <f t="shared" ca="1" si="25"/>
        <v>0.90794705341661175</v>
      </c>
      <c r="TG4" s="363">
        <f t="shared" ca="1" si="25"/>
        <v>0.92887092427320861</v>
      </c>
      <c r="TH4" s="363">
        <f t="shared" ca="1" si="25"/>
        <v>0.93646148659952599</v>
      </c>
      <c r="TI4" s="363">
        <f t="shared" ca="1" si="25"/>
        <v>0.91612304479993967</v>
      </c>
      <c r="TJ4" s="363">
        <f t="shared" ca="1" si="25"/>
        <v>0.94649288587304159</v>
      </c>
      <c r="TK4" s="363">
        <f t="shared" ca="1" si="25"/>
        <v>0.94882523302357735</v>
      </c>
      <c r="TL4" s="363">
        <f t="shared" ca="1" si="25"/>
        <v>0.91084858733356988</v>
      </c>
      <c r="TM4" s="363">
        <f t="shared" ca="1" si="25"/>
        <v>0.87705584806018233</v>
      </c>
      <c r="TN4" s="363">
        <f t="shared" ca="1" si="25"/>
        <v>0.92681135512518487</v>
      </c>
      <c r="TO4" s="363">
        <f t="shared" ca="1" si="25"/>
        <v>0.89046345618287059</v>
      </c>
      <c r="TP4" s="363">
        <f t="shared" ca="1" si="25"/>
        <v>0.91266703404683325</v>
      </c>
      <c r="TQ4" s="363">
        <f t="shared" ca="1" si="25"/>
        <v>0.92562968912482912</v>
      </c>
      <c r="TR4" s="363">
        <f t="shared" ca="1" si="25"/>
        <v>0.96480744217653425</v>
      </c>
      <c r="TS4" s="363">
        <f t="shared" ca="1" si="25"/>
        <v>0.93643250230137465</v>
      </c>
      <c r="TT4" s="363">
        <f t="shared" ca="1" si="25"/>
        <v>0.91519391207975953</v>
      </c>
      <c r="TU4" s="363">
        <f t="shared" ca="1" si="25"/>
        <v>0.9497964525639071</v>
      </c>
      <c r="TV4" s="363">
        <f t="shared" ca="1" si="25"/>
        <v>0.91311366060241073</v>
      </c>
      <c r="TW4" s="363">
        <f t="shared" ca="1" si="25"/>
        <v>0.92434244947226429</v>
      </c>
      <c r="TX4" s="363">
        <f t="shared" ca="1" si="25"/>
        <v>0.92986536260249164</v>
      </c>
      <c r="TY4" s="363">
        <f t="shared" ca="1" si="25"/>
        <v>0.94130376807962923</v>
      </c>
      <c r="TZ4" s="363">
        <f t="shared" ca="1" si="25"/>
        <v>0.92988396708215237</v>
      </c>
      <c r="UA4" s="363">
        <f t="shared" ca="1" si="25"/>
        <v>0.91421387140582289</v>
      </c>
      <c r="UB4" s="363">
        <f t="shared" ca="1" si="25"/>
        <v>0.94200716684547392</v>
      </c>
      <c r="UC4" s="363">
        <f t="shared" ca="1" si="25"/>
        <v>0.92671812985631263</v>
      </c>
      <c r="UD4" s="363">
        <f t="shared" ca="1" si="25"/>
        <v>0.94290053156840969</v>
      </c>
      <c r="UE4" s="363">
        <f t="shared" ca="1" si="25"/>
        <v>0.95537144733863277</v>
      </c>
      <c r="UF4" s="363">
        <f t="shared" ca="1" si="25"/>
        <v>0.93440557648479894</v>
      </c>
      <c r="UG4" s="363">
        <f t="shared" ca="1" si="25"/>
        <v>0.88500009876474595</v>
      </c>
      <c r="UH4" s="363">
        <f t="shared" ca="1" si="25"/>
        <v>0.94952926313305852</v>
      </c>
      <c r="UI4" s="363">
        <f t="shared" ca="1" si="25"/>
        <v>0.92292824484646252</v>
      </c>
      <c r="UJ4" s="363">
        <f t="shared" ca="1" si="25"/>
        <v>0.88553418437242837</v>
      </c>
      <c r="UK4" s="363">
        <f t="shared" ca="1" si="25"/>
        <v>0.92635487153828733</v>
      </c>
      <c r="UL4" s="363">
        <f t="shared" ca="1" si="25"/>
        <v>0.93426634484809989</v>
      </c>
      <c r="UM4" s="363">
        <f t="shared" ca="1" si="25"/>
        <v>0.9393574048394091</v>
      </c>
      <c r="UN4" s="363">
        <f t="shared" ca="1" si="25"/>
        <v>0.95692443984164677</v>
      </c>
      <c r="UO4" s="363">
        <f t="shared" ca="1" si="25"/>
        <v>0.89545297833021797</v>
      </c>
      <c r="UP4" s="363">
        <f t="shared" ca="1" si="25"/>
        <v>0.93807882303910117</v>
      </c>
      <c r="UQ4" s="363">
        <f t="shared" ca="1" si="25"/>
        <v>0.92950600857246757</v>
      </c>
      <c r="UR4" s="363">
        <f t="shared" ca="1" si="25"/>
        <v>0.93616564877045094</v>
      </c>
      <c r="US4" s="363">
        <f t="shared" ca="1" si="25"/>
        <v>0.94132777353085073</v>
      </c>
      <c r="UT4" s="363">
        <f t="shared" ca="1" si="25"/>
        <v>0.90576959545347291</v>
      </c>
      <c r="UU4" s="363">
        <f t="shared" ca="1" si="25"/>
        <v>0.94672455210495909</v>
      </c>
      <c r="UV4" s="363">
        <f t="shared" ca="1" si="25"/>
        <v>0.96016812899935977</v>
      </c>
      <c r="UW4" s="363">
        <f t="shared" ca="1" si="25"/>
        <v>0.93797683176745084</v>
      </c>
      <c r="UX4" s="363">
        <f t="shared" ca="1" si="25"/>
        <v>0.90369124875407825</v>
      </c>
      <c r="UY4" s="363">
        <f t="shared" ca="1" si="25"/>
        <v>0.88559258569089017</v>
      </c>
      <c r="UZ4" s="363">
        <f t="shared" ca="1" si="25"/>
        <v>0.94070543515467264</v>
      </c>
      <c r="VA4" s="363">
        <f t="shared" ca="1" si="25"/>
        <v>0.91079362689537213</v>
      </c>
      <c r="VB4" s="363">
        <f t="shared" ca="1" si="25"/>
        <v>0.95606602001939356</v>
      </c>
      <c r="VC4" s="363">
        <f t="shared" ca="1" si="25"/>
        <v>0.92419900291818458</v>
      </c>
      <c r="VD4" s="363">
        <f t="shared" ca="1" si="25"/>
        <v>0.93888740846606666</v>
      </c>
      <c r="VE4" s="363">
        <f t="shared" ca="1" si="25"/>
        <v>0.92267394842604722</v>
      </c>
      <c r="VF4" s="363">
        <f t="shared" ref="VF4:WN4" ca="1" si="26">MAX(0.5, MIN(1, _xlfn.BETA.INV(RAND(),$I$4,$J$4)))</f>
        <v>0.94027296733957078</v>
      </c>
      <c r="VG4" s="363">
        <f t="shared" ca="1" si="26"/>
        <v>0.92920056561108011</v>
      </c>
      <c r="VH4" s="363">
        <f t="shared" ca="1" si="26"/>
        <v>0.96138661775740408</v>
      </c>
      <c r="VI4" s="363">
        <f t="shared" ca="1" si="26"/>
        <v>0.92250880730726503</v>
      </c>
      <c r="VJ4" s="363">
        <f t="shared" ca="1" si="26"/>
        <v>0.93645205879377658</v>
      </c>
      <c r="VK4" s="363">
        <f t="shared" ca="1" si="26"/>
        <v>0.94421195935771518</v>
      </c>
      <c r="VL4" s="363">
        <f t="shared" ca="1" si="26"/>
        <v>0.94110485321186688</v>
      </c>
      <c r="VM4" s="363">
        <f t="shared" ca="1" si="26"/>
        <v>0.92669414345101775</v>
      </c>
      <c r="VN4" s="363">
        <f t="shared" ca="1" si="26"/>
        <v>0.93193069727138744</v>
      </c>
      <c r="VO4" s="363">
        <f t="shared" ca="1" si="26"/>
        <v>0.93740093583028417</v>
      </c>
      <c r="VP4" s="363">
        <f t="shared" ca="1" si="26"/>
        <v>0.93167130219924843</v>
      </c>
      <c r="VQ4" s="363">
        <f t="shared" ca="1" si="26"/>
        <v>0.87412315926808282</v>
      </c>
      <c r="VR4" s="363">
        <f t="shared" ca="1" si="26"/>
        <v>0.93886897430471161</v>
      </c>
      <c r="VS4" s="363">
        <f t="shared" ca="1" si="26"/>
        <v>0.94918854286314702</v>
      </c>
      <c r="VT4" s="363">
        <f t="shared" ca="1" si="26"/>
        <v>0.93909861974427444</v>
      </c>
      <c r="VU4" s="363">
        <f t="shared" ca="1" si="26"/>
        <v>0.92061401623367689</v>
      </c>
      <c r="VV4" s="363">
        <f t="shared" ca="1" si="26"/>
        <v>0.94715184473015823</v>
      </c>
      <c r="VW4" s="363">
        <f t="shared" ca="1" si="26"/>
        <v>0.94462956379430918</v>
      </c>
      <c r="VX4" s="363">
        <f t="shared" ca="1" si="26"/>
        <v>0.91786122235272549</v>
      </c>
      <c r="VY4" s="363">
        <f t="shared" ca="1" si="26"/>
        <v>0.93881400145062655</v>
      </c>
      <c r="VZ4" s="363">
        <f t="shared" ca="1" si="26"/>
        <v>0.93545953660327896</v>
      </c>
      <c r="WA4" s="363">
        <f t="shared" ca="1" si="26"/>
        <v>0.93354273832503587</v>
      </c>
      <c r="WB4" s="363">
        <f t="shared" ca="1" si="26"/>
        <v>0.93054127537926457</v>
      </c>
      <c r="WC4" s="363">
        <f t="shared" ca="1" si="26"/>
        <v>0.95416092233086469</v>
      </c>
      <c r="WD4" s="363">
        <f t="shared" ca="1" si="26"/>
        <v>0.94252589415724053</v>
      </c>
      <c r="WE4" s="363">
        <f t="shared" ca="1" si="26"/>
        <v>0.94827947263513901</v>
      </c>
      <c r="WF4" s="363">
        <f t="shared" ca="1" si="26"/>
        <v>0.90832110176378</v>
      </c>
      <c r="WG4" s="363">
        <f t="shared" ca="1" si="26"/>
        <v>0.92459623511910138</v>
      </c>
      <c r="WH4" s="363">
        <f t="shared" ca="1" si="26"/>
        <v>0.92807979990222145</v>
      </c>
      <c r="WI4" s="363">
        <f t="shared" ca="1" si="26"/>
        <v>0.96355429758269107</v>
      </c>
      <c r="WJ4" s="363">
        <f t="shared" ca="1" si="26"/>
        <v>0.94432083188515392</v>
      </c>
      <c r="WK4" s="363">
        <f t="shared" ca="1" si="26"/>
        <v>0.90438494723621121</v>
      </c>
      <c r="WL4" s="363">
        <f t="shared" ca="1" si="26"/>
        <v>0.93856646172010683</v>
      </c>
      <c r="WM4" s="363">
        <f t="shared" ca="1" si="26"/>
        <v>0.9258238266197053</v>
      </c>
      <c r="WN4" s="363">
        <f t="shared" ca="1" si="26"/>
        <v>0.90898013220055252</v>
      </c>
    </row>
    <row r="5" spans="2:612" x14ac:dyDescent="0.15">
      <c r="B5" s="466" t="s">
        <v>872</v>
      </c>
      <c r="D5" s="363">
        <f t="shared" si="0"/>
        <v>9.7253633201505679E-2</v>
      </c>
      <c r="F5" s="363">
        <v>9.7253633201505679E-2</v>
      </c>
      <c r="G5" s="367">
        <v>41974</v>
      </c>
      <c r="H5" s="363" t="s">
        <v>350</v>
      </c>
      <c r="I5" s="438">
        <f>F5*G5</f>
        <v>4082.1239999999993</v>
      </c>
      <c r="J5" s="438">
        <f>G5-I5</f>
        <v>37891.876000000004</v>
      </c>
      <c r="K5" s="367" t="s">
        <v>1273</v>
      </c>
      <c r="M5" s="363">
        <f ca="1">_xlfn.BETA.INV(RAND(),$I$5,$J$5)</f>
        <v>9.6712359655108979E-2</v>
      </c>
      <c r="N5" s="363">
        <f t="shared" ref="N5:BY5" ca="1" si="27">_xlfn.BETA.INV(RAND(),$I$5,$J$5)</f>
        <v>9.7804484054072827E-2</v>
      </c>
      <c r="O5" s="363">
        <f t="shared" ca="1" si="27"/>
        <v>9.2723946666510321E-2</v>
      </c>
      <c r="P5" s="363">
        <f t="shared" ca="1" si="27"/>
        <v>9.7181475112009308E-2</v>
      </c>
      <c r="Q5" s="363">
        <f t="shared" ca="1" si="27"/>
        <v>9.8825343470447469E-2</v>
      </c>
      <c r="R5" s="363">
        <f t="shared" ca="1" si="27"/>
        <v>9.7301860306941435E-2</v>
      </c>
      <c r="S5" s="363">
        <f t="shared" ca="1" si="27"/>
        <v>9.8420371181777822E-2</v>
      </c>
      <c r="T5" s="363">
        <f t="shared" ca="1" si="27"/>
        <v>9.7631906792689405E-2</v>
      </c>
      <c r="U5" s="363">
        <f t="shared" ca="1" si="27"/>
        <v>9.5560226826878245E-2</v>
      </c>
      <c r="V5" s="363">
        <f t="shared" ca="1" si="27"/>
        <v>9.8847536621085252E-2</v>
      </c>
      <c r="W5" s="363">
        <f t="shared" ca="1" si="27"/>
        <v>9.5684343596296351E-2</v>
      </c>
      <c r="X5" s="363">
        <f t="shared" ca="1" si="27"/>
        <v>9.6988125089620056E-2</v>
      </c>
      <c r="Y5" s="363">
        <f t="shared" ca="1" si="27"/>
        <v>9.7505433317770729E-2</v>
      </c>
      <c r="Z5" s="363">
        <f t="shared" ca="1" si="27"/>
        <v>9.7158349262884552E-2</v>
      </c>
      <c r="AA5" s="363">
        <f t="shared" ca="1" si="27"/>
        <v>9.9577701920861239E-2</v>
      </c>
      <c r="AB5" s="363">
        <f t="shared" ca="1" si="27"/>
        <v>9.8158641236925193E-2</v>
      </c>
      <c r="AC5" s="363">
        <f t="shared" ca="1" si="27"/>
        <v>9.8338500393565065E-2</v>
      </c>
      <c r="AD5" s="363">
        <f t="shared" ca="1" si="27"/>
        <v>9.6975634896279625E-2</v>
      </c>
      <c r="AE5" s="363">
        <f t="shared" ca="1" si="27"/>
        <v>9.9537435734939117E-2</v>
      </c>
      <c r="AF5" s="363">
        <f t="shared" ca="1" si="27"/>
        <v>9.6409029133828969E-2</v>
      </c>
      <c r="AG5" s="363">
        <f t="shared" ca="1" si="27"/>
        <v>9.7863472571651622E-2</v>
      </c>
      <c r="AH5" s="363">
        <f t="shared" ca="1" si="27"/>
        <v>9.7084147915893565E-2</v>
      </c>
      <c r="AI5" s="363">
        <f t="shared" ca="1" si="27"/>
        <v>9.6782560902012163E-2</v>
      </c>
      <c r="AJ5" s="363">
        <f t="shared" ca="1" si="27"/>
        <v>9.7138219012859989E-2</v>
      </c>
      <c r="AK5" s="363">
        <f t="shared" ca="1" si="27"/>
        <v>9.5238728843798082E-2</v>
      </c>
      <c r="AL5" s="363">
        <f t="shared" ca="1" si="27"/>
        <v>9.7310452527651137E-2</v>
      </c>
      <c r="AM5" s="363">
        <f t="shared" ca="1" si="27"/>
        <v>9.7464435975713415E-2</v>
      </c>
      <c r="AN5" s="363">
        <f t="shared" ca="1" si="27"/>
        <v>9.9986581293460164E-2</v>
      </c>
      <c r="AO5" s="363">
        <f t="shared" ca="1" si="27"/>
        <v>9.9066400995763693E-2</v>
      </c>
      <c r="AP5" s="363">
        <f t="shared" ca="1" si="27"/>
        <v>9.9281293327626474E-2</v>
      </c>
      <c r="AQ5" s="363">
        <f t="shared" ca="1" si="27"/>
        <v>9.8393724132575411E-2</v>
      </c>
      <c r="AR5" s="363">
        <f t="shared" ca="1" si="27"/>
        <v>9.6364183118117841E-2</v>
      </c>
      <c r="AS5" s="363">
        <f t="shared" ca="1" si="27"/>
        <v>9.7297476587876797E-2</v>
      </c>
      <c r="AT5" s="363">
        <f t="shared" ca="1" si="27"/>
        <v>9.7087498930301677E-2</v>
      </c>
      <c r="AU5" s="363">
        <f t="shared" ca="1" si="27"/>
        <v>9.7758916468683177E-2</v>
      </c>
      <c r="AV5" s="363">
        <f t="shared" ca="1" si="27"/>
        <v>9.8341845654894899E-2</v>
      </c>
      <c r="AW5" s="363">
        <f t="shared" ca="1" si="27"/>
        <v>9.5144748454453101E-2</v>
      </c>
      <c r="AX5" s="363">
        <f t="shared" ca="1" si="27"/>
        <v>9.7815859016959772E-2</v>
      </c>
      <c r="AY5" s="363">
        <f t="shared" ca="1" si="27"/>
        <v>9.8439172736874525E-2</v>
      </c>
      <c r="AZ5" s="363">
        <f t="shared" ca="1" si="27"/>
        <v>9.5808355525913352E-2</v>
      </c>
      <c r="BA5" s="363">
        <f t="shared" ca="1" si="27"/>
        <v>9.8186955241371554E-2</v>
      </c>
      <c r="BB5" s="363">
        <f t="shared" ca="1" si="27"/>
        <v>9.7639156720888187E-2</v>
      </c>
      <c r="BC5" s="363">
        <f t="shared" ca="1" si="27"/>
        <v>0.100293960253938</v>
      </c>
      <c r="BD5" s="363">
        <f t="shared" ca="1" si="27"/>
        <v>9.7138796350190723E-2</v>
      </c>
      <c r="BE5" s="363">
        <f t="shared" ca="1" si="27"/>
        <v>9.6604485323943348E-2</v>
      </c>
      <c r="BF5" s="363">
        <f t="shared" ca="1" si="27"/>
        <v>9.9582512364291054E-2</v>
      </c>
      <c r="BG5" s="363">
        <f t="shared" ca="1" si="27"/>
        <v>9.7688741167656246E-2</v>
      </c>
      <c r="BH5" s="363">
        <f t="shared" ca="1" si="27"/>
        <v>9.4625294537587959E-2</v>
      </c>
      <c r="BI5" s="363">
        <f t="shared" ca="1" si="27"/>
        <v>9.9806159651872561E-2</v>
      </c>
      <c r="BJ5" s="363">
        <f t="shared" ca="1" si="27"/>
        <v>9.7633902045396126E-2</v>
      </c>
      <c r="BK5" s="363">
        <f t="shared" ca="1" si="27"/>
        <v>9.539165928896487E-2</v>
      </c>
      <c r="BL5" s="363">
        <f t="shared" ca="1" si="27"/>
        <v>9.7154652097054761E-2</v>
      </c>
      <c r="BM5" s="363">
        <f t="shared" ca="1" si="27"/>
        <v>9.7888285115973028E-2</v>
      </c>
      <c r="BN5" s="363">
        <f t="shared" ca="1" si="27"/>
        <v>9.7369179990135946E-2</v>
      </c>
      <c r="BO5" s="363">
        <f t="shared" ca="1" si="27"/>
        <v>9.6991410366937855E-2</v>
      </c>
      <c r="BP5" s="363">
        <f t="shared" ca="1" si="27"/>
        <v>9.7532961751446878E-2</v>
      </c>
      <c r="BQ5" s="363">
        <f t="shared" ca="1" si="27"/>
        <v>9.4815655712182631E-2</v>
      </c>
      <c r="BR5" s="363">
        <f t="shared" ca="1" si="27"/>
        <v>9.6726976048464405E-2</v>
      </c>
      <c r="BS5" s="363">
        <f t="shared" ca="1" si="27"/>
        <v>9.646152664210883E-2</v>
      </c>
      <c r="BT5" s="363">
        <f t="shared" ca="1" si="27"/>
        <v>9.791913929966567E-2</v>
      </c>
      <c r="BU5" s="363">
        <f t="shared" ca="1" si="27"/>
        <v>9.6224569206928887E-2</v>
      </c>
      <c r="BV5" s="363">
        <f t="shared" ca="1" si="27"/>
        <v>9.9525681287228607E-2</v>
      </c>
      <c r="BW5" s="363">
        <f t="shared" ca="1" si="27"/>
        <v>9.7762356739388934E-2</v>
      </c>
      <c r="BX5" s="363">
        <f t="shared" ca="1" si="27"/>
        <v>0.10079096433405133</v>
      </c>
      <c r="BY5" s="363">
        <f t="shared" ca="1" si="27"/>
        <v>9.64214283748554E-2</v>
      </c>
      <c r="BZ5" s="363">
        <f t="shared" ref="BZ5:DH5" ca="1" si="28">_xlfn.BETA.INV(RAND(),$I$5,$J$5)</f>
        <v>9.8527692579060355E-2</v>
      </c>
      <c r="CA5" s="363">
        <f t="shared" ca="1" si="28"/>
        <v>9.7326712999231124E-2</v>
      </c>
      <c r="CB5" s="363">
        <f t="shared" ca="1" si="28"/>
        <v>9.7771211833301508E-2</v>
      </c>
      <c r="CC5" s="363">
        <f t="shared" ca="1" si="28"/>
        <v>9.6157309114644207E-2</v>
      </c>
      <c r="CD5" s="363">
        <f t="shared" ca="1" si="28"/>
        <v>9.7646710394487135E-2</v>
      </c>
      <c r="CE5" s="363">
        <f t="shared" ca="1" si="28"/>
        <v>9.5501931195498019E-2</v>
      </c>
      <c r="CF5" s="363">
        <f t="shared" ca="1" si="28"/>
        <v>9.8526516910294015E-2</v>
      </c>
      <c r="CG5" s="363">
        <f t="shared" ca="1" si="28"/>
        <v>9.8058892705316758E-2</v>
      </c>
      <c r="CH5" s="363">
        <f t="shared" ca="1" si="28"/>
        <v>9.5910707993522221E-2</v>
      </c>
      <c r="CI5" s="363">
        <f t="shared" ca="1" si="28"/>
        <v>9.742479319846542E-2</v>
      </c>
      <c r="CJ5" s="363">
        <f t="shared" ca="1" si="28"/>
        <v>9.9015720090968373E-2</v>
      </c>
      <c r="CK5" s="363">
        <f t="shared" ca="1" si="28"/>
        <v>9.9875681067770228E-2</v>
      </c>
      <c r="CL5" s="363">
        <f t="shared" ca="1" si="28"/>
        <v>9.5978216150766127E-2</v>
      </c>
      <c r="CM5" s="363">
        <f t="shared" ca="1" si="28"/>
        <v>9.8093307455981771E-2</v>
      </c>
      <c r="CN5" s="363">
        <f t="shared" ca="1" si="28"/>
        <v>9.6303981587935322E-2</v>
      </c>
      <c r="CO5" s="363">
        <f t="shared" ca="1" si="28"/>
        <v>9.7382019418321697E-2</v>
      </c>
      <c r="CP5" s="363">
        <f t="shared" ca="1" si="28"/>
        <v>9.6479119197060259E-2</v>
      </c>
      <c r="CQ5" s="363">
        <f t="shared" ca="1" si="28"/>
        <v>9.6661701350926499E-2</v>
      </c>
      <c r="CR5" s="363">
        <f t="shared" ca="1" si="28"/>
        <v>9.5577592202254216E-2</v>
      </c>
      <c r="CS5" s="363">
        <f t="shared" ca="1" si="28"/>
        <v>9.5820419443039512E-2</v>
      </c>
      <c r="CT5" s="363">
        <f t="shared" ca="1" si="28"/>
        <v>9.3823107632786076E-2</v>
      </c>
      <c r="CU5" s="363">
        <f t="shared" ca="1" si="28"/>
        <v>9.5901678434050258E-2</v>
      </c>
      <c r="CV5" s="363">
        <f t="shared" ca="1" si="28"/>
        <v>9.5506493534704334E-2</v>
      </c>
      <c r="CW5" s="363">
        <f t="shared" ca="1" si="28"/>
        <v>9.7765883859293412E-2</v>
      </c>
      <c r="CX5" s="363">
        <f t="shared" ca="1" si="28"/>
        <v>9.7715658632264613E-2</v>
      </c>
      <c r="CY5" s="363">
        <f t="shared" ca="1" si="28"/>
        <v>9.613120725859417E-2</v>
      </c>
      <c r="CZ5" s="363">
        <f t="shared" ca="1" si="28"/>
        <v>9.5675601440479055E-2</v>
      </c>
      <c r="DA5" s="363">
        <f t="shared" ca="1" si="28"/>
        <v>9.7136571114178324E-2</v>
      </c>
      <c r="DB5" s="363">
        <f t="shared" ca="1" si="28"/>
        <v>9.8233666886998638E-2</v>
      </c>
      <c r="DC5" s="363">
        <f t="shared" ca="1" si="28"/>
        <v>9.7525454025227831E-2</v>
      </c>
      <c r="DD5" s="363">
        <f t="shared" ca="1" si="28"/>
        <v>9.712691788820467E-2</v>
      </c>
      <c r="DE5" s="363">
        <f t="shared" ca="1" si="28"/>
        <v>9.4870888353188784E-2</v>
      </c>
      <c r="DF5" s="363">
        <f t="shared" ca="1" si="28"/>
        <v>9.9502946257430613E-2</v>
      </c>
      <c r="DG5" s="363">
        <f t="shared" ca="1" si="28"/>
        <v>9.6048306772538658E-2</v>
      </c>
      <c r="DH5" s="363">
        <f t="shared" ca="1" si="28"/>
        <v>9.6386276418339273E-2</v>
      </c>
      <c r="DI5" s="363">
        <f ca="1">_xlfn.BETA.INV(RAND(),$I$5,$J$5)</f>
        <v>9.7797412304849951E-2</v>
      </c>
      <c r="DJ5" s="363">
        <f t="shared" ref="DJ5:FU5" ca="1" si="29">_xlfn.BETA.INV(RAND(),$I$5,$J$5)</f>
        <v>9.9409430018026601E-2</v>
      </c>
      <c r="DK5" s="363">
        <f t="shared" ca="1" si="29"/>
        <v>9.9668132734819226E-2</v>
      </c>
      <c r="DL5" s="363">
        <f t="shared" ca="1" si="29"/>
        <v>9.916918451912482E-2</v>
      </c>
      <c r="DM5" s="363">
        <f t="shared" ca="1" si="29"/>
        <v>9.6404585948554056E-2</v>
      </c>
      <c r="DN5" s="363">
        <f t="shared" ca="1" si="29"/>
        <v>9.5933887287781322E-2</v>
      </c>
      <c r="DO5" s="363">
        <f t="shared" ca="1" si="29"/>
        <v>9.546863192784337E-2</v>
      </c>
      <c r="DP5" s="363">
        <f t="shared" ca="1" si="29"/>
        <v>9.8064428213116339E-2</v>
      </c>
      <c r="DQ5" s="363">
        <f t="shared" ca="1" si="29"/>
        <v>9.7096900710436695E-2</v>
      </c>
      <c r="DR5" s="363">
        <f t="shared" ca="1" si="29"/>
        <v>9.6049196345364546E-2</v>
      </c>
      <c r="DS5" s="363">
        <f t="shared" ca="1" si="29"/>
        <v>9.419297235692814E-2</v>
      </c>
      <c r="DT5" s="363">
        <f t="shared" ca="1" si="29"/>
        <v>9.9055240951387069E-2</v>
      </c>
      <c r="DU5" s="363">
        <f t="shared" ca="1" si="29"/>
        <v>9.5928861082457559E-2</v>
      </c>
      <c r="DV5" s="363">
        <f t="shared" ca="1" si="29"/>
        <v>9.805698029673815E-2</v>
      </c>
      <c r="DW5" s="363">
        <f t="shared" ca="1" si="29"/>
        <v>9.7534842062604099E-2</v>
      </c>
      <c r="DX5" s="363">
        <f t="shared" ca="1" si="29"/>
        <v>9.5781326450873977E-2</v>
      </c>
      <c r="DY5" s="363">
        <f t="shared" ca="1" si="29"/>
        <v>9.5249092031661056E-2</v>
      </c>
      <c r="DZ5" s="363">
        <f t="shared" ca="1" si="29"/>
        <v>9.7704008330223191E-2</v>
      </c>
      <c r="EA5" s="363">
        <f t="shared" ca="1" si="29"/>
        <v>9.6118925448098108E-2</v>
      </c>
      <c r="EB5" s="363">
        <f t="shared" ca="1" si="29"/>
        <v>9.6330399295758304E-2</v>
      </c>
      <c r="EC5" s="363">
        <f t="shared" ca="1" si="29"/>
        <v>9.569660368170875E-2</v>
      </c>
      <c r="ED5" s="363">
        <f t="shared" ca="1" si="29"/>
        <v>9.6650660543591685E-2</v>
      </c>
      <c r="EE5" s="363">
        <f t="shared" ca="1" si="29"/>
        <v>9.6580704341049872E-2</v>
      </c>
      <c r="EF5" s="363">
        <f t="shared" ca="1" si="29"/>
        <v>9.6438032321946907E-2</v>
      </c>
      <c r="EG5" s="363">
        <f t="shared" ca="1" si="29"/>
        <v>9.7922124457446191E-2</v>
      </c>
      <c r="EH5" s="363">
        <f t="shared" ca="1" si="29"/>
        <v>9.5776361905074034E-2</v>
      </c>
      <c r="EI5" s="363">
        <f t="shared" ca="1" si="29"/>
        <v>9.6201727990090302E-2</v>
      </c>
      <c r="EJ5" s="363">
        <f t="shared" ca="1" si="29"/>
        <v>9.607890063978855E-2</v>
      </c>
      <c r="EK5" s="363">
        <f t="shared" ca="1" si="29"/>
        <v>9.6497986695457713E-2</v>
      </c>
      <c r="EL5" s="363">
        <f t="shared" ca="1" si="29"/>
        <v>9.6387489773052615E-2</v>
      </c>
      <c r="EM5" s="363">
        <f t="shared" ca="1" si="29"/>
        <v>9.6814890403572565E-2</v>
      </c>
      <c r="EN5" s="363">
        <f t="shared" ca="1" si="29"/>
        <v>9.7782794504140846E-2</v>
      </c>
      <c r="EO5" s="363">
        <f t="shared" ca="1" si="29"/>
        <v>9.8264532741839217E-2</v>
      </c>
      <c r="EP5" s="363">
        <f t="shared" ca="1" si="29"/>
        <v>9.6678112019420379E-2</v>
      </c>
      <c r="EQ5" s="363">
        <f t="shared" ca="1" si="29"/>
        <v>9.8664067835636859E-2</v>
      </c>
      <c r="ER5" s="363">
        <f t="shared" ca="1" si="29"/>
        <v>9.5206579097758481E-2</v>
      </c>
      <c r="ES5" s="363">
        <f t="shared" ca="1" si="29"/>
        <v>9.7373912724210698E-2</v>
      </c>
      <c r="ET5" s="363">
        <f t="shared" ca="1" si="29"/>
        <v>9.5713459426493494E-2</v>
      </c>
      <c r="EU5" s="363">
        <f t="shared" ca="1" si="29"/>
        <v>9.7811305892221201E-2</v>
      </c>
      <c r="EV5" s="363">
        <f t="shared" ca="1" si="29"/>
        <v>9.6842269840886161E-2</v>
      </c>
      <c r="EW5" s="363">
        <f t="shared" ca="1" si="29"/>
        <v>9.6907609493816549E-2</v>
      </c>
      <c r="EX5" s="363">
        <f t="shared" ca="1" si="29"/>
        <v>9.6425586842420224E-2</v>
      </c>
      <c r="EY5" s="363">
        <f t="shared" ca="1" si="29"/>
        <v>9.5350724079938776E-2</v>
      </c>
      <c r="EZ5" s="363">
        <f t="shared" ca="1" si="29"/>
        <v>9.338828428161744E-2</v>
      </c>
      <c r="FA5" s="363">
        <f t="shared" ca="1" si="29"/>
        <v>9.7569177584682865E-2</v>
      </c>
      <c r="FB5" s="363">
        <f t="shared" ca="1" si="29"/>
        <v>9.5234953004640369E-2</v>
      </c>
      <c r="FC5" s="363">
        <f t="shared" ca="1" si="29"/>
        <v>9.990922940709146E-2</v>
      </c>
      <c r="FD5" s="363">
        <f t="shared" ca="1" si="29"/>
        <v>9.769415687547478E-2</v>
      </c>
      <c r="FE5" s="363">
        <f t="shared" ca="1" si="29"/>
        <v>9.7992171879033529E-2</v>
      </c>
      <c r="FF5" s="363">
        <f t="shared" ca="1" si="29"/>
        <v>9.7150989151609912E-2</v>
      </c>
      <c r="FG5" s="363">
        <f t="shared" ca="1" si="29"/>
        <v>9.7849907696175187E-2</v>
      </c>
      <c r="FH5" s="363">
        <f t="shared" ca="1" si="29"/>
        <v>9.6255579464665911E-2</v>
      </c>
      <c r="FI5" s="363">
        <f t="shared" ca="1" si="29"/>
        <v>9.8277699181137157E-2</v>
      </c>
      <c r="FJ5" s="363">
        <f t="shared" ca="1" si="29"/>
        <v>9.8298802848981182E-2</v>
      </c>
      <c r="FK5" s="363">
        <f t="shared" ca="1" si="29"/>
        <v>9.741698365446616E-2</v>
      </c>
      <c r="FL5" s="363">
        <f t="shared" ca="1" si="29"/>
        <v>9.6251299094871012E-2</v>
      </c>
      <c r="FM5" s="363">
        <f t="shared" ca="1" si="29"/>
        <v>9.614637995859307E-2</v>
      </c>
      <c r="FN5" s="363">
        <f t="shared" ca="1" si="29"/>
        <v>9.59530695197503E-2</v>
      </c>
      <c r="FO5" s="363">
        <f t="shared" ca="1" si="29"/>
        <v>9.6321578065843197E-2</v>
      </c>
      <c r="FP5" s="363">
        <f t="shared" ca="1" si="29"/>
        <v>9.9351413144234013E-2</v>
      </c>
      <c r="FQ5" s="363">
        <f t="shared" ca="1" si="29"/>
        <v>9.6269244237385559E-2</v>
      </c>
      <c r="FR5" s="363">
        <f t="shared" ca="1" si="29"/>
        <v>9.8308348786923294E-2</v>
      </c>
      <c r="FS5" s="363">
        <f t="shared" ca="1" si="29"/>
        <v>9.8788680361304504E-2</v>
      </c>
      <c r="FT5" s="363">
        <f t="shared" ca="1" si="29"/>
        <v>9.8061667110850959E-2</v>
      </c>
      <c r="FU5" s="363">
        <f t="shared" ca="1" si="29"/>
        <v>9.8392217011414762E-2</v>
      </c>
      <c r="FV5" s="363">
        <f t="shared" ref="FV5:HD5" ca="1" si="30">_xlfn.BETA.INV(RAND(),$I$5,$J$5)</f>
        <v>9.8075216060648063E-2</v>
      </c>
      <c r="FW5" s="363">
        <f t="shared" ca="1" si="30"/>
        <v>9.5463597198022984E-2</v>
      </c>
      <c r="FX5" s="363">
        <f t="shared" ca="1" si="30"/>
        <v>9.6199221860491013E-2</v>
      </c>
      <c r="FY5" s="363">
        <f t="shared" ca="1" si="30"/>
        <v>9.5580538706498727E-2</v>
      </c>
      <c r="FZ5" s="363">
        <f t="shared" ca="1" si="30"/>
        <v>9.8933822061024967E-2</v>
      </c>
      <c r="GA5" s="363">
        <f t="shared" ca="1" si="30"/>
        <v>9.679784287024111E-2</v>
      </c>
      <c r="GB5" s="363">
        <f t="shared" ca="1" si="30"/>
        <v>9.9803072862864162E-2</v>
      </c>
      <c r="GC5" s="363">
        <f t="shared" ca="1" si="30"/>
        <v>9.7833936809392119E-2</v>
      </c>
      <c r="GD5" s="363">
        <f t="shared" ca="1" si="30"/>
        <v>9.6169441162361619E-2</v>
      </c>
      <c r="GE5" s="363">
        <f t="shared" ca="1" si="30"/>
        <v>9.7808530583408437E-2</v>
      </c>
      <c r="GF5" s="363">
        <f t="shared" ca="1" si="30"/>
        <v>9.7507228547103808E-2</v>
      </c>
      <c r="GG5" s="363">
        <f t="shared" ca="1" si="30"/>
        <v>9.7830145960732473E-2</v>
      </c>
      <c r="GH5" s="363">
        <f t="shared" ca="1" si="30"/>
        <v>9.7372957132720206E-2</v>
      </c>
      <c r="GI5" s="363">
        <f t="shared" ca="1" si="30"/>
        <v>9.8387776580604824E-2</v>
      </c>
      <c r="GJ5" s="363">
        <f t="shared" ca="1" si="30"/>
        <v>9.7862415505062694E-2</v>
      </c>
      <c r="GK5" s="363">
        <f t="shared" ca="1" si="30"/>
        <v>9.6407177329629348E-2</v>
      </c>
      <c r="GL5" s="363">
        <f t="shared" ca="1" si="30"/>
        <v>9.7424180631535351E-2</v>
      </c>
      <c r="GM5" s="363">
        <f t="shared" ca="1" si="30"/>
        <v>9.9475171206709789E-2</v>
      </c>
      <c r="GN5" s="363">
        <f t="shared" ca="1" si="30"/>
        <v>9.874613397034282E-2</v>
      </c>
      <c r="GO5" s="363">
        <f t="shared" ca="1" si="30"/>
        <v>9.9140192933458215E-2</v>
      </c>
      <c r="GP5" s="363">
        <f t="shared" ca="1" si="30"/>
        <v>9.8118824438395702E-2</v>
      </c>
      <c r="GQ5" s="363">
        <f t="shared" ca="1" si="30"/>
        <v>9.6520368736376483E-2</v>
      </c>
      <c r="GR5" s="363">
        <f t="shared" ca="1" si="30"/>
        <v>9.5663333063206707E-2</v>
      </c>
      <c r="GS5" s="363">
        <f t="shared" ca="1" si="30"/>
        <v>9.6979143246791591E-2</v>
      </c>
      <c r="GT5" s="363">
        <f t="shared" ca="1" si="30"/>
        <v>9.6242576767886487E-2</v>
      </c>
      <c r="GU5" s="363">
        <f t="shared" ca="1" si="30"/>
        <v>9.6584604724385556E-2</v>
      </c>
      <c r="GV5" s="363">
        <f t="shared" ca="1" si="30"/>
        <v>9.5413516742746812E-2</v>
      </c>
      <c r="GW5" s="363">
        <f t="shared" ca="1" si="30"/>
        <v>9.7687856979850718E-2</v>
      </c>
      <c r="GX5" s="363">
        <f t="shared" ca="1" si="30"/>
        <v>9.9103346050192997E-2</v>
      </c>
      <c r="GY5" s="363">
        <f t="shared" ca="1" si="30"/>
        <v>9.8805170485395943E-2</v>
      </c>
      <c r="GZ5" s="363">
        <f t="shared" ca="1" si="30"/>
        <v>9.7263688075643229E-2</v>
      </c>
      <c r="HA5" s="363">
        <f t="shared" ca="1" si="30"/>
        <v>9.9107694638737254E-2</v>
      </c>
      <c r="HB5" s="363">
        <f t="shared" ca="1" si="30"/>
        <v>9.736049557004145E-2</v>
      </c>
      <c r="HC5" s="363">
        <f t="shared" ca="1" si="30"/>
        <v>9.8172135096134205E-2</v>
      </c>
      <c r="HD5" s="363">
        <f t="shared" ca="1" si="30"/>
        <v>9.8626225872185613E-2</v>
      </c>
      <c r="HE5" s="363">
        <f ca="1">_xlfn.BETA.INV(RAND(),$I$5,$J$5)</f>
        <v>9.664188158329573E-2</v>
      </c>
      <c r="HF5" s="363">
        <f t="shared" ref="HF5:JQ5" ca="1" si="31">_xlfn.BETA.INV(RAND(),$I$5,$J$5)</f>
        <v>9.8800469331101426E-2</v>
      </c>
      <c r="HG5" s="363">
        <f t="shared" ca="1" si="31"/>
        <v>9.615561936596613E-2</v>
      </c>
      <c r="HH5" s="363">
        <f t="shared" ca="1" si="31"/>
        <v>9.7327635141949531E-2</v>
      </c>
      <c r="HI5" s="363">
        <f t="shared" ca="1" si="31"/>
        <v>9.7728246206033376E-2</v>
      </c>
      <c r="HJ5" s="363">
        <f t="shared" ca="1" si="31"/>
        <v>9.6211904865465686E-2</v>
      </c>
      <c r="HK5" s="363">
        <f t="shared" ca="1" si="31"/>
        <v>9.5541365119023391E-2</v>
      </c>
      <c r="HL5" s="363">
        <f t="shared" ca="1" si="31"/>
        <v>9.8651537853829963E-2</v>
      </c>
      <c r="HM5" s="363">
        <f t="shared" ca="1" si="31"/>
        <v>9.9078325422128466E-2</v>
      </c>
      <c r="HN5" s="363">
        <f t="shared" ca="1" si="31"/>
        <v>9.446319417354393E-2</v>
      </c>
      <c r="HO5" s="363">
        <f t="shared" ca="1" si="31"/>
        <v>9.5136799755730139E-2</v>
      </c>
      <c r="HP5" s="363">
        <f t="shared" ca="1" si="31"/>
        <v>9.8050108520100321E-2</v>
      </c>
      <c r="HQ5" s="363">
        <f t="shared" ca="1" si="31"/>
        <v>9.7511401786910423E-2</v>
      </c>
      <c r="HR5" s="363">
        <f t="shared" ca="1" si="31"/>
        <v>9.5628781086433759E-2</v>
      </c>
      <c r="HS5" s="363">
        <f t="shared" ca="1" si="31"/>
        <v>9.6997602351198753E-2</v>
      </c>
      <c r="HT5" s="363">
        <f t="shared" ca="1" si="31"/>
        <v>9.633933985775843E-2</v>
      </c>
      <c r="HU5" s="363">
        <f t="shared" ca="1" si="31"/>
        <v>9.759059865068187E-2</v>
      </c>
      <c r="HV5" s="363">
        <f t="shared" ca="1" si="31"/>
        <v>9.8582706842382795E-2</v>
      </c>
      <c r="HW5" s="363">
        <f t="shared" ca="1" si="31"/>
        <v>9.5257749742278353E-2</v>
      </c>
      <c r="HX5" s="363">
        <f t="shared" ca="1" si="31"/>
        <v>9.5351379168033046E-2</v>
      </c>
      <c r="HY5" s="363">
        <f t="shared" ca="1" si="31"/>
        <v>9.7357740093489964E-2</v>
      </c>
      <c r="HZ5" s="363">
        <f t="shared" ca="1" si="31"/>
        <v>9.8615890552847807E-2</v>
      </c>
      <c r="IA5" s="363">
        <f t="shared" ca="1" si="31"/>
        <v>9.6559201352948792E-2</v>
      </c>
      <c r="IB5" s="363">
        <f t="shared" ca="1" si="31"/>
        <v>9.7247064928031701E-2</v>
      </c>
      <c r="IC5" s="363">
        <f t="shared" ca="1" si="31"/>
        <v>9.5308564147663047E-2</v>
      </c>
      <c r="ID5" s="363">
        <f t="shared" ca="1" si="31"/>
        <v>9.5448076576955518E-2</v>
      </c>
      <c r="IE5" s="363">
        <f t="shared" ca="1" si="31"/>
        <v>9.7031590675562954E-2</v>
      </c>
      <c r="IF5" s="363">
        <f t="shared" ca="1" si="31"/>
        <v>9.7522257337134821E-2</v>
      </c>
      <c r="IG5" s="363">
        <f t="shared" ca="1" si="31"/>
        <v>9.9247154766348156E-2</v>
      </c>
      <c r="IH5" s="363">
        <f t="shared" ca="1" si="31"/>
        <v>9.8536915517604684E-2</v>
      </c>
      <c r="II5" s="363">
        <f t="shared" ca="1" si="31"/>
        <v>9.7421613134490048E-2</v>
      </c>
      <c r="IJ5" s="363">
        <f t="shared" ca="1" si="31"/>
        <v>9.58339583006107E-2</v>
      </c>
      <c r="IK5" s="363">
        <f t="shared" ca="1" si="31"/>
        <v>9.6499110224565199E-2</v>
      </c>
      <c r="IL5" s="363">
        <f t="shared" ca="1" si="31"/>
        <v>9.676241256630895E-2</v>
      </c>
      <c r="IM5" s="363">
        <f t="shared" ca="1" si="31"/>
        <v>9.6548326327118128E-2</v>
      </c>
      <c r="IN5" s="363">
        <f t="shared" ca="1" si="31"/>
        <v>9.7629590115509757E-2</v>
      </c>
      <c r="IO5" s="363">
        <f t="shared" ca="1" si="31"/>
        <v>9.8939912679904207E-2</v>
      </c>
      <c r="IP5" s="363">
        <f t="shared" ca="1" si="31"/>
        <v>9.9508321062226512E-2</v>
      </c>
      <c r="IQ5" s="363">
        <f t="shared" ca="1" si="31"/>
        <v>9.6942065025216684E-2</v>
      </c>
      <c r="IR5" s="363">
        <f t="shared" ca="1" si="31"/>
        <v>9.684992365072613E-2</v>
      </c>
      <c r="IS5" s="363">
        <f t="shared" ca="1" si="31"/>
        <v>9.8083212000694919E-2</v>
      </c>
      <c r="IT5" s="363">
        <f t="shared" ca="1" si="31"/>
        <v>9.7958677833221541E-2</v>
      </c>
      <c r="IU5" s="363">
        <f t="shared" ca="1" si="31"/>
        <v>9.77066468557376E-2</v>
      </c>
      <c r="IV5" s="363">
        <f t="shared" ca="1" si="31"/>
        <v>9.7771597163342716E-2</v>
      </c>
      <c r="IW5" s="363">
        <f t="shared" ca="1" si="31"/>
        <v>9.584341550117613E-2</v>
      </c>
      <c r="IX5" s="363">
        <f t="shared" ca="1" si="31"/>
        <v>9.5336185757918079E-2</v>
      </c>
      <c r="IY5" s="363">
        <f t="shared" ca="1" si="31"/>
        <v>9.7385008065759227E-2</v>
      </c>
      <c r="IZ5" s="363">
        <f t="shared" ca="1" si="31"/>
        <v>9.6193602548902274E-2</v>
      </c>
      <c r="JA5" s="363">
        <f t="shared" ca="1" si="31"/>
        <v>9.7345195292550479E-2</v>
      </c>
      <c r="JB5" s="363">
        <f t="shared" ca="1" si="31"/>
        <v>9.5153674100050309E-2</v>
      </c>
      <c r="JC5" s="363">
        <f t="shared" ca="1" si="31"/>
        <v>9.6096410810947899E-2</v>
      </c>
      <c r="JD5" s="363">
        <f t="shared" ca="1" si="31"/>
        <v>9.6352471643026613E-2</v>
      </c>
      <c r="JE5" s="363">
        <f t="shared" ca="1" si="31"/>
        <v>9.8645525571297354E-2</v>
      </c>
      <c r="JF5" s="363">
        <f t="shared" ca="1" si="31"/>
        <v>9.6815614892685781E-2</v>
      </c>
      <c r="JG5" s="363">
        <f t="shared" ca="1" si="31"/>
        <v>9.5473908822702611E-2</v>
      </c>
      <c r="JH5" s="363">
        <f t="shared" ca="1" si="31"/>
        <v>9.6172079761928125E-2</v>
      </c>
      <c r="JI5" s="363">
        <f t="shared" ca="1" si="31"/>
        <v>9.6726847358514556E-2</v>
      </c>
      <c r="JJ5" s="363">
        <f t="shared" ca="1" si="31"/>
        <v>9.7582422727473084E-2</v>
      </c>
      <c r="JK5" s="363">
        <f t="shared" ca="1" si="31"/>
        <v>9.633590025511711E-2</v>
      </c>
      <c r="JL5" s="363">
        <f t="shared" ca="1" si="31"/>
        <v>9.938882221858758E-2</v>
      </c>
      <c r="JM5" s="363">
        <f t="shared" ca="1" si="31"/>
        <v>9.8027996884689439E-2</v>
      </c>
      <c r="JN5" s="363">
        <f t="shared" ca="1" si="31"/>
        <v>9.8629172296095136E-2</v>
      </c>
      <c r="JO5" s="363">
        <f t="shared" ca="1" si="31"/>
        <v>9.8020747769975602E-2</v>
      </c>
      <c r="JP5" s="363">
        <f t="shared" ca="1" si="31"/>
        <v>9.7843642531184272E-2</v>
      </c>
      <c r="JQ5" s="363">
        <f t="shared" ca="1" si="31"/>
        <v>9.6384506043667301E-2</v>
      </c>
      <c r="JR5" s="363">
        <f t="shared" ref="JR5:KZ5" ca="1" si="32">_xlfn.BETA.INV(RAND(),$I$5,$J$5)</f>
        <v>9.7374537593105104E-2</v>
      </c>
      <c r="JS5" s="363">
        <f t="shared" ca="1" si="32"/>
        <v>9.662686820906688E-2</v>
      </c>
      <c r="JT5" s="363">
        <f t="shared" ca="1" si="32"/>
        <v>9.8562084435478425E-2</v>
      </c>
      <c r="JU5" s="363">
        <f t="shared" ca="1" si="32"/>
        <v>9.8501337136728484E-2</v>
      </c>
      <c r="JV5" s="363">
        <f t="shared" ca="1" si="32"/>
        <v>9.730855199602384E-2</v>
      </c>
      <c r="JW5" s="363">
        <f t="shared" ca="1" si="32"/>
        <v>9.6948946421114221E-2</v>
      </c>
      <c r="JX5" s="363">
        <f t="shared" ca="1" si="32"/>
        <v>9.826831838971084E-2</v>
      </c>
      <c r="JY5" s="363">
        <f t="shared" ca="1" si="32"/>
        <v>9.9253836806294404E-2</v>
      </c>
      <c r="JZ5" s="363">
        <f t="shared" ca="1" si="32"/>
        <v>9.6893597455705444E-2</v>
      </c>
      <c r="KA5" s="363">
        <f t="shared" ca="1" si="32"/>
        <v>9.610299854073244E-2</v>
      </c>
      <c r="KB5" s="363">
        <f t="shared" ca="1" si="32"/>
        <v>9.7415259217033312E-2</v>
      </c>
      <c r="KC5" s="363">
        <f t="shared" ca="1" si="32"/>
        <v>9.7065940291158725E-2</v>
      </c>
      <c r="KD5" s="363">
        <f t="shared" ca="1" si="32"/>
        <v>9.5004914793473116E-2</v>
      </c>
      <c r="KE5" s="363">
        <f t="shared" ca="1" si="32"/>
        <v>9.8029297559763195E-2</v>
      </c>
      <c r="KF5" s="363">
        <f t="shared" ca="1" si="32"/>
        <v>9.6549705478220532E-2</v>
      </c>
      <c r="KG5" s="363">
        <f t="shared" ca="1" si="32"/>
        <v>9.9049758343505823E-2</v>
      </c>
      <c r="KH5" s="363">
        <f t="shared" ca="1" si="32"/>
        <v>9.7765875175942152E-2</v>
      </c>
      <c r="KI5" s="363">
        <f t="shared" ca="1" si="32"/>
        <v>9.8618099511058044E-2</v>
      </c>
      <c r="KJ5" s="363">
        <f t="shared" ca="1" si="32"/>
        <v>9.6850681448821044E-2</v>
      </c>
      <c r="KK5" s="363">
        <f t="shared" ca="1" si="32"/>
        <v>0.10008512970764327</v>
      </c>
      <c r="KL5" s="363">
        <f t="shared" ca="1" si="32"/>
        <v>9.5318939792156956E-2</v>
      </c>
      <c r="KM5" s="363">
        <f t="shared" ca="1" si="32"/>
        <v>9.8023657583923951E-2</v>
      </c>
      <c r="KN5" s="363">
        <f t="shared" ca="1" si="32"/>
        <v>9.7678637702620752E-2</v>
      </c>
      <c r="KO5" s="363">
        <f t="shared" ca="1" si="32"/>
        <v>9.6085187098337854E-2</v>
      </c>
      <c r="KP5" s="363">
        <f t="shared" ca="1" si="32"/>
        <v>9.7245282940037175E-2</v>
      </c>
      <c r="KQ5" s="363">
        <f t="shared" ca="1" si="32"/>
        <v>9.7458533632707178E-2</v>
      </c>
      <c r="KR5" s="363">
        <f t="shared" ca="1" si="32"/>
        <v>9.7784848284749315E-2</v>
      </c>
      <c r="KS5" s="363">
        <f t="shared" ca="1" si="32"/>
        <v>9.806143188434735E-2</v>
      </c>
      <c r="KT5" s="363">
        <f t="shared" ca="1" si="32"/>
        <v>9.806028640041542E-2</v>
      </c>
      <c r="KU5" s="363">
        <f t="shared" ca="1" si="32"/>
        <v>0.10063912828875721</v>
      </c>
      <c r="KV5" s="363">
        <f t="shared" ca="1" si="32"/>
        <v>9.9442522448880188E-2</v>
      </c>
      <c r="KW5" s="363">
        <f t="shared" ca="1" si="32"/>
        <v>9.5502331505053772E-2</v>
      </c>
      <c r="KX5" s="363">
        <f t="shared" ca="1" si="32"/>
        <v>9.8338217968175101E-2</v>
      </c>
      <c r="KY5" s="363">
        <f t="shared" ca="1" si="32"/>
        <v>9.6683039028179513E-2</v>
      </c>
      <c r="KZ5" s="363">
        <f t="shared" ca="1" si="32"/>
        <v>9.7007826823757623E-2</v>
      </c>
      <c r="LA5" s="363">
        <f ca="1">_xlfn.BETA.INV(RAND(),$I$5,$J$5)</f>
        <v>0.10037701958602063</v>
      </c>
      <c r="LB5" s="363">
        <f t="shared" ref="LB5:NM5" ca="1" si="33">_xlfn.BETA.INV(RAND(),$I$5,$J$5)</f>
        <v>9.6217290541983011E-2</v>
      </c>
      <c r="LC5" s="363">
        <f t="shared" ca="1" si="33"/>
        <v>9.6485454504614779E-2</v>
      </c>
      <c r="LD5" s="363">
        <f t="shared" ca="1" si="33"/>
        <v>9.910790413769599E-2</v>
      </c>
      <c r="LE5" s="363">
        <f t="shared" ca="1" si="33"/>
        <v>9.6540228277530754E-2</v>
      </c>
      <c r="LF5" s="363">
        <f t="shared" ca="1" si="33"/>
        <v>9.9610768422837337E-2</v>
      </c>
      <c r="LG5" s="363">
        <f t="shared" ca="1" si="33"/>
        <v>9.988030591354935E-2</v>
      </c>
      <c r="LH5" s="363">
        <f t="shared" ca="1" si="33"/>
        <v>9.8796217540012443E-2</v>
      </c>
      <c r="LI5" s="363">
        <f t="shared" ca="1" si="33"/>
        <v>9.7348417861071401E-2</v>
      </c>
      <c r="LJ5" s="363">
        <f t="shared" ca="1" si="33"/>
        <v>9.8874229856747653E-2</v>
      </c>
      <c r="LK5" s="363">
        <f t="shared" ca="1" si="33"/>
        <v>9.6555845926893522E-2</v>
      </c>
      <c r="LL5" s="363">
        <f t="shared" ca="1" si="33"/>
        <v>9.5554920184721837E-2</v>
      </c>
      <c r="LM5" s="363">
        <f t="shared" ca="1" si="33"/>
        <v>9.5268583291082246E-2</v>
      </c>
      <c r="LN5" s="363">
        <f t="shared" ca="1" si="33"/>
        <v>9.570307448824536E-2</v>
      </c>
      <c r="LO5" s="363">
        <f t="shared" ca="1" si="33"/>
        <v>9.8940513634375504E-2</v>
      </c>
      <c r="LP5" s="363">
        <f t="shared" ca="1" si="33"/>
        <v>9.6000610512042894E-2</v>
      </c>
      <c r="LQ5" s="363">
        <f t="shared" ca="1" si="33"/>
        <v>9.6734743970388365E-2</v>
      </c>
      <c r="LR5" s="363">
        <f t="shared" ca="1" si="33"/>
        <v>9.6589262645758067E-2</v>
      </c>
      <c r="LS5" s="363">
        <f t="shared" ca="1" si="33"/>
        <v>9.8675616115798559E-2</v>
      </c>
      <c r="LT5" s="363">
        <f t="shared" ca="1" si="33"/>
        <v>9.701195989665147E-2</v>
      </c>
      <c r="LU5" s="363">
        <f t="shared" ca="1" si="33"/>
        <v>0.10012129044935347</v>
      </c>
      <c r="LV5" s="363">
        <f t="shared" ca="1" si="33"/>
        <v>9.6909212018232105E-2</v>
      </c>
      <c r="LW5" s="363">
        <f t="shared" ca="1" si="33"/>
        <v>9.6149960621932831E-2</v>
      </c>
      <c r="LX5" s="363">
        <f t="shared" ca="1" si="33"/>
        <v>9.7155074908789774E-2</v>
      </c>
      <c r="LY5" s="363">
        <f t="shared" ca="1" si="33"/>
        <v>9.8094487161888511E-2</v>
      </c>
      <c r="LZ5" s="363">
        <f t="shared" ca="1" si="33"/>
        <v>9.6772082900026174E-2</v>
      </c>
      <c r="MA5" s="363">
        <f t="shared" ca="1" si="33"/>
        <v>9.7451204269481506E-2</v>
      </c>
      <c r="MB5" s="363">
        <f t="shared" ca="1" si="33"/>
        <v>9.8327488183485023E-2</v>
      </c>
      <c r="MC5" s="363">
        <f t="shared" ca="1" si="33"/>
        <v>9.686838659049192E-2</v>
      </c>
      <c r="MD5" s="363">
        <f t="shared" ca="1" si="33"/>
        <v>9.6498885101528001E-2</v>
      </c>
      <c r="ME5" s="363">
        <f t="shared" ca="1" si="33"/>
        <v>9.7882958778100271E-2</v>
      </c>
      <c r="MF5" s="363">
        <f t="shared" ca="1" si="33"/>
        <v>9.6076000372319656E-2</v>
      </c>
      <c r="MG5" s="363">
        <f t="shared" ca="1" si="33"/>
        <v>9.7229761828380154E-2</v>
      </c>
      <c r="MH5" s="363">
        <f t="shared" ca="1" si="33"/>
        <v>9.8865236692597502E-2</v>
      </c>
      <c r="MI5" s="363">
        <f t="shared" ca="1" si="33"/>
        <v>9.7574088046909924E-2</v>
      </c>
      <c r="MJ5" s="363">
        <f t="shared" ca="1" si="33"/>
        <v>9.7717309873743829E-2</v>
      </c>
      <c r="MK5" s="363">
        <f t="shared" ca="1" si="33"/>
        <v>9.8017286487462774E-2</v>
      </c>
      <c r="ML5" s="363">
        <f t="shared" ca="1" si="33"/>
        <v>0.10025397501468236</v>
      </c>
      <c r="MM5" s="363">
        <f t="shared" ca="1" si="33"/>
        <v>9.8190653795332206E-2</v>
      </c>
      <c r="MN5" s="363">
        <f t="shared" ca="1" si="33"/>
        <v>0.10021758816217696</v>
      </c>
      <c r="MO5" s="363">
        <f t="shared" ca="1" si="33"/>
        <v>9.8314768948112419E-2</v>
      </c>
      <c r="MP5" s="363">
        <f t="shared" ca="1" si="33"/>
        <v>9.74939584825808E-2</v>
      </c>
      <c r="MQ5" s="363">
        <f t="shared" ca="1" si="33"/>
        <v>9.7698904292314426E-2</v>
      </c>
      <c r="MR5" s="363">
        <f t="shared" ca="1" si="33"/>
        <v>9.5718518211476047E-2</v>
      </c>
      <c r="MS5" s="363">
        <f t="shared" ca="1" si="33"/>
        <v>9.6813975036476208E-2</v>
      </c>
      <c r="MT5" s="363">
        <f t="shared" ca="1" si="33"/>
        <v>9.6662910611049119E-2</v>
      </c>
      <c r="MU5" s="363">
        <f t="shared" ca="1" si="33"/>
        <v>0.10107681746890862</v>
      </c>
      <c r="MV5" s="363">
        <f t="shared" ca="1" si="33"/>
        <v>9.619645242182405E-2</v>
      </c>
      <c r="MW5" s="363">
        <f t="shared" ca="1" si="33"/>
        <v>9.7481077921489967E-2</v>
      </c>
      <c r="MX5" s="363">
        <f t="shared" ca="1" si="33"/>
        <v>9.6927550937837947E-2</v>
      </c>
      <c r="MY5" s="363">
        <f t="shared" ca="1" si="33"/>
        <v>9.7736103852243073E-2</v>
      </c>
      <c r="MZ5" s="363">
        <f t="shared" ca="1" si="33"/>
        <v>9.3474334218639044E-2</v>
      </c>
      <c r="NA5" s="363">
        <f t="shared" ca="1" si="33"/>
        <v>9.8214445789447713E-2</v>
      </c>
      <c r="NB5" s="363">
        <f t="shared" ca="1" si="33"/>
        <v>9.7535763570264389E-2</v>
      </c>
      <c r="NC5" s="363">
        <f t="shared" ca="1" si="33"/>
        <v>9.6498625526330567E-2</v>
      </c>
      <c r="ND5" s="363">
        <f t="shared" ca="1" si="33"/>
        <v>9.7662274188855758E-2</v>
      </c>
      <c r="NE5" s="363">
        <f t="shared" ca="1" si="33"/>
        <v>9.7871194757347291E-2</v>
      </c>
      <c r="NF5" s="363">
        <f t="shared" ca="1" si="33"/>
        <v>9.5356310915728701E-2</v>
      </c>
      <c r="NG5" s="363">
        <f t="shared" ca="1" si="33"/>
        <v>9.9395485800316652E-2</v>
      </c>
      <c r="NH5" s="363">
        <f t="shared" ca="1" si="33"/>
        <v>9.6946028264740858E-2</v>
      </c>
      <c r="NI5" s="363">
        <f t="shared" ca="1" si="33"/>
        <v>9.9732406782796823E-2</v>
      </c>
      <c r="NJ5" s="363">
        <f t="shared" ca="1" si="33"/>
        <v>9.6483605479804183E-2</v>
      </c>
      <c r="NK5" s="363">
        <f t="shared" ca="1" si="33"/>
        <v>9.6536932033521636E-2</v>
      </c>
      <c r="NL5" s="363">
        <f t="shared" ca="1" si="33"/>
        <v>9.7835194302337669E-2</v>
      </c>
      <c r="NM5" s="363">
        <f t="shared" ca="1" si="33"/>
        <v>9.5274058404820283E-2</v>
      </c>
      <c r="NN5" s="363">
        <f t="shared" ref="NN5:OV5" ca="1" si="34">_xlfn.BETA.INV(RAND(),$I$5,$J$5)</f>
        <v>9.9032045323348084E-2</v>
      </c>
      <c r="NO5" s="363">
        <f t="shared" ca="1" si="34"/>
        <v>9.5521090572625159E-2</v>
      </c>
      <c r="NP5" s="363">
        <f t="shared" ca="1" si="34"/>
        <v>9.7377139410892322E-2</v>
      </c>
      <c r="NQ5" s="363">
        <f t="shared" ca="1" si="34"/>
        <v>9.8002120833278639E-2</v>
      </c>
      <c r="NR5" s="363">
        <f t="shared" ca="1" si="34"/>
        <v>9.7104476897501291E-2</v>
      </c>
      <c r="NS5" s="363">
        <f t="shared" ca="1" si="34"/>
        <v>9.94600204398286E-2</v>
      </c>
      <c r="NT5" s="363">
        <f t="shared" ca="1" si="34"/>
        <v>9.6215722889750957E-2</v>
      </c>
      <c r="NU5" s="363">
        <f t="shared" ca="1" si="34"/>
        <v>9.6975251540568991E-2</v>
      </c>
      <c r="NV5" s="363">
        <f t="shared" ca="1" si="34"/>
        <v>9.8205023779924017E-2</v>
      </c>
      <c r="NW5" s="363">
        <f t="shared" ca="1" si="34"/>
        <v>9.8892344026238144E-2</v>
      </c>
      <c r="NX5" s="363">
        <f t="shared" ca="1" si="34"/>
        <v>9.7944960929620128E-2</v>
      </c>
      <c r="NY5" s="363">
        <f t="shared" ca="1" si="34"/>
        <v>9.9300825530704628E-2</v>
      </c>
      <c r="NZ5" s="363">
        <f t="shared" ca="1" si="34"/>
        <v>9.8641849305185936E-2</v>
      </c>
      <c r="OA5" s="363">
        <f t="shared" ca="1" si="34"/>
        <v>9.7955102471674049E-2</v>
      </c>
      <c r="OB5" s="363">
        <f t="shared" ca="1" si="34"/>
        <v>9.9401724067040287E-2</v>
      </c>
      <c r="OC5" s="363">
        <f t="shared" ca="1" si="34"/>
        <v>9.753252511314392E-2</v>
      </c>
      <c r="OD5" s="363">
        <f t="shared" ca="1" si="34"/>
        <v>9.6216673663877941E-2</v>
      </c>
      <c r="OE5" s="363">
        <f t="shared" ca="1" si="34"/>
        <v>9.6166847354867441E-2</v>
      </c>
      <c r="OF5" s="363">
        <f t="shared" ca="1" si="34"/>
        <v>0.1002652063821281</v>
      </c>
      <c r="OG5" s="363">
        <f t="shared" ca="1" si="34"/>
        <v>9.6342772850776276E-2</v>
      </c>
      <c r="OH5" s="363">
        <f t="shared" ca="1" si="34"/>
        <v>9.733027289466234E-2</v>
      </c>
      <c r="OI5" s="363">
        <f t="shared" ca="1" si="34"/>
        <v>9.8014167241041172E-2</v>
      </c>
      <c r="OJ5" s="363">
        <f t="shared" ca="1" si="34"/>
        <v>9.8360065517820838E-2</v>
      </c>
      <c r="OK5" s="363">
        <f t="shared" ca="1" si="34"/>
        <v>9.6955637415493817E-2</v>
      </c>
      <c r="OL5" s="363">
        <f t="shared" ca="1" si="34"/>
        <v>9.599644467931906E-2</v>
      </c>
      <c r="OM5" s="363">
        <f t="shared" ca="1" si="34"/>
        <v>9.7319384674818932E-2</v>
      </c>
      <c r="ON5" s="363">
        <f t="shared" ca="1" si="34"/>
        <v>9.5202223482016526E-2</v>
      </c>
      <c r="OO5" s="363">
        <f t="shared" ca="1" si="34"/>
        <v>9.8323041706433578E-2</v>
      </c>
      <c r="OP5" s="363">
        <f t="shared" ca="1" si="34"/>
        <v>9.7602833123302646E-2</v>
      </c>
      <c r="OQ5" s="363">
        <f t="shared" ca="1" si="34"/>
        <v>0.10010662465282549</v>
      </c>
      <c r="OR5" s="363">
        <f t="shared" ca="1" si="34"/>
        <v>9.8513249696996263E-2</v>
      </c>
      <c r="OS5" s="363">
        <f t="shared" ca="1" si="34"/>
        <v>9.8570985057577776E-2</v>
      </c>
      <c r="OT5" s="363">
        <f t="shared" ca="1" si="34"/>
        <v>9.7384668490276272E-2</v>
      </c>
      <c r="OU5" s="363">
        <f t="shared" ca="1" si="34"/>
        <v>9.6383575505255475E-2</v>
      </c>
      <c r="OV5" s="363">
        <f t="shared" ca="1" si="34"/>
        <v>9.8237304152460569E-2</v>
      </c>
      <c r="OW5" s="363">
        <f ca="1">_xlfn.BETA.INV(RAND(),$I$5,$J$5)</f>
        <v>9.4717549104104667E-2</v>
      </c>
      <c r="OX5" s="363">
        <f t="shared" ref="OX5:RI5" ca="1" si="35">_xlfn.BETA.INV(RAND(),$I$5,$J$5)</f>
        <v>9.709241143256199E-2</v>
      </c>
      <c r="OY5" s="363">
        <f t="shared" ca="1" si="35"/>
        <v>9.6608243244184447E-2</v>
      </c>
      <c r="OZ5" s="363">
        <f t="shared" ca="1" si="35"/>
        <v>9.7044171336002946E-2</v>
      </c>
      <c r="PA5" s="363">
        <f t="shared" ca="1" si="35"/>
        <v>9.776271507406431E-2</v>
      </c>
      <c r="PB5" s="363">
        <f t="shared" ca="1" si="35"/>
        <v>9.9576159197730552E-2</v>
      </c>
      <c r="PC5" s="363">
        <f t="shared" ca="1" si="35"/>
        <v>9.7307533014256098E-2</v>
      </c>
      <c r="PD5" s="363">
        <f t="shared" ca="1" si="35"/>
        <v>9.6933848843052409E-2</v>
      </c>
      <c r="PE5" s="363">
        <f t="shared" ca="1" si="35"/>
        <v>9.6147860441549118E-2</v>
      </c>
      <c r="PF5" s="363">
        <f t="shared" ca="1" si="35"/>
        <v>9.7295688425727778E-2</v>
      </c>
      <c r="PG5" s="363">
        <f t="shared" ca="1" si="35"/>
        <v>9.8419049554466898E-2</v>
      </c>
      <c r="PH5" s="363">
        <f t="shared" ca="1" si="35"/>
        <v>9.7189028554441503E-2</v>
      </c>
      <c r="PI5" s="363">
        <f t="shared" ca="1" si="35"/>
        <v>9.6556334206475858E-2</v>
      </c>
      <c r="PJ5" s="363">
        <f t="shared" ca="1" si="35"/>
        <v>9.4579221591198942E-2</v>
      </c>
      <c r="PK5" s="363">
        <f t="shared" ca="1" si="35"/>
        <v>9.8036640189207547E-2</v>
      </c>
      <c r="PL5" s="363">
        <f t="shared" ca="1" si="35"/>
        <v>9.7268656848237711E-2</v>
      </c>
      <c r="PM5" s="363">
        <f t="shared" ca="1" si="35"/>
        <v>9.6651830831117627E-2</v>
      </c>
      <c r="PN5" s="363">
        <f t="shared" ca="1" si="35"/>
        <v>9.6359200350823723E-2</v>
      </c>
      <c r="PO5" s="363">
        <f t="shared" ca="1" si="35"/>
        <v>9.5559175299271173E-2</v>
      </c>
      <c r="PP5" s="363">
        <f t="shared" ca="1" si="35"/>
        <v>9.7679640070780449E-2</v>
      </c>
      <c r="PQ5" s="363">
        <f t="shared" ca="1" si="35"/>
        <v>0.10006084386248171</v>
      </c>
      <c r="PR5" s="363">
        <f t="shared" ca="1" si="35"/>
        <v>9.6715920601208219E-2</v>
      </c>
      <c r="PS5" s="363">
        <f t="shared" ca="1" si="35"/>
        <v>9.4863548322404831E-2</v>
      </c>
      <c r="PT5" s="363">
        <f t="shared" ca="1" si="35"/>
        <v>9.7524175392017409E-2</v>
      </c>
      <c r="PU5" s="363">
        <f t="shared" ca="1" si="35"/>
        <v>9.812791593604786E-2</v>
      </c>
      <c r="PV5" s="363">
        <f t="shared" ca="1" si="35"/>
        <v>9.6259204062384265E-2</v>
      </c>
      <c r="PW5" s="363">
        <f t="shared" ca="1" si="35"/>
        <v>9.8647055914645398E-2</v>
      </c>
      <c r="PX5" s="363">
        <f t="shared" ca="1" si="35"/>
        <v>9.5781088936117545E-2</v>
      </c>
      <c r="PY5" s="363">
        <f t="shared" ca="1" si="35"/>
        <v>9.7035363795221444E-2</v>
      </c>
      <c r="PZ5" s="363">
        <f t="shared" ca="1" si="35"/>
        <v>9.6995767349149137E-2</v>
      </c>
      <c r="QA5" s="363">
        <f t="shared" ca="1" si="35"/>
        <v>9.6609429230731889E-2</v>
      </c>
      <c r="QB5" s="363">
        <f t="shared" ca="1" si="35"/>
        <v>9.882182806400952E-2</v>
      </c>
      <c r="QC5" s="363">
        <f t="shared" ca="1" si="35"/>
        <v>9.5852302627536093E-2</v>
      </c>
      <c r="QD5" s="363">
        <f t="shared" ca="1" si="35"/>
        <v>9.5457988425155169E-2</v>
      </c>
      <c r="QE5" s="363">
        <f t="shared" ca="1" si="35"/>
        <v>9.7172414508104543E-2</v>
      </c>
      <c r="QF5" s="363">
        <f t="shared" ca="1" si="35"/>
        <v>9.8189904108893389E-2</v>
      </c>
      <c r="QG5" s="363">
        <f t="shared" ca="1" si="35"/>
        <v>9.6972059441160247E-2</v>
      </c>
      <c r="QH5" s="363">
        <f t="shared" ca="1" si="35"/>
        <v>9.5453731501183608E-2</v>
      </c>
      <c r="QI5" s="363">
        <f t="shared" ca="1" si="35"/>
        <v>9.9733730918123098E-2</v>
      </c>
      <c r="QJ5" s="363">
        <f t="shared" ca="1" si="35"/>
        <v>9.5547574537981669E-2</v>
      </c>
      <c r="QK5" s="363">
        <f t="shared" ca="1" si="35"/>
        <v>9.7358857514111996E-2</v>
      </c>
      <c r="QL5" s="363">
        <f t="shared" ca="1" si="35"/>
        <v>9.776100562544876E-2</v>
      </c>
      <c r="QM5" s="363">
        <f t="shared" ca="1" si="35"/>
        <v>9.8191370563565417E-2</v>
      </c>
      <c r="QN5" s="363">
        <f t="shared" ca="1" si="35"/>
        <v>9.6866338552607317E-2</v>
      </c>
      <c r="QO5" s="363">
        <f t="shared" ca="1" si="35"/>
        <v>9.8961100184560613E-2</v>
      </c>
      <c r="QP5" s="363">
        <f t="shared" ca="1" si="35"/>
        <v>9.8736089328463783E-2</v>
      </c>
      <c r="QQ5" s="363">
        <f t="shared" ca="1" si="35"/>
        <v>9.7621018856490105E-2</v>
      </c>
      <c r="QR5" s="363">
        <f t="shared" ca="1" si="35"/>
        <v>9.6766566165022855E-2</v>
      </c>
      <c r="QS5" s="363">
        <f t="shared" ca="1" si="35"/>
        <v>9.7837532674655558E-2</v>
      </c>
      <c r="QT5" s="363">
        <f t="shared" ca="1" si="35"/>
        <v>9.655006909095358E-2</v>
      </c>
      <c r="QU5" s="363">
        <f t="shared" ca="1" si="35"/>
        <v>9.6945089056001063E-2</v>
      </c>
      <c r="QV5" s="363">
        <f t="shared" ca="1" si="35"/>
        <v>9.688221107595299E-2</v>
      </c>
      <c r="QW5" s="363">
        <f t="shared" ca="1" si="35"/>
        <v>9.6646049042106885E-2</v>
      </c>
      <c r="QX5" s="363">
        <f t="shared" ca="1" si="35"/>
        <v>9.6499234295954528E-2</v>
      </c>
      <c r="QY5" s="363">
        <f t="shared" ca="1" si="35"/>
        <v>9.7241988705946261E-2</v>
      </c>
      <c r="QZ5" s="363">
        <f t="shared" ca="1" si="35"/>
        <v>9.5562716103587436E-2</v>
      </c>
      <c r="RA5" s="363">
        <f t="shared" ca="1" si="35"/>
        <v>9.7320239716833568E-2</v>
      </c>
      <c r="RB5" s="363">
        <f t="shared" ca="1" si="35"/>
        <v>9.7131751062510208E-2</v>
      </c>
      <c r="RC5" s="363">
        <f t="shared" ca="1" si="35"/>
        <v>9.69264173413453E-2</v>
      </c>
      <c r="RD5" s="363">
        <f t="shared" ca="1" si="35"/>
        <v>9.814665393656441E-2</v>
      </c>
      <c r="RE5" s="363">
        <f t="shared" ca="1" si="35"/>
        <v>9.5062240895946643E-2</v>
      </c>
      <c r="RF5" s="363">
        <f t="shared" ca="1" si="35"/>
        <v>9.5648446149299932E-2</v>
      </c>
      <c r="RG5" s="363">
        <f t="shared" ca="1" si="35"/>
        <v>0.10106063100292251</v>
      </c>
      <c r="RH5" s="363">
        <f t="shared" ca="1" si="35"/>
        <v>9.8769130281430861E-2</v>
      </c>
      <c r="RI5" s="363">
        <f t="shared" ca="1" si="35"/>
        <v>9.510152366157068E-2</v>
      </c>
      <c r="RJ5" s="363">
        <f t="shared" ref="RJ5:SR5" ca="1" si="36">_xlfn.BETA.INV(RAND(),$I$5,$J$5)</f>
        <v>9.5970123943294919E-2</v>
      </c>
      <c r="RK5" s="363">
        <f t="shared" ca="1" si="36"/>
        <v>9.9495666418291773E-2</v>
      </c>
      <c r="RL5" s="363">
        <f t="shared" ca="1" si="36"/>
        <v>9.5828003902162451E-2</v>
      </c>
      <c r="RM5" s="363">
        <f t="shared" ca="1" si="36"/>
        <v>9.7205272218456942E-2</v>
      </c>
      <c r="RN5" s="363">
        <f t="shared" ca="1" si="36"/>
        <v>9.7292970865587192E-2</v>
      </c>
      <c r="RO5" s="363">
        <f t="shared" ca="1" si="36"/>
        <v>9.7153335396266347E-2</v>
      </c>
      <c r="RP5" s="363">
        <f t="shared" ca="1" si="36"/>
        <v>9.7406048113078292E-2</v>
      </c>
      <c r="RQ5" s="363">
        <f t="shared" ca="1" si="36"/>
        <v>9.6489411970033689E-2</v>
      </c>
      <c r="RR5" s="363">
        <f t="shared" ca="1" si="36"/>
        <v>9.4951348896721507E-2</v>
      </c>
      <c r="RS5" s="363">
        <f t="shared" ca="1" si="36"/>
        <v>9.7620861243179036E-2</v>
      </c>
      <c r="RT5" s="363">
        <f t="shared" ca="1" si="36"/>
        <v>9.5953683877390825E-2</v>
      </c>
      <c r="RU5" s="363">
        <f t="shared" ca="1" si="36"/>
        <v>9.7561662007984107E-2</v>
      </c>
      <c r="RV5" s="363">
        <f t="shared" ca="1" si="36"/>
        <v>9.8797930947917112E-2</v>
      </c>
      <c r="RW5" s="363">
        <f t="shared" ca="1" si="36"/>
        <v>9.8566189014857253E-2</v>
      </c>
      <c r="RX5" s="363">
        <f t="shared" ca="1" si="36"/>
        <v>9.7407109845162432E-2</v>
      </c>
      <c r="RY5" s="363">
        <f t="shared" ca="1" si="36"/>
        <v>9.5899640487165025E-2</v>
      </c>
      <c r="RZ5" s="363">
        <f t="shared" ca="1" si="36"/>
        <v>9.9291501618045896E-2</v>
      </c>
      <c r="SA5" s="363">
        <f t="shared" ca="1" si="36"/>
        <v>9.8915293664983306E-2</v>
      </c>
      <c r="SB5" s="363">
        <f t="shared" ca="1" si="36"/>
        <v>9.6050323768104101E-2</v>
      </c>
      <c r="SC5" s="363">
        <f t="shared" ca="1" si="36"/>
        <v>9.7914470283346322E-2</v>
      </c>
      <c r="SD5" s="363">
        <f t="shared" ca="1" si="36"/>
        <v>9.6595518157095286E-2</v>
      </c>
      <c r="SE5" s="363">
        <f t="shared" ca="1" si="36"/>
        <v>9.5670786525814011E-2</v>
      </c>
      <c r="SF5" s="363">
        <f t="shared" ca="1" si="36"/>
        <v>9.6474928321404502E-2</v>
      </c>
      <c r="SG5" s="363">
        <f t="shared" ca="1" si="36"/>
        <v>0.10027260920820535</v>
      </c>
      <c r="SH5" s="363">
        <f t="shared" ca="1" si="36"/>
        <v>9.7255501773826691E-2</v>
      </c>
      <c r="SI5" s="363">
        <f t="shared" ca="1" si="36"/>
        <v>9.7433709004127733E-2</v>
      </c>
      <c r="SJ5" s="363">
        <f t="shared" ca="1" si="36"/>
        <v>9.6383048936816984E-2</v>
      </c>
      <c r="SK5" s="363">
        <f t="shared" ca="1" si="36"/>
        <v>9.8915618527348759E-2</v>
      </c>
      <c r="SL5" s="363">
        <f t="shared" ca="1" si="36"/>
        <v>9.6678345219232034E-2</v>
      </c>
      <c r="SM5" s="363">
        <f t="shared" ca="1" si="36"/>
        <v>9.5932141493594358E-2</v>
      </c>
      <c r="SN5" s="363">
        <f t="shared" ca="1" si="36"/>
        <v>9.667102718271936E-2</v>
      </c>
      <c r="SO5" s="363">
        <f t="shared" ca="1" si="36"/>
        <v>9.8118207464252483E-2</v>
      </c>
      <c r="SP5" s="363">
        <f t="shared" ca="1" si="36"/>
        <v>9.8606382206906984E-2</v>
      </c>
      <c r="SQ5" s="363">
        <f t="shared" ca="1" si="36"/>
        <v>9.7913769663227401E-2</v>
      </c>
      <c r="SR5" s="363">
        <f t="shared" ca="1" si="36"/>
        <v>9.7232440081485447E-2</v>
      </c>
      <c r="SS5" s="363">
        <f ca="1">_xlfn.BETA.INV(RAND(),$I$5,$J$5)</f>
        <v>9.6444023691597755E-2</v>
      </c>
      <c r="ST5" s="363">
        <f t="shared" ref="ST5:VE5" ca="1" si="37">_xlfn.BETA.INV(RAND(),$I$5,$J$5)</f>
        <v>9.6681394085952235E-2</v>
      </c>
      <c r="SU5" s="363">
        <f t="shared" ca="1" si="37"/>
        <v>9.9282836069737979E-2</v>
      </c>
      <c r="SV5" s="363">
        <f t="shared" ca="1" si="37"/>
        <v>9.7667071477283929E-2</v>
      </c>
      <c r="SW5" s="363">
        <f t="shared" ca="1" si="37"/>
        <v>9.6903668188335318E-2</v>
      </c>
      <c r="SX5" s="363">
        <f t="shared" ca="1" si="37"/>
        <v>9.8097802359173647E-2</v>
      </c>
      <c r="SY5" s="363">
        <f t="shared" ca="1" si="37"/>
        <v>9.7626378306080563E-2</v>
      </c>
      <c r="SZ5" s="363">
        <f t="shared" ca="1" si="37"/>
        <v>9.8587526799783887E-2</v>
      </c>
      <c r="TA5" s="363">
        <f t="shared" ca="1" si="37"/>
        <v>9.8243240597119974E-2</v>
      </c>
      <c r="TB5" s="363">
        <f t="shared" ca="1" si="37"/>
        <v>9.6304435557716533E-2</v>
      </c>
      <c r="TC5" s="363">
        <f t="shared" ca="1" si="37"/>
        <v>9.5516461574149752E-2</v>
      </c>
      <c r="TD5" s="363">
        <f t="shared" ca="1" si="37"/>
        <v>9.5562987390585219E-2</v>
      </c>
      <c r="TE5" s="363">
        <f t="shared" ca="1" si="37"/>
        <v>9.4954920341870641E-2</v>
      </c>
      <c r="TF5" s="363">
        <f t="shared" ca="1" si="37"/>
        <v>9.6414087640764909E-2</v>
      </c>
      <c r="TG5" s="363">
        <f t="shared" ca="1" si="37"/>
        <v>9.7146880405018926E-2</v>
      </c>
      <c r="TH5" s="363">
        <f t="shared" ca="1" si="37"/>
        <v>9.7228205537039536E-2</v>
      </c>
      <c r="TI5" s="363">
        <f t="shared" ca="1" si="37"/>
        <v>9.5105086029218605E-2</v>
      </c>
      <c r="TJ5" s="363">
        <f t="shared" ca="1" si="37"/>
        <v>9.5342857146936411E-2</v>
      </c>
      <c r="TK5" s="363">
        <f t="shared" ca="1" si="37"/>
        <v>9.4205860913808462E-2</v>
      </c>
      <c r="TL5" s="363">
        <f t="shared" ca="1" si="37"/>
        <v>9.5440654751238946E-2</v>
      </c>
      <c r="TM5" s="363">
        <f t="shared" ca="1" si="37"/>
        <v>9.7005070687153305E-2</v>
      </c>
      <c r="TN5" s="363">
        <f t="shared" ca="1" si="37"/>
        <v>9.6945007676677242E-2</v>
      </c>
      <c r="TO5" s="363">
        <f t="shared" ca="1" si="37"/>
        <v>9.6072418100544246E-2</v>
      </c>
      <c r="TP5" s="363">
        <f t="shared" ca="1" si="37"/>
        <v>9.8095267938823838E-2</v>
      </c>
      <c r="TQ5" s="363">
        <f t="shared" ca="1" si="37"/>
        <v>9.5211259696142178E-2</v>
      </c>
      <c r="TR5" s="363">
        <f t="shared" ca="1" si="37"/>
        <v>9.8696117075926182E-2</v>
      </c>
      <c r="TS5" s="363">
        <f t="shared" ca="1" si="37"/>
        <v>9.724709892286007E-2</v>
      </c>
      <c r="TT5" s="363">
        <f t="shared" ca="1" si="37"/>
        <v>9.5873140756782632E-2</v>
      </c>
      <c r="TU5" s="363">
        <f t="shared" ca="1" si="37"/>
        <v>9.5896562519476786E-2</v>
      </c>
      <c r="TV5" s="363">
        <f t="shared" ca="1" si="37"/>
        <v>9.571110351378094E-2</v>
      </c>
      <c r="TW5" s="363">
        <f t="shared" ca="1" si="37"/>
        <v>9.9188487303119022E-2</v>
      </c>
      <c r="TX5" s="363">
        <f t="shared" ca="1" si="37"/>
        <v>9.7600829676955603E-2</v>
      </c>
      <c r="TY5" s="363">
        <f t="shared" ca="1" si="37"/>
        <v>9.7794697667130115E-2</v>
      </c>
      <c r="TZ5" s="363">
        <f t="shared" ca="1" si="37"/>
        <v>9.6436406086681886E-2</v>
      </c>
      <c r="UA5" s="363">
        <f t="shared" ca="1" si="37"/>
        <v>9.5457491811332479E-2</v>
      </c>
      <c r="UB5" s="363">
        <f t="shared" ca="1" si="37"/>
        <v>9.4692338025449491E-2</v>
      </c>
      <c r="UC5" s="363">
        <f t="shared" ca="1" si="37"/>
        <v>9.7252659961248988E-2</v>
      </c>
      <c r="UD5" s="363">
        <f t="shared" ca="1" si="37"/>
        <v>9.7944182344050557E-2</v>
      </c>
      <c r="UE5" s="363">
        <f t="shared" ca="1" si="37"/>
        <v>9.9257547172682759E-2</v>
      </c>
      <c r="UF5" s="363">
        <f t="shared" ca="1" si="37"/>
        <v>9.9557197753501692E-2</v>
      </c>
      <c r="UG5" s="363">
        <f t="shared" ca="1" si="37"/>
        <v>9.5466647673039515E-2</v>
      </c>
      <c r="UH5" s="363">
        <f t="shared" ca="1" si="37"/>
        <v>9.6976859317118122E-2</v>
      </c>
      <c r="UI5" s="363">
        <f t="shared" ca="1" si="37"/>
        <v>9.9348287515757527E-2</v>
      </c>
      <c r="UJ5" s="363">
        <f t="shared" ca="1" si="37"/>
        <v>9.5974546621492601E-2</v>
      </c>
      <c r="UK5" s="363">
        <f t="shared" ca="1" si="37"/>
        <v>9.6458804740816237E-2</v>
      </c>
      <c r="UL5" s="363">
        <f t="shared" ca="1" si="37"/>
        <v>9.7705614076542102E-2</v>
      </c>
      <c r="UM5" s="363">
        <f t="shared" ca="1" si="37"/>
        <v>9.6216335760179433E-2</v>
      </c>
      <c r="UN5" s="363">
        <f t="shared" ca="1" si="37"/>
        <v>9.7311209626471107E-2</v>
      </c>
      <c r="UO5" s="363">
        <f t="shared" ca="1" si="37"/>
        <v>9.9260018701142538E-2</v>
      </c>
      <c r="UP5" s="363">
        <f t="shared" ca="1" si="37"/>
        <v>9.7538708262405738E-2</v>
      </c>
      <c r="UQ5" s="363">
        <f t="shared" ca="1" si="37"/>
        <v>9.6868853672254326E-2</v>
      </c>
      <c r="UR5" s="363">
        <f t="shared" ca="1" si="37"/>
        <v>9.8628436712066336E-2</v>
      </c>
      <c r="US5" s="363">
        <f t="shared" ca="1" si="37"/>
        <v>9.8977554491565645E-2</v>
      </c>
      <c r="UT5" s="363">
        <f t="shared" ca="1" si="37"/>
        <v>9.7235291918576203E-2</v>
      </c>
      <c r="UU5" s="363">
        <f t="shared" ca="1" si="37"/>
        <v>9.8630176540809744E-2</v>
      </c>
      <c r="UV5" s="363">
        <f t="shared" ca="1" si="37"/>
        <v>9.9457866280123985E-2</v>
      </c>
      <c r="UW5" s="363">
        <f t="shared" ca="1" si="37"/>
        <v>9.6061978446567428E-2</v>
      </c>
      <c r="UX5" s="363">
        <f t="shared" ca="1" si="37"/>
        <v>9.8616281373229198E-2</v>
      </c>
      <c r="UY5" s="363">
        <f t="shared" ca="1" si="37"/>
        <v>9.670072622761032E-2</v>
      </c>
      <c r="UZ5" s="363">
        <f t="shared" ca="1" si="37"/>
        <v>9.587093474393231E-2</v>
      </c>
      <c r="VA5" s="363">
        <f t="shared" ca="1" si="37"/>
        <v>9.6294794447683033E-2</v>
      </c>
      <c r="VB5" s="363">
        <f t="shared" ca="1" si="37"/>
        <v>9.8664003064551808E-2</v>
      </c>
      <c r="VC5" s="363">
        <f t="shared" ca="1" si="37"/>
        <v>9.6572997801296787E-2</v>
      </c>
      <c r="VD5" s="363">
        <f t="shared" ca="1" si="37"/>
        <v>9.5481525593060154E-2</v>
      </c>
      <c r="VE5" s="363">
        <f t="shared" ca="1" si="37"/>
        <v>9.8374225851372787E-2</v>
      </c>
      <c r="VF5" s="363">
        <f t="shared" ref="VF5:WN5" ca="1" si="38">_xlfn.BETA.INV(RAND(),$I$5,$J$5)</f>
        <v>9.6207119030727428E-2</v>
      </c>
      <c r="VG5" s="363">
        <f t="shared" ca="1" si="38"/>
        <v>9.5626089685878712E-2</v>
      </c>
      <c r="VH5" s="363">
        <f t="shared" ca="1" si="38"/>
        <v>9.8658678696804558E-2</v>
      </c>
      <c r="VI5" s="363">
        <f t="shared" ca="1" si="38"/>
        <v>9.8856602918028891E-2</v>
      </c>
      <c r="VJ5" s="363">
        <f t="shared" ca="1" si="38"/>
        <v>9.6992322331973094E-2</v>
      </c>
      <c r="VK5" s="363">
        <f t="shared" ca="1" si="38"/>
        <v>9.909263777684052E-2</v>
      </c>
      <c r="VL5" s="363">
        <f t="shared" ca="1" si="38"/>
        <v>9.7131896931244271E-2</v>
      </c>
      <c r="VM5" s="363">
        <f t="shared" ca="1" si="38"/>
        <v>9.6700903218884596E-2</v>
      </c>
      <c r="VN5" s="363">
        <f t="shared" ca="1" si="38"/>
        <v>9.7985527656899163E-2</v>
      </c>
      <c r="VO5" s="363">
        <f t="shared" ca="1" si="38"/>
        <v>0.10011154698606495</v>
      </c>
      <c r="VP5" s="363">
        <f t="shared" ca="1" si="38"/>
        <v>9.6809105887157007E-2</v>
      </c>
      <c r="VQ5" s="363">
        <f t="shared" ca="1" si="38"/>
        <v>9.8912825028560358E-2</v>
      </c>
      <c r="VR5" s="363">
        <f t="shared" ca="1" si="38"/>
        <v>9.7037771798598391E-2</v>
      </c>
      <c r="VS5" s="363">
        <f t="shared" ca="1" si="38"/>
        <v>9.8715139428445009E-2</v>
      </c>
      <c r="VT5" s="363">
        <f t="shared" ca="1" si="38"/>
        <v>9.8816165924866195E-2</v>
      </c>
      <c r="VU5" s="363">
        <f t="shared" ca="1" si="38"/>
        <v>9.5435676395400904E-2</v>
      </c>
      <c r="VV5" s="363">
        <f t="shared" ca="1" si="38"/>
        <v>9.5737657173432633E-2</v>
      </c>
      <c r="VW5" s="363">
        <f t="shared" ca="1" si="38"/>
        <v>9.7266842770454387E-2</v>
      </c>
      <c r="VX5" s="363">
        <f t="shared" ca="1" si="38"/>
        <v>9.686662125085356E-2</v>
      </c>
      <c r="VY5" s="363">
        <f t="shared" ca="1" si="38"/>
        <v>9.7950896720939262E-2</v>
      </c>
      <c r="VZ5" s="363">
        <f t="shared" ca="1" si="38"/>
        <v>9.6538553323153281E-2</v>
      </c>
      <c r="WA5" s="363">
        <f t="shared" ca="1" si="38"/>
        <v>9.8516718645578982E-2</v>
      </c>
      <c r="WB5" s="363">
        <f t="shared" ca="1" si="38"/>
        <v>0.10086146545246166</v>
      </c>
      <c r="WC5" s="363">
        <f t="shared" ca="1" si="38"/>
        <v>9.7083574352458513E-2</v>
      </c>
      <c r="WD5" s="363">
        <f t="shared" ca="1" si="38"/>
        <v>9.7853739841763487E-2</v>
      </c>
      <c r="WE5" s="363">
        <f t="shared" ca="1" si="38"/>
        <v>0.10025231934322598</v>
      </c>
      <c r="WF5" s="363">
        <f t="shared" ca="1" si="38"/>
        <v>9.5555056334623564E-2</v>
      </c>
      <c r="WG5" s="363">
        <f t="shared" ca="1" si="38"/>
        <v>9.756729048955548E-2</v>
      </c>
      <c r="WH5" s="363">
        <f t="shared" ca="1" si="38"/>
        <v>9.6599825011498788E-2</v>
      </c>
      <c r="WI5" s="363">
        <f t="shared" ca="1" si="38"/>
        <v>9.8474783907310348E-2</v>
      </c>
      <c r="WJ5" s="363">
        <f t="shared" ca="1" si="38"/>
        <v>9.5634500506819556E-2</v>
      </c>
      <c r="WK5" s="363">
        <f t="shared" ca="1" si="38"/>
        <v>9.609300779297103E-2</v>
      </c>
      <c r="WL5" s="363">
        <f t="shared" ca="1" si="38"/>
        <v>9.8610675133370629E-2</v>
      </c>
      <c r="WM5" s="363">
        <f t="shared" ca="1" si="38"/>
        <v>9.6156003792813111E-2</v>
      </c>
      <c r="WN5" s="363">
        <f t="shared" ca="1" si="38"/>
        <v>9.9339908318073711E-2</v>
      </c>
    </row>
    <row r="6" spans="2:612" x14ac:dyDescent="0.15">
      <c r="B6" s="466" t="s">
        <v>873</v>
      </c>
      <c r="D6" s="363">
        <f t="shared" si="0"/>
        <v>6.5500000000000003E-2</v>
      </c>
      <c r="F6" s="363">
        <v>6.5500000000000003E-2</v>
      </c>
      <c r="G6" s="367">
        <v>1648</v>
      </c>
      <c r="H6" s="363">
        <v>6.0958802523251596E-3</v>
      </c>
      <c r="I6" s="438">
        <f>F6*G6</f>
        <v>107.944</v>
      </c>
      <c r="J6" s="438">
        <f>G6-I6</f>
        <v>1540.056</v>
      </c>
      <c r="K6" s="367" t="s">
        <v>1273</v>
      </c>
      <c r="M6" s="363">
        <f ca="1">_xlfn.BETA.INV(RAND(),$I$6,$J$6)</f>
        <v>6.5559145645110561E-2</v>
      </c>
      <c r="N6" s="363">
        <f t="shared" ref="N6:BY6" ca="1" si="39">_xlfn.BETA.INV(RAND(),$I$6,$J$6)</f>
        <v>6.6964685574888549E-2</v>
      </c>
      <c r="O6" s="363">
        <f t="shared" ca="1" si="39"/>
        <v>5.7961927733988651E-2</v>
      </c>
      <c r="P6" s="363">
        <f t="shared" ca="1" si="39"/>
        <v>5.8755098386026466E-2</v>
      </c>
      <c r="Q6" s="363">
        <f t="shared" ca="1" si="39"/>
        <v>6.1824557287747606E-2</v>
      </c>
      <c r="R6" s="363">
        <f t="shared" ca="1" si="39"/>
        <v>7.1240749871257059E-2</v>
      </c>
      <c r="S6" s="363">
        <f t="shared" ca="1" si="39"/>
        <v>7.3461191887266852E-2</v>
      </c>
      <c r="T6" s="363">
        <f t="shared" ca="1" si="39"/>
        <v>5.9102410064656427E-2</v>
      </c>
      <c r="U6" s="363">
        <f t="shared" ca="1" si="39"/>
        <v>6.9396366932660825E-2</v>
      </c>
      <c r="V6" s="363">
        <f t="shared" ca="1" si="39"/>
        <v>6.297182907277428E-2</v>
      </c>
      <c r="W6" s="363">
        <f t="shared" ca="1" si="39"/>
        <v>7.2820546969188604E-2</v>
      </c>
      <c r="X6" s="363">
        <f t="shared" ca="1" si="39"/>
        <v>5.9629704292576829E-2</v>
      </c>
      <c r="Y6" s="363">
        <f t="shared" ca="1" si="39"/>
        <v>5.3404287662962888E-2</v>
      </c>
      <c r="Z6" s="363">
        <f t="shared" ca="1" si="39"/>
        <v>7.8333999283478062E-2</v>
      </c>
      <c r="AA6" s="363">
        <f t="shared" ca="1" si="39"/>
        <v>6.1853443828047916E-2</v>
      </c>
      <c r="AB6" s="363">
        <f t="shared" ca="1" si="39"/>
        <v>6.6680697826647983E-2</v>
      </c>
      <c r="AC6" s="363">
        <f t="shared" ca="1" si="39"/>
        <v>6.536642573264384E-2</v>
      </c>
      <c r="AD6" s="363">
        <f t="shared" ca="1" si="39"/>
        <v>6.1462754825852693E-2</v>
      </c>
      <c r="AE6" s="363">
        <f t="shared" ca="1" si="39"/>
        <v>5.9337027027950316E-2</v>
      </c>
      <c r="AF6" s="363">
        <f t="shared" ca="1" si="39"/>
        <v>6.0811159125001013E-2</v>
      </c>
      <c r="AG6" s="363">
        <f t="shared" ca="1" si="39"/>
        <v>6.8739708812704192E-2</v>
      </c>
      <c r="AH6" s="363">
        <f t="shared" ca="1" si="39"/>
        <v>6.9913075490945054E-2</v>
      </c>
      <c r="AI6" s="363">
        <f t="shared" ca="1" si="39"/>
        <v>5.9130174054181424E-2</v>
      </c>
      <c r="AJ6" s="363">
        <f t="shared" ca="1" si="39"/>
        <v>6.1209764009791848E-2</v>
      </c>
      <c r="AK6" s="363">
        <f t="shared" ca="1" si="39"/>
        <v>6.5949764043756187E-2</v>
      </c>
      <c r="AL6" s="363">
        <f t="shared" ca="1" si="39"/>
        <v>8.1070321020207725E-2</v>
      </c>
      <c r="AM6" s="363">
        <f t="shared" ca="1" si="39"/>
        <v>6.2214069336155427E-2</v>
      </c>
      <c r="AN6" s="363">
        <f t="shared" ca="1" si="39"/>
        <v>6.2355912717385747E-2</v>
      </c>
      <c r="AO6" s="363">
        <f t="shared" ca="1" si="39"/>
        <v>6.9422819893813603E-2</v>
      </c>
      <c r="AP6" s="363">
        <f t="shared" ca="1" si="39"/>
        <v>6.8528525736029189E-2</v>
      </c>
      <c r="AQ6" s="363">
        <f t="shared" ca="1" si="39"/>
        <v>6.2152337545121984E-2</v>
      </c>
      <c r="AR6" s="363">
        <f t="shared" ca="1" si="39"/>
        <v>6.1355684695938953E-2</v>
      </c>
      <c r="AS6" s="363">
        <f t="shared" ca="1" si="39"/>
        <v>7.3837685448029378E-2</v>
      </c>
      <c r="AT6" s="363">
        <f t="shared" ca="1" si="39"/>
        <v>6.2176480581411599E-2</v>
      </c>
      <c r="AU6" s="363">
        <f t="shared" ca="1" si="39"/>
        <v>6.6388128978863037E-2</v>
      </c>
      <c r="AV6" s="363">
        <f t="shared" ca="1" si="39"/>
        <v>6.508712698989827E-2</v>
      </c>
      <c r="AW6" s="363">
        <f t="shared" ca="1" si="39"/>
        <v>6.6016008901047751E-2</v>
      </c>
      <c r="AX6" s="363">
        <f t="shared" ca="1" si="39"/>
        <v>5.3956468427562451E-2</v>
      </c>
      <c r="AY6" s="363">
        <f t="shared" ca="1" si="39"/>
        <v>7.1014301804374735E-2</v>
      </c>
      <c r="AZ6" s="363">
        <f t="shared" ca="1" si="39"/>
        <v>5.8175841463836392E-2</v>
      </c>
      <c r="BA6" s="363">
        <f t="shared" ca="1" si="39"/>
        <v>5.5827241552151886E-2</v>
      </c>
      <c r="BB6" s="363">
        <f t="shared" ca="1" si="39"/>
        <v>6.3098979535368624E-2</v>
      </c>
      <c r="BC6" s="363">
        <f t="shared" ca="1" si="39"/>
        <v>6.6070986923729702E-2</v>
      </c>
      <c r="BD6" s="363">
        <f t="shared" ca="1" si="39"/>
        <v>7.7283238837185575E-2</v>
      </c>
      <c r="BE6" s="363">
        <f t="shared" ca="1" si="39"/>
        <v>7.8997081691395077E-2</v>
      </c>
      <c r="BF6" s="363">
        <f t="shared" ca="1" si="39"/>
        <v>6.3030292438103722E-2</v>
      </c>
      <c r="BG6" s="363">
        <f t="shared" ca="1" si="39"/>
        <v>6.5395800105493174E-2</v>
      </c>
      <c r="BH6" s="363">
        <f t="shared" ca="1" si="39"/>
        <v>5.9227192891330799E-2</v>
      </c>
      <c r="BI6" s="363">
        <f t="shared" ca="1" si="39"/>
        <v>6.0190019281484423E-2</v>
      </c>
      <c r="BJ6" s="363">
        <f t="shared" ca="1" si="39"/>
        <v>6.583579113576199E-2</v>
      </c>
      <c r="BK6" s="363">
        <f t="shared" ca="1" si="39"/>
        <v>6.9706178303175936E-2</v>
      </c>
      <c r="BL6" s="363">
        <f t="shared" ca="1" si="39"/>
        <v>6.4980964446436501E-2</v>
      </c>
      <c r="BM6" s="363">
        <f t="shared" ca="1" si="39"/>
        <v>6.267005962999754E-2</v>
      </c>
      <c r="BN6" s="363">
        <f t="shared" ca="1" si="39"/>
        <v>6.3679844834897248E-2</v>
      </c>
      <c r="BO6" s="363">
        <f t="shared" ca="1" si="39"/>
        <v>7.4858996340724016E-2</v>
      </c>
      <c r="BP6" s="363">
        <f t="shared" ca="1" si="39"/>
        <v>7.1404284032985488E-2</v>
      </c>
      <c r="BQ6" s="363">
        <f t="shared" ca="1" si="39"/>
        <v>7.1346324736956013E-2</v>
      </c>
      <c r="BR6" s="363">
        <f t="shared" ca="1" si="39"/>
        <v>7.006768995524959E-2</v>
      </c>
      <c r="BS6" s="363">
        <f t="shared" ca="1" si="39"/>
        <v>6.8702616704582553E-2</v>
      </c>
      <c r="BT6" s="363">
        <f t="shared" ca="1" si="39"/>
        <v>6.3224536500874715E-2</v>
      </c>
      <c r="BU6" s="363">
        <f t="shared" ca="1" si="39"/>
        <v>6.5623223993470425E-2</v>
      </c>
      <c r="BV6" s="363">
        <f t="shared" ca="1" si="39"/>
        <v>7.8954892346955519E-2</v>
      </c>
      <c r="BW6" s="363">
        <f t="shared" ca="1" si="39"/>
        <v>6.3486120596822765E-2</v>
      </c>
      <c r="BX6" s="363">
        <f t="shared" ca="1" si="39"/>
        <v>5.7337226058703721E-2</v>
      </c>
      <c r="BY6" s="363">
        <f t="shared" ca="1" si="39"/>
        <v>7.5987373528089597E-2</v>
      </c>
      <c r="BZ6" s="363">
        <f t="shared" ref="BZ6:DH6" ca="1" si="40">_xlfn.BETA.INV(RAND(),$I$6,$J$6)</f>
        <v>7.1230656484417842E-2</v>
      </c>
      <c r="CA6" s="363">
        <f t="shared" ca="1" si="40"/>
        <v>6.5538603416836705E-2</v>
      </c>
      <c r="CB6" s="363">
        <f t="shared" ca="1" si="40"/>
        <v>6.5263375345023189E-2</v>
      </c>
      <c r="CC6" s="363">
        <f t="shared" ca="1" si="40"/>
        <v>7.0725974176192752E-2</v>
      </c>
      <c r="CD6" s="363">
        <f t="shared" ca="1" si="40"/>
        <v>6.3140840452689528E-2</v>
      </c>
      <c r="CE6" s="363">
        <f t="shared" ca="1" si="40"/>
        <v>6.4158366026536767E-2</v>
      </c>
      <c r="CF6" s="363">
        <f t="shared" ca="1" si="40"/>
        <v>5.9022294855079982E-2</v>
      </c>
      <c r="CG6" s="363">
        <f t="shared" ca="1" si="40"/>
        <v>6.8315306221989114E-2</v>
      </c>
      <c r="CH6" s="363">
        <f t="shared" ca="1" si="40"/>
        <v>7.0432216381014934E-2</v>
      </c>
      <c r="CI6" s="363">
        <f t="shared" ca="1" si="40"/>
        <v>7.1676150614967349E-2</v>
      </c>
      <c r="CJ6" s="363">
        <f t="shared" ca="1" si="40"/>
        <v>6.6937082069352338E-2</v>
      </c>
      <c r="CK6" s="363">
        <f t="shared" ca="1" si="40"/>
        <v>5.7433795074007116E-2</v>
      </c>
      <c r="CL6" s="363">
        <f t="shared" ca="1" si="40"/>
        <v>6.8670611681742488E-2</v>
      </c>
      <c r="CM6" s="363">
        <f t="shared" ca="1" si="40"/>
        <v>6.1921441215113789E-2</v>
      </c>
      <c r="CN6" s="363">
        <f t="shared" ca="1" si="40"/>
        <v>6.4711447750206805E-2</v>
      </c>
      <c r="CO6" s="363">
        <f t="shared" ca="1" si="40"/>
        <v>5.7816775104472522E-2</v>
      </c>
      <c r="CP6" s="363">
        <f t="shared" ca="1" si="40"/>
        <v>8.0094058815813107E-2</v>
      </c>
      <c r="CQ6" s="363">
        <f t="shared" ca="1" si="40"/>
        <v>6.8482528853634483E-2</v>
      </c>
      <c r="CR6" s="363">
        <f t="shared" ca="1" si="40"/>
        <v>6.0091084091070994E-2</v>
      </c>
      <c r="CS6" s="363">
        <f t="shared" ca="1" si="40"/>
        <v>6.452729375839493E-2</v>
      </c>
      <c r="CT6" s="363">
        <f t="shared" ca="1" si="40"/>
        <v>6.1327036781311212E-2</v>
      </c>
      <c r="CU6" s="363">
        <f t="shared" ca="1" si="40"/>
        <v>6.0328087065588044E-2</v>
      </c>
      <c r="CV6" s="363">
        <f t="shared" ca="1" si="40"/>
        <v>6.6629188248573779E-2</v>
      </c>
      <c r="CW6" s="363">
        <f t="shared" ca="1" si="40"/>
        <v>6.4354796846403051E-2</v>
      </c>
      <c r="CX6" s="363">
        <f t="shared" ca="1" si="40"/>
        <v>5.8565531132447279E-2</v>
      </c>
      <c r="CY6" s="363">
        <f t="shared" ca="1" si="40"/>
        <v>6.8686061686733524E-2</v>
      </c>
      <c r="CZ6" s="363">
        <f t="shared" ca="1" si="40"/>
        <v>6.1308289559361927E-2</v>
      </c>
      <c r="DA6" s="363">
        <f t="shared" ca="1" si="40"/>
        <v>6.5372707408626884E-2</v>
      </c>
      <c r="DB6" s="363">
        <f t="shared" ca="1" si="40"/>
        <v>6.3210474287997476E-2</v>
      </c>
      <c r="DC6" s="363">
        <f t="shared" ca="1" si="40"/>
        <v>6.4318956402509272E-2</v>
      </c>
      <c r="DD6" s="363">
        <f t="shared" ca="1" si="40"/>
        <v>6.8529749995304701E-2</v>
      </c>
      <c r="DE6" s="363">
        <f t="shared" ca="1" si="40"/>
        <v>6.2730347265543565E-2</v>
      </c>
      <c r="DF6" s="363">
        <f t="shared" ca="1" si="40"/>
        <v>6.1692807240873289E-2</v>
      </c>
      <c r="DG6" s="363">
        <f t="shared" ca="1" si="40"/>
        <v>6.7223170019115264E-2</v>
      </c>
      <c r="DH6" s="363">
        <f t="shared" ca="1" si="40"/>
        <v>6.8089117738250771E-2</v>
      </c>
      <c r="DI6" s="363">
        <f ca="1">_xlfn.BETA.INV(RAND(),$I$6,$J$6)</f>
        <v>8.5584221173636621E-2</v>
      </c>
      <c r="DJ6" s="363">
        <f t="shared" ref="DJ6:FU6" ca="1" si="41">_xlfn.BETA.INV(RAND(),$I$6,$J$6)</f>
        <v>6.1850324688747578E-2</v>
      </c>
      <c r="DK6" s="363">
        <f t="shared" ca="1" si="41"/>
        <v>8.0565123958416529E-2</v>
      </c>
      <c r="DL6" s="363">
        <f t="shared" ca="1" si="41"/>
        <v>6.838643079405593E-2</v>
      </c>
      <c r="DM6" s="363">
        <f t="shared" ca="1" si="41"/>
        <v>5.9458820607014629E-2</v>
      </c>
      <c r="DN6" s="363">
        <f t="shared" ca="1" si="41"/>
        <v>6.0624354616408013E-2</v>
      </c>
      <c r="DO6" s="363">
        <f t="shared" ca="1" si="41"/>
        <v>6.5109514119988901E-2</v>
      </c>
      <c r="DP6" s="363">
        <f t="shared" ca="1" si="41"/>
        <v>6.2683406329985272E-2</v>
      </c>
      <c r="DQ6" s="363">
        <f t="shared" ca="1" si="41"/>
        <v>6.0404257107094503E-2</v>
      </c>
      <c r="DR6" s="363">
        <f t="shared" ca="1" si="41"/>
        <v>6.0830379919375288E-2</v>
      </c>
      <c r="DS6" s="363">
        <f t="shared" ca="1" si="41"/>
        <v>7.24893123543775E-2</v>
      </c>
      <c r="DT6" s="363">
        <f t="shared" ca="1" si="41"/>
        <v>6.8223262063682677E-2</v>
      </c>
      <c r="DU6" s="363">
        <f t="shared" ca="1" si="41"/>
        <v>6.871777615893393E-2</v>
      </c>
      <c r="DV6" s="363">
        <f t="shared" ca="1" si="41"/>
        <v>5.9031623890357279E-2</v>
      </c>
      <c r="DW6" s="363">
        <f t="shared" ca="1" si="41"/>
        <v>6.7189264077491817E-2</v>
      </c>
      <c r="DX6" s="363">
        <f t="shared" ca="1" si="41"/>
        <v>6.293609596805326E-2</v>
      </c>
      <c r="DY6" s="363">
        <f t="shared" ca="1" si="41"/>
        <v>5.866174359639794E-2</v>
      </c>
      <c r="DZ6" s="363">
        <f t="shared" ca="1" si="41"/>
        <v>7.7070931505578089E-2</v>
      </c>
      <c r="EA6" s="363">
        <f t="shared" ca="1" si="41"/>
        <v>6.7309432579132245E-2</v>
      </c>
      <c r="EB6" s="363">
        <f t="shared" ca="1" si="41"/>
        <v>6.5923400299816026E-2</v>
      </c>
      <c r="EC6" s="363">
        <f t="shared" ca="1" si="41"/>
        <v>6.5718160507564738E-2</v>
      </c>
      <c r="ED6" s="363">
        <f t="shared" ca="1" si="41"/>
        <v>7.4181678631419445E-2</v>
      </c>
      <c r="EE6" s="363">
        <f t="shared" ca="1" si="41"/>
        <v>7.2333711508981935E-2</v>
      </c>
      <c r="EF6" s="363">
        <f t="shared" ca="1" si="41"/>
        <v>5.7125374283863092E-2</v>
      </c>
      <c r="EG6" s="363">
        <f t="shared" ca="1" si="41"/>
        <v>6.937350479685267E-2</v>
      </c>
      <c r="EH6" s="363">
        <f t="shared" ca="1" si="41"/>
        <v>6.7328811919760922E-2</v>
      </c>
      <c r="EI6" s="363">
        <f t="shared" ca="1" si="41"/>
        <v>6.182073331792954E-2</v>
      </c>
      <c r="EJ6" s="363">
        <f t="shared" ca="1" si="41"/>
        <v>5.6888840755849594E-2</v>
      </c>
      <c r="EK6" s="363">
        <f t="shared" ca="1" si="41"/>
        <v>7.1265958177032962E-2</v>
      </c>
      <c r="EL6" s="363">
        <f t="shared" ca="1" si="41"/>
        <v>7.0025840290191876E-2</v>
      </c>
      <c r="EM6" s="363">
        <f t="shared" ca="1" si="41"/>
        <v>6.5802877565156903E-2</v>
      </c>
      <c r="EN6" s="363">
        <f t="shared" ca="1" si="41"/>
        <v>6.0033353558443789E-2</v>
      </c>
      <c r="EO6" s="363">
        <f t="shared" ca="1" si="41"/>
        <v>7.7663507242452856E-2</v>
      </c>
      <c r="EP6" s="363">
        <f t="shared" ca="1" si="41"/>
        <v>6.7172682489965885E-2</v>
      </c>
      <c r="EQ6" s="363">
        <f t="shared" ca="1" si="41"/>
        <v>6.2393412615374143E-2</v>
      </c>
      <c r="ER6" s="363">
        <f t="shared" ca="1" si="41"/>
        <v>6.5052846731359526E-2</v>
      </c>
      <c r="ES6" s="363">
        <f t="shared" ca="1" si="41"/>
        <v>7.2504053988549755E-2</v>
      </c>
      <c r="ET6" s="363">
        <f t="shared" ca="1" si="41"/>
        <v>6.5618320579261979E-2</v>
      </c>
      <c r="EU6" s="363">
        <f t="shared" ca="1" si="41"/>
        <v>8.7141581970274773E-2</v>
      </c>
      <c r="EV6" s="363">
        <f t="shared" ca="1" si="41"/>
        <v>6.1492424446679038E-2</v>
      </c>
      <c r="EW6" s="363">
        <f t="shared" ca="1" si="41"/>
        <v>6.2410187552521521E-2</v>
      </c>
      <c r="EX6" s="363">
        <f t="shared" ca="1" si="41"/>
        <v>6.6527187749428784E-2</v>
      </c>
      <c r="EY6" s="363">
        <f t="shared" ca="1" si="41"/>
        <v>5.7794624264071559E-2</v>
      </c>
      <c r="EZ6" s="363">
        <f t="shared" ca="1" si="41"/>
        <v>6.3293432077503778E-2</v>
      </c>
      <c r="FA6" s="363">
        <f t="shared" ca="1" si="41"/>
        <v>6.3303494739322785E-2</v>
      </c>
      <c r="FB6" s="363">
        <f t="shared" ca="1" si="41"/>
        <v>4.9617535241219486E-2</v>
      </c>
      <c r="FC6" s="363">
        <f t="shared" ca="1" si="41"/>
        <v>5.9758225971356757E-2</v>
      </c>
      <c r="FD6" s="363">
        <f t="shared" ca="1" si="41"/>
        <v>7.1823612248743007E-2</v>
      </c>
      <c r="FE6" s="363">
        <f t="shared" ca="1" si="41"/>
        <v>5.6700774359572707E-2</v>
      </c>
      <c r="FF6" s="363">
        <f t="shared" ca="1" si="41"/>
        <v>6.5784094924962511E-2</v>
      </c>
      <c r="FG6" s="363">
        <f t="shared" ca="1" si="41"/>
        <v>6.772982866394317E-2</v>
      </c>
      <c r="FH6" s="363">
        <f t="shared" ca="1" si="41"/>
        <v>6.5618869737393504E-2</v>
      </c>
      <c r="FI6" s="363">
        <f t="shared" ca="1" si="41"/>
        <v>5.5046450182067726E-2</v>
      </c>
      <c r="FJ6" s="363">
        <f t="shared" ca="1" si="41"/>
        <v>5.7921522131939837E-2</v>
      </c>
      <c r="FK6" s="363">
        <f t="shared" ca="1" si="41"/>
        <v>6.5527704696057065E-2</v>
      </c>
      <c r="FL6" s="363">
        <f t="shared" ca="1" si="41"/>
        <v>8.153777155208608E-2</v>
      </c>
      <c r="FM6" s="363">
        <f t="shared" ca="1" si="41"/>
        <v>5.7312299649621791E-2</v>
      </c>
      <c r="FN6" s="363">
        <f t="shared" ca="1" si="41"/>
        <v>6.2433050300455983E-2</v>
      </c>
      <c r="FO6" s="363">
        <f t="shared" ca="1" si="41"/>
        <v>6.4005013267849631E-2</v>
      </c>
      <c r="FP6" s="363">
        <f t="shared" ca="1" si="41"/>
        <v>6.4004327075081663E-2</v>
      </c>
      <c r="FQ6" s="363">
        <f t="shared" ca="1" si="41"/>
        <v>6.247304998185E-2</v>
      </c>
      <c r="FR6" s="363">
        <f t="shared" ca="1" si="41"/>
        <v>6.519722992686422E-2</v>
      </c>
      <c r="FS6" s="363">
        <f t="shared" ca="1" si="41"/>
        <v>6.5897687060196386E-2</v>
      </c>
      <c r="FT6" s="363">
        <f t="shared" ca="1" si="41"/>
        <v>7.8123222346144328E-2</v>
      </c>
      <c r="FU6" s="363">
        <f t="shared" ca="1" si="41"/>
        <v>6.0903333633841872E-2</v>
      </c>
      <c r="FV6" s="363">
        <f t="shared" ref="FV6:HD6" ca="1" si="42">_xlfn.BETA.INV(RAND(),$I$6,$J$6)</f>
        <v>6.6615562303335762E-2</v>
      </c>
      <c r="FW6" s="363">
        <f t="shared" ca="1" si="42"/>
        <v>5.1221728462330383E-2</v>
      </c>
      <c r="FX6" s="363">
        <f t="shared" ca="1" si="42"/>
        <v>7.8158849294912458E-2</v>
      </c>
      <c r="FY6" s="363">
        <f t="shared" ca="1" si="42"/>
        <v>6.1230100011667829E-2</v>
      </c>
      <c r="FZ6" s="363">
        <f t="shared" ca="1" si="42"/>
        <v>6.3612148096677659E-2</v>
      </c>
      <c r="GA6" s="363">
        <f t="shared" ca="1" si="42"/>
        <v>6.1194264814701145E-2</v>
      </c>
      <c r="GB6" s="363">
        <f t="shared" ca="1" si="42"/>
        <v>6.5924483794327138E-2</v>
      </c>
      <c r="GC6" s="363">
        <f t="shared" ca="1" si="42"/>
        <v>6.4409883120721614E-2</v>
      </c>
      <c r="GD6" s="363">
        <f t="shared" ca="1" si="42"/>
        <v>6.5155676054954953E-2</v>
      </c>
      <c r="GE6" s="363">
        <f t="shared" ca="1" si="42"/>
        <v>6.7695527841436953E-2</v>
      </c>
      <c r="GF6" s="363">
        <f t="shared" ca="1" si="42"/>
        <v>6.0341655113163174E-2</v>
      </c>
      <c r="GG6" s="363">
        <f t="shared" ca="1" si="42"/>
        <v>6.2544963762146008E-2</v>
      </c>
      <c r="GH6" s="363">
        <f t="shared" ca="1" si="42"/>
        <v>7.5324707212268804E-2</v>
      </c>
      <c r="GI6" s="363">
        <f t="shared" ca="1" si="42"/>
        <v>7.1217768761638989E-2</v>
      </c>
      <c r="GJ6" s="363">
        <f t="shared" ca="1" si="42"/>
        <v>6.6790483209224649E-2</v>
      </c>
      <c r="GK6" s="363">
        <f t="shared" ca="1" si="42"/>
        <v>6.0105477037336617E-2</v>
      </c>
      <c r="GL6" s="363">
        <f t="shared" ca="1" si="42"/>
        <v>6.1005863567804831E-2</v>
      </c>
      <c r="GM6" s="363">
        <f t="shared" ca="1" si="42"/>
        <v>6.3635285983658779E-2</v>
      </c>
      <c r="GN6" s="363">
        <f t="shared" ca="1" si="42"/>
        <v>6.2020433905236573E-2</v>
      </c>
      <c r="GO6" s="363">
        <f t="shared" ca="1" si="42"/>
        <v>6.5794714573266577E-2</v>
      </c>
      <c r="GP6" s="363">
        <f t="shared" ca="1" si="42"/>
        <v>7.1335049773968207E-2</v>
      </c>
      <c r="GQ6" s="363">
        <f t="shared" ca="1" si="42"/>
        <v>5.6151462439901018E-2</v>
      </c>
      <c r="GR6" s="363">
        <f t="shared" ca="1" si="42"/>
        <v>6.0994836736686153E-2</v>
      </c>
      <c r="GS6" s="363">
        <f t="shared" ca="1" si="42"/>
        <v>6.5118473374079847E-2</v>
      </c>
      <c r="GT6" s="363">
        <f t="shared" ca="1" si="42"/>
        <v>5.9970225388414462E-2</v>
      </c>
      <c r="GU6" s="363">
        <f t="shared" ca="1" si="42"/>
        <v>7.0346583769848814E-2</v>
      </c>
      <c r="GV6" s="363">
        <f t="shared" ca="1" si="42"/>
        <v>7.1474985832133298E-2</v>
      </c>
      <c r="GW6" s="363">
        <f t="shared" ca="1" si="42"/>
        <v>6.5457002945797371E-2</v>
      </c>
      <c r="GX6" s="363">
        <f t="shared" ca="1" si="42"/>
        <v>5.930227820272202E-2</v>
      </c>
      <c r="GY6" s="363">
        <f t="shared" ca="1" si="42"/>
        <v>6.0995896592087699E-2</v>
      </c>
      <c r="GZ6" s="363">
        <f t="shared" ca="1" si="42"/>
        <v>5.7574453275113978E-2</v>
      </c>
      <c r="HA6" s="363">
        <f t="shared" ca="1" si="42"/>
        <v>6.0896472143849009E-2</v>
      </c>
      <c r="HB6" s="363">
        <f t="shared" ca="1" si="42"/>
        <v>6.788800473911516E-2</v>
      </c>
      <c r="HC6" s="363">
        <f t="shared" ca="1" si="42"/>
        <v>6.3586734917510837E-2</v>
      </c>
      <c r="HD6" s="363">
        <f t="shared" ca="1" si="42"/>
        <v>5.9525059379743006E-2</v>
      </c>
      <c r="HE6" s="363">
        <f ca="1">_xlfn.BETA.INV(RAND(),$I$6,$J$6)</f>
        <v>6.2143880124807246E-2</v>
      </c>
      <c r="HF6" s="363">
        <f t="shared" ref="HF6:JQ6" ca="1" si="43">_xlfn.BETA.INV(RAND(),$I$6,$J$6)</f>
        <v>6.4361226747344652E-2</v>
      </c>
      <c r="HG6" s="363">
        <f t="shared" ca="1" si="43"/>
        <v>6.6877601548874677E-2</v>
      </c>
      <c r="HH6" s="363">
        <f t="shared" ca="1" si="43"/>
        <v>5.9292376678070892E-2</v>
      </c>
      <c r="HI6" s="363">
        <f t="shared" ca="1" si="43"/>
        <v>6.6918271791270634E-2</v>
      </c>
      <c r="HJ6" s="363">
        <f t="shared" ca="1" si="43"/>
        <v>5.5271754562035896E-2</v>
      </c>
      <c r="HK6" s="363">
        <f t="shared" ca="1" si="43"/>
        <v>5.4007456106409814E-2</v>
      </c>
      <c r="HL6" s="363">
        <f t="shared" ca="1" si="43"/>
        <v>6.6974889250293379E-2</v>
      </c>
      <c r="HM6" s="363">
        <f t="shared" ca="1" si="43"/>
        <v>6.8989434842096409E-2</v>
      </c>
      <c r="HN6" s="363">
        <f t="shared" ca="1" si="43"/>
        <v>6.9417263390778139E-2</v>
      </c>
      <c r="HO6" s="363">
        <f t="shared" ca="1" si="43"/>
        <v>7.5338366166826543E-2</v>
      </c>
      <c r="HP6" s="363">
        <f t="shared" ca="1" si="43"/>
        <v>5.7403681118300687E-2</v>
      </c>
      <c r="HQ6" s="363">
        <f t="shared" ca="1" si="43"/>
        <v>7.2315875160200993E-2</v>
      </c>
      <c r="HR6" s="363">
        <f t="shared" ca="1" si="43"/>
        <v>6.7447288406434325E-2</v>
      </c>
      <c r="HS6" s="363">
        <f t="shared" ca="1" si="43"/>
        <v>6.3901980363270827E-2</v>
      </c>
      <c r="HT6" s="363">
        <f t="shared" ca="1" si="43"/>
        <v>6.0149555452437886E-2</v>
      </c>
      <c r="HU6" s="363">
        <f t="shared" ca="1" si="43"/>
        <v>5.7779982264384251E-2</v>
      </c>
      <c r="HV6" s="363">
        <f t="shared" ca="1" si="43"/>
        <v>7.5475090576845871E-2</v>
      </c>
      <c r="HW6" s="363">
        <f t="shared" ca="1" si="43"/>
        <v>6.4058426974478541E-2</v>
      </c>
      <c r="HX6" s="363">
        <f t="shared" ca="1" si="43"/>
        <v>6.6064647181403369E-2</v>
      </c>
      <c r="HY6" s="363">
        <f t="shared" ca="1" si="43"/>
        <v>5.9738010491408068E-2</v>
      </c>
      <c r="HZ6" s="363">
        <f t="shared" ca="1" si="43"/>
        <v>5.4302467635875276E-2</v>
      </c>
      <c r="IA6" s="363">
        <f t="shared" ca="1" si="43"/>
        <v>6.7890815178898278E-2</v>
      </c>
      <c r="IB6" s="363">
        <f t="shared" ca="1" si="43"/>
        <v>5.4885033821479516E-2</v>
      </c>
      <c r="IC6" s="363">
        <f t="shared" ca="1" si="43"/>
        <v>6.7745178897140823E-2</v>
      </c>
      <c r="ID6" s="363">
        <f t="shared" ca="1" si="43"/>
        <v>6.8787283238111785E-2</v>
      </c>
      <c r="IE6" s="363">
        <f t="shared" ca="1" si="43"/>
        <v>6.3149514274022905E-2</v>
      </c>
      <c r="IF6" s="363">
        <f t="shared" ca="1" si="43"/>
        <v>6.0237118874985292E-2</v>
      </c>
      <c r="IG6" s="363">
        <f t="shared" ca="1" si="43"/>
        <v>5.8774513849768902E-2</v>
      </c>
      <c r="IH6" s="363">
        <f t="shared" ca="1" si="43"/>
        <v>7.0844426643325686E-2</v>
      </c>
      <c r="II6" s="363">
        <f t="shared" ca="1" si="43"/>
        <v>6.8769465651160377E-2</v>
      </c>
      <c r="IJ6" s="363">
        <f t="shared" ca="1" si="43"/>
        <v>6.5155226402253325E-2</v>
      </c>
      <c r="IK6" s="363">
        <f t="shared" ca="1" si="43"/>
        <v>6.6625631846978561E-2</v>
      </c>
      <c r="IL6" s="363">
        <f t="shared" ca="1" si="43"/>
        <v>5.882828598768923E-2</v>
      </c>
      <c r="IM6" s="363">
        <f t="shared" ca="1" si="43"/>
        <v>7.0114416778429223E-2</v>
      </c>
      <c r="IN6" s="363">
        <f t="shared" ca="1" si="43"/>
        <v>6.7376977179815167E-2</v>
      </c>
      <c r="IO6" s="363">
        <f t="shared" ca="1" si="43"/>
        <v>6.4773491471447023E-2</v>
      </c>
      <c r="IP6" s="363">
        <f t="shared" ca="1" si="43"/>
        <v>7.3626939258611857E-2</v>
      </c>
      <c r="IQ6" s="363">
        <f t="shared" ca="1" si="43"/>
        <v>6.0969462070147709E-2</v>
      </c>
      <c r="IR6" s="363">
        <f t="shared" ca="1" si="43"/>
        <v>6.6927212496767807E-2</v>
      </c>
      <c r="IS6" s="363">
        <f t="shared" ca="1" si="43"/>
        <v>5.8511447075062957E-2</v>
      </c>
      <c r="IT6" s="363">
        <f t="shared" ca="1" si="43"/>
        <v>6.3567155838104059E-2</v>
      </c>
      <c r="IU6" s="363">
        <f t="shared" ca="1" si="43"/>
        <v>6.0780122577517963E-2</v>
      </c>
      <c r="IV6" s="363">
        <f t="shared" ca="1" si="43"/>
        <v>7.166302009420733E-2</v>
      </c>
      <c r="IW6" s="363">
        <f t="shared" ca="1" si="43"/>
        <v>5.7923314788327657E-2</v>
      </c>
      <c r="IX6" s="363">
        <f t="shared" ca="1" si="43"/>
        <v>6.7489109973318029E-2</v>
      </c>
      <c r="IY6" s="363">
        <f t="shared" ca="1" si="43"/>
        <v>5.1713843356877814E-2</v>
      </c>
      <c r="IZ6" s="363">
        <f t="shared" ca="1" si="43"/>
        <v>5.9926694431551505E-2</v>
      </c>
      <c r="JA6" s="363">
        <f t="shared" ca="1" si="43"/>
        <v>6.6823151954937265E-2</v>
      </c>
      <c r="JB6" s="363">
        <f t="shared" ca="1" si="43"/>
        <v>6.3193316884067999E-2</v>
      </c>
      <c r="JC6" s="363">
        <f t="shared" ca="1" si="43"/>
        <v>7.0568555418056955E-2</v>
      </c>
      <c r="JD6" s="363">
        <f t="shared" ca="1" si="43"/>
        <v>6.3638011926908739E-2</v>
      </c>
      <c r="JE6" s="363">
        <f t="shared" ca="1" si="43"/>
        <v>6.6985319084913786E-2</v>
      </c>
      <c r="JF6" s="363">
        <f t="shared" ca="1" si="43"/>
        <v>6.70041323876166E-2</v>
      </c>
      <c r="JG6" s="363">
        <f t="shared" ca="1" si="43"/>
        <v>7.0168078359128416E-2</v>
      </c>
      <c r="JH6" s="363">
        <f t="shared" ca="1" si="43"/>
        <v>6.9084112619905547E-2</v>
      </c>
      <c r="JI6" s="363">
        <f t="shared" ca="1" si="43"/>
        <v>5.5528188852161778E-2</v>
      </c>
      <c r="JJ6" s="363">
        <f t="shared" ca="1" si="43"/>
        <v>7.5142797268184958E-2</v>
      </c>
      <c r="JK6" s="363">
        <f t="shared" ca="1" si="43"/>
        <v>6.384844717901289E-2</v>
      </c>
      <c r="JL6" s="363">
        <f t="shared" ca="1" si="43"/>
        <v>6.1608133949030065E-2</v>
      </c>
      <c r="JM6" s="363">
        <f t="shared" ca="1" si="43"/>
        <v>6.8477171533568248E-2</v>
      </c>
      <c r="JN6" s="363">
        <f t="shared" ca="1" si="43"/>
        <v>6.2831904072621805E-2</v>
      </c>
      <c r="JO6" s="363">
        <f t="shared" ca="1" si="43"/>
        <v>7.1259082318214095E-2</v>
      </c>
      <c r="JP6" s="363">
        <f t="shared" ca="1" si="43"/>
        <v>6.6902182202860816E-2</v>
      </c>
      <c r="JQ6" s="363">
        <f t="shared" ca="1" si="43"/>
        <v>7.3006980474203287E-2</v>
      </c>
      <c r="JR6" s="363">
        <f t="shared" ref="JR6:KZ6" ca="1" si="44">_xlfn.BETA.INV(RAND(),$I$6,$J$6)</f>
        <v>7.2347463149880942E-2</v>
      </c>
      <c r="JS6" s="363">
        <f t="shared" ca="1" si="44"/>
        <v>5.8201975958284337E-2</v>
      </c>
      <c r="JT6" s="363">
        <f t="shared" ca="1" si="44"/>
        <v>7.0326399879092727E-2</v>
      </c>
      <c r="JU6" s="363">
        <f t="shared" ca="1" si="44"/>
        <v>6.8105550549973137E-2</v>
      </c>
      <c r="JV6" s="363">
        <f t="shared" ca="1" si="44"/>
        <v>6.3158138928054067E-2</v>
      </c>
      <c r="JW6" s="363">
        <f t="shared" ca="1" si="44"/>
        <v>6.1117033156401053E-2</v>
      </c>
      <c r="JX6" s="363">
        <f t="shared" ca="1" si="44"/>
        <v>6.7525065668814888E-2</v>
      </c>
      <c r="JY6" s="363">
        <f t="shared" ca="1" si="44"/>
        <v>7.2541474053742006E-2</v>
      </c>
      <c r="JZ6" s="363">
        <f t="shared" ca="1" si="44"/>
        <v>7.8458823474195749E-2</v>
      </c>
      <c r="KA6" s="363">
        <f t="shared" ca="1" si="44"/>
        <v>7.5934015699720581E-2</v>
      </c>
      <c r="KB6" s="363">
        <f t="shared" ca="1" si="44"/>
        <v>6.2110836037105377E-2</v>
      </c>
      <c r="KC6" s="363">
        <f t="shared" ca="1" si="44"/>
        <v>5.8988813253428064E-2</v>
      </c>
      <c r="KD6" s="363">
        <f t="shared" ca="1" si="44"/>
        <v>7.395875822373521E-2</v>
      </c>
      <c r="KE6" s="363">
        <f t="shared" ca="1" si="44"/>
        <v>7.5462180096286469E-2</v>
      </c>
      <c r="KF6" s="363">
        <f t="shared" ca="1" si="44"/>
        <v>6.5136092464063697E-2</v>
      </c>
      <c r="KG6" s="363">
        <f t="shared" ca="1" si="44"/>
        <v>5.1853895984410286E-2</v>
      </c>
      <c r="KH6" s="363">
        <f t="shared" ca="1" si="44"/>
        <v>7.7369972020895239E-2</v>
      </c>
      <c r="KI6" s="363">
        <f t="shared" ca="1" si="44"/>
        <v>5.6342892558825387E-2</v>
      </c>
      <c r="KJ6" s="363">
        <f t="shared" ca="1" si="44"/>
        <v>6.0052344155781687E-2</v>
      </c>
      <c r="KK6" s="363">
        <f t="shared" ca="1" si="44"/>
        <v>7.6936559295822882E-2</v>
      </c>
      <c r="KL6" s="363">
        <f t="shared" ca="1" si="44"/>
        <v>6.5418645425160626E-2</v>
      </c>
      <c r="KM6" s="363">
        <f t="shared" ca="1" si="44"/>
        <v>6.8550040199794604E-2</v>
      </c>
      <c r="KN6" s="363">
        <f t="shared" ca="1" si="44"/>
        <v>6.433123816752051E-2</v>
      </c>
      <c r="KO6" s="363">
        <f t="shared" ca="1" si="44"/>
        <v>6.8653891204758288E-2</v>
      </c>
      <c r="KP6" s="363">
        <f t="shared" ca="1" si="44"/>
        <v>6.9846258346429879E-2</v>
      </c>
      <c r="KQ6" s="363">
        <f t="shared" ca="1" si="44"/>
        <v>6.2849606494338919E-2</v>
      </c>
      <c r="KR6" s="363">
        <f t="shared" ca="1" si="44"/>
        <v>6.3345242013490774E-2</v>
      </c>
      <c r="KS6" s="363">
        <f t="shared" ca="1" si="44"/>
        <v>6.3734762251835497E-2</v>
      </c>
      <c r="KT6" s="363">
        <f t="shared" ca="1" si="44"/>
        <v>6.0473224550751575E-2</v>
      </c>
      <c r="KU6" s="363">
        <f t="shared" ca="1" si="44"/>
        <v>6.3156294811923405E-2</v>
      </c>
      <c r="KV6" s="363">
        <f t="shared" ca="1" si="44"/>
        <v>6.6240873296270264E-2</v>
      </c>
      <c r="KW6" s="363">
        <f t="shared" ca="1" si="44"/>
        <v>6.3911138284872382E-2</v>
      </c>
      <c r="KX6" s="363">
        <f t="shared" ca="1" si="44"/>
        <v>7.2913695937220635E-2</v>
      </c>
      <c r="KY6" s="363">
        <f t="shared" ca="1" si="44"/>
        <v>6.7715086751197973E-2</v>
      </c>
      <c r="KZ6" s="363">
        <f t="shared" ca="1" si="44"/>
        <v>6.4367321351918277E-2</v>
      </c>
      <c r="LA6" s="363">
        <f ca="1">_xlfn.BETA.INV(RAND(),$I$6,$J$6)</f>
        <v>6.6206649678276497E-2</v>
      </c>
      <c r="LB6" s="363">
        <f t="shared" ref="LB6:NM6" ca="1" si="45">_xlfn.BETA.INV(RAND(),$I$6,$J$6)</f>
        <v>6.337208546061783E-2</v>
      </c>
      <c r="LC6" s="363">
        <f t="shared" ca="1" si="45"/>
        <v>6.1986589940728781E-2</v>
      </c>
      <c r="LD6" s="363">
        <f t="shared" ca="1" si="45"/>
        <v>7.6338542276076393E-2</v>
      </c>
      <c r="LE6" s="363">
        <f t="shared" ca="1" si="45"/>
        <v>6.353372303137178E-2</v>
      </c>
      <c r="LF6" s="363">
        <f t="shared" ca="1" si="45"/>
        <v>6.2582107902193471E-2</v>
      </c>
      <c r="LG6" s="363">
        <f t="shared" ca="1" si="45"/>
        <v>6.0593204188885509E-2</v>
      </c>
      <c r="LH6" s="363">
        <f t="shared" ca="1" si="45"/>
        <v>6.6859710768329084E-2</v>
      </c>
      <c r="LI6" s="363">
        <f t="shared" ca="1" si="45"/>
        <v>6.7035304309032484E-2</v>
      </c>
      <c r="LJ6" s="363">
        <f t="shared" ca="1" si="45"/>
        <v>7.5563791992980023E-2</v>
      </c>
      <c r="LK6" s="363">
        <f t="shared" ca="1" si="45"/>
        <v>6.475614262954095E-2</v>
      </c>
      <c r="LL6" s="363">
        <f t="shared" ca="1" si="45"/>
        <v>6.1558234889159631E-2</v>
      </c>
      <c r="LM6" s="363">
        <f t="shared" ca="1" si="45"/>
        <v>7.1619321144971382E-2</v>
      </c>
      <c r="LN6" s="363">
        <f t="shared" ca="1" si="45"/>
        <v>6.99393753936981E-2</v>
      </c>
      <c r="LO6" s="363">
        <f t="shared" ca="1" si="45"/>
        <v>6.6929434424321865E-2</v>
      </c>
      <c r="LP6" s="363">
        <f t="shared" ca="1" si="45"/>
        <v>5.745479248841235E-2</v>
      </c>
      <c r="LQ6" s="363">
        <f t="shared" ca="1" si="45"/>
        <v>6.7843720878737246E-2</v>
      </c>
      <c r="LR6" s="363">
        <f t="shared" ca="1" si="45"/>
        <v>5.0657314700600593E-2</v>
      </c>
      <c r="LS6" s="363">
        <f t="shared" ca="1" si="45"/>
        <v>7.3318590045597709E-2</v>
      </c>
      <c r="LT6" s="363">
        <f t="shared" ca="1" si="45"/>
        <v>5.417890995887735E-2</v>
      </c>
      <c r="LU6" s="363">
        <f t="shared" ca="1" si="45"/>
        <v>6.0910017496066837E-2</v>
      </c>
      <c r="LV6" s="363">
        <f t="shared" ca="1" si="45"/>
        <v>6.4984214431249784E-2</v>
      </c>
      <c r="LW6" s="363">
        <f t="shared" ca="1" si="45"/>
        <v>6.9660531436989581E-2</v>
      </c>
      <c r="LX6" s="363">
        <f t="shared" ca="1" si="45"/>
        <v>7.0328962123194727E-2</v>
      </c>
      <c r="LY6" s="363">
        <f t="shared" ca="1" si="45"/>
        <v>6.0846200881200248E-2</v>
      </c>
      <c r="LZ6" s="363">
        <f t="shared" ca="1" si="45"/>
        <v>6.3090071124172808E-2</v>
      </c>
      <c r="MA6" s="363">
        <f t="shared" ca="1" si="45"/>
        <v>6.5624513913767335E-2</v>
      </c>
      <c r="MB6" s="363">
        <f t="shared" ca="1" si="45"/>
        <v>5.7809416668527749E-2</v>
      </c>
      <c r="MC6" s="363">
        <f t="shared" ca="1" si="45"/>
        <v>7.3360571267607866E-2</v>
      </c>
      <c r="MD6" s="363">
        <f t="shared" ca="1" si="45"/>
        <v>5.7281116752308674E-2</v>
      </c>
      <c r="ME6" s="363">
        <f t="shared" ca="1" si="45"/>
        <v>5.9130483148499752E-2</v>
      </c>
      <c r="MF6" s="363">
        <f t="shared" ca="1" si="45"/>
        <v>6.5362256981055911E-2</v>
      </c>
      <c r="MG6" s="363">
        <f t="shared" ca="1" si="45"/>
        <v>5.7728567548940027E-2</v>
      </c>
      <c r="MH6" s="363">
        <f t="shared" ca="1" si="45"/>
        <v>5.8575395231805383E-2</v>
      </c>
      <c r="MI6" s="363">
        <f t="shared" ca="1" si="45"/>
        <v>7.0825882117160455E-2</v>
      </c>
      <c r="MJ6" s="363">
        <f t="shared" ca="1" si="45"/>
        <v>5.4341764410639377E-2</v>
      </c>
      <c r="MK6" s="363">
        <f t="shared" ca="1" si="45"/>
        <v>6.352067656116088E-2</v>
      </c>
      <c r="ML6" s="363">
        <f t="shared" ca="1" si="45"/>
        <v>7.3674216144532179E-2</v>
      </c>
      <c r="MM6" s="363">
        <f t="shared" ca="1" si="45"/>
        <v>6.2798491451389563E-2</v>
      </c>
      <c r="MN6" s="363">
        <f t="shared" ca="1" si="45"/>
        <v>6.6766874854477298E-2</v>
      </c>
      <c r="MO6" s="363">
        <f t="shared" ca="1" si="45"/>
        <v>7.231450903824177E-2</v>
      </c>
      <c r="MP6" s="363">
        <f t="shared" ca="1" si="45"/>
        <v>6.6640789647275933E-2</v>
      </c>
      <c r="MQ6" s="363">
        <f t="shared" ca="1" si="45"/>
        <v>6.7628771359168227E-2</v>
      </c>
      <c r="MR6" s="363">
        <f t="shared" ca="1" si="45"/>
        <v>6.042864113377594E-2</v>
      </c>
      <c r="MS6" s="363">
        <f t="shared" ca="1" si="45"/>
        <v>7.1078054781143263E-2</v>
      </c>
      <c r="MT6" s="363">
        <f t="shared" ca="1" si="45"/>
        <v>6.6077301918815334E-2</v>
      </c>
      <c r="MU6" s="363">
        <f t="shared" ca="1" si="45"/>
        <v>6.9502494750488752E-2</v>
      </c>
      <c r="MV6" s="363">
        <f t="shared" ca="1" si="45"/>
        <v>6.8362548755724117E-2</v>
      </c>
      <c r="MW6" s="363">
        <f t="shared" ca="1" si="45"/>
        <v>7.1060111668227122E-2</v>
      </c>
      <c r="MX6" s="363">
        <f t="shared" ca="1" si="45"/>
        <v>5.9574754716836278E-2</v>
      </c>
      <c r="MY6" s="363">
        <f t="shared" ca="1" si="45"/>
        <v>6.2111797610920352E-2</v>
      </c>
      <c r="MZ6" s="363">
        <f t="shared" ca="1" si="45"/>
        <v>6.3672824969909891E-2</v>
      </c>
      <c r="NA6" s="363">
        <f t="shared" ca="1" si="45"/>
        <v>7.2022487067896046E-2</v>
      </c>
      <c r="NB6" s="363">
        <f t="shared" ca="1" si="45"/>
        <v>8.2149364137318548E-2</v>
      </c>
      <c r="NC6" s="363">
        <f t="shared" ca="1" si="45"/>
        <v>6.8495912574984663E-2</v>
      </c>
      <c r="ND6" s="363">
        <f t="shared" ca="1" si="45"/>
        <v>6.7210359749605542E-2</v>
      </c>
      <c r="NE6" s="363">
        <f t="shared" ca="1" si="45"/>
        <v>6.267005884715196E-2</v>
      </c>
      <c r="NF6" s="363">
        <f t="shared" ca="1" si="45"/>
        <v>5.9816110181043713E-2</v>
      </c>
      <c r="NG6" s="363">
        <f t="shared" ca="1" si="45"/>
        <v>6.4322561425752808E-2</v>
      </c>
      <c r="NH6" s="363">
        <f t="shared" ca="1" si="45"/>
        <v>6.6093784525531496E-2</v>
      </c>
      <c r="NI6" s="363">
        <f t="shared" ca="1" si="45"/>
        <v>6.4614108778512203E-2</v>
      </c>
      <c r="NJ6" s="363">
        <f t="shared" ca="1" si="45"/>
        <v>7.6274425970003557E-2</v>
      </c>
      <c r="NK6" s="363">
        <f t="shared" ca="1" si="45"/>
        <v>6.8878306886581697E-2</v>
      </c>
      <c r="NL6" s="363">
        <f t="shared" ca="1" si="45"/>
        <v>6.6733265356332394E-2</v>
      </c>
      <c r="NM6" s="363">
        <f t="shared" ca="1" si="45"/>
        <v>5.6326852529450168E-2</v>
      </c>
      <c r="NN6" s="363">
        <f t="shared" ref="NN6:OV6" ca="1" si="46">_xlfn.BETA.INV(RAND(),$I$6,$J$6)</f>
        <v>6.5204193264294233E-2</v>
      </c>
      <c r="NO6" s="363">
        <f t="shared" ca="1" si="46"/>
        <v>7.5247619000038179E-2</v>
      </c>
      <c r="NP6" s="363">
        <f t="shared" ca="1" si="46"/>
        <v>7.206548672849411E-2</v>
      </c>
      <c r="NQ6" s="363">
        <f t="shared" ca="1" si="46"/>
        <v>6.8460067267538838E-2</v>
      </c>
      <c r="NR6" s="363">
        <f t="shared" ca="1" si="46"/>
        <v>7.4685344913679619E-2</v>
      </c>
      <c r="NS6" s="363">
        <f t="shared" ca="1" si="46"/>
        <v>5.7745478092243237E-2</v>
      </c>
      <c r="NT6" s="363">
        <f t="shared" ca="1" si="46"/>
        <v>7.1138098338576428E-2</v>
      </c>
      <c r="NU6" s="363">
        <f t="shared" ca="1" si="46"/>
        <v>5.7489782623997315E-2</v>
      </c>
      <c r="NV6" s="363">
        <f t="shared" ca="1" si="46"/>
        <v>6.7456094566723634E-2</v>
      </c>
      <c r="NW6" s="363">
        <f t="shared" ca="1" si="46"/>
        <v>5.865542667297443E-2</v>
      </c>
      <c r="NX6" s="363">
        <f t="shared" ca="1" si="46"/>
        <v>5.810868054804097E-2</v>
      </c>
      <c r="NY6" s="363">
        <f t="shared" ca="1" si="46"/>
        <v>7.007815091449987E-2</v>
      </c>
      <c r="NZ6" s="363">
        <f t="shared" ca="1" si="46"/>
        <v>5.58895563948359E-2</v>
      </c>
      <c r="OA6" s="363">
        <f t="shared" ca="1" si="46"/>
        <v>6.5261730916296959E-2</v>
      </c>
      <c r="OB6" s="363">
        <f t="shared" ca="1" si="46"/>
        <v>6.4108741061889157E-2</v>
      </c>
      <c r="OC6" s="363">
        <f t="shared" ca="1" si="46"/>
        <v>5.950557292274903E-2</v>
      </c>
      <c r="OD6" s="363">
        <f t="shared" ca="1" si="46"/>
        <v>7.3976262540388249E-2</v>
      </c>
      <c r="OE6" s="363">
        <f t="shared" ca="1" si="46"/>
        <v>6.4481084849662543E-2</v>
      </c>
      <c r="OF6" s="363">
        <f t="shared" ca="1" si="46"/>
        <v>6.7786159818325253E-2</v>
      </c>
      <c r="OG6" s="363">
        <f t="shared" ca="1" si="46"/>
        <v>6.9614806820615605E-2</v>
      </c>
      <c r="OH6" s="363">
        <f t="shared" ca="1" si="46"/>
        <v>5.7419461202295609E-2</v>
      </c>
      <c r="OI6" s="363">
        <f t="shared" ca="1" si="46"/>
        <v>6.0744680278928903E-2</v>
      </c>
      <c r="OJ6" s="363">
        <f t="shared" ca="1" si="46"/>
        <v>7.0823067576872956E-2</v>
      </c>
      <c r="OK6" s="363">
        <f t="shared" ca="1" si="46"/>
        <v>6.9027792704784319E-2</v>
      </c>
      <c r="OL6" s="363">
        <f t="shared" ca="1" si="46"/>
        <v>7.0453845674965043E-2</v>
      </c>
      <c r="OM6" s="363">
        <f t="shared" ca="1" si="46"/>
        <v>7.3513451106543837E-2</v>
      </c>
      <c r="ON6" s="363">
        <f t="shared" ca="1" si="46"/>
        <v>6.2445162266201983E-2</v>
      </c>
      <c r="OO6" s="363">
        <f t="shared" ca="1" si="46"/>
        <v>6.70275823930091E-2</v>
      </c>
      <c r="OP6" s="363">
        <f t="shared" ca="1" si="46"/>
        <v>7.6079561373230131E-2</v>
      </c>
      <c r="OQ6" s="363">
        <f t="shared" ca="1" si="46"/>
        <v>5.2876288347118952E-2</v>
      </c>
      <c r="OR6" s="363">
        <f t="shared" ca="1" si="46"/>
        <v>5.8421303623906948E-2</v>
      </c>
      <c r="OS6" s="363">
        <f t="shared" ca="1" si="46"/>
        <v>6.4376113139932259E-2</v>
      </c>
      <c r="OT6" s="363">
        <f t="shared" ca="1" si="46"/>
        <v>6.284839047912455E-2</v>
      </c>
      <c r="OU6" s="363">
        <f t="shared" ca="1" si="46"/>
        <v>6.1311724628450019E-2</v>
      </c>
      <c r="OV6" s="363">
        <f t="shared" ca="1" si="46"/>
        <v>5.7502462743959482E-2</v>
      </c>
      <c r="OW6" s="363">
        <f ca="1">_xlfn.BETA.INV(RAND(),$I$6,$J$6)</f>
        <v>6.9526742353541393E-2</v>
      </c>
      <c r="OX6" s="363">
        <f t="shared" ref="OX6:RI6" ca="1" si="47">_xlfn.BETA.INV(RAND(),$I$6,$J$6)</f>
        <v>7.1650112119477471E-2</v>
      </c>
      <c r="OY6" s="363">
        <f t="shared" ca="1" si="47"/>
        <v>6.7899958481246858E-2</v>
      </c>
      <c r="OZ6" s="363">
        <f t="shared" ca="1" si="47"/>
        <v>6.5398106774068876E-2</v>
      </c>
      <c r="PA6" s="363">
        <f t="shared" ca="1" si="47"/>
        <v>5.4373759801117999E-2</v>
      </c>
      <c r="PB6" s="363">
        <f t="shared" ca="1" si="47"/>
        <v>6.8761189856519023E-2</v>
      </c>
      <c r="PC6" s="363">
        <f t="shared" ca="1" si="47"/>
        <v>6.5623824397942676E-2</v>
      </c>
      <c r="PD6" s="363">
        <f t="shared" ca="1" si="47"/>
        <v>6.8723997947814808E-2</v>
      </c>
      <c r="PE6" s="363">
        <f t="shared" ca="1" si="47"/>
        <v>7.0147922800644968E-2</v>
      </c>
      <c r="PF6" s="363">
        <f t="shared" ca="1" si="47"/>
        <v>6.3345115852249195E-2</v>
      </c>
      <c r="PG6" s="363">
        <f t="shared" ca="1" si="47"/>
        <v>6.4378630166677275E-2</v>
      </c>
      <c r="PH6" s="363">
        <f t="shared" ca="1" si="47"/>
        <v>6.5870153548246435E-2</v>
      </c>
      <c r="PI6" s="363">
        <f t="shared" ca="1" si="47"/>
        <v>6.650621384421973E-2</v>
      </c>
      <c r="PJ6" s="363">
        <f t="shared" ca="1" si="47"/>
        <v>6.0368799810539692E-2</v>
      </c>
      <c r="PK6" s="363">
        <f t="shared" ca="1" si="47"/>
        <v>6.0012372066815103E-2</v>
      </c>
      <c r="PL6" s="363">
        <f t="shared" ca="1" si="47"/>
        <v>6.4974778160572344E-2</v>
      </c>
      <c r="PM6" s="363">
        <f t="shared" ca="1" si="47"/>
        <v>7.4178495725830795E-2</v>
      </c>
      <c r="PN6" s="363">
        <f t="shared" ca="1" si="47"/>
        <v>6.7117587814682911E-2</v>
      </c>
      <c r="PO6" s="363">
        <f t="shared" ca="1" si="47"/>
        <v>5.5392270253673465E-2</v>
      </c>
      <c r="PP6" s="363">
        <f t="shared" ca="1" si="47"/>
        <v>7.3540084832352748E-2</v>
      </c>
      <c r="PQ6" s="363">
        <f t="shared" ca="1" si="47"/>
        <v>6.6099138785110312E-2</v>
      </c>
      <c r="PR6" s="363">
        <f t="shared" ca="1" si="47"/>
        <v>5.7783082634289419E-2</v>
      </c>
      <c r="PS6" s="363">
        <f t="shared" ca="1" si="47"/>
        <v>6.8882498224853594E-2</v>
      </c>
      <c r="PT6" s="363">
        <f t="shared" ca="1" si="47"/>
        <v>6.4608943396450028E-2</v>
      </c>
      <c r="PU6" s="363">
        <f t="shared" ca="1" si="47"/>
        <v>5.6908454070516735E-2</v>
      </c>
      <c r="PV6" s="363">
        <f t="shared" ca="1" si="47"/>
        <v>5.7518843221806171E-2</v>
      </c>
      <c r="PW6" s="363">
        <f t="shared" ca="1" si="47"/>
        <v>6.4938433635209486E-2</v>
      </c>
      <c r="PX6" s="363">
        <f t="shared" ca="1" si="47"/>
        <v>5.5935480501572557E-2</v>
      </c>
      <c r="PY6" s="363">
        <f t="shared" ca="1" si="47"/>
        <v>7.7759237405049864E-2</v>
      </c>
      <c r="PZ6" s="363">
        <f t="shared" ca="1" si="47"/>
        <v>6.1586989561056363E-2</v>
      </c>
      <c r="QA6" s="363">
        <f t="shared" ca="1" si="47"/>
        <v>6.5744498749050306E-2</v>
      </c>
      <c r="QB6" s="363">
        <f t="shared" ca="1" si="47"/>
        <v>6.0711288610514585E-2</v>
      </c>
      <c r="QC6" s="363">
        <f t="shared" ca="1" si="47"/>
        <v>5.8372708949635289E-2</v>
      </c>
      <c r="QD6" s="363">
        <f t="shared" ca="1" si="47"/>
        <v>6.2192510082940682E-2</v>
      </c>
      <c r="QE6" s="363">
        <f t="shared" ca="1" si="47"/>
        <v>7.3797463135306107E-2</v>
      </c>
      <c r="QF6" s="363">
        <f t="shared" ca="1" si="47"/>
        <v>5.349391951771381E-2</v>
      </c>
      <c r="QG6" s="363">
        <f t="shared" ca="1" si="47"/>
        <v>6.6580778584704681E-2</v>
      </c>
      <c r="QH6" s="363">
        <f t="shared" ca="1" si="47"/>
        <v>6.1545505328642273E-2</v>
      </c>
      <c r="QI6" s="363">
        <f t="shared" ca="1" si="47"/>
        <v>5.7986408090057485E-2</v>
      </c>
      <c r="QJ6" s="363">
        <f t="shared" ca="1" si="47"/>
        <v>6.5003424393291376E-2</v>
      </c>
      <c r="QK6" s="363">
        <f t="shared" ca="1" si="47"/>
        <v>6.6645075319637592E-2</v>
      </c>
      <c r="QL6" s="363">
        <f t="shared" ca="1" si="47"/>
        <v>6.3271140409865659E-2</v>
      </c>
      <c r="QM6" s="363">
        <f t="shared" ca="1" si="47"/>
        <v>8.3044505626124643E-2</v>
      </c>
      <c r="QN6" s="363">
        <f t="shared" ca="1" si="47"/>
        <v>6.4144207821917862E-2</v>
      </c>
      <c r="QO6" s="363">
        <f t="shared" ca="1" si="47"/>
        <v>6.8250929084762046E-2</v>
      </c>
      <c r="QP6" s="363">
        <f t="shared" ca="1" si="47"/>
        <v>6.1027158303424714E-2</v>
      </c>
      <c r="QQ6" s="363">
        <f t="shared" ca="1" si="47"/>
        <v>5.608853655375215E-2</v>
      </c>
      <c r="QR6" s="363">
        <f t="shared" ca="1" si="47"/>
        <v>7.0049590658335492E-2</v>
      </c>
      <c r="QS6" s="363">
        <f t="shared" ca="1" si="47"/>
        <v>6.8346202602646011E-2</v>
      </c>
      <c r="QT6" s="363">
        <f t="shared" ca="1" si="47"/>
        <v>6.8643764937864615E-2</v>
      </c>
      <c r="QU6" s="363">
        <f t="shared" ca="1" si="47"/>
        <v>5.6688567493837334E-2</v>
      </c>
      <c r="QV6" s="363">
        <f t="shared" ca="1" si="47"/>
        <v>6.0656747763206446E-2</v>
      </c>
      <c r="QW6" s="363">
        <f t="shared" ca="1" si="47"/>
        <v>6.4984281447393932E-2</v>
      </c>
      <c r="QX6" s="363">
        <f t="shared" ca="1" si="47"/>
        <v>7.4104659686228591E-2</v>
      </c>
      <c r="QY6" s="363">
        <f t="shared" ca="1" si="47"/>
        <v>6.6155697633533461E-2</v>
      </c>
      <c r="QZ6" s="363">
        <f t="shared" ca="1" si="47"/>
        <v>5.4358192009170581E-2</v>
      </c>
      <c r="RA6" s="363">
        <f t="shared" ca="1" si="47"/>
        <v>6.6336448099695744E-2</v>
      </c>
      <c r="RB6" s="363">
        <f t="shared" ca="1" si="47"/>
        <v>5.3384370848936609E-2</v>
      </c>
      <c r="RC6" s="363">
        <f t="shared" ca="1" si="47"/>
        <v>7.3036785491218836E-2</v>
      </c>
      <c r="RD6" s="363">
        <f t="shared" ca="1" si="47"/>
        <v>6.456502750439462E-2</v>
      </c>
      <c r="RE6" s="363">
        <f t="shared" ca="1" si="47"/>
        <v>6.786488449184469E-2</v>
      </c>
      <c r="RF6" s="363">
        <f t="shared" ca="1" si="47"/>
        <v>6.3443752285030394E-2</v>
      </c>
      <c r="RG6" s="363">
        <f t="shared" ca="1" si="47"/>
        <v>7.3567328981538282E-2</v>
      </c>
      <c r="RH6" s="363">
        <f t="shared" ca="1" si="47"/>
        <v>6.983555113430806E-2</v>
      </c>
      <c r="RI6" s="363">
        <f t="shared" ca="1" si="47"/>
        <v>6.8642181880776754E-2</v>
      </c>
      <c r="RJ6" s="363">
        <f t="shared" ref="RJ6:SR6" ca="1" si="48">_xlfn.BETA.INV(RAND(),$I$6,$J$6)</f>
        <v>6.7394076164346783E-2</v>
      </c>
      <c r="RK6" s="363">
        <f t="shared" ca="1" si="48"/>
        <v>6.702309055754041E-2</v>
      </c>
      <c r="RL6" s="363">
        <f t="shared" ca="1" si="48"/>
        <v>6.5690494038484037E-2</v>
      </c>
      <c r="RM6" s="363">
        <f t="shared" ca="1" si="48"/>
        <v>6.3130977969064347E-2</v>
      </c>
      <c r="RN6" s="363">
        <f t="shared" ca="1" si="48"/>
        <v>5.8055584218715067E-2</v>
      </c>
      <c r="RO6" s="363">
        <f t="shared" ca="1" si="48"/>
        <v>6.1152148539858314E-2</v>
      </c>
      <c r="RP6" s="363">
        <f t="shared" ca="1" si="48"/>
        <v>7.1490388166759455E-2</v>
      </c>
      <c r="RQ6" s="363">
        <f t="shared" ca="1" si="48"/>
        <v>6.2622274821527615E-2</v>
      </c>
      <c r="RR6" s="363">
        <f t="shared" ca="1" si="48"/>
        <v>6.5545193553255499E-2</v>
      </c>
      <c r="RS6" s="363">
        <f t="shared" ca="1" si="48"/>
        <v>6.5631815789699677E-2</v>
      </c>
      <c r="RT6" s="363">
        <f t="shared" ca="1" si="48"/>
        <v>7.1305765295641477E-2</v>
      </c>
      <c r="RU6" s="363">
        <f t="shared" ca="1" si="48"/>
        <v>8.135686546792853E-2</v>
      </c>
      <c r="RV6" s="363">
        <f t="shared" ca="1" si="48"/>
        <v>6.5452014381343404E-2</v>
      </c>
      <c r="RW6" s="363">
        <f t="shared" ca="1" si="48"/>
        <v>6.650659536498349E-2</v>
      </c>
      <c r="RX6" s="363">
        <f t="shared" ca="1" si="48"/>
        <v>7.2726355413876176E-2</v>
      </c>
      <c r="RY6" s="363">
        <f t="shared" ca="1" si="48"/>
        <v>6.1518928291101241E-2</v>
      </c>
      <c r="RZ6" s="363">
        <f t="shared" ca="1" si="48"/>
        <v>6.009034429000646E-2</v>
      </c>
      <c r="SA6" s="363">
        <f t="shared" ca="1" si="48"/>
        <v>5.7361745552367838E-2</v>
      </c>
      <c r="SB6" s="363">
        <f t="shared" ca="1" si="48"/>
        <v>7.7430681556388548E-2</v>
      </c>
      <c r="SC6" s="363">
        <f t="shared" ca="1" si="48"/>
        <v>6.6952756760294108E-2</v>
      </c>
      <c r="SD6" s="363">
        <f t="shared" ca="1" si="48"/>
        <v>6.6567926780750186E-2</v>
      </c>
      <c r="SE6" s="363">
        <f t="shared" ca="1" si="48"/>
        <v>6.0319513412797038E-2</v>
      </c>
      <c r="SF6" s="363">
        <f t="shared" ca="1" si="48"/>
        <v>7.2800310412192148E-2</v>
      </c>
      <c r="SG6" s="363">
        <f t="shared" ca="1" si="48"/>
        <v>7.3356517260016019E-2</v>
      </c>
      <c r="SH6" s="363">
        <f t="shared" ca="1" si="48"/>
        <v>7.9127029611251398E-2</v>
      </c>
      <c r="SI6" s="363">
        <f t="shared" ca="1" si="48"/>
        <v>6.3507236702605968E-2</v>
      </c>
      <c r="SJ6" s="363">
        <f t="shared" ca="1" si="48"/>
        <v>6.216717209671245E-2</v>
      </c>
      <c r="SK6" s="363">
        <f t="shared" ca="1" si="48"/>
        <v>5.9487027743055101E-2</v>
      </c>
      <c r="SL6" s="363">
        <f t="shared" ca="1" si="48"/>
        <v>7.3059553778990982E-2</v>
      </c>
      <c r="SM6" s="363">
        <f t="shared" ca="1" si="48"/>
        <v>7.9620917730365504E-2</v>
      </c>
      <c r="SN6" s="363">
        <f t="shared" ca="1" si="48"/>
        <v>7.7244286287653896E-2</v>
      </c>
      <c r="SO6" s="363">
        <f t="shared" ca="1" si="48"/>
        <v>5.8883986647875003E-2</v>
      </c>
      <c r="SP6" s="363">
        <f t="shared" ca="1" si="48"/>
        <v>7.7991765912980182E-2</v>
      </c>
      <c r="SQ6" s="363">
        <f t="shared" ca="1" si="48"/>
        <v>6.4261586198976456E-2</v>
      </c>
      <c r="SR6" s="363">
        <f t="shared" ca="1" si="48"/>
        <v>5.9649384353711143E-2</v>
      </c>
      <c r="SS6" s="363">
        <f ca="1">_xlfn.BETA.INV(RAND(),$I$6,$J$6)</f>
        <v>5.5669078641795398E-2</v>
      </c>
      <c r="ST6" s="363">
        <f t="shared" ref="ST6:VE6" ca="1" si="49">_xlfn.BETA.INV(RAND(),$I$6,$J$6)</f>
        <v>6.2224241394881356E-2</v>
      </c>
      <c r="SU6" s="363">
        <f t="shared" ca="1" si="49"/>
        <v>6.4172763750533504E-2</v>
      </c>
      <c r="SV6" s="363">
        <f t="shared" ca="1" si="49"/>
        <v>5.7208312484076602E-2</v>
      </c>
      <c r="SW6" s="363">
        <f t="shared" ca="1" si="49"/>
        <v>6.749821762963415E-2</v>
      </c>
      <c r="SX6" s="363">
        <f t="shared" ca="1" si="49"/>
        <v>6.2139742809585473E-2</v>
      </c>
      <c r="SY6" s="363">
        <f t="shared" ca="1" si="49"/>
        <v>6.6819689385496539E-2</v>
      </c>
      <c r="SZ6" s="363">
        <f t="shared" ca="1" si="49"/>
        <v>7.4415043222819777E-2</v>
      </c>
      <c r="TA6" s="363">
        <f t="shared" ca="1" si="49"/>
        <v>5.3899307741589936E-2</v>
      </c>
      <c r="TB6" s="363">
        <f t="shared" ca="1" si="49"/>
        <v>6.8924374581145309E-2</v>
      </c>
      <c r="TC6" s="363">
        <f t="shared" ca="1" si="49"/>
        <v>7.4050537204689459E-2</v>
      </c>
      <c r="TD6" s="363">
        <f t="shared" ca="1" si="49"/>
        <v>5.7629862517509858E-2</v>
      </c>
      <c r="TE6" s="363">
        <f t="shared" ca="1" si="49"/>
        <v>6.4180711957184167E-2</v>
      </c>
      <c r="TF6" s="363">
        <f t="shared" ca="1" si="49"/>
        <v>6.9066224663875575E-2</v>
      </c>
      <c r="TG6" s="363">
        <f t="shared" ca="1" si="49"/>
        <v>6.8982862502858122E-2</v>
      </c>
      <c r="TH6" s="363">
        <f t="shared" ca="1" si="49"/>
        <v>6.1872278933779716E-2</v>
      </c>
      <c r="TI6" s="363">
        <f t="shared" ca="1" si="49"/>
        <v>6.5632473218638854E-2</v>
      </c>
      <c r="TJ6" s="363">
        <f t="shared" ca="1" si="49"/>
        <v>7.1696048222780973E-2</v>
      </c>
      <c r="TK6" s="363">
        <f t="shared" ca="1" si="49"/>
        <v>7.3427636632810711E-2</v>
      </c>
      <c r="TL6" s="363">
        <f t="shared" ca="1" si="49"/>
        <v>5.9140614645636941E-2</v>
      </c>
      <c r="TM6" s="363">
        <f t="shared" ca="1" si="49"/>
        <v>6.9460845539504268E-2</v>
      </c>
      <c r="TN6" s="363">
        <f t="shared" ca="1" si="49"/>
        <v>5.4884014162125148E-2</v>
      </c>
      <c r="TO6" s="363">
        <f t="shared" ca="1" si="49"/>
        <v>6.2750786796446287E-2</v>
      </c>
      <c r="TP6" s="363">
        <f t="shared" ca="1" si="49"/>
        <v>6.2828046285945113E-2</v>
      </c>
      <c r="TQ6" s="363">
        <f t="shared" ca="1" si="49"/>
        <v>7.1379272064182597E-2</v>
      </c>
      <c r="TR6" s="363">
        <f t="shared" ca="1" si="49"/>
        <v>7.0370538709518371E-2</v>
      </c>
      <c r="TS6" s="363">
        <f t="shared" ca="1" si="49"/>
        <v>6.1538553006488576E-2</v>
      </c>
      <c r="TT6" s="363">
        <f t="shared" ca="1" si="49"/>
        <v>6.9935534910221087E-2</v>
      </c>
      <c r="TU6" s="363">
        <f t="shared" ca="1" si="49"/>
        <v>6.7377408543276784E-2</v>
      </c>
      <c r="TV6" s="363">
        <f t="shared" ca="1" si="49"/>
        <v>6.901838890791645E-2</v>
      </c>
      <c r="TW6" s="363">
        <f t="shared" ca="1" si="49"/>
        <v>5.933229111923357E-2</v>
      </c>
      <c r="TX6" s="363">
        <f t="shared" ca="1" si="49"/>
        <v>7.260385474145381E-2</v>
      </c>
      <c r="TY6" s="363">
        <f t="shared" ca="1" si="49"/>
        <v>6.23532855411605E-2</v>
      </c>
      <c r="TZ6" s="363">
        <f t="shared" ca="1" si="49"/>
        <v>8.1901635660234118E-2</v>
      </c>
      <c r="UA6" s="363">
        <f t="shared" ca="1" si="49"/>
        <v>6.8692592775285388E-2</v>
      </c>
      <c r="UB6" s="363">
        <f t="shared" ca="1" si="49"/>
        <v>6.2883281097102478E-2</v>
      </c>
      <c r="UC6" s="363">
        <f t="shared" ca="1" si="49"/>
        <v>6.2879008588468441E-2</v>
      </c>
      <c r="UD6" s="363">
        <f t="shared" ca="1" si="49"/>
        <v>5.9309300769152938E-2</v>
      </c>
      <c r="UE6" s="363">
        <f t="shared" ca="1" si="49"/>
        <v>5.9901802554142666E-2</v>
      </c>
      <c r="UF6" s="363">
        <f t="shared" ca="1" si="49"/>
        <v>5.9941210853968925E-2</v>
      </c>
      <c r="UG6" s="363">
        <f t="shared" ca="1" si="49"/>
        <v>6.7154932510078424E-2</v>
      </c>
      <c r="UH6" s="363">
        <f t="shared" ca="1" si="49"/>
        <v>7.0726365621048726E-2</v>
      </c>
      <c r="UI6" s="363">
        <f t="shared" ca="1" si="49"/>
        <v>5.9552673683552347E-2</v>
      </c>
      <c r="UJ6" s="363">
        <f t="shared" ca="1" si="49"/>
        <v>6.69284455728828E-2</v>
      </c>
      <c r="UK6" s="363">
        <f t="shared" ca="1" si="49"/>
        <v>6.9458359457531649E-2</v>
      </c>
      <c r="UL6" s="363">
        <f t="shared" ca="1" si="49"/>
        <v>7.5034901758707195E-2</v>
      </c>
      <c r="UM6" s="363">
        <f t="shared" ca="1" si="49"/>
        <v>6.3680796849179197E-2</v>
      </c>
      <c r="UN6" s="363">
        <f t="shared" ca="1" si="49"/>
        <v>7.605479953721217E-2</v>
      </c>
      <c r="UO6" s="363">
        <f t="shared" ca="1" si="49"/>
        <v>7.5586774735301177E-2</v>
      </c>
      <c r="UP6" s="363">
        <f t="shared" ca="1" si="49"/>
        <v>5.5637375754224366E-2</v>
      </c>
      <c r="UQ6" s="363">
        <f t="shared" ca="1" si="49"/>
        <v>5.5977051540150313E-2</v>
      </c>
      <c r="UR6" s="363">
        <f t="shared" ca="1" si="49"/>
        <v>6.7314984335571593E-2</v>
      </c>
      <c r="US6" s="363">
        <f t="shared" ca="1" si="49"/>
        <v>6.0960046628549501E-2</v>
      </c>
      <c r="UT6" s="363">
        <f t="shared" ca="1" si="49"/>
        <v>4.7060516612599419E-2</v>
      </c>
      <c r="UU6" s="363">
        <f t="shared" ca="1" si="49"/>
        <v>6.5400933645144876E-2</v>
      </c>
      <c r="UV6" s="363">
        <f t="shared" ca="1" si="49"/>
        <v>6.8687799252633353E-2</v>
      </c>
      <c r="UW6" s="363">
        <f t="shared" ca="1" si="49"/>
        <v>6.1788509051561968E-2</v>
      </c>
      <c r="UX6" s="363">
        <f t="shared" ca="1" si="49"/>
        <v>6.2058783704158987E-2</v>
      </c>
      <c r="UY6" s="363">
        <f t="shared" ca="1" si="49"/>
        <v>6.2103739350642985E-2</v>
      </c>
      <c r="UZ6" s="363">
        <f t="shared" ca="1" si="49"/>
        <v>6.6095252926030801E-2</v>
      </c>
      <c r="VA6" s="363">
        <f t="shared" ca="1" si="49"/>
        <v>6.6001710810760672E-2</v>
      </c>
      <c r="VB6" s="363">
        <f t="shared" ca="1" si="49"/>
        <v>7.1800935320968429E-2</v>
      </c>
      <c r="VC6" s="363">
        <f t="shared" ca="1" si="49"/>
        <v>6.9965734448425687E-2</v>
      </c>
      <c r="VD6" s="363">
        <f t="shared" ca="1" si="49"/>
        <v>7.1670712415275228E-2</v>
      </c>
      <c r="VE6" s="363">
        <f t="shared" ca="1" si="49"/>
        <v>6.1462510881142823E-2</v>
      </c>
      <c r="VF6" s="363">
        <f t="shared" ref="VF6:WN6" ca="1" si="50">_xlfn.BETA.INV(RAND(),$I$6,$J$6)</f>
        <v>5.9791966160986018E-2</v>
      </c>
      <c r="VG6" s="363">
        <f t="shared" ca="1" si="50"/>
        <v>7.3760850568381997E-2</v>
      </c>
      <c r="VH6" s="363">
        <f t="shared" ca="1" si="50"/>
        <v>5.9235927074389322E-2</v>
      </c>
      <c r="VI6" s="363">
        <f t="shared" ca="1" si="50"/>
        <v>6.0389781379907401E-2</v>
      </c>
      <c r="VJ6" s="363">
        <f t="shared" ca="1" si="50"/>
        <v>6.2114001415488729E-2</v>
      </c>
      <c r="VK6" s="363">
        <f t="shared" ca="1" si="50"/>
        <v>6.4304428209041947E-2</v>
      </c>
      <c r="VL6" s="363">
        <f t="shared" ca="1" si="50"/>
        <v>6.6609262934408164E-2</v>
      </c>
      <c r="VM6" s="363">
        <f t="shared" ca="1" si="50"/>
        <v>6.8587928367197293E-2</v>
      </c>
      <c r="VN6" s="363">
        <f t="shared" ca="1" si="50"/>
        <v>5.9755706845065905E-2</v>
      </c>
      <c r="VO6" s="363">
        <f t="shared" ca="1" si="50"/>
        <v>6.1249725798458839E-2</v>
      </c>
      <c r="VP6" s="363">
        <f t="shared" ca="1" si="50"/>
        <v>6.7642830169259316E-2</v>
      </c>
      <c r="VQ6" s="363">
        <f t="shared" ca="1" si="50"/>
        <v>6.3087529664456896E-2</v>
      </c>
      <c r="VR6" s="363">
        <f t="shared" ca="1" si="50"/>
        <v>6.6752733856488833E-2</v>
      </c>
      <c r="VS6" s="363">
        <f t="shared" ca="1" si="50"/>
        <v>6.7754331915863442E-2</v>
      </c>
      <c r="VT6" s="363">
        <f t="shared" ca="1" si="50"/>
        <v>6.7503164533435522E-2</v>
      </c>
      <c r="VU6" s="363">
        <f t="shared" ca="1" si="50"/>
        <v>6.3426970947711298E-2</v>
      </c>
      <c r="VV6" s="363">
        <f t="shared" ca="1" si="50"/>
        <v>5.0988838204802593E-2</v>
      </c>
      <c r="VW6" s="363">
        <f t="shared" ca="1" si="50"/>
        <v>6.3401179228249033E-2</v>
      </c>
      <c r="VX6" s="363">
        <f t="shared" ca="1" si="50"/>
        <v>7.0700934021791007E-2</v>
      </c>
      <c r="VY6" s="363">
        <f t="shared" ca="1" si="50"/>
        <v>6.593189315572523E-2</v>
      </c>
      <c r="VZ6" s="363">
        <f t="shared" ca="1" si="50"/>
        <v>6.7027158133845854E-2</v>
      </c>
      <c r="WA6" s="363">
        <f t="shared" ca="1" si="50"/>
        <v>6.1272457252196384E-2</v>
      </c>
      <c r="WB6" s="363">
        <f t="shared" ca="1" si="50"/>
        <v>7.1559425654708297E-2</v>
      </c>
      <c r="WC6" s="363">
        <f t="shared" ca="1" si="50"/>
        <v>6.9852454258842123E-2</v>
      </c>
      <c r="WD6" s="363">
        <f t="shared" ca="1" si="50"/>
        <v>5.1071790981355857E-2</v>
      </c>
      <c r="WE6" s="363">
        <f t="shared" ca="1" si="50"/>
        <v>7.3113962809770783E-2</v>
      </c>
      <c r="WF6" s="363">
        <f t="shared" ca="1" si="50"/>
        <v>7.404743936121605E-2</v>
      </c>
      <c r="WG6" s="363">
        <f t="shared" ca="1" si="50"/>
        <v>6.1112443424776265E-2</v>
      </c>
      <c r="WH6" s="363">
        <f t="shared" ca="1" si="50"/>
        <v>6.5552227507185923E-2</v>
      </c>
      <c r="WI6" s="363">
        <f t="shared" ca="1" si="50"/>
        <v>6.2037570156431791E-2</v>
      </c>
      <c r="WJ6" s="363">
        <f t="shared" ca="1" si="50"/>
        <v>5.9591607070414755E-2</v>
      </c>
      <c r="WK6" s="363">
        <f t="shared" ca="1" si="50"/>
        <v>6.0326655149700918E-2</v>
      </c>
      <c r="WL6" s="363">
        <f t="shared" ca="1" si="50"/>
        <v>6.8874235399334571E-2</v>
      </c>
      <c r="WM6" s="363">
        <f t="shared" ca="1" si="50"/>
        <v>6.0824863634677567E-2</v>
      </c>
      <c r="WN6" s="363">
        <f t="shared" ca="1" si="50"/>
        <v>7.0068337552890103E-2</v>
      </c>
    </row>
    <row r="7" spans="2:612" x14ac:dyDescent="0.15">
      <c r="B7" s="466" t="s">
        <v>874</v>
      </c>
      <c r="D7" s="363">
        <f t="shared" si="0"/>
        <v>1.24E-2</v>
      </c>
      <c r="F7" s="363">
        <v>1.24E-2</v>
      </c>
      <c r="G7" s="367">
        <v>11653</v>
      </c>
      <c r="H7" s="363">
        <v>1.0260441208098795E-3</v>
      </c>
      <c r="I7" s="438">
        <f>F7*G7</f>
        <v>144.49719999999999</v>
      </c>
      <c r="J7" s="438">
        <f>G7-I7</f>
        <v>11508.5028</v>
      </c>
      <c r="K7" s="367" t="s">
        <v>1273</v>
      </c>
      <c r="M7" s="363">
        <f ca="1">_xlfn.BETA.INV(RAND(),$I$7,$J$7)</f>
        <v>1.2133312588129186E-2</v>
      </c>
      <c r="N7" s="363">
        <f t="shared" ref="N7:BY7" ca="1" si="51">_xlfn.BETA.INV(RAND(),$I$7,$J$7)</f>
        <v>1.3873697759066883E-2</v>
      </c>
      <c r="O7" s="363">
        <f t="shared" ca="1" si="51"/>
        <v>1.2371514380343483E-2</v>
      </c>
      <c r="P7" s="363">
        <f t="shared" ca="1" si="51"/>
        <v>1.2212535245700483E-2</v>
      </c>
      <c r="Q7" s="363">
        <f t="shared" ca="1" si="51"/>
        <v>1.3030377883602395E-2</v>
      </c>
      <c r="R7" s="363">
        <f t="shared" ca="1" si="51"/>
        <v>1.4897294778623005E-2</v>
      </c>
      <c r="S7" s="363">
        <f t="shared" ca="1" si="51"/>
        <v>9.8469380370915897E-3</v>
      </c>
      <c r="T7" s="363">
        <f t="shared" ca="1" si="51"/>
        <v>1.0987562449166618E-2</v>
      </c>
      <c r="U7" s="363">
        <f t="shared" ca="1" si="51"/>
        <v>1.083948406928149E-2</v>
      </c>
      <c r="V7" s="363">
        <f t="shared" ca="1" si="51"/>
        <v>1.1908879899141352E-2</v>
      </c>
      <c r="W7" s="363">
        <f t="shared" ca="1" si="51"/>
        <v>1.1334439583795616E-2</v>
      </c>
      <c r="X7" s="363">
        <f t="shared" ca="1" si="51"/>
        <v>1.2100816725213587E-2</v>
      </c>
      <c r="Y7" s="363">
        <f t="shared" ca="1" si="51"/>
        <v>1.2347046905110124E-2</v>
      </c>
      <c r="Z7" s="363">
        <f t="shared" ca="1" si="51"/>
        <v>1.1858102695936238E-2</v>
      </c>
      <c r="AA7" s="363">
        <f t="shared" ca="1" si="51"/>
        <v>1.3203144043936521E-2</v>
      </c>
      <c r="AB7" s="363">
        <f t="shared" ca="1" si="51"/>
        <v>1.0785484729541779E-2</v>
      </c>
      <c r="AC7" s="363">
        <f t="shared" ca="1" si="51"/>
        <v>1.3546864153711202E-2</v>
      </c>
      <c r="AD7" s="363">
        <f t="shared" ca="1" si="51"/>
        <v>1.1956802040386275E-2</v>
      </c>
      <c r="AE7" s="363">
        <f t="shared" ca="1" si="51"/>
        <v>1.1404235633684081E-2</v>
      </c>
      <c r="AF7" s="363">
        <f t="shared" ca="1" si="51"/>
        <v>1.1602168054485298E-2</v>
      </c>
      <c r="AG7" s="363">
        <f t="shared" ca="1" si="51"/>
        <v>1.3567513390652763E-2</v>
      </c>
      <c r="AH7" s="363">
        <f t="shared" ca="1" si="51"/>
        <v>1.1231457434538454E-2</v>
      </c>
      <c r="AI7" s="363">
        <f t="shared" ca="1" si="51"/>
        <v>1.3460885470305883E-2</v>
      </c>
      <c r="AJ7" s="363">
        <f t="shared" ca="1" si="51"/>
        <v>1.1386299260441782E-2</v>
      </c>
      <c r="AK7" s="363">
        <f t="shared" ca="1" si="51"/>
        <v>1.0966602395985589E-2</v>
      </c>
      <c r="AL7" s="363">
        <f t="shared" ca="1" si="51"/>
        <v>1.2987203653729962E-2</v>
      </c>
      <c r="AM7" s="363">
        <f t="shared" ca="1" si="51"/>
        <v>1.3764494112267323E-2</v>
      </c>
      <c r="AN7" s="363">
        <f t="shared" ca="1" si="51"/>
        <v>1.2428217746049519E-2</v>
      </c>
      <c r="AO7" s="363">
        <f t="shared" ca="1" si="51"/>
        <v>1.1189423488535756E-2</v>
      </c>
      <c r="AP7" s="363">
        <f t="shared" ca="1" si="51"/>
        <v>1.167360932820736E-2</v>
      </c>
      <c r="AQ7" s="363">
        <f t="shared" ca="1" si="51"/>
        <v>1.2495495098426845E-2</v>
      </c>
      <c r="AR7" s="363">
        <f t="shared" ca="1" si="51"/>
        <v>1.0932163948376797E-2</v>
      </c>
      <c r="AS7" s="363">
        <f t="shared" ca="1" si="51"/>
        <v>1.2538087040713353E-2</v>
      </c>
      <c r="AT7" s="363">
        <f t="shared" ca="1" si="51"/>
        <v>1.0549175352873197E-2</v>
      </c>
      <c r="AU7" s="363">
        <f t="shared" ca="1" si="51"/>
        <v>1.2386581257557316E-2</v>
      </c>
      <c r="AV7" s="363">
        <f t="shared" ca="1" si="51"/>
        <v>1.1580353449032018E-2</v>
      </c>
      <c r="AW7" s="363">
        <f t="shared" ca="1" si="51"/>
        <v>1.1979362313200764E-2</v>
      </c>
      <c r="AX7" s="363">
        <f t="shared" ca="1" si="51"/>
        <v>1.159281124366786E-2</v>
      </c>
      <c r="AY7" s="363">
        <f t="shared" ca="1" si="51"/>
        <v>1.1692163589329882E-2</v>
      </c>
      <c r="AZ7" s="363">
        <f t="shared" ca="1" si="51"/>
        <v>1.3690859859126103E-2</v>
      </c>
      <c r="BA7" s="363">
        <f t="shared" ca="1" si="51"/>
        <v>1.4927771173453896E-2</v>
      </c>
      <c r="BB7" s="363">
        <f t="shared" ca="1" si="51"/>
        <v>1.3733791033138654E-2</v>
      </c>
      <c r="BC7" s="363">
        <f t="shared" ca="1" si="51"/>
        <v>1.2170585341340223E-2</v>
      </c>
      <c r="BD7" s="363">
        <f t="shared" ca="1" si="51"/>
        <v>1.3351157733274666E-2</v>
      </c>
      <c r="BE7" s="363">
        <f t="shared" ca="1" si="51"/>
        <v>1.3543493981311716E-2</v>
      </c>
      <c r="BF7" s="363">
        <f t="shared" ca="1" si="51"/>
        <v>1.3007973612025991E-2</v>
      </c>
      <c r="BG7" s="363">
        <f t="shared" ca="1" si="51"/>
        <v>1.1960760440662127E-2</v>
      </c>
      <c r="BH7" s="363">
        <f t="shared" ca="1" si="51"/>
        <v>1.2167071069641593E-2</v>
      </c>
      <c r="BI7" s="363">
        <f t="shared" ca="1" si="51"/>
        <v>1.3271124931208411E-2</v>
      </c>
      <c r="BJ7" s="363">
        <f t="shared" ca="1" si="51"/>
        <v>1.2495066710590308E-2</v>
      </c>
      <c r="BK7" s="363">
        <f t="shared" ca="1" si="51"/>
        <v>1.1915025431646601E-2</v>
      </c>
      <c r="BL7" s="363">
        <f t="shared" ca="1" si="51"/>
        <v>1.178271036919463E-2</v>
      </c>
      <c r="BM7" s="363">
        <f t="shared" ca="1" si="51"/>
        <v>1.2050645416229607E-2</v>
      </c>
      <c r="BN7" s="363">
        <f t="shared" ca="1" si="51"/>
        <v>1.2950945067237485E-2</v>
      </c>
      <c r="BO7" s="363">
        <f t="shared" ca="1" si="51"/>
        <v>1.1981958143570332E-2</v>
      </c>
      <c r="BP7" s="363">
        <f t="shared" ca="1" si="51"/>
        <v>1.2768178910628425E-2</v>
      </c>
      <c r="BQ7" s="363">
        <f t="shared" ca="1" si="51"/>
        <v>1.2891794492071562E-2</v>
      </c>
      <c r="BR7" s="363">
        <f t="shared" ca="1" si="51"/>
        <v>1.3275744957066959E-2</v>
      </c>
      <c r="BS7" s="363">
        <f t="shared" ca="1" si="51"/>
        <v>1.3407785519081616E-2</v>
      </c>
      <c r="BT7" s="363">
        <f t="shared" ca="1" si="51"/>
        <v>1.0910234757337078E-2</v>
      </c>
      <c r="BU7" s="363">
        <f t="shared" ca="1" si="51"/>
        <v>1.1534926269559737E-2</v>
      </c>
      <c r="BV7" s="363">
        <f t="shared" ca="1" si="51"/>
        <v>1.2367711827214913E-2</v>
      </c>
      <c r="BW7" s="363">
        <f t="shared" ca="1" si="51"/>
        <v>1.1306285829471489E-2</v>
      </c>
      <c r="BX7" s="363">
        <f t="shared" ca="1" si="51"/>
        <v>1.2089955264203976E-2</v>
      </c>
      <c r="BY7" s="363">
        <f t="shared" ca="1" si="51"/>
        <v>1.2071706686335405E-2</v>
      </c>
      <c r="BZ7" s="363">
        <f t="shared" ref="BZ7:DH7" ca="1" si="52">_xlfn.BETA.INV(RAND(),$I$7,$J$7)</f>
        <v>1.2892636160638182E-2</v>
      </c>
      <c r="CA7" s="363">
        <f t="shared" ca="1" si="52"/>
        <v>1.1899423045944249E-2</v>
      </c>
      <c r="CB7" s="363">
        <f t="shared" ca="1" si="52"/>
        <v>1.2504299924042561E-2</v>
      </c>
      <c r="CC7" s="363">
        <f t="shared" ca="1" si="52"/>
        <v>1.1808395840027915E-2</v>
      </c>
      <c r="CD7" s="363">
        <f t="shared" ca="1" si="52"/>
        <v>1.2139210658216442E-2</v>
      </c>
      <c r="CE7" s="363">
        <f t="shared" ca="1" si="52"/>
        <v>1.2622391692883261E-2</v>
      </c>
      <c r="CF7" s="363">
        <f t="shared" ca="1" si="52"/>
        <v>1.0203541736551983E-2</v>
      </c>
      <c r="CG7" s="363">
        <f t="shared" ca="1" si="52"/>
        <v>1.1671437235455263E-2</v>
      </c>
      <c r="CH7" s="363">
        <f t="shared" ca="1" si="52"/>
        <v>1.3633310787318775E-2</v>
      </c>
      <c r="CI7" s="363">
        <f t="shared" ca="1" si="52"/>
        <v>1.3410483187230593E-2</v>
      </c>
      <c r="CJ7" s="363">
        <f t="shared" ca="1" si="52"/>
        <v>1.3168658093216767E-2</v>
      </c>
      <c r="CK7" s="363">
        <f t="shared" ca="1" si="52"/>
        <v>1.3321995336002868E-2</v>
      </c>
      <c r="CL7" s="363">
        <f t="shared" ca="1" si="52"/>
        <v>1.3200099594219084E-2</v>
      </c>
      <c r="CM7" s="363">
        <f t="shared" ca="1" si="52"/>
        <v>1.3497034311797718E-2</v>
      </c>
      <c r="CN7" s="363">
        <f t="shared" ca="1" si="52"/>
        <v>1.0520230055481793E-2</v>
      </c>
      <c r="CO7" s="363">
        <f t="shared" ca="1" si="52"/>
        <v>1.3595986492244583E-2</v>
      </c>
      <c r="CP7" s="363">
        <f t="shared" ca="1" si="52"/>
        <v>1.0700381154957394E-2</v>
      </c>
      <c r="CQ7" s="363">
        <f t="shared" ca="1" si="52"/>
        <v>1.3190268100831792E-2</v>
      </c>
      <c r="CR7" s="363">
        <f t="shared" ca="1" si="52"/>
        <v>1.2044146072995197E-2</v>
      </c>
      <c r="CS7" s="363">
        <f t="shared" ca="1" si="52"/>
        <v>1.1741866353834722E-2</v>
      </c>
      <c r="CT7" s="363">
        <f t="shared" ca="1" si="52"/>
        <v>1.233784878394931E-2</v>
      </c>
      <c r="CU7" s="363">
        <f t="shared" ca="1" si="52"/>
        <v>1.1254225398801299E-2</v>
      </c>
      <c r="CV7" s="363">
        <f t="shared" ca="1" si="52"/>
        <v>1.2390815953110534E-2</v>
      </c>
      <c r="CW7" s="363">
        <f t="shared" ca="1" si="52"/>
        <v>1.2728712556982158E-2</v>
      </c>
      <c r="CX7" s="363">
        <f t="shared" ca="1" si="52"/>
        <v>1.1889279794549493E-2</v>
      </c>
      <c r="CY7" s="363">
        <f t="shared" ca="1" si="52"/>
        <v>1.3798066078987814E-2</v>
      </c>
      <c r="CZ7" s="363">
        <f t="shared" ca="1" si="52"/>
        <v>1.3547244729905872E-2</v>
      </c>
      <c r="DA7" s="363">
        <f t="shared" ca="1" si="52"/>
        <v>1.2828057034205309E-2</v>
      </c>
      <c r="DB7" s="363">
        <f t="shared" ca="1" si="52"/>
        <v>1.2910367367838016E-2</v>
      </c>
      <c r="DC7" s="363">
        <f t="shared" ca="1" si="52"/>
        <v>1.0806370992664386E-2</v>
      </c>
      <c r="DD7" s="363">
        <f t="shared" ca="1" si="52"/>
        <v>1.5416493422815702E-2</v>
      </c>
      <c r="DE7" s="363">
        <f t="shared" ca="1" si="52"/>
        <v>1.1712832478400445E-2</v>
      </c>
      <c r="DF7" s="363">
        <f t="shared" ca="1" si="52"/>
        <v>1.3373455872905282E-2</v>
      </c>
      <c r="DG7" s="363">
        <f t="shared" ca="1" si="52"/>
        <v>1.1757611233741177E-2</v>
      </c>
      <c r="DH7" s="363">
        <f t="shared" ca="1" si="52"/>
        <v>1.2169811693011857E-2</v>
      </c>
      <c r="DI7" s="363">
        <f ca="1">_xlfn.BETA.INV(RAND(),$I$7,$J$7)</f>
        <v>1.3865030690440427E-2</v>
      </c>
      <c r="DJ7" s="363">
        <f t="shared" ref="DJ7:FU7" ca="1" si="53">_xlfn.BETA.INV(RAND(),$I$7,$J$7)</f>
        <v>1.2195084259993796E-2</v>
      </c>
      <c r="DK7" s="363">
        <f t="shared" ca="1" si="53"/>
        <v>1.1664033698412478E-2</v>
      </c>
      <c r="DL7" s="363">
        <f t="shared" ca="1" si="53"/>
        <v>1.5370771068819455E-2</v>
      </c>
      <c r="DM7" s="363">
        <f t="shared" ca="1" si="53"/>
        <v>1.3598372820464166E-2</v>
      </c>
      <c r="DN7" s="363">
        <f t="shared" ca="1" si="53"/>
        <v>1.13167277186707E-2</v>
      </c>
      <c r="DO7" s="363">
        <f t="shared" ca="1" si="53"/>
        <v>1.3605615679758043E-2</v>
      </c>
      <c r="DP7" s="363">
        <f t="shared" ca="1" si="53"/>
        <v>1.235484089768288E-2</v>
      </c>
      <c r="DQ7" s="363">
        <f t="shared" ca="1" si="53"/>
        <v>1.2340040291187191E-2</v>
      </c>
      <c r="DR7" s="363">
        <f t="shared" ca="1" si="53"/>
        <v>1.3195432639131033E-2</v>
      </c>
      <c r="DS7" s="363">
        <f t="shared" ca="1" si="53"/>
        <v>1.1588895351807923E-2</v>
      </c>
      <c r="DT7" s="363">
        <f t="shared" ca="1" si="53"/>
        <v>1.120972610347242E-2</v>
      </c>
      <c r="DU7" s="363">
        <f t="shared" ca="1" si="53"/>
        <v>1.3408982267701486E-2</v>
      </c>
      <c r="DV7" s="363">
        <f t="shared" ca="1" si="53"/>
        <v>1.3564996615042957E-2</v>
      </c>
      <c r="DW7" s="363">
        <f t="shared" ca="1" si="53"/>
        <v>1.1566423743565511E-2</v>
      </c>
      <c r="DX7" s="363">
        <f t="shared" ca="1" si="53"/>
        <v>1.4452285645979113E-2</v>
      </c>
      <c r="DY7" s="363">
        <f t="shared" ca="1" si="53"/>
        <v>1.3019043090121696E-2</v>
      </c>
      <c r="DZ7" s="363">
        <f t="shared" ca="1" si="53"/>
        <v>1.3215989731343192E-2</v>
      </c>
      <c r="EA7" s="363">
        <f t="shared" ca="1" si="53"/>
        <v>1.1873165396451345E-2</v>
      </c>
      <c r="EB7" s="363">
        <f t="shared" ca="1" si="53"/>
        <v>1.4605350057500854E-2</v>
      </c>
      <c r="EC7" s="363">
        <f t="shared" ca="1" si="53"/>
        <v>1.1788157949201452E-2</v>
      </c>
      <c r="ED7" s="363">
        <f t="shared" ca="1" si="53"/>
        <v>1.1105840781054806E-2</v>
      </c>
      <c r="EE7" s="363">
        <f t="shared" ca="1" si="53"/>
        <v>1.2646231865381274E-2</v>
      </c>
      <c r="EF7" s="363">
        <f t="shared" ca="1" si="53"/>
        <v>1.213258043583622E-2</v>
      </c>
      <c r="EG7" s="363">
        <f t="shared" ca="1" si="53"/>
        <v>1.4509592863574783E-2</v>
      </c>
      <c r="EH7" s="363">
        <f t="shared" ca="1" si="53"/>
        <v>1.1842167059083435E-2</v>
      </c>
      <c r="EI7" s="363">
        <f t="shared" ca="1" si="53"/>
        <v>1.2597949480179449E-2</v>
      </c>
      <c r="EJ7" s="363">
        <f t="shared" ca="1" si="53"/>
        <v>1.20113582205006E-2</v>
      </c>
      <c r="EK7" s="363">
        <f t="shared" ca="1" si="53"/>
        <v>1.266624409805317E-2</v>
      </c>
      <c r="EL7" s="363">
        <f t="shared" ca="1" si="53"/>
        <v>1.2463652716313778E-2</v>
      </c>
      <c r="EM7" s="363">
        <f t="shared" ca="1" si="53"/>
        <v>1.2445896582266247E-2</v>
      </c>
      <c r="EN7" s="363">
        <f t="shared" ca="1" si="53"/>
        <v>1.2608329809872476E-2</v>
      </c>
      <c r="EO7" s="363">
        <f t="shared" ca="1" si="53"/>
        <v>1.1664705166034725E-2</v>
      </c>
      <c r="EP7" s="363">
        <f t="shared" ca="1" si="53"/>
        <v>1.3933670235145357E-2</v>
      </c>
      <c r="EQ7" s="363">
        <f t="shared" ca="1" si="53"/>
        <v>1.2679538659570055E-2</v>
      </c>
      <c r="ER7" s="363">
        <f t="shared" ca="1" si="53"/>
        <v>1.3189711245245372E-2</v>
      </c>
      <c r="ES7" s="363">
        <f t="shared" ca="1" si="53"/>
        <v>1.3407669648050735E-2</v>
      </c>
      <c r="ET7" s="363">
        <f t="shared" ca="1" si="53"/>
        <v>1.2662790547285141E-2</v>
      </c>
      <c r="EU7" s="363">
        <f t="shared" ca="1" si="53"/>
        <v>1.243669672346237E-2</v>
      </c>
      <c r="EV7" s="363">
        <f t="shared" ca="1" si="53"/>
        <v>1.4594991850534922E-2</v>
      </c>
      <c r="EW7" s="363">
        <f t="shared" ca="1" si="53"/>
        <v>1.1746038488394221E-2</v>
      </c>
      <c r="EX7" s="363">
        <f t="shared" ca="1" si="53"/>
        <v>1.4349486479951601E-2</v>
      </c>
      <c r="EY7" s="363">
        <f t="shared" ca="1" si="53"/>
        <v>1.1515231823973087E-2</v>
      </c>
      <c r="EZ7" s="363">
        <f t="shared" ca="1" si="53"/>
        <v>1.205609650489849E-2</v>
      </c>
      <c r="FA7" s="363">
        <f t="shared" ca="1" si="53"/>
        <v>1.3461240853956502E-2</v>
      </c>
      <c r="FB7" s="363">
        <f t="shared" ca="1" si="53"/>
        <v>1.2084640572794528E-2</v>
      </c>
      <c r="FC7" s="363">
        <f t="shared" ca="1" si="53"/>
        <v>1.1301397732508862E-2</v>
      </c>
      <c r="FD7" s="363">
        <f t="shared" ca="1" si="53"/>
        <v>1.071212696304576E-2</v>
      </c>
      <c r="FE7" s="363">
        <f t="shared" ca="1" si="53"/>
        <v>1.2981307015914934E-2</v>
      </c>
      <c r="FF7" s="363">
        <f t="shared" ca="1" si="53"/>
        <v>1.2552463261036539E-2</v>
      </c>
      <c r="FG7" s="363">
        <f t="shared" ca="1" si="53"/>
        <v>1.1692530435199218E-2</v>
      </c>
      <c r="FH7" s="363">
        <f t="shared" ca="1" si="53"/>
        <v>1.1568922949303411E-2</v>
      </c>
      <c r="FI7" s="363">
        <f t="shared" ca="1" si="53"/>
        <v>1.2530177599544667E-2</v>
      </c>
      <c r="FJ7" s="363">
        <f t="shared" ca="1" si="53"/>
        <v>1.0707144448284136E-2</v>
      </c>
      <c r="FK7" s="363">
        <f t="shared" ca="1" si="53"/>
        <v>1.2159037606797872E-2</v>
      </c>
      <c r="FL7" s="363">
        <f t="shared" ca="1" si="53"/>
        <v>1.3114062354767531E-2</v>
      </c>
      <c r="FM7" s="363">
        <f t="shared" ca="1" si="53"/>
        <v>1.2508911427217884E-2</v>
      </c>
      <c r="FN7" s="363">
        <f t="shared" ca="1" si="53"/>
        <v>1.2352705314011728E-2</v>
      </c>
      <c r="FO7" s="363">
        <f t="shared" ca="1" si="53"/>
        <v>1.2025504889911715E-2</v>
      </c>
      <c r="FP7" s="363">
        <f t="shared" ca="1" si="53"/>
        <v>1.2573390580472021E-2</v>
      </c>
      <c r="FQ7" s="363">
        <f t="shared" ca="1" si="53"/>
        <v>1.4265260012329972E-2</v>
      </c>
      <c r="FR7" s="363">
        <f t="shared" ca="1" si="53"/>
        <v>1.366622758798608E-2</v>
      </c>
      <c r="FS7" s="363">
        <f t="shared" ca="1" si="53"/>
        <v>1.0714316490705695E-2</v>
      </c>
      <c r="FT7" s="363">
        <f t="shared" ca="1" si="53"/>
        <v>1.1043611904692961E-2</v>
      </c>
      <c r="FU7" s="363">
        <f t="shared" ca="1" si="53"/>
        <v>1.2617067263642201E-2</v>
      </c>
      <c r="FV7" s="363">
        <f t="shared" ref="FV7:HD7" ca="1" si="54">_xlfn.BETA.INV(RAND(),$I$7,$J$7)</f>
        <v>1.2046194691903513E-2</v>
      </c>
      <c r="FW7" s="363">
        <f t="shared" ca="1" si="54"/>
        <v>1.4142060720742311E-2</v>
      </c>
      <c r="FX7" s="363">
        <f t="shared" ca="1" si="54"/>
        <v>1.2115190215621114E-2</v>
      </c>
      <c r="FY7" s="363">
        <f t="shared" ca="1" si="54"/>
        <v>1.3682201609272693E-2</v>
      </c>
      <c r="FZ7" s="363">
        <f t="shared" ca="1" si="54"/>
        <v>1.1350148593662424E-2</v>
      </c>
      <c r="GA7" s="363">
        <f t="shared" ca="1" si="54"/>
        <v>1.2171007925394063E-2</v>
      </c>
      <c r="GB7" s="363">
        <f t="shared" ca="1" si="54"/>
        <v>1.2758574253963983E-2</v>
      </c>
      <c r="GC7" s="363">
        <f t="shared" ca="1" si="54"/>
        <v>1.1573166431563574E-2</v>
      </c>
      <c r="GD7" s="363">
        <f t="shared" ca="1" si="54"/>
        <v>1.2010822764269973E-2</v>
      </c>
      <c r="GE7" s="363">
        <f t="shared" ca="1" si="54"/>
        <v>1.4086420658196208E-2</v>
      </c>
      <c r="GF7" s="363">
        <f t="shared" ca="1" si="54"/>
        <v>1.1182041693744425E-2</v>
      </c>
      <c r="GG7" s="363">
        <f t="shared" ca="1" si="54"/>
        <v>1.4823590094680705E-2</v>
      </c>
      <c r="GH7" s="363">
        <f t="shared" ca="1" si="54"/>
        <v>1.3459897106225638E-2</v>
      </c>
      <c r="GI7" s="363">
        <f t="shared" ca="1" si="54"/>
        <v>1.1530847214519958E-2</v>
      </c>
      <c r="GJ7" s="363">
        <f t="shared" ca="1" si="54"/>
        <v>1.4287104519074778E-2</v>
      </c>
      <c r="GK7" s="363">
        <f t="shared" ca="1" si="54"/>
        <v>1.1225302081690041E-2</v>
      </c>
      <c r="GL7" s="363">
        <f t="shared" ca="1" si="54"/>
        <v>1.2580155774765456E-2</v>
      </c>
      <c r="GM7" s="363">
        <f t="shared" ca="1" si="54"/>
        <v>1.3467885758489895E-2</v>
      </c>
      <c r="GN7" s="363">
        <f t="shared" ca="1" si="54"/>
        <v>1.1917202667959811E-2</v>
      </c>
      <c r="GO7" s="363">
        <f t="shared" ca="1" si="54"/>
        <v>1.2933226060139136E-2</v>
      </c>
      <c r="GP7" s="363">
        <f t="shared" ca="1" si="54"/>
        <v>1.3601323744067528E-2</v>
      </c>
      <c r="GQ7" s="363">
        <f t="shared" ca="1" si="54"/>
        <v>1.3873951976340337E-2</v>
      </c>
      <c r="GR7" s="363">
        <f t="shared" ca="1" si="54"/>
        <v>1.0642454015789254E-2</v>
      </c>
      <c r="GS7" s="363">
        <f t="shared" ca="1" si="54"/>
        <v>1.010709549844486E-2</v>
      </c>
      <c r="GT7" s="363">
        <f t="shared" ca="1" si="54"/>
        <v>1.3822478559899043E-2</v>
      </c>
      <c r="GU7" s="363">
        <f t="shared" ca="1" si="54"/>
        <v>1.105221376607143E-2</v>
      </c>
      <c r="GV7" s="363">
        <f t="shared" ca="1" si="54"/>
        <v>1.245252867037927E-2</v>
      </c>
      <c r="GW7" s="363">
        <f t="shared" ca="1" si="54"/>
        <v>1.1728990283601389E-2</v>
      </c>
      <c r="GX7" s="363">
        <f t="shared" ca="1" si="54"/>
        <v>1.2462207120850888E-2</v>
      </c>
      <c r="GY7" s="363">
        <f t="shared" ca="1" si="54"/>
        <v>1.2522087801653869E-2</v>
      </c>
      <c r="GZ7" s="363">
        <f t="shared" ca="1" si="54"/>
        <v>1.4955706888784004E-2</v>
      </c>
      <c r="HA7" s="363">
        <f t="shared" ca="1" si="54"/>
        <v>1.0628555679726566E-2</v>
      </c>
      <c r="HB7" s="363">
        <f t="shared" ca="1" si="54"/>
        <v>1.3468384114800447E-2</v>
      </c>
      <c r="HC7" s="363">
        <f t="shared" ca="1" si="54"/>
        <v>1.1205933922533082E-2</v>
      </c>
      <c r="HD7" s="363">
        <f t="shared" ca="1" si="54"/>
        <v>1.3715354894951237E-2</v>
      </c>
      <c r="HE7" s="363">
        <f ca="1">_xlfn.BETA.INV(RAND(),$I$7,$J$7)</f>
        <v>1.3090974516471898E-2</v>
      </c>
      <c r="HF7" s="363">
        <f t="shared" ref="HF7:JQ7" ca="1" si="55">_xlfn.BETA.INV(RAND(),$I$7,$J$7)</f>
        <v>1.2940493702070177E-2</v>
      </c>
      <c r="HG7" s="363">
        <f t="shared" ca="1" si="55"/>
        <v>1.0733539596293458E-2</v>
      </c>
      <c r="HH7" s="363">
        <f t="shared" ca="1" si="55"/>
        <v>1.315394585972629E-2</v>
      </c>
      <c r="HI7" s="363">
        <f t="shared" ca="1" si="55"/>
        <v>1.2036613244645784E-2</v>
      </c>
      <c r="HJ7" s="363">
        <f t="shared" ca="1" si="55"/>
        <v>1.3340332528450127E-2</v>
      </c>
      <c r="HK7" s="363">
        <f t="shared" ca="1" si="55"/>
        <v>1.4596146558069845E-2</v>
      </c>
      <c r="HL7" s="363">
        <f t="shared" ca="1" si="55"/>
        <v>1.4525844268112431E-2</v>
      </c>
      <c r="HM7" s="363">
        <f t="shared" ca="1" si="55"/>
        <v>1.1044594834272425E-2</v>
      </c>
      <c r="HN7" s="363">
        <f t="shared" ca="1" si="55"/>
        <v>1.4014137177081776E-2</v>
      </c>
      <c r="HO7" s="363">
        <f t="shared" ca="1" si="55"/>
        <v>1.3205873650458666E-2</v>
      </c>
      <c r="HP7" s="363">
        <f t="shared" ca="1" si="55"/>
        <v>1.3395438132896453E-2</v>
      </c>
      <c r="HQ7" s="363">
        <f t="shared" ca="1" si="55"/>
        <v>1.1816620529242471E-2</v>
      </c>
      <c r="HR7" s="363">
        <f t="shared" ca="1" si="55"/>
        <v>1.2273870666504849E-2</v>
      </c>
      <c r="HS7" s="363">
        <f t="shared" ca="1" si="55"/>
        <v>1.2114491610707583E-2</v>
      </c>
      <c r="HT7" s="363">
        <f t="shared" ca="1" si="55"/>
        <v>1.124424972096544E-2</v>
      </c>
      <c r="HU7" s="363">
        <f t="shared" ca="1" si="55"/>
        <v>1.3048397123704203E-2</v>
      </c>
      <c r="HV7" s="363">
        <f t="shared" ca="1" si="55"/>
        <v>1.1583082553686994E-2</v>
      </c>
      <c r="HW7" s="363">
        <f t="shared" ca="1" si="55"/>
        <v>1.2948616447357342E-2</v>
      </c>
      <c r="HX7" s="363">
        <f t="shared" ca="1" si="55"/>
        <v>1.3143498779508489E-2</v>
      </c>
      <c r="HY7" s="363">
        <f t="shared" ca="1" si="55"/>
        <v>1.25632336636049E-2</v>
      </c>
      <c r="HZ7" s="363">
        <f t="shared" ca="1" si="55"/>
        <v>1.2010483122836244E-2</v>
      </c>
      <c r="IA7" s="363">
        <f t="shared" ca="1" si="55"/>
        <v>1.322315705260968E-2</v>
      </c>
      <c r="IB7" s="363">
        <f t="shared" ca="1" si="55"/>
        <v>1.3913436853867145E-2</v>
      </c>
      <c r="IC7" s="363">
        <f t="shared" ca="1" si="55"/>
        <v>1.2175498816074786E-2</v>
      </c>
      <c r="ID7" s="363">
        <f t="shared" ca="1" si="55"/>
        <v>1.4457091812190792E-2</v>
      </c>
      <c r="IE7" s="363">
        <f t="shared" ca="1" si="55"/>
        <v>1.1567444099003159E-2</v>
      </c>
      <c r="IF7" s="363">
        <f t="shared" ca="1" si="55"/>
        <v>1.2767998074142417E-2</v>
      </c>
      <c r="IG7" s="363">
        <f t="shared" ca="1" si="55"/>
        <v>1.4246458202767487E-2</v>
      </c>
      <c r="IH7" s="363">
        <f t="shared" ca="1" si="55"/>
        <v>1.2390606326832532E-2</v>
      </c>
      <c r="II7" s="363">
        <f t="shared" ca="1" si="55"/>
        <v>1.1989868435924023E-2</v>
      </c>
      <c r="IJ7" s="363">
        <f t="shared" ca="1" si="55"/>
        <v>1.2411212174030517E-2</v>
      </c>
      <c r="IK7" s="363">
        <f t="shared" ca="1" si="55"/>
        <v>1.4539279328463772E-2</v>
      </c>
      <c r="IL7" s="363">
        <f t="shared" ca="1" si="55"/>
        <v>1.2333565218700807E-2</v>
      </c>
      <c r="IM7" s="363">
        <f t="shared" ca="1" si="55"/>
        <v>1.2418083232062727E-2</v>
      </c>
      <c r="IN7" s="363">
        <f t="shared" ca="1" si="55"/>
        <v>1.4100479627534246E-2</v>
      </c>
      <c r="IO7" s="363">
        <f t="shared" ca="1" si="55"/>
        <v>1.4037778009605706E-2</v>
      </c>
      <c r="IP7" s="363">
        <f t="shared" ca="1" si="55"/>
        <v>1.2218399201702795E-2</v>
      </c>
      <c r="IQ7" s="363">
        <f t="shared" ca="1" si="55"/>
        <v>1.1837243918035104E-2</v>
      </c>
      <c r="IR7" s="363">
        <f t="shared" ca="1" si="55"/>
        <v>1.2257904977295448E-2</v>
      </c>
      <c r="IS7" s="363">
        <f t="shared" ca="1" si="55"/>
        <v>1.384891506118513E-2</v>
      </c>
      <c r="IT7" s="363">
        <f t="shared" ca="1" si="55"/>
        <v>1.2158407831177271E-2</v>
      </c>
      <c r="IU7" s="363">
        <f t="shared" ca="1" si="55"/>
        <v>1.1544458168244441E-2</v>
      </c>
      <c r="IV7" s="363">
        <f t="shared" ca="1" si="55"/>
        <v>1.2404562734143365E-2</v>
      </c>
      <c r="IW7" s="363">
        <f t="shared" ca="1" si="55"/>
        <v>1.0930311773954884E-2</v>
      </c>
      <c r="IX7" s="363">
        <f t="shared" ca="1" si="55"/>
        <v>1.2060819222966439E-2</v>
      </c>
      <c r="IY7" s="363">
        <f t="shared" ca="1" si="55"/>
        <v>1.3244795680806498E-2</v>
      </c>
      <c r="IZ7" s="363">
        <f t="shared" ca="1" si="55"/>
        <v>1.1567004575976919E-2</v>
      </c>
      <c r="JA7" s="363">
        <f t="shared" ca="1" si="55"/>
        <v>1.2265532893059169E-2</v>
      </c>
      <c r="JB7" s="363">
        <f t="shared" ca="1" si="55"/>
        <v>1.1711614291024993E-2</v>
      </c>
      <c r="JC7" s="363">
        <f t="shared" ca="1" si="55"/>
        <v>1.2541641434945516E-2</v>
      </c>
      <c r="JD7" s="363">
        <f t="shared" ca="1" si="55"/>
        <v>1.2437856306700579E-2</v>
      </c>
      <c r="JE7" s="363">
        <f t="shared" ca="1" si="55"/>
        <v>1.3021527664235144E-2</v>
      </c>
      <c r="JF7" s="363">
        <f t="shared" ca="1" si="55"/>
        <v>1.4342389590984217E-2</v>
      </c>
      <c r="JG7" s="363">
        <f t="shared" ca="1" si="55"/>
        <v>1.304369905160252E-2</v>
      </c>
      <c r="JH7" s="363">
        <f t="shared" ca="1" si="55"/>
        <v>1.1521268808667785E-2</v>
      </c>
      <c r="JI7" s="363">
        <f t="shared" ca="1" si="55"/>
        <v>1.3334013495655883E-2</v>
      </c>
      <c r="JJ7" s="363">
        <f t="shared" ca="1" si="55"/>
        <v>1.1948151661412105E-2</v>
      </c>
      <c r="JK7" s="363">
        <f t="shared" ca="1" si="55"/>
        <v>1.0937511365363693E-2</v>
      </c>
      <c r="JL7" s="363">
        <f t="shared" ca="1" si="55"/>
        <v>1.1335103903047242E-2</v>
      </c>
      <c r="JM7" s="363">
        <f t="shared" ca="1" si="55"/>
        <v>1.1993407312699125E-2</v>
      </c>
      <c r="JN7" s="363">
        <f t="shared" ca="1" si="55"/>
        <v>1.1715677776329207E-2</v>
      </c>
      <c r="JO7" s="363">
        <f t="shared" ca="1" si="55"/>
        <v>1.072629362415827E-2</v>
      </c>
      <c r="JP7" s="363">
        <f t="shared" ca="1" si="55"/>
        <v>1.2607526512531719E-2</v>
      </c>
      <c r="JQ7" s="363">
        <f t="shared" ca="1" si="55"/>
        <v>1.0776010633079515E-2</v>
      </c>
      <c r="JR7" s="363">
        <f t="shared" ref="JR7:KZ7" ca="1" si="56">_xlfn.BETA.INV(RAND(),$I$7,$J$7)</f>
        <v>1.1460471149859116E-2</v>
      </c>
      <c r="JS7" s="363">
        <f t="shared" ca="1" si="56"/>
        <v>1.2188721870134745E-2</v>
      </c>
      <c r="JT7" s="363">
        <f t="shared" ca="1" si="56"/>
        <v>1.195248111882972E-2</v>
      </c>
      <c r="JU7" s="363">
        <f t="shared" ca="1" si="56"/>
        <v>1.2150486197591424E-2</v>
      </c>
      <c r="JV7" s="363">
        <f t="shared" ca="1" si="56"/>
        <v>1.2722221910661191E-2</v>
      </c>
      <c r="JW7" s="363">
        <f t="shared" ca="1" si="56"/>
        <v>1.1885671842671676E-2</v>
      </c>
      <c r="JX7" s="363">
        <f t="shared" ca="1" si="56"/>
        <v>1.2282114736422394E-2</v>
      </c>
      <c r="JY7" s="363">
        <f t="shared" ca="1" si="56"/>
        <v>1.1504569634678146E-2</v>
      </c>
      <c r="JZ7" s="363">
        <f t="shared" ca="1" si="56"/>
        <v>1.121149105844888E-2</v>
      </c>
      <c r="KA7" s="363">
        <f t="shared" ca="1" si="56"/>
        <v>1.2160654594839043E-2</v>
      </c>
      <c r="KB7" s="363">
        <f t="shared" ca="1" si="56"/>
        <v>1.3732520008045257E-2</v>
      </c>
      <c r="KC7" s="363">
        <f t="shared" ca="1" si="56"/>
        <v>1.335394568962367E-2</v>
      </c>
      <c r="KD7" s="363">
        <f t="shared" ca="1" si="56"/>
        <v>1.0544827700448822E-2</v>
      </c>
      <c r="KE7" s="363">
        <f t="shared" ca="1" si="56"/>
        <v>1.2717332895839206E-2</v>
      </c>
      <c r="KF7" s="363">
        <f t="shared" ca="1" si="56"/>
        <v>1.1192138680569981E-2</v>
      </c>
      <c r="KG7" s="363">
        <f t="shared" ca="1" si="56"/>
        <v>1.3166839699363941E-2</v>
      </c>
      <c r="KH7" s="363">
        <f t="shared" ca="1" si="56"/>
        <v>1.3652793570684163E-2</v>
      </c>
      <c r="KI7" s="363">
        <f t="shared" ca="1" si="56"/>
        <v>1.404958316474636E-2</v>
      </c>
      <c r="KJ7" s="363">
        <f t="shared" ca="1" si="56"/>
        <v>1.2738425178363433E-2</v>
      </c>
      <c r="KK7" s="363">
        <f t="shared" ca="1" si="56"/>
        <v>1.3118087262429357E-2</v>
      </c>
      <c r="KL7" s="363">
        <f t="shared" ca="1" si="56"/>
        <v>1.3776766112979177E-2</v>
      </c>
      <c r="KM7" s="363">
        <f t="shared" ca="1" si="56"/>
        <v>1.080509904577292E-2</v>
      </c>
      <c r="KN7" s="363">
        <f t="shared" ca="1" si="56"/>
        <v>1.0321863188323517E-2</v>
      </c>
      <c r="KO7" s="363">
        <f t="shared" ca="1" si="56"/>
        <v>1.2200653819712391E-2</v>
      </c>
      <c r="KP7" s="363">
        <f t="shared" ca="1" si="56"/>
        <v>1.2151078805460137E-2</v>
      </c>
      <c r="KQ7" s="363">
        <f t="shared" ca="1" si="56"/>
        <v>1.2411564416238585E-2</v>
      </c>
      <c r="KR7" s="363">
        <f t="shared" ca="1" si="56"/>
        <v>1.1456430274023908E-2</v>
      </c>
      <c r="KS7" s="363">
        <f t="shared" ca="1" si="56"/>
        <v>1.1674134045221669E-2</v>
      </c>
      <c r="KT7" s="363">
        <f t="shared" ca="1" si="56"/>
        <v>1.3122601636873954E-2</v>
      </c>
      <c r="KU7" s="363">
        <f t="shared" ca="1" si="56"/>
        <v>1.2133317486984973E-2</v>
      </c>
      <c r="KV7" s="363">
        <f t="shared" ca="1" si="56"/>
        <v>1.314632351943601E-2</v>
      </c>
      <c r="KW7" s="363">
        <f t="shared" ca="1" si="56"/>
        <v>1.4063147982882107E-2</v>
      </c>
      <c r="KX7" s="363">
        <f t="shared" ca="1" si="56"/>
        <v>1.2240495989917093E-2</v>
      </c>
      <c r="KY7" s="363">
        <f t="shared" ca="1" si="56"/>
        <v>1.1506558110736555E-2</v>
      </c>
      <c r="KZ7" s="363">
        <f t="shared" ca="1" si="56"/>
        <v>1.3919402147723026E-2</v>
      </c>
      <c r="LA7" s="363">
        <f ca="1">_xlfn.BETA.INV(RAND(),$I$7,$J$7)</f>
        <v>1.2531033933746327E-2</v>
      </c>
      <c r="LB7" s="363">
        <f t="shared" ref="LB7:NM7" ca="1" si="57">_xlfn.BETA.INV(RAND(),$I$7,$J$7)</f>
        <v>1.3560483473464058E-2</v>
      </c>
      <c r="LC7" s="363">
        <f t="shared" ca="1" si="57"/>
        <v>1.3376885510415271E-2</v>
      </c>
      <c r="LD7" s="363">
        <f t="shared" ca="1" si="57"/>
        <v>1.4056812308784083E-2</v>
      </c>
      <c r="LE7" s="363">
        <f t="shared" ca="1" si="57"/>
        <v>1.2721740785763491E-2</v>
      </c>
      <c r="LF7" s="363">
        <f t="shared" ca="1" si="57"/>
        <v>1.2158726042512577E-2</v>
      </c>
      <c r="LG7" s="363">
        <f t="shared" ca="1" si="57"/>
        <v>1.2608098881038199E-2</v>
      </c>
      <c r="LH7" s="363">
        <f t="shared" ca="1" si="57"/>
        <v>1.2594947362819964E-2</v>
      </c>
      <c r="LI7" s="363">
        <f t="shared" ca="1" si="57"/>
        <v>1.2492475304660688E-2</v>
      </c>
      <c r="LJ7" s="363">
        <f t="shared" ca="1" si="57"/>
        <v>1.2524454032477372E-2</v>
      </c>
      <c r="LK7" s="363">
        <f t="shared" ca="1" si="57"/>
        <v>1.286457997912227E-2</v>
      </c>
      <c r="LL7" s="363">
        <f t="shared" ca="1" si="57"/>
        <v>1.1580391084376442E-2</v>
      </c>
      <c r="LM7" s="363">
        <f t="shared" ca="1" si="57"/>
        <v>1.2389733820780569E-2</v>
      </c>
      <c r="LN7" s="363">
        <f t="shared" ca="1" si="57"/>
        <v>1.1735228708867097E-2</v>
      </c>
      <c r="LO7" s="363">
        <f t="shared" ca="1" si="57"/>
        <v>1.3518459099494451E-2</v>
      </c>
      <c r="LP7" s="363">
        <f t="shared" ca="1" si="57"/>
        <v>1.2203861401184147E-2</v>
      </c>
      <c r="LQ7" s="363">
        <f t="shared" ca="1" si="57"/>
        <v>1.2202320041777449E-2</v>
      </c>
      <c r="LR7" s="363">
        <f t="shared" ca="1" si="57"/>
        <v>1.148775480696097E-2</v>
      </c>
      <c r="LS7" s="363">
        <f t="shared" ca="1" si="57"/>
        <v>1.2172287649444979E-2</v>
      </c>
      <c r="LT7" s="363">
        <f t="shared" ca="1" si="57"/>
        <v>1.4228691797846693E-2</v>
      </c>
      <c r="LU7" s="363">
        <f t="shared" ca="1" si="57"/>
        <v>1.2529960486582392E-2</v>
      </c>
      <c r="LV7" s="363">
        <f t="shared" ca="1" si="57"/>
        <v>1.2075311526125036E-2</v>
      </c>
      <c r="LW7" s="363">
        <f t="shared" ca="1" si="57"/>
        <v>1.404531690574895E-2</v>
      </c>
      <c r="LX7" s="363">
        <f t="shared" ca="1" si="57"/>
        <v>1.2953530781214528E-2</v>
      </c>
      <c r="LY7" s="363">
        <f t="shared" ca="1" si="57"/>
        <v>1.2615617203766027E-2</v>
      </c>
      <c r="LZ7" s="363">
        <f t="shared" ca="1" si="57"/>
        <v>1.2008823926498184E-2</v>
      </c>
      <c r="MA7" s="363">
        <f t="shared" ca="1" si="57"/>
        <v>1.1060138827716452E-2</v>
      </c>
      <c r="MB7" s="363">
        <f t="shared" ca="1" si="57"/>
        <v>1.2784518954537027E-2</v>
      </c>
      <c r="MC7" s="363">
        <f t="shared" ca="1" si="57"/>
        <v>1.0723302911082344E-2</v>
      </c>
      <c r="MD7" s="363">
        <f t="shared" ca="1" si="57"/>
        <v>1.0065666225342142E-2</v>
      </c>
      <c r="ME7" s="363">
        <f t="shared" ca="1" si="57"/>
        <v>1.3762556821376504E-2</v>
      </c>
      <c r="MF7" s="363">
        <f t="shared" ca="1" si="57"/>
        <v>1.2252257198416867E-2</v>
      </c>
      <c r="MG7" s="363">
        <f t="shared" ca="1" si="57"/>
        <v>1.3615775238082994E-2</v>
      </c>
      <c r="MH7" s="363">
        <f t="shared" ca="1" si="57"/>
        <v>1.178808271328753E-2</v>
      </c>
      <c r="MI7" s="363">
        <f t="shared" ca="1" si="57"/>
        <v>1.2867378999258383E-2</v>
      </c>
      <c r="MJ7" s="363">
        <f t="shared" ca="1" si="57"/>
        <v>1.2913888835462295E-2</v>
      </c>
      <c r="MK7" s="363">
        <f t="shared" ca="1" si="57"/>
        <v>1.0555281030044036E-2</v>
      </c>
      <c r="ML7" s="363">
        <f t="shared" ca="1" si="57"/>
        <v>1.1874877520870063E-2</v>
      </c>
      <c r="MM7" s="363">
        <f t="shared" ca="1" si="57"/>
        <v>1.3966386431206956E-2</v>
      </c>
      <c r="MN7" s="363">
        <f t="shared" ca="1" si="57"/>
        <v>1.4473086155633808E-2</v>
      </c>
      <c r="MO7" s="363">
        <f t="shared" ca="1" si="57"/>
        <v>1.3466278988626623E-2</v>
      </c>
      <c r="MP7" s="363">
        <f t="shared" ca="1" si="57"/>
        <v>1.3603637383500011E-2</v>
      </c>
      <c r="MQ7" s="363">
        <f t="shared" ca="1" si="57"/>
        <v>1.2320382043889971E-2</v>
      </c>
      <c r="MR7" s="363">
        <f t="shared" ca="1" si="57"/>
        <v>1.1354022119234922E-2</v>
      </c>
      <c r="MS7" s="363">
        <f t="shared" ca="1" si="57"/>
        <v>1.460011954638285E-2</v>
      </c>
      <c r="MT7" s="363">
        <f t="shared" ca="1" si="57"/>
        <v>1.1795871011631537E-2</v>
      </c>
      <c r="MU7" s="363">
        <f t="shared" ca="1" si="57"/>
        <v>1.3291491960170765E-2</v>
      </c>
      <c r="MV7" s="363">
        <f t="shared" ca="1" si="57"/>
        <v>1.2355222233560623E-2</v>
      </c>
      <c r="MW7" s="363">
        <f t="shared" ca="1" si="57"/>
        <v>1.254453444022352E-2</v>
      </c>
      <c r="MX7" s="363">
        <f t="shared" ca="1" si="57"/>
        <v>1.1034883136649963E-2</v>
      </c>
      <c r="MY7" s="363">
        <f t="shared" ca="1" si="57"/>
        <v>1.3444086029884339E-2</v>
      </c>
      <c r="MZ7" s="363">
        <f t="shared" ca="1" si="57"/>
        <v>1.1965707593293627E-2</v>
      </c>
      <c r="NA7" s="363">
        <f t="shared" ca="1" si="57"/>
        <v>1.072232012103363E-2</v>
      </c>
      <c r="NB7" s="363">
        <f t="shared" ca="1" si="57"/>
        <v>1.1571788578166124E-2</v>
      </c>
      <c r="NC7" s="363">
        <f t="shared" ca="1" si="57"/>
        <v>1.3087468072966346E-2</v>
      </c>
      <c r="ND7" s="363">
        <f t="shared" ca="1" si="57"/>
        <v>1.1865111854388089E-2</v>
      </c>
      <c r="NE7" s="363">
        <f t="shared" ca="1" si="57"/>
        <v>1.3830945846642684E-2</v>
      </c>
      <c r="NF7" s="363">
        <f t="shared" ca="1" si="57"/>
        <v>1.4239052198195101E-2</v>
      </c>
      <c r="NG7" s="363">
        <f t="shared" ca="1" si="57"/>
        <v>1.2977835171274488E-2</v>
      </c>
      <c r="NH7" s="363">
        <f t="shared" ca="1" si="57"/>
        <v>1.3607522179406417E-2</v>
      </c>
      <c r="NI7" s="363">
        <f t="shared" ca="1" si="57"/>
        <v>1.0141427012859488E-2</v>
      </c>
      <c r="NJ7" s="363">
        <f t="shared" ca="1" si="57"/>
        <v>1.1508456724831237E-2</v>
      </c>
      <c r="NK7" s="363">
        <f t="shared" ca="1" si="57"/>
        <v>1.1533030788673493E-2</v>
      </c>
      <c r="NL7" s="363">
        <f t="shared" ca="1" si="57"/>
        <v>1.3341033645625666E-2</v>
      </c>
      <c r="NM7" s="363">
        <f t="shared" ca="1" si="57"/>
        <v>1.1671091744296305E-2</v>
      </c>
      <c r="NN7" s="363">
        <f t="shared" ref="NN7:OV7" ca="1" si="58">_xlfn.BETA.INV(RAND(),$I$7,$J$7)</f>
        <v>1.2664005013127477E-2</v>
      </c>
      <c r="NO7" s="363">
        <f t="shared" ca="1" si="58"/>
        <v>1.0533175600865695E-2</v>
      </c>
      <c r="NP7" s="363">
        <f t="shared" ca="1" si="58"/>
        <v>1.5134527944096865E-2</v>
      </c>
      <c r="NQ7" s="363">
        <f t="shared" ca="1" si="58"/>
        <v>1.3509973798727426E-2</v>
      </c>
      <c r="NR7" s="363">
        <f t="shared" ca="1" si="58"/>
        <v>1.1657006750827469E-2</v>
      </c>
      <c r="NS7" s="363">
        <f t="shared" ca="1" si="58"/>
        <v>1.1012574158530433E-2</v>
      </c>
      <c r="NT7" s="363">
        <f t="shared" ca="1" si="58"/>
        <v>1.1002100349164708E-2</v>
      </c>
      <c r="NU7" s="363">
        <f t="shared" ca="1" si="58"/>
        <v>1.3528546633032379E-2</v>
      </c>
      <c r="NV7" s="363">
        <f t="shared" ca="1" si="58"/>
        <v>1.1820627348618391E-2</v>
      </c>
      <c r="NW7" s="363">
        <f t="shared" ca="1" si="58"/>
        <v>1.3527395984227586E-2</v>
      </c>
      <c r="NX7" s="363">
        <f t="shared" ca="1" si="58"/>
        <v>1.3586821425837226E-2</v>
      </c>
      <c r="NY7" s="363">
        <f t="shared" ca="1" si="58"/>
        <v>1.345523290418793E-2</v>
      </c>
      <c r="NZ7" s="363">
        <f t="shared" ca="1" si="58"/>
        <v>1.2501035348873257E-2</v>
      </c>
      <c r="OA7" s="363">
        <f t="shared" ca="1" si="58"/>
        <v>1.1669142604180833E-2</v>
      </c>
      <c r="OB7" s="363">
        <f t="shared" ca="1" si="58"/>
        <v>1.3436707909704415E-2</v>
      </c>
      <c r="OC7" s="363">
        <f t="shared" ca="1" si="58"/>
        <v>1.3156826818030209E-2</v>
      </c>
      <c r="OD7" s="363">
        <f t="shared" ca="1" si="58"/>
        <v>1.2327350218986233E-2</v>
      </c>
      <c r="OE7" s="363">
        <f t="shared" ca="1" si="58"/>
        <v>1.2835889229956154E-2</v>
      </c>
      <c r="OF7" s="363">
        <f t="shared" ca="1" si="58"/>
        <v>1.1357943992488257E-2</v>
      </c>
      <c r="OG7" s="363">
        <f t="shared" ca="1" si="58"/>
        <v>1.2788751269464438E-2</v>
      </c>
      <c r="OH7" s="363">
        <f t="shared" ca="1" si="58"/>
        <v>1.3695948936079838E-2</v>
      </c>
      <c r="OI7" s="363">
        <f t="shared" ca="1" si="58"/>
        <v>1.2840930422123642E-2</v>
      </c>
      <c r="OJ7" s="363">
        <f t="shared" ca="1" si="58"/>
        <v>1.3170469648465466E-2</v>
      </c>
      <c r="OK7" s="363">
        <f t="shared" ca="1" si="58"/>
        <v>1.331657296532085E-2</v>
      </c>
      <c r="OL7" s="363">
        <f t="shared" ca="1" si="58"/>
        <v>1.2680619328047094E-2</v>
      </c>
      <c r="OM7" s="363">
        <f t="shared" ca="1" si="58"/>
        <v>1.2379212159112862E-2</v>
      </c>
      <c r="ON7" s="363">
        <f t="shared" ca="1" si="58"/>
        <v>1.2978276481104833E-2</v>
      </c>
      <c r="OO7" s="363">
        <f t="shared" ca="1" si="58"/>
        <v>1.3319869937977402E-2</v>
      </c>
      <c r="OP7" s="363">
        <f t="shared" ca="1" si="58"/>
        <v>1.2748980310432367E-2</v>
      </c>
      <c r="OQ7" s="363">
        <f t="shared" ca="1" si="58"/>
        <v>1.3991905405043914E-2</v>
      </c>
      <c r="OR7" s="363">
        <f t="shared" ca="1" si="58"/>
        <v>1.3656391341479779E-2</v>
      </c>
      <c r="OS7" s="363">
        <f t="shared" ca="1" si="58"/>
        <v>1.2475075131661351E-2</v>
      </c>
      <c r="OT7" s="363">
        <f t="shared" ca="1" si="58"/>
        <v>1.26791703729211E-2</v>
      </c>
      <c r="OU7" s="363">
        <f t="shared" ca="1" si="58"/>
        <v>1.2026163131277034E-2</v>
      </c>
      <c r="OV7" s="363">
        <f t="shared" ca="1" si="58"/>
        <v>1.4913073819719735E-2</v>
      </c>
      <c r="OW7" s="363">
        <f ca="1">_xlfn.BETA.INV(RAND(),$I$7,$J$7)</f>
        <v>1.1852798494150763E-2</v>
      </c>
      <c r="OX7" s="363">
        <f t="shared" ref="OX7:RI7" ca="1" si="59">_xlfn.BETA.INV(RAND(),$I$7,$J$7)</f>
        <v>1.0989221536870843E-2</v>
      </c>
      <c r="OY7" s="363">
        <f t="shared" ca="1" si="59"/>
        <v>1.1922450614134017E-2</v>
      </c>
      <c r="OZ7" s="363">
        <f t="shared" ca="1" si="59"/>
        <v>1.2242745244480064E-2</v>
      </c>
      <c r="PA7" s="363">
        <f t="shared" ca="1" si="59"/>
        <v>1.147576686041254E-2</v>
      </c>
      <c r="PB7" s="363">
        <f t="shared" ca="1" si="59"/>
        <v>1.3213572586284639E-2</v>
      </c>
      <c r="PC7" s="363">
        <f t="shared" ca="1" si="59"/>
        <v>1.4134123408770849E-2</v>
      </c>
      <c r="PD7" s="363">
        <f t="shared" ca="1" si="59"/>
        <v>1.202946756270384E-2</v>
      </c>
      <c r="PE7" s="363">
        <f t="shared" ca="1" si="59"/>
        <v>1.1902053132634009E-2</v>
      </c>
      <c r="PF7" s="363">
        <f t="shared" ca="1" si="59"/>
        <v>1.2049102645108726E-2</v>
      </c>
      <c r="PG7" s="363">
        <f t="shared" ca="1" si="59"/>
        <v>1.2268517474364493E-2</v>
      </c>
      <c r="PH7" s="363">
        <f t="shared" ca="1" si="59"/>
        <v>1.2215808133785096E-2</v>
      </c>
      <c r="PI7" s="363">
        <f t="shared" ca="1" si="59"/>
        <v>1.3712813063461504E-2</v>
      </c>
      <c r="PJ7" s="363">
        <f t="shared" ca="1" si="59"/>
        <v>1.0238103672498331E-2</v>
      </c>
      <c r="PK7" s="363">
        <f t="shared" ca="1" si="59"/>
        <v>1.0539119775123651E-2</v>
      </c>
      <c r="PL7" s="363">
        <f t="shared" ca="1" si="59"/>
        <v>1.149974506156971E-2</v>
      </c>
      <c r="PM7" s="363">
        <f t="shared" ca="1" si="59"/>
        <v>1.316886435837239E-2</v>
      </c>
      <c r="PN7" s="363">
        <f t="shared" ca="1" si="59"/>
        <v>1.2892553416435248E-2</v>
      </c>
      <c r="PO7" s="363">
        <f t="shared" ca="1" si="59"/>
        <v>1.3337448461711476E-2</v>
      </c>
      <c r="PP7" s="363">
        <f t="shared" ca="1" si="59"/>
        <v>1.1370619595304613E-2</v>
      </c>
      <c r="PQ7" s="363">
        <f t="shared" ca="1" si="59"/>
        <v>1.1941358223827277E-2</v>
      </c>
      <c r="PR7" s="363">
        <f t="shared" ca="1" si="59"/>
        <v>1.1752666250407232E-2</v>
      </c>
      <c r="PS7" s="363">
        <f t="shared" ca="1" si="59"/>
        <v>1.2365681781844374E-2</v>
      </c>
      <c r="PT7" s="363">
        <f t="shared" ca="1" si="59"/>
        <v>1.0684451652543484E-2</v>
      </c>
      <c r="PU7" s="363">
        <f t="shared" ca="1" si="59"/>
        <v>1.118184167611419E-2</v>
      </c>
      <c r="PV7" s="363">
        <f t="shared" ca="1" si="59"/>
        <v>1.2850374474277837E-2</v>
      </c>
      <c r="PW7" s="363">
        <f t="shared" ca="1" si="59"/>
        <v>1.265543211343112E-2</v>
      </c>
      <c r="PX7" s="363">
        <f t="shared" ca="1" si="59"/>
        <v>1.0440672096314312E-2</v>
      </c>
      <c r="PY7" s="363">
        <f t="shared" ca="1" si="59"/>
        <v>1.2239846976952471E-2</v>
      </c>
      <c r="PZ7" s="363">
        <f t="shared" ca="1" si="59"/>
        <v>1.2735528372030736E-2</v>
      </c>
      <c r="QA7" s="363">
        <f t="shared" ca="1" si="59"/>
        <v>1.429738592655283E-2</v>
      </c>
      <c r="QB7" s="363">
        <f t="shared" ca="1" si="59"/>
        <v>1.3733713874538034E-2</v>
      </c>
      <c r="QC7" s="363">
        <f t="shared" ca="1" si="59"/>
        <v>1.3838758168101539E-2</v>
      </c>
      <c r="QD7" s="363">
        <f t="shared" ca="1" si="59"/>
        <v>1.3554762403878096E-2</v>
      </c>
      <c r="QE7" s="363">
        <f t="shared" ca="1" si="59"/>
        <v>1.3164635300027427E-2</v>
      </c>
      <c r="QF7" s="363">
        <f t="shared" ca="1" si="59"/>
        <v>1.2553816892325598E-2</v>
      </c>
      <c r="QG7" s="363">
        <f t="shared" ca="1" si="59"/>
        <v>1.2748934444098636E-2</v>
      </c>
      <c r="QH7" s="363">
        <f t="shared" ca="1" si="59"/>
        <v>1.3067974425523543E-2</v>
      </c>
      <c r="QI7" s="363">
        <f t="shared" ca="1" si="59"/>
        <v>1.0856954844967339E-2</v>
      </c>
      <c r="QJ7" s="363">
        <f t="shared" ca="1" si="59"/>
        <v>1.1221855805295973E-2</v>
      </c>
      <c r="QK7" s="363">
        <f t="shared" ca="1" si="59"/>
        <v>1.3022419623144321E-2</v>
      </c>
      <c r="QL7" s="363">
        <f t="shared" ca="1" si="59"/>
        <v>1.2550475133473848E-2</v>
      </c>
      <c r="QM7" s="363">
        <f t="shared" ca="1" si="59"/>
        <v>1.4182693405357827E-2</v>
      </c>
      <c r="QN7" s="363">
        <f t="shared" ca="1" si="59"/>
        <v>1.2759230384026377E-2</v>
      </c>
      <c r="QO7" s="363">
        <f t="shared" ca="1" si="59"/>
        <v>1.2188322131019197E-2</v>
      </c>
      <c r="QP7" s="363">
        <f t="shared" ca="1" si="59"/>
        <v>1.2002157558679909E-2</v>
      </c>
      <c r="QQ7" s="363">
        <f t="shared" ca="1" si="59"/>
        <v>1.2906131465674431E-2</v>
      </c>
      <c r="QR7" s="363">
        <f t="shared" ca="1" si="59"/>
        <v>1.1943509407920798E-2</v>
      </c>
      <c r="QS7" s="363">
        <f t="shared" ca="1" si="59"/>
        <v>1.1329013439309872E-2</v>
      </c>
      <c r="QT7" s="363">
        <f t="shared" ca="1" si="59"/>
        <v>1.2265542488134632E-2</v>
      </c>
      <c r="QU7" s="363">
        <f t="shared" ca="1" si="59"/>
        <v>1.1028872593915941E-2</v>
      </c>
      <c r="QV7" s="363">
        <f t="shared" ca="1" si="59"/>
        <v>1.3107733048493553E-2</v>
      </c>
      <c r="QW7" s="363">
        <f t="shared" ca="1" si="59"/>
        <v>1.1581754754791994E-2</v>
      </c>
      <c r="QX7" s="363">
        <f t="shared" ca="1" si="59"/>
        <v>1.4702621566246799E-2</v>
      </c>
      <c r="QY7" s="363">
        <f t="shared" ca="1" si="59"/>
        <v>1.3410868815442067E-2</v>
      </c>
      <c r="QZ7" s="363">
        <f t="shared" ca="1" si="59"/>
        <v>1.2137099219000901E-2</v>
      </c>
      <c r="RA7" s="363">
        <f t="shared" ca="1" si="59"/>
        <v>1.168551673943485E-2</v>
      </c>
      <c r="RB7" s="363">
        <f t="shared" ca="1" si="59"/>
        <v>1.3141168655600222E-2</v>
      </c>
      <c r="RC7" s="363">
        <f t="shared" ca="1" si="59"/>
        <v>1.3384410809802905E-2</v>
      </c>
      <c r="RD7" s="363">
        <f t="shared" ca="1" si="59"/>
        <v>1.2953720744542929E-2</v>
      </c>
      <c r="RE7" s="363">
        <f t="shared" ca="1" si="59"/>
        <v>1.2124846463342194E-2</v>
      </c>
      <c r="RF7" s="363">
        <f t="shared" ca="1" si="59"/>
        <v>1.4166478667931748E-2</v>
      </c>
      <c r="RG7" s="363">
        <f t="shared" ca="1" si="59"/>
        <v>1.1773972551172809E-2</v>
      </c>
      <c r="RH7" s="363">
        <f t="shared" ca="1" si="59"/>
        <v>1.117092345193103E-2</v>
      </c>
      <c r="RI7" s="363">
        <f t="shared" ca="1" si="59"/>
        <v>1.3700745221972066E-2</v>
      </c>
      <c r="RJ7" s="363">
        <f t="shared" ref="RJ7:SR7" ca="1" si="60">_xlfn.BETA.INV(RAND(),$I$7,$J$7)</f>
        <v>1.0800123144191242E-2</v>
      </c>
      <c r="RK7" s="363">
        <f t="shared" ca="1" si="60"/>
        <v>1.2940917734131641E-2</v>
      </c>
      <c r="RL7" s="363">
        <f t="shared" ca="1" si="60"/>
        <v>1.330860287906932E-2</v>
      </c>
      <c r="RM7" s="363">
        <f t="shared" ca="1" si="60"/>
        <v>1.1999824407286579E-2</v>
      </c>
      <c r="RN7" s="363">
        <f t="shared" ca="1" si="60"/>
        <v>1.3165319701238354E-2</v>
      </c>
      <c r="RO7" s="363">
        <f t="shared" ca="1" si="60"/>
        <v>1.217738829400611E-2</v>
      </c>
      <c r="RP7" s="363">
        <f t="shared" ca="1" si="60"/>
        <v>1.1360354993075137E-2</v>
      </c>
      <c r="RQ7" s="363">
        <f t="shared" ca="1" si="60"/>
        <v>1.0608222134080922E-2</v>
      </c>
      <c r="RR7" s="363">
        <f t="shared" ca="1" si="60"/>
        <v>1.2237676502074604E-2</v>
      </c>
      <c r="RS7" s="363">
        <f t="shared" ca="1" si="60"/>
        <v>1.2443974857761608E-2</v>
      </c>
      <c r="RT7" s="363">
        <f t="shared" ca="1" si="60"/>
        <v>1.4166233374641624E-2</v>
      </c>
      <c r="RU7" s="363">
        <f t="shared" ca="1" si="60"/>
        <v>1.0995938220945578E-2</v>
      </c>
      <c r="RV7" s="363">
        <f t="shared" ca="1" si="60"/>
        <v>1.3759907279494388E-2</v>
      </c>
      <c r="RW7" s="363">
        <f t="shared" ca="1" si="60"/>
        <v>1.1276851051341182E-2</v>
      </c>
      <c r="RX7" s="363">
        <f t="shared" ca="1" si="60"/>
        <v>1.1598941673236598E-2</v>
      </c>
      <c r="RY7" s="363">
        <f t="shared" ca="1" si="60"/>
        <v>1.3176703425054281E-2</v>
      </c>
      <c r="RZ7" s="363">
        <f t="shared" ca="1" si="60"/>
        <v>1.1887382064672545E-2</v>
      </c>
      <c r="SA7" s="363">
        <f t="shared" ca="1" si="60"/>
        <v>1.4003314485471097E-2</v>
      </c>
      <c r="SB7" s="363">
        <f t="shared" ca="1" si="60"/>
        <v>1.2559079569581355E-2</v>
      </c>
      <c r="SC7" s="363">
        <f t="shared" ca="1" si="60"/>
        <v>1.1800241893260894E-2</v>
      </c>
      <c r="SD7" s="363">
        <f t="shared" ca="1" si="60"/>
        <v>1.1441354017674585E-2</v>
      </c>
      <c r="SE7" s="363">
        <f t="shared" ca="1" si="60"/>
        <v>1.1415522054203152E-2</v>
      </c>
      <c r="SF7" s="363">
        <f t="shared" ca="1" si="60"/>
        <v>1.2647173337851592E-2</v>
      </c>
      <c r="SG7" s="363">
        <f t="shared" ca="1" si="60"/>
        <v>1.3466627659059593E-2</v>
      </c>
      <c r="SH7" s="363">
        <f t="shared" ca="1" si="60"/>
        <v>1.2648795728439133E-2</v>
      </c>
      <c r="SI7" s="363">
        <f t="shared" ca="1" si="60"/>
        <v>1.0410821925180818E-2</v>
      </c>
      <c r="SJ7" s="363">
        <f t="shared" ca="1" si="60"/>
        <v>1.2266433815041257E-2</v>
      </c>
      <c r="SK7" s="363">
        <f t="shared" ca="1" si="60"/>
        <v>1.3122370160585817E-2</v>
      </c>
      <c r="SL7" s="363">
        <f t="shared" ca="1" si="60"/>
        <v>1.1541306538724979E-2</v>
      </c>
      <c r="SM7" s="363">
        <f t="shared" ca="1" si="60"/>
        <v>1.2907266509564752E-2</v>
      </c>
      <c r="SN7" s="363">
        <f t="shared" ca="1" si="60"/>
        <v>1.1541357811883984E-2</v>
      </c>
      <c r="SO7" s="363">
        <f t="shared" ca="1" si="60"/>
        <v>1.4596275792187585E-2</v>
      </c>
      <c r="SP7" s="363">
        <f t="shared" ca="1" si="60"/>
        <v>1.4569284869863752E-2</v>
      </c>
      <c r="SQ7" s="363">
        <f t="shared" ca="1" si="60"/>
        <v>1.0525493571869625E-2</v>
      </c>
      <c r="SR7" s="363">
        <f t="shared" ca="1" si="60"/>
        <v>1.1885714546500005E-2</v>
      </c>
      <c r="SS7" s="363">
        <f ca="1">_xlfn.BETA.INV(RAND(),$I$7,$J$7)</f>
        <v>1.2553118827993481E-2</v>
      </c>
      <c r="ST7" s="363">
        <f t="shared" ref="ST7:VE7" ca="1" si="61">_xlfn.BETA.INV(RAND(),$I$7,$J$7)</f>
        <v>1.1901643637617114E-2</v>
      </c>
      <c r="SU7" s="363">
        <f t="shared" ca="1" si="61"/>
        <v>1.2326468214306959E-2</v>
      </c>
      <c r="SV7" s="363">
        <f t="shared" ca="1" si="61"/>
        <v>1.1930915988867665E-2</v>
      </c>
      <c r="SW7" s="363">
        <f t="shared" ca="1" si="61"/>
        <v>1.3461446607003325E-2</v>
      </c>
      <c r="SX7" s="363">
        <f t="shared" ca="1" si="61"/>
        <v>1.1927847212652045E-2</v>
      </c>
      <c r="SY7" s="363">
        <f t="shared" ca="1" si="61"/>
        <v>1.2682799950898938E-2</v>
      </c>
      <c r="SZ7" s="363">
        <f t="shared" ca="1" si="61"/>
        <v>1.3327091955678938E-2</v>
      </c>
      <c r="TA7" s="363">
        <f t="shared" ca="1" si="61"/>
        <v>1.210218940610016E-2</v>
      </c>
      <c r="TB7" s="363">
        <f t="shared" ca="1" si="61"/>
        <v>1.4873142852428467E-2</v>
      </c>
      <c r="TC7" s="363">
        <f t="shared" ca="1" si="61"/>
        <v>1.3457959358816662E-2</v>
      </c>
      <c r="TD7" s="363">
        <f t="shared" ca="1" si="61"/>
        <v>1.348812920083331E-2</v>
      </c>
      <c r="TE7" s="363">
        <f t="shared" ca="1" si="61"/>
        <v>1.0495081844500015E-2</v>
      </c>
      <c r="TF7" s="363">
        <f t="shared" ca="1" si="61"/>
        <v>1.1906877013994508E-2</v>
      </c>
      <c r="TG7" s="363">
        <f t="shared" ca="1" si="61"/>
        <v>1.2102029343000002E-2</v>
      </c>
      <c r="TH7" s="363">
        <f t="shared" ca="1" si="61"/>
        <v>1.1687526586412211E-2</v>
      </c>
      <c r="TI7" s="363">
        <f t="shared" ca="1" si="61"/>
        <v>1.0698037390753692E-2</v>
      </c>
      <c r="TJ7" s="363">
        <f t="shared" ca="1" si="61"/>
        <v>1.2908108609334557E-2</v>
      </c>
      <c r="TK7" s="363">
        <f t="shared" ca="1" si="61"/>
        <v>1.3083521465412029E-2</v>
      </c>
      <c r="TL7" s="363">
        <f t="shared" ca="1" si="61"/>
        <v>1.0678966891382256E-2</v>
      </c>
      <c r="TM7" s="363">
        <f t="shared" ca="1" si="61"/>
        <v>1.1617801275339824E-2</v>
      </c>
      <c r="TN7" s="363">
        <f t="shared" ca="1" si="61"/>
        <v>1.1372420038396343E-2</v>
      </c>
      <c r="TO7" s="363">
        <f t="shared" ca="1" si="61"/>
        <v>1.3843937855899879E-2</v>
      </c>
      <c r="TP7" s="363">
        <f t="shared" ca="1" si="61"/>
        <v>1.1362150272343944E-2</v>
      </c>
      <c r="TQ7" s="363">
        <f t="shared" ca="1" si="61"/>
        <v>1.126102412382755E-2</v>
      </c>
      <c r="TR7" s="363">
        <f t="shared" ca="1" si="61"/>
        <v>1.0480877774768148E-2</v>
      </c>
      <c r="TS7" s="363">
        <f t="shared" ca="1" si="61"/>
        <v>1.3198131183515649E-2</v>
      </c>
      <c r="TT7" s="363">
        <f t="shared" ca="1" si="61"/>
        <v>1.3740031542641473E-2</v>
      </c>
      <c r="TU7" s="363">
        <f t="shared" ca="1" si="61"/>
        <v>1.3438947787475453E-2</v>
      </c>
      <c r="TV7" s="363">
        <f t="shared" ca="1" si="61"/>
        <v>1.2485750904054127E-2</v>
      </c>
      <c r="TW7" s="363">
        <f t="shared" ca="1" si="61"/>
        <v>1.2628849550335719E-2</v>
      </c>
      <c r="TX7" s="363">
        <f t="shared" ca="1" si="61"/>
        <v>1.2214889573342944E-2</v>
      </c>
      <c r="TY7" s="363">
        <f t="shared" ca="1" si="61"/>
        <v>1.2976942134490854E-2</v>
      </c>
      <c r="TZ7" s="363">
        <f t="shared" ca="1" si="61"/>
        <v>1.3445756769885908E-2</v>
      </c>
      <c r="UA7" s="363">
        <f t="shared" ca="1" si="61"/>
        <v>1.1185508864609903E-2</v>
      </c>
      <c r="UB7" s="363">
        <f t="shared" ca="1" si="61"/>
        <v>1.2257179127303565E-2</v>
      </c>
      <c r="UC7" s="363">
        <f t="shared" ca="1" si="61"/>
        <v>1.3689530765410018E-2</v>
      </c>
      <c r="UD7" s="363">
        <f t="shared" ca="1" si="61"/>
        <v>1.2594207079589914E-2</v>
      </c>
      <c r="UE7" s="363">
        <f t="shared" ca="1" si="61"/>
        <v>1.1705122043726037E-2</v>
      </c>
      <c r="UF7" s="363">
        <f t="shared" ca="1" si="61"/>
        <v>1.090418418374256E-2</v>
      </c>
      <c r="UG7" s="363">
        <f t="shared" ca="1" si="61"/>
        <v>1.1828408294095932E-2</v>
      </c>
      <c r="UH7" s="363">
        <f t="shared" ca="1" si="61"/>
        <v>1.1855905780418308E-2</v>
      </c>
      <c r="UI7" s="363">
        <f t="shared" ca="1" si="61"/>
        <v>1.1184444753839446E-2</v>
      </c>
      <c r="UJ7" s="363">
        <f t="shared" ca="1" si="61"/>
        <v>1.1784918381256546E-2</v>
      </c>
      <c r="UK7" s="363">
        <f t="shared" ca="1" si="61"/>
        <v>1.150167606904156E-2</v>
      </c>
      <c r="UL7" s="363">
        <f t="shared" ca="1" si="61"/>
        <v>1.0679230194565181E-2</v>
      </c>
      <c r="UM7" s="363">
        <f t="shared" ca="1" si="61"/>
        <v>1.4169341519014056E-2</v>
      </c>
      <c r="UN7" s="363">
        <f t="shared" ca="1" si="61"/>
        <v>1.2534139729150073E-2</v>
      </c>
      <c r="UO7" s="363">
        <f t="shared" ca="1" si="61"/>
        <v>1.2153918203693215E-2</v>
      </c>
      <c r="UP7" s="363">
        <f t="shared" ca="1" si="61"/>
        <v>1.2613883038237184E-2</v>
      </c>
      <c r="UQ7" s="363">
        <f t="shared" ca="1" si="61"/>
        <v>1.15954663315094E-2</v>
      </c>
      <c r="UR7" s="363">
        <f t="shared" ca="1" si="61"/>
        <v>1.0693666944629759E-2</v>
      </c>
      <c r="US7" s="363">
        <f t="shared" ca="1" si="61"/>
        <v>1.1318705853396373E-2</v>
      </c>
      <c r="UT7" s="363">
        <f t="shared" ca="1" si="61"/>
        <v>1.2509039608880834E-2</v>
      </c>
      <c r="UU7" s="363">
        <f t="shared" ca="1" si="61"/>
        <v>1.217775843369851E-2</v>
      </c>
      <c r="UV7" s="363">
        <f t="shared" ca="1" si="61"/>
        <v>1.2025068379149434E-2</v>
      </c>
      <c r="UW7" s="363">
        <f t="shared" ca="1" si="61"/>
        <v>1.3129533774437485E-2</v>
      </c>
      <c r="UX7" s="363">
        <f t="shared" ca="1" si="61"/>
        <v>1.2190192322825744E-2</v>
      </c>
      <c r="UY7" s="363">
        <f t="shared" ca="1" si="61"/>
        <v>1.1999796979374816E-2</v>
      </c>
      <c r="UZ7" s="363">
        <f t="shared" ca="1" si="61"/>
        <v>1.2019404537232763E-2</v>
      </c>
      <c r="VA7" s="363">
        <f t="shared" ca="1" si="61"/>
        <v>1.2428971514887421E-2</v>
      </c>
      <c r="VB7" s="363">
        <f t="shared" ca="1" si="61"/>
        <v>1.1967276451995502E-2</v>
      </c>
      <c r="VC7" s="363">
        <f t="shared" ca="1" si="61"/>
        <v>1.3359378994907023E-2</v>
      </c>
      <c r="VD7" s="363">
        <f t="shared" ca="1" si="61"/>
        <v>1.3652051835329138E-2</v>
      </c>
      <c r="VE7" s="363">
        <f t="shared" ca="1" si="61"/>
        <v>1.227514125388237E-2</v>
      </c>
      <c r="VF7" s="363">
        <f t="shared" ref="VF7:WN7" ca="1" si="62">_xlfn.BETA.INV(RAND(),$I$7,$J$7)</f>
        <v>1.2669311067301847E-2</v>
      </c>
      <c r="VG7" s="363">
        <f t="shared" ca="1" si="62"/>
        <v>1.2068400624493698E-2</v>
      </c>
      <c r="VH7" s="363">
        <f t="shared" ca="1" si="62"/>
        <v>1.3327523177984135E-2</v>
      </c>
      <c r="VI7" s="363">
        <f t="shared" ca="1" si="62"/>
        <v>1.2106345760001039E-2</v>
      </c>
      <c r="VJ7" s="363">
        <f t="shared" ca="1" si="62"/>
        <v>1.1613670342961095E-2</v>
      </c>
      <c r="VK7" s="363">
        <f t="shared" ca="1" si="62"/>
        <v>1.176121691464432E-2</v>
      </c>
      <c r="VL7" s="363">
        <f t="shared" ca="1" si="62"/>
        <v>1.3316665615428991E-2</v>
      </c>
      <c r="VM7" s="363">
        <f t="shared" ca="1" si="62"/>
        <v>9.5779780969755274E-3</v>
      </c>
      <c r="VN7" s="363">
        <f t="shared" ca="1" si="62"/>
        <v>1.0889235798031641E-2</v>
      </c>
      <c r="VO7" s="363">
        <f t="shared" ca="1" si="62"/>
        <v>1.2937831310257275E-2</v>
      </c>
      <c r="VP7" s="363">
        <f t="shared" ca="1" si="62"/>
        <v>1.21159790442262E-2</v>
      </c>
      <c r="VQ7" s="363">
        <f t="shared" ca="1" si="62"/>
        <v>1.4305241888479814E-2</v>
      </c>
      <c r="VR7" s="363">
        <f t="shared" ca="1" si="62"/>
        <v>1.0246617095628935E-2</v>
      </c>
      <c r="VS7" s="363">
        <f t="shared" ca="1" si="62"/>
        <v>1.1510761872609231E-2</v>
      </c>
      <c r="VT7" s="363">
        <f t="shared" ca="1" si="62"/>
        <v>1.2693321592625928E-2</v>
      </c>
      <c r="VU7" s="363">
        <f t="shared" ca="1" si="62"/>
        <v>1.123053490816228E-2</v>
      </c>
      <c r="VV7" s="363">
        <f t="shared" ca="1" si="62"/>
        <v>1.287420903021097E-2</v>
      </c>
      <c r="VW7" s="363">
        <f t="shared" ca="1" si="62"/>
        <v>1.2430968255486619E-2</v>
      </c>
      <c r="VX7" s="363">
        <f t="shared" ca="1" si="62"/>
        <v>1.254171691436945E-2</v>
      </c>
      <c r="VY7" s="363">
        <f t="shared" ca="1" si="62"/>
        <v>1.2019920412769938E-2</v>
      </c>
      <c r="VZ7" s="363">
        <f t="shared" ca="1" si="62"/>
        <v>1.2902795949292778E-2</v>
      </c>
      <c r="WA7" s="363">
        <f t="shared" ca="1" si="62"/>
        <v>1.3965566543501451E-2</v>
      </c>
      <c r="WB7" s="363">
        <f t="shared" ca="1" si="62"/>
        <v>1.4837005547249871E-2</v>
      </c>
      <c r="WC7" s="363">
        <f t="shared" ca="1" si="62"/>
        <v>1.2476105960432471E-2</v>
      </c>
      <c r="WD7" s="363">
        <f t="shared" ca="1" si="62"/>
        <v>1.3391209409718829E-2</v>
      </c>
      <c r="WE7" s="363">
        <f t="shared" ca="1" si="62"/>
        <v>1.1853151637835983E-2</v>
      </c>
      <c r="WF7" s="363">
        <f t="shared" ca="1" si="62"/>
        <v>1.3898246173587703E-2</v>
      </c>
      <c r="WG7" s="363">
        <f t="shared" ca="1" si="62"/>
        <v>1.1212479024648109E-2</v>
      </c>
      <c r="WH7" s="363">
        <f t="shared" ca="1" si="62"/>
        <v>1.2631333711182968E-2</v>
      </c>
      <c r="WI7" s="363">
        <f t="shared" ca="1" si="62"/>
        <v>1.0756787250981965E-2</v>
      </c>
      <c r="WJ7" s="363">
        <f t="shared" ca="1" si="62"/>
        <v>1.4360814443091452E-2</v>
      </c>
      <c r="WK7" s="363">
        <f t="shared" ca="1" si="62"/>
        <v>1.3202057657210498E-2</v>
      </c>
      <c r="WL7" s="363">
        <f t="shared" ca="1" si="62"/>
        <v>1.0568051535040696E-2</v>
      </c>
      <c r="WM7" s="363">
        <f t="shared" ca="1" si="62"/>
        <v>1.3051095812103619E-2</v>
      </c>
      <c r="WN7" s="363">
        <f t="shared" ca="1" si="62"/>
        <v>1.2442019714662189E-2</v>
      </c>
    </row>
    <row r="8" spans="2:612" x14ac:dyDescent="0.15">
      <c r="B8" s="466" t="s">
        <v>875</v>
      </c>
      <c r="D8" s="363">
        <f t="shared" si="0"/>
        <v>2.1999999999999999E-2</v>
      </c>
      <c r="F8" s="363">
        <v>2.1999999999999999E-2</v>
      </c>
      <c r="G8" s="367">
        <v>1023</v>
      </c>
      <c r="H8" s="363">
        <v>4.5860939877542988E-3</v>
      </c>
      <c r="I8" s="438">
        <f>F8*G8</f>
        <v>22.506</v>
      </c>
      <c r="J8" s="438">
        <f>G8-I8</f>
        <v>1000.494</v>
      </c>
      <c r="K8" s="367" t="s">
        <v>1273</v>
      </c>
      <c r="M8" s="363">
        <f ca="1">_xlfn.BETA.INV(RAND(),$I$8,$J$8)</f>
        <v>2.0137880892969279E-2</v>
      </c>
      <c r="N8" s="363">
        <f t="shared" ref="N8:BY8" ca="1" si="63">_xlfn.BETA.INV(RAND(),$I$8,$J$8)</f>
        <v>2.4678179948316226E-2</v>
      </c>
      <c r="O8" s="363">
        <f t="shared" ca="1" si="63"/>
        <v>1.9165718742548108E-2</v>
      </c>
      <c r="P8" s="363">
        <f t="shared" ca="1" si="63"/>
        <v>1.7182032835593098E-2</v>
      </c>
      <c r="Q8" s="363">
        <f t="shared" ca="1" si="63"/>
        <v>2.015370752386527E-2</v>
      </c>
      <c r="R8" s="363">
        <f t="shared" ca="1" si="63"/>
        <v>2.7389146532057151E-2</v>
      </c>
      <c r="S8" s="363">
        <f t="shared" ca="1" si="63"/>
        <v>2.4934774802788717E-2</v>
      </c>
      <c r="T8" s="363">
        <f t="shared" ca="1" si="63"/>
        <v>2.2725919513972181E-2</v>
      </c>
      <c r="U8" s="363">
        <f t="shared" ca="1" si="63"/>
        <v>2.1818488699583583E-2</v>
      </c>
      <c r="V8" s="363">
        <f t="shared" ca="1" si="63"/>
        <v>2.1561582581748628E-2</v>
      </c>
      <c r="W8" s="363">
        <f t="shared" ca="1" si="63"/>
        <v>2.1624261488015759E-2</v>
      </c>
      <c r="X8" s="363">
        <f t="shared" ca="1" si="63"/>
        <v>2.4565084260034897E-2</v>
      </c>
      <c r="Y8" s="363">
        <f t="shared" ca="1" si="63"/>
        <v>1.6037923541101593E-2</v>
      </c>
      <c r="Z8" s="363">
        <f t="shared" ca="1" si="63"/>
        <v>2.1675278089538928E-2</v>
      </c>
      <c r="AA8" s="363">
        <f t="shared" ca="1" si="63"/>
        <v>2.2438995527878869E-2</v>
      </c>
      <c r="AB8" s="363">
        <f t="shared" ca="1" si="63"/>
        <v>1.7695934161558527E-2</v>
      </c>
      <c r="AC8" s="363">
        <f t="shared" ca="1" si="63"/>
        <v>2.4929887885673074E-2</v>
      </c>
      <c r="AD8" s="363">
        <f t="shared" ca="1" si="63"/>
        <v>2.9984566186977202E-2</v>
      </c>
      <c r="AE8" s="363">
        <f t="shared" ca="1" si="63"/>
        <v>3.1060276846617052E-2</v>
      </c>
      <c r="AF8" s="363">
        <f t="shared" ca="1" si="63"/>
        <v>2.2498825577881187E-2</v>
      </c>
      <c r="AG8" s="363">
        <f t="shared" ca="1" si="63"/>
        <v>2.9073547700864011E-2</v>
      </c>
      <c r="AH8" s="363">
        <f t="shared" ca="1" si="63"/>
        <v>2.4732590660348053E-2</v>
      </c>
      <c r="AI8" s="363">
        <f t="shared" ca="1" si="63"/>
        <v>2.1157597560245506E-2</v>
      </c>
      <c r="AJ8" s="363">
        <f t="shared" ca="1" si="63"/>
        <v>1.9693009638212609E-2</v>
      </c>
      <c r="AK8" s="363">
        <f t="shared" ca="1" si="63"/>
        <v>2.1294136791527404E-2</v>
      </c>
      <c r="AL8" s="363">
        <f t="shared" ca="1" si="63"/>
        <v>1.3442614663237524E-2</v>
      </c>
      <c r="AM8" s="363">
        <f t="shared" ca="1" si="63"/>
        <v>1.7182307323281673E-2</v>
      </c>
      <c r="AN8" s="363">
        <f t="shared" ca="1" si="63"/>
        <v>2.6360130749242594E-2</v>
      </c>
      <c r="AO8" s="363">
        <f t="shared" ca="1" si="63"/>
        <v>2.0427236837598381E-2</v>
      </c>
      <c r="AP8" s="363">
        <f t="shared" ca="1" si="63"/>
        <v>1.9936594112418677E-2</v>
      </c>
      <c r="AQ8" s="363">
        <f t="shared" ca="1" si="63"/>
        <v>2.2114605496696638E-2</v>
      </c>
      <c r="AR8" s="363">
        <f t="shared" ca="1" si="63"/>
        <v>2.1983936604835108E-2</v>
      </c>
      <c r="AS8" s="363">
        <f t="shared" ca="1" si="63"/>
        <v>2.3980303581576545E-2</v>
      </c>
      <c r="AT8" s="363">
        <f t="shared" ca="1" si="63"/>
        <v>2.4115002178345724E-2</v>
      </c>
      <c r="AU8" s="363">
        <f t="shared" ca="1" si="63"/>
        <v>1.5967687217242385E-2</v>
      </c>
      <c r="AV8" s="363">
        <f t="shared" ca="1" si="63"/>
        <v>1.6989253940159283E-2</v>
      </c>
      <c r="AW8" s="363">
        <f t="shared" ca="1" si="63"/>
        <v>2.0084421887617391E-2</v>
      </c>
      <c r="AX8" s="363">
        <f t="shared" ca="1" si="63"/>
        <v>2.0077805180014788E-2</v>
      </c>
      <c r="AY8" s="363">
        <f t="shared" ca="1" si="63"/>
        <v>1.5451320005066084E-2</v>
      </c>
      <c r="AZ8" s="363">
        <f t="shared" ca="1" si="63"/>
        <v>2.620437264883857E-2</v>
      </c>
      <c r="BA8" s="363">
        <f t="shared" ca="1" si="63"/>
        <v>2.340980913962587E-2</v>
      </c>
      <c r="BB8" s="363">
        <f t="shared" ca="1" si="63"/>
        <v>2.2253514943990416E-2</v>
      </c>
      <c r="BC8" s="363">
        <f t="shared" ca="1" si="63"/>
        <v>2.7491067765649468E-2</v>
      </c>
      <c r="BD8" s="363">
        <f t="shared" ca="1" si="63"/>
        <v>1.499672689265825E-2</v>
      </c>
      <c r="BE8" s="363">
        <f t="shared" ca="1" si="63"/>
        <v>2.2028022906516509E-2</v>
      </c>
      <c r="BF8" s="363">
        <f t="shared" ca="1" si="63"/>
        <v>2.066202713301396E-2</v>
      </c>
      <c r="BG8" s="363">
        <f t="shared" ca="1" si="63"/>
        <v>2.2899349253657775E-2</v>
      </c>
      <c r="BH8" s="363">
        <f t="shared" ca="1" si="63"/>
        <v>2.1161675863977027E-2</v>
      </c>
      <c r="BI8" s="363">
        <f t="shared" ca="1" si="63"/>
        <v>2.3600126458642845E-2</v>
      </c>
      <c r="BJ8" s="363">
        <f t="shared" ca="1" si="63"/>
        <v>2.2306846972546923E-2</v>
      </c>
      <c r="BK8" s="363">
        <f t="shared" ca="1" si="63"/>
        <v>2.0867876625091347E-2</v>
      </c>
      <c r="BL8" s="363">
        <f t="shared" ca="1" si="63"/>
        <v>3.0848648285596747E-2</v>
      </c>
      <c r="BM8" s="363">
        <f t="shared" ca="1" si="63"/>
        <v>2.076449170507293E-2</v>
      </c>
      <c r="BN8" s="363">
        <f t="shared" ca="1" si="63"/>
        <v>2.2538628258337301E-2</v>
      </c>
      <c r="BO8" s="363">
        <f t="shared" ca="1" si="63"/>
        <v>2.3108095361590197E-2</v>
      </c>
      <c r="BP8" s="363">
        <f t="shared" ca="1" si="63"/>
        <v>1.9171039153582647E-2</v>
      </c>
      <c r="BQ8" s="363">
        <f t="shared" ca="1" si="63"/>
        <v>1.5929228085587641E-2</v>
      </c>
      <c r="BR8" s="363">
        <f t="shared" ca="1" si="63"/>
        <v>2.5163171159756859E-2</v>
      </c>
      <c r="BS8" s="363">
        <f t="shared" ca="1" si="63"/>
        <v>1.5694626385611816E-2</v>
      </c>
      <c r="BT8" s="363">
        <f t="shared" ca="1" si="63"/>
        <v>2.0706870303098805E-2</v>
      </c>
      <c r="BU8" s="363">
        <f t="shared" ca="1" si="63"/>
        <v>1.6834461976179972E-2</v>
      </c>
      <c r="BV8" s="363">
        <f t="shared" ca="1" si="63"/>
        <v>1.8294001137133933E-2</v>
      </c>
      <c r="BW8" s="363">
        <f t="shared" ca="1" si="63"/>
        <v>3.117939748876708E-2</v>
      </c>
      <c r="BX8" s="363">
        <f t="shared" ca="1" si="63"/>
        <v>2.1456405019634611E-2</v>
      </c>
      <c r="BY8" s="363">
        <f t="shared" ca="1" si="63"/>
        <v>2.0223679476254381E-2</v>
      </c>
      <c r="BZ8" s="363">
        <f t="shared" ref="BZ8:DH8" ca="1" si="64">_xlfn.BETA.INV(RAND(),$I$8,$J$8)</f>
        <v>2.3715234368963167E-2</v>
      </c>
      <c r="CA8" s="363">
        <f t="shared" ca="1" si="64"/>
        <v>2.3195101510181226E-2</v>
      </c>
      <c r="CB8" s="363">
        <f t="shared" ca="1" si="64"/>
        <v>1.8046679168555402E-2</v>
      </c>
      <c r="CC8" s="363">
        <f t="shared" ca="1" si="64"/>
        <v>2.3254048875879896E-2</v>
      </c>
      <c r="CD8" s="363">
        <f t="shared" ca="1" si="64"/>
        <v>2.58221018782957E-2</v>
      </c>
      <c r="CE8" s="363">
        <f t="shared" ca="1" si="64"/>
        <v>2.0800448485619533E-2</v>
      </c>
      <c r="CF8" s="363">
        <f t="shared" ca="1" si="64"/>
        <v>1.6035521544264061E-2</v>
      </c>
      <c r="CG8" s="363">
        <f t="shared" ca="1" si="64"/>
        <v>2.1793661544986187E-2</v>
      </c>
      <c r="CH8" s="363">
        <f t="shared" ca="1" si="64"/>
        <v>1.9026134410660343E-2</v>
      </c>
      <c r="CI8" s="363">
        <f t="shared" ca="1" si="64"/>
        <v>2.3453985883032269E-2</v>
      </c>
      <c r="CJ8" s="363">
        <f t="shared" ca="1" si="64"/>
        <v>2.4415488061164892E-2</v>
      </c>
      <c r="CK8" s="363">
        <f t="shared" ca="1" si="64"/>
        <v>1.8708164399886935E-2</v>
      </c>
      <c r="CL8" s="363">
        <f t="shared" ca="1" si="64"/>
        <v>1.3737410206366043E-2</v>
      </c>
      <c r="CM8" s="363">
        <f t="shared" ca="1" si="64"/>
        <v>1.9331492868418745E-2</v>
      </c>
      <c r="CN8" s="363">
        <f t="shared" ca="1" si="64"/>
        <v>1.9576189087046537E-2</v>
      </c>
      <c r="CO8" s="363">
        <f t="shared" ca="1" si="64"/>
        <v>1.5468745979513053E-2</v>
      </c>
      <c r="CP8" s="363">
        <f t="shared" ca="1" si="64"/>
        <v>2.1262834481663134E-2</v>
      </c>
      <c r="CQ8" s="363">
        <f t="shared" ca="1" si="64"/>
        <v>2.3021128413072467E-2</v>
      </c>
      <c r="CR8" s="363">
        <f t="shared" ca="1" si="64"/>
        <v>2.7039412609565883E-2</v>
      </c>
      <c r="CS8" s="363">
        <f t="shared" ca="1" si="64"/>
        <v>2.0511683168370338E-2</v>
      </c>
      <c r="CT8" s="363">
        <f t="shared" ca="1" si="64"/>
        <v>2.222735613139537E-2</v>
      </c>
      <c r="CU8" s="363">
        <f t="shared" ca="1" si="64"/>
        <v>1.9691406340131556E-2</v>
      </c>
      <c r="CV8" s="363">
        <f t="shared" ca="1" si="64"/>
        <v>2.4172530495253364E-2</v>
      </c>
      <c r="CW8" s="363">
        <f t="shared" ca="1" si="64"/>
        <v>2.9626958009728255E-2</v>
      </c>
      <c r="CX8" s="363">
        <f t="shared" ca="1" si="64"/>
        <v>1.8647072645902769E-2</v>
      </c>
      <c r="CY8" s="363">
        <f t="shared" ca="1" si="64"/>
        <v>1.8151476452510477E-2</v>
      </c>
      <c r="CZ8" s="363">
        <f t="shared" ca="1" si="64"/>
        <v>1.5742386028824468E-2</v>
      </c>
      <c r="DA8" s="363">
        <f t="shared" ca="1" si="64"/>
        <v>2.4659131251038358E-2</v>
      </c>
      <c r="DB8" s="363">
        <f t="shared" ca="1" si="64"/>
        <v>2.0642298067522897E-2</v>
      </c>
      <c r="DC8" s="363">
        <f t="shared" ca="1" si="64"/>
        <v>2.0650915062530962E-2</v>
      </c>
      <c r="DD8" s="363">
        <f t="shared" ca="1" si="64"/>
        <v>2.3922629874530199E-2</v>
      </c>
      <c r="DE8" s="363">
        <f t="shared" ca="1" si="64"/>
        <v>1.9542122068174007E-2</v>
      </c>
      <c r="DF8" s="363">
        <f t="shared" ca="1" si="64"/>
        <v>3.1948442835657453E-2</v>
      </c>
      <c r="DG8" s="363">
        <f t="shared" ca="1" si="64"/>
        <v>2.3314159507156762E-2</v>
      </c>
      <c r="DH8" s="363">
        <f t="shared" ca="1" si="64"/>
        <v>2.889605092467229E-2</v>
      </c>
      <c r="DI8" s="363">
        <f ca="1">_xlfn.BETA.INV(RAND(),$I$8,$J$8)</f>
        <v>2.3758560643027282E-2</v>
      </c>
      <c r="DJ8" s="363">
        <f t="shared" ref="DJ8:FU8" ca="1" si="65">_xlfn.BETA.INV(RAND(),$I$8,$J$8)</f>
        <v>2.6134996182987869E-2</v>
      </c>
      <c r="DK8" s="363">
        <f t="shared" ca="1" si="65"/>
        <v>2.4807022572220228E-2</v>
      </c>
      <c r="DL8" s="363">
        <f t="shared" ca="1" si="65"/>
        <v>1.6600621461524141E-2</v>
      </c>
      <c r="DM8" s="363">
        <f t="shared" ca="1" si="65"/>
        <v>2.1645821916316171E-2</v>
      </c>
      <c r="DN8" s="363">
        <f t="shared" ca="1" si="65"/>
        <v>2.4888593183109431E-2</v>
      </c>
      <c r="DO8" s="363">
        <f t="shared" ca="1" si="65"/>
        <v>1.9586144146394459E-2</v>
      </c>
      <c r="DP8" s="363">
        <f t="shared" ca="1" si="65"/>
        <v>1.8440785865720524E-2</v>
      </c>
      <c r="DQ8" s="363">
        <f t="shared" ca="1" si="65"/>
        <v>2.0051181576467954E-2</v>
      </c>
      <c r="DR8" s="363">
        <f t="shared" ca="1" si="65"/>
        <v>2.1966913371648911E-2</v>
      </c>
      <c r="DS8" s="363">
        <f t="shared" ca="1" si="65"/>
        <v>2.8903099684958966E-2</v>
      </c>
      <c r="DT8" s="363">
        <f t="shared" ca="1" si="65"/>
        <v>2.1598276627696512E-2</v>
      </c>
      <c r="DU8" s="363">
        <f t="shared" ca="1" si="65"/>
        <v>1.7671603706454903E-2</v>
      </c>
      <c r="DV8" s="363">
        <f t="shared" ca="1" si="65"/>
        <v>2.3765645035782268E-2</v>
      </c>
      <c r="DW8" s="363">
        <f t="shared" ca="1" si="65"/>
        <v>2.3300905481122625E-2</v>
      </c>
      <c r="DX8" s="363">
        <f t="shared" ca="1" si="65"/>
        <v>2.2309832218410763E-2</v>
      </c>
      <c r="DY8" s="363">
        <f t="shared" ca="1" si="65"/>
        <v>1.887648681359079E-2</v>
      </c>
      <c r="DZ8" s="363">
        <f t="shared" ca="1" si="65"/>
        <v>3.011447956826141E-2</v>
      </c>
      <c r="EA8" s="363">
        <f t="shared" ca="1" si="65"/>
        <v>1.8999865633995722E-2</v>
      </c>
      <c r="EB8" s="363">
        <f t="shared" ca="1" si="65"/>
        <v>2.5141007575674501E-2</v>
      </c>
      <c r="EC8" s="363">
        <f t="shared" ca="1" si="65"/>
        <v>2.4526939125807279E-2</v>
      </c>
      <c r="ED8" s="363">
        <f t="shared" ca="1" si="65"/>
        <v>1.6957228507622123E-2</v>
      </c>
      <c r="EE8" s="363">
        <f t="shared" ca="1" si="65"/>
        <v>2.0327942856956414E-2</v>
      </c>
      <c r="EF8" s="363">
        <f t="shared" ca="1" si="65"/>
        <v>1.7061187978025884E-2</v>
      </c>
      <c r="EG8" s="363">
        <f t="shared" ca="1" si="65"/>
        <v>2.6924592709841377E-2</v>
      </c>
      <c r="EH8" s="363">
        <f t="shared" ca="1" si="65"/>
        <v>1.8609718750469711E-2</v>
      </c>
      <c r="EI8" s="363">
        <f t="shared" ca="1" si="65"/>
        <v>1.8969540389865779E-2</v>
      </c>
      <c r="EJ8" s="363">
        <f t="shared" ca="1" si="65"/>
        <v>2.9094142661101774E-2</v>
      </c>
      <c r="EK8" s="363">
        <f t="shared" ca="1" si="65"/>
        <v>2.4501729929548244E-2</v>
      </c>
      <c r="EL8" s="363">
        <f t="shared" ca="1" si="65"/>
        <v>1.7419495378136834E-2</v>
      </c>
      <c r="EM8" s="363">
        <f t="shared" ca="1" si="65"/>
        <v>2.7759268431876705E-2</v>
      </c>
      <c r="EN8" s="363">
        <f t="shared" ca="1" si="65"/>
        <v>1.7457874885875364E-2</v>
      </c>
      <c r="EO8" s="363">
        <f t="shared" ca="1" si="65"/>
        <v>2.0595438955454692E-2</v>
      </c>
      <c r="EP8" s="363">
        <f t="shared" ca="1" si="65"/>
        <v>1.4734249470223193E-2</v>
      </c>
      <c r="EQ8" s="363">
        <f t="shared" ca="1" si="65"/>
        <v>2.0959680768909944E-2</v>
      </c>
      <c r="ER8" s="363">
        <f t="shared" ca="1" si="65"/>
        <v>2.771312281288929E-2</v>
      </c>
      <c r="ES8" s="363">
        <f t="shared" ca="1" si="65"/>
        <v>2.4038069999298917E-2</v>
      </c>
      <c r="ET8" s="363">
        <f t="shared" ca="1" si="65"/>
        <v>2.7929581923966773E-2</v>
      </c>
      <c r="EU8" s="363">
        <f t="shared" ca="1" si="65"/>
        <v>1.7242313223103139E-2</v>
      </c>
      <c r="EV8" s="363">
        <f t="shared" ca="1" si="65"/>
        <v>1.9151896412300359E-2</v>
      </c>
      <c r="EW8" s="363">
        <f t="shared" ca="1" si="65"/>
        <v>3.2875368312973219E-2</v>
      </c>
      <c r="EX8" s="363">
        <f t="shared" ca="1" si="65"/>
        <v>1.2313781740836478E-2</v>
      </c>
      <c r="EY8" s="363">
        <f t="shared" ca="1" si="65"/>
        <v>2.3992357040382273E-2</v>
      </c>
      <c r="EZ8" s="363">
        <f t="shared" ca="1" si="65"/>
        <v>1.6309337277916256E-2</v>
      </c>
      <c r="FA8" s="363">
        <f t="shared" ca="1" si="65"/>
        <v>2.931671057144225E-2</v>
      </c>
      <c r="FB8" s="363">
        <f t="shared" ca="1" si="65"/>
        <v>2.7907854229445972E-2</v>
      </c>
      <c r="FC8" s="363">
        <f t="shared" ca="1" si="65"/>
        <v>2.3898920143840763E-2</v>
      </c>
      <c r="FD8" s="363">
        <f t="shared" ca="1" si="65"/>
        <v>2.1805650902032903E-2</v>
      </c>
      <c r="FE8" s="363">
        <f t="shared" ca="1" si="65"/>
        <v>1.3685133506612213E-2</v>
      </c>
      <c r="FF8" s="363">
        <f t="shared" ca="1" si="65"/>
        <v>2.1896335458723826E-2</v>
      </c>
      <c r="FG8" s="363">
        <f t="shared" ca="1" si="65"/>
        <v>2.0065394403335182E-2</v>
      </c>
      <c r="FH8" s="363">
        <f t="shared" ca="1" si="65"/>
        <v>2.3666507886507038E-2</v>
      </c>
      <c r="FI8" s="363">
        <f t="shared" ca="1" si="65"/>
        <v>3.083992737824448E-2</v>
      </c>
      <c r="FJ8" s="363">
        <f t="shared" ca="1" si="65"/>
        <v>1.5271404084108094E-2</v>
      </c>
      <c r="FK8" s="363">
        <f t="shared" ca="1" si="65"/>
        <v>1.96062458778836E-2</v>
      </c>
      <c r="FL8" s="363">
        <f t="shared" ca="1" si="65"/>
        <v>2.8267545731487154E-2</v>
      </c>
      <c r="FM8" s="363">
        <f t="shared" ca="1" si="65"/>
        <v>1.669636767698067E-2</v>
      </c>
      <c r="FN8" s="363">
        <f t="shared" ca="1" si="65"/>
        <v>1.9908596328115875E-2</v>
      </c>
      <c r="FO8" s="363">
        <f t="shared" ca="1" si="65"/>
        <v>1.57631496667133E-2</v>
      </c>
      <c r="FP8" s="363">
        <f t="shared" ca="1" si="65"/>
        <v>2.334324915437791E-2</v>
      </c>
      <c r="FQ8" s="363">
        <f t="shared" ca="1" si="65"/>
        <v>3.0162949845675913E-2</v>
      </c>
      <c r="FR8" s="363">
        <f t="shared" ca="1" si="65"/>
        <v>2.0878866868181536E-2</v>
      </c>
      <c r="FS8" s="363">
        <f t="shared" ca="1" si="65"/>
        <v>3.0708623287848624E-2</v>
      </c>
      <c r="FT8" s="363">
        <f t="shared" ca="1" si="65"/>
        <v>2.7531515640804916E-2</v>
      </c>
      <c r="FU8" s="363">
        <f t="shared" ca="1" si="65"/>
        <v>2.1641905182977782E-2</v>
      </c>
      <c r="FV8" s="363">
        <f t="shared" ref="FV8:HD8" ca="1" si="66">_xlfn.BETA.INV(RAND(),$I$8,$J$8)</f>
        <v>2.2355659435548958E-2</v>
      </c>
      <c r="FW8" s="363">
        <f t="shared" ca="1" si="66"/>
        <v>2.447318190459602E-2</v>
      </c>
      <c r="FX8" s="363">
        <f t="shared" ca="1" si="66"/>
        <v>1.7413745672487109E-2</v>
      </c>
      <c r="FY8" s="363">
        <f t="shared" ca="1" si="66"/>
        <v>2.0581803095446254E-2</v>
      </c>
      <c r="FZ8" s="363">
        <f t="shared" ca="1" si="66"/>
        <v>1.5303378367586681E-2</v>
      </c>
      <c r="GA8" s="363">
        <f t="shared" ca="1" si="66"/>
        <v>1.2159780116644895E-2</v>
      </c>
      <c r="GB8" s="363">
        <f t="shared" ca="1" si="66"/>
        <v>3.4616294942775849E-2</v>
      </c>
      <c r="GC8" s="363">
        <f t="shared" ca="1" si="66"/>
        <v>2.6618082832908008E-2</v>
      </c>
      <c r="GD8" s="363">
        <f t="shared" ca="1" si="66"/>
        <v>1.7724331893921842E-2</v>
      </c>
      <c r="GE8" s="363">
        <f t="shared" ca="1" si="66"/>
        <v>1.5532793337838793E-2</v>
      </c>
      <c r="GF8" s="363">
        <f t="shared" ca="1" si="66"/>
        <v>2.6460508205725874E-2</v>
      </c>
      <c r="GG8" s="363">
        <f t="shared" ca="1" si="66"/>
        <v>2.0480762759441721E-2</v>
      </c>
      <c r="GH8" s="363">
        <f t="shared" ca="1" si="66"/>
        <v>1.9065999625614435E-2</v>
      </c>
      <c r="GI8" s="363">
        <f t="shared" ca="1" si="66"/>
        <v>2.6378532754557815E-2</v>
      </c>
      <c r="GJ8" s="363">
        <f t="shared" ca="1" si="66"/>
        <v>2.052487255279585E-2</v>
      </c>
      <c r="GK8" s="363">
        <f t="shared" ca="1" si="66"/>
        <v>3.3920114236126175E-2</v>
      </c>
      <c r="GL8" s="363">
        <f t="shared" ca="1" si="66"/>
        <v>2.2443182507888348E-2</v>
      </c>
      <c r="GM8" s="363">
        <f t="shared" ca="1" si="66"/>
        <v>2.9149509483729519E-2</v>
      </c>
      <c r="GN8" s="363">
        <f t="shared" ca="1" si="66"/>
        <v>2.4658333066474025E-2</v>
      </c>
      <c r="GO8" s="363">
        <f t="shared" ca="1" si="66"/>
        <v>1.5296183728476171E-2</v>
      </c>
      <c r="GP8" s="363">
        <f t="shared" ca="1" si="66"/>
        <v>1.9092093969441091E-2</v>
      </c>
      <c r="GQ8" s="363">
        <f t="shared" ca="1" si="66"/>
        <v>2.4661674140789125E-2</v>
      </c>
      <c r="GR8" s="363">
        <f t="shared" ca="1" si="66"/>
        <v>1.7124246176461761E-2</v>
      </c>
      <c r="GS8" s="363">
        <f t="shared" ca="1" si="66"/>
        <v>1.2926363456163215E-2</v>
      </c>
      <c r="GT8" s="363">
        <f t="shared" ca="1" si="66"/>
        <v>2.203389270520939E-2</v>
      </c>
      <c r="GU8" s="363">
        <f t="shared" ca="1" si="66"/>
        <v>2.5603106651865937E-2</v>
      </c>
      <c r="GV8" s="363">
        <f t="shared" ca="1" si="66"/>
        <v>1.6094935599164691E-2</v>
      </c>
      <c r="GW8" s="363">
        <f t="shared" ca="1" si="66"/>
        <v>1.5119442001920648E-2</v>
      </c>
      <c r="GX8" s="363">
        <f t="shared" ca="1" si="66"/>
        <v>1.8851313218781057E-2</v>
      </c>
      <c r="GY8" s="363">
        <f t="shared" ca="1" si="66"/>
        <v>2.2226744637091289E-2</v>
      </c>
      <c r="GZ8" s="363">
        <f t="shared" ca="1" si="66"/>
        <v>2.0082590235468243E-2</v>
      </c>
      <c r="HA8" s="363">
        <f t="shared" ca="1" si="66"/>
        <v>2.0173302793170322E-2</v>
      </c>
      <c r="HB8" s="363">
        <f t="shared" ca="1" si="66"/>
        <v>2.7250995557055013E-2</v>
      </c>
      <c r="HC8" s="363">
        <f t="shared" ca="1" si="66"/>
        <v>3.0357220788726713E-2</v>
      </c>
      <c r="HD8" s="363">
        <f t="shared" ca="1" si="66"/>
        <v>2.0894759583672425E-2</v>
      </c>
      <c r="HE8" s="363">
        <f ca="1">_xlfn.BETA.INV(RAND(),$I$8,$J$8)</f>
        <v>1.7536062623944599E-2</v>
      </c>
      <c r="HF8" s="363">
        <f t="shared" ref="HF8:JQ8" ca="1" si="67">_xlfn.BETA.INV(RAND(),$I$8,$J$8)</f>
        <v>2.3399119009728131E-2</v>
      </c>
      <c r="HG8" s="363">
        <f t="shared" ca="1" si="67"/>
        <v>2.0300222911785144E-2</v>
      </c>
      <c r="HH8" s="363">
        <f t="shared" ca="1" si="67"/>
        <v>1.9532040398272599E-2</v>
      </c>
      <c r="HI8" s="363">
        <f t="shared" ca="1" si="67"/>
        <v>1.4915925841243776E-2</v>
      </c>
      <c r="HJ8" s="363">
        <f t="shared" ca="1" si="67"/>
        <v>1.961867706098272E-2</v>
      </c>
      <c r="HK8" s="363">
        <f t="shared" ca="1" si="67"/>
        <v>2.2272392016568054E-2</v>
      </c>
      <c r="HL8" s="363">
        <f t="shared" ca="1" si="67"/>
        <v>1.82997052312476E-2</v>
      </c>
      <c r="HM8" s="363">
        <f t="shared" ca="1" si="67"/>
        <v>2.5807863647512308E-2</v>
      </c>
      <c r="HN8" s="363">
        <f t="shared" ca="1" si="67"/>
        <v>1.9736550144692507E-2</v>
      </c>
      <c r="HO8" s="363">
        <f t="shared" ca="1" si="67"/>
        <v>1.9094005430811644E-2</v>
      </c>
      <c r="HP8" s="363">
        <f t="shared" ca="1" si="67"/>
        <v>1.9823240451829441E-2</v>
      </c>
      <c r="HQ8" s="363">
        <f t="shared" ca="1" si="67"/>
        <v>2.5438703740311763E-2</v>
      </c>
      <c r="HR8" s="363">
        <f t="shared" ca="1" si="67"/>
        <v>2.0969072169912614E-2</v>
      </c>
      <c r="HS8" s="363">
        <f t="shared" ca="1" si="67"/>
        <v>2.1194307982520331E-2</v>
      </c>
      <c r="HT8" s="363">
        <f t="shared" ca="1" si="67"/>
        <v>1.3817973125901023E-2</v>
      </c>
      <c r="HU8" s="363">
        <f t="shared" ca="1" si="67"/>
        <v>2.1536431978426578E-2</v>
      </c>
      <c r="HV8" s="363">
        <f t="shared" ca="1" si="67"/>
        <v>2.6389494157806337E-2</v>
      </c>
      <c r="HW8" s="363">
        <f t="shared" ca="1" si="67"/>
        <v>2.7982807230863993E-2</v>
      </c>
      <c r="HX8" s="363">
        <f t="shared" ca="1" si="67"/>
        <v>1.6760489299329953E-2</v>
      </c>
      <c r="HY8" s="363">
        <f t="shared" ca="1" si="67"/>
        <v>2.4420010474941911E-2</v>
      </c>
      <c r="HZ8" s="363">
        <f t="shared" ca="1" si="67"/>
        <v>2.2515913566697576E-2</v>
      </c>
      <c r="IA8" s="363">
        <f t="shared" ca="1" si="67"/>
        <v>1.3798164109198216E-2</v>
      </c>
      <c r="IB8" s="363">
        <f t="shared" ca="1" si="67"/>
        <v>1.9713480083104966E-2</v>
      </c>
      <c r="IC8" s="363">
        <f t="shared" ca="1" si="67"/>
        <v>2.2038992401055668E-2</v>
      </c>
      <c r="ID8" s="363">
        <f t="shared" ca="1" si="67"/>
        <v>2.3497600800259644E-2</v>
      </c>
      <c r="IE8" s="363">
        <f t="shared" ca="1" si="67"/>
        <v>2.2129027176182814E-2</v>
      </c>
      <c r="IF8" s="363">
        <f t="shared" ca="1" si="67"/>
        <v>2.315576499250882E-2</v>
      </c>
      <c r="IG8" s="363">
        <f t="shared" ca="1" si="67"/>
        <v>3.1324121121916959E-2</v>
      </c>
      <c r="IH8" s="363">
        <f t="shared" ca="1" si="67"/>
        <v>2.6389283650438355E-2</v>
      </c>
      <c r="II8" s="363">
        <f t="shared" ca="1" si="67"/>
        <v>2.572155433262524E-2</v>
      </c>
      <c r="IJ8" s="363">
        <f t="shared" ca="1" si="67"/>
        <v>1.804725482954278E-2</v>
      </c>
      <c r="IK8" s="363">
        <f t="shared" ca="1" si="67"/>
        <v>1.7872009018825442E-2</v>
      </c>
      <c r="IL8" s="363">
        <f t="shared" ca="1" si="67"/>
        <v>1.9748189401682527E-2</v>
      </c>
      <c r="IM8" s="363">
        <f t="shared" ca="1" si="67"/>
        <v>2.2797288014577699E-2</v>
      </c>
      <c r="IN8" s="363">
        <f t="shared" ca="1" si="67"/>
        <v>2.6097847591235568E-2</v>
      </c>
      <c r="IO8" s="363">
        <f t="shared" ca="1" si="67"/>
        <v>2.1659178442202328E-2</v>
      </c>
      <c r="IP8" s="363">
        <f t="shared" ca="1" si="67"/>
        <v>3.5049506998291013E-2</v>
      </c>
      <c r="IQ8" s="363">
        <f t="shared" ca="1" si="67"/>
        <v>2.0717993498954507E-2</v>
      </c>
      <c r="IR8" s="363">
        <f t="shared" ca="1" si="67"/>
        <v>2.6048924197698553E-2</v>
      </c>
      <c r="IS8" s="363">
        <f t="shared" ca="1" si="67"/>
        <v>2.6243744811530467E-2</v>
      </c>
      <c r="IT8" s="363">
        <f t="shared" ca="1" si="67"/>
        <v>2.5190362760471374E-2</v>
      </c>
      <c r="IU8" s="363">
        <f t="shared" ca="1" si="67"/>
        <v>2.9305806432403103E-2</v>
      </c>
      <c r="IV8" s="363">
        <f t="shared" ca="1" si="67"/>
        <v>1.6250634495402313E-2</v>
      </c>
      <c r="IW8" s="363">
        <f t="shared" ca="1" si="67"/>
        <v>2.2407142224614041E-2</v>
      </c>
      <c r="IX8" s="363">
        <f t="shared" ca="1" si="67"/>
        <v>2.0697951197546621E-2</v>
      </c>
      <c r="IY8" s="363">
        <f t="shared" ca="1" si="67"/>
        <v>2.6975898587878078E-2</v>
      </c>
      <c r="IZ8" s="363">
        <f t="shared" ca="1" si="67"/>
        <v>2.978791703577266E-2</v>
      </c>
      <c r="JA8" s="363">
        <f t="shared" ca="1" si="67"/>
        <v>1.6450739833581786E-2</v>
      </c>
      <c r="JB8" s="363">
        <f t="shared" ca="1" si="67"/>
        <v>2.086277955779493E-2</v>
      </c>
      <c r="JC8" s="363">
        <f t="shared" ca="1" si="67"/>
        <v>1.9162351269535215E-2</v>
      </c>
      <c r="JD8" s="363">
        <f t="shared" ca="1" si="67"/>
        <v>2.6366353112608154E-2</v>
      </c>
      <c r="JE8" s="363">
        <f t="shared" ca="1" si="67"/>
        <v>2.057306168029583E-2</v>
      </c>
      <c r="JF8" s="363">
        <f t="shared" ca="1" si="67"/>
        <v>2.1393986257778264E-2</v>
      </c>
      <c r="JG8" s="363">
        <f t="shared" ca="1" si="67"/>
        <v>2.7421984050604031E-2</v>
      </c>
      <c r="JH8" s="363">
        <f t="shared" ca="1" si="67"/>
        <v>1.8513895400388732E-2</v>
      </c>
      <c r="JI8" s="363">
        <f t="shared" ca="1" si="67"/>
        <v>1.9338290407566988E-2</v>
      </c>
      <c r="JJ8" s="363">
        <f t="shared" ca="1" si="67"/>
        <v>2.684094772162815E-2</v>
      </c>
      <c r="JK8" s="363">
        <f t="shared" ca="1" si="67"/>
        <v>2.088288117428401E-2</v>
      </c>
      <c r="JL8" s="363">
        <f t="shared" ca="1" si="67"/>
        <v>3.2888776683238308E-2</v>
      </c>
      <c r="JM8" s="363">
        <f t="shared" ca="1" si="67"/>
        <v>1.8997129904444764E-2</v>
      </c>
      <c r="JN8" s="363">
        <f t="shared" ca="1" si="67"/>
        <v>1.8738127288840903E-2</v>
      </c>
      <c r="JO8" s="363">
        <f t="shared" ca="1" si="67"/>
        <v>2.607515787460768E-2</v>
      </c>
      <c r="JP8" s="363">
        <f t="shared" ca="1" si="67"/>
        <v>2.304860461118885E-2</v>
      </c>
      <c r="JQ8" s="363">
        <f t="shared" ca="1" si="67"/>
        <v>1.9067332102688871E-2</v>
      </c>
      <c r="JR8" s="363">
        <f t="shared" ref="JR8:KZ8" ca="1" si="68">_xlfn.BETA.INV(RAND(),$I$8,$J$8)</f>
        <v>1.8490266102765267E-2</v>
      </c>
      <c r="JS8" s="363">
        <f t="shared" ca="1" si="68"/>
        <v>2.416554360461054E-2</v>
      </c>
      <c r="JT8" s="363">
        <f t="shared" ca="1" si="68"/>
        <v>1.7276297343894461E-2</v>
      </c>
      <c r="JU8" s="363">
        <f t="shared" ca="1" si="68"/>
        <v>2.4315479128188433E-2</v>
      </c>
      <c r="JV8" s="363">
        <f t="shared" ca="1" si="68"/>
        <v>2.5355965342119258E-2</v>
      </c>
      <c r="JW8" s="363">
        <f t="shared" ca="1" si="68"/>
        <v>1.740620281030851E-2</v>
      </c>
      <c r="JX8" s="363">
        <f t="shared" ca="1" si="68"/>
        <v>2.1552873024677104E-2</v>
      </c>
      <c r="JY8" s="363">
        <f t="shared" ca="1" si="68"/>
        <v>2.0224013984036761E-2</v>
      </c>
      <c r="JZ8" s="363">
        <f t="shared" ca="1" si="68"/>
        <v>2.7091890455263723E-2</v>
      </c>
      <c r="KA8" s="363">
        <f t="shared" ca="1" si="68"/>
        <v>2.6820724015872321E-2</v>
      </c>
      <c r="KB8" s="363">
        <f t="shared" ca="1" si="68"/>
        <v>1.841558101945058E-2</v>
      </c>
      <c r="KC8" s="363">
        <f t="shared" ca="1" si="68"/>
        <v>2.4744224709903895E-2</v>
      </c>
      <c r="KD8" s="363">
        <f t="shared" ca="1" si="68"/>
        <v>2.3731949849341905E-2</v>
      </c>
      <c r="KE8" s="363">
        <f t="shared" ca="1" si="68"/>
        <v>1.7758475917720704E-2</v>
      </c>
      <c r="KF8" s="363">
        <f t="shared" ca="1" si="68"/>
        <v>2.356729472325636E-2</v>
      </c>
      <c r="KG8" s="363">
        <f t="shared" ca="1" si="68"/>
        <v>2.0026639269018355E-2</v>
      </c>
      <c r="KH8" s="363">
        <f t="shared" ca="1" si="68"/>
        <v>2.7878660082628737E-2</v>
      </c>
      <c r="KI8" s="363">
        <f t="shared" ca="1" si="68"/>
        <v>2.2057500873296942E-2</v>
      </c>
      <c r="KJ8" s="363">
        <f t="shared" ca="1" si="68"/>
        <v>2.4093712415035218E-2</v>
      </c>
      <c r="KK8" s="363">
        <f t="shared" ca="1" si="68"/>
        <v>2.1891185513347344E-2</v>
      </c>
      <c r="KL8" s="363">
        <f t="shared" ca="1" si="68"/>
        <v>1.4632768749220823E-2</v>
      </c>
      <c r="KM8" s="363">
        <f t="shared" ca="1" si="68"/>
        <v>2.0143506992988336E-2</v>
      </c>
      <c r="KN8" s="363">
        <f t="shared" ca="1" si="68"/>
        <v>2.5446357481771487E-2</v>
      </c>
      <c r="KO8" s="363">
        <f t="shared" ca="1" si="68"/>
        <v>2.5069698179232547E-2</v>
      </c>
      <c r="KP8" s="363">
        <f t="shared" ca="1" si="68"/>
        <v>2.4753597245088077E-2</v>
      </c>
      <c r="KQ8" s="363">
        <f t="shared" ca="1" si="68"/>
        <v>2.5265153642131555E-2</v>
      </c>
      <c r="KR8" s="363">
        <f t="shared" ca="1" si="68"/>
        <v>1.7762815942684109E-2</v>
      </c>
      <c r="KS8" s="363">
        <f t="shared" ca="1" si="68"/>
        <v>1.6142526010008085E-2</v>
      </c>
      <c r="KT8" s="363">
        <f t="shared" ca="1" si="68"/>
        <v>1.9605892056512017E-2</v>
      </c>
      <c r="KU8" s="363">
        <f t="shared" ca="1" si="68"/>
        <v>1.8569618618116627E-2</v>
      </c>
      <c r="KV8" s="363">
        <f t="shared" ca="1" si="68"/>
        <v>2.0218429430792648E-2</v>
      </c>
      <c r="KW8" s="363">
        <f t="shared" ca="1" si="68"/>
        <v>2.9543859707460207E-2</v>
      </c>
      <c r="KX8" s="363">
        <f t="shared" ca="1" si="68"/>
        <v>2.3246835191151338E-2</v>
      </c>
      <c r="KY8" s="363">
        <f t="shared" ca="1" si="68"/>
        <v>2.3271734229311392E-2</v>
      </c>
      <c r="KZ8" s="363">
        <f t="shared" ca="1" si="68"/>
        <v>2.7678761849325384E-2</v>
      </c>
      <c r="LA8" s="363">
        <f ca="1">_xlfn.BETA.INV(RAND(),$I$8,$J$8)</f>
        <v>2.0994841312285087E-2</v>
      </c>
      <c r="LB8" s="363">
        <f t="shared" ref="LB8:NM8" ca="1" si="69">_xlfn.BETA.INV(RAND(),$I$8,$J$8)</f>
        <v>2.486724461030021E-2</v>
      </c>
      <c r="LC8" s="363">
        <f t="shared" ca="1" si="69"/>
        <v>2.5652774004519707E-2</v>
      </c>
      <c r="LD8" s="363">
        <f t="shared" ca="1" si="69"/>
        <v>2.3789871495286108E-2</v>
      </c>
      <c r="LE8" s="363">
        <f t="shared" ca="1" si="69"/>
        <v>2.6645185800287963E-2</v>
      </c>
      <c r="LF8" s="363">
        <f t="shared" ca="1" si="69"/>
        <v>1.6343957143814165E-2</v>
      </c>
      <c r="LG8" s="363">
        <f t="shared" ca="1" si="69"/>
        <v>1.8828462612918335E-2</v>
      </c>
      <c r="LH8" s="363">
        <f t="shared" ca="1" si="69"/>
        <v>2.1451822253345125E-2</v>
      </c>
      <c r="LI8" s="363">
        <f t="shared" ca="1" si="69"/>
        <v>2.7824370260649212E-2</v>
      </c>
      <c r="LJ8" s="363">
        <f t="shared" ca="1" si="69"/>
        <v>1.8219526059376764E-2</v>
      </c>
      <c r="LK8" s="363">
        <f t="shared" ca="1" si="69"/>
        <v>1.9757692307303187E-2</v>
      </c>
      <c r="LL8" s="363">
        <f t="shared" ca="1" si="69"/>
        <v>2.1347148357204793E-2</v>
      </c>
      <c r="LM8" s="363">
        <f t="shared" ca="1" si="69"/>
        <v>2.3653087271771067E-2</v>
      </c>
      <c r="LN8" s="363">
        <f t="shared" ca="1" si="69"/>
        <v>2.0611959567453132E-2</v>
      </c>
      <c r="LO8" s="363">
        <f t="shared" ca="1" si="69"/>
        <v>2.432325135803648E-2</v>
      </c>
      <c r="LP8" s="363">
        <f t="shared" ca="1" si="69"/>
        <v>2.0149665222752841E-2</v>
      </c>
      <c r="LQ8" s="363">
        <f t="shared" ca="1" si="69"/>
        <v>1.4554982310105583E-2</v>
      </c>
      <c r="LR8" s="363">
        <f t="shared" ca="1" si="69"/>
        <v>3.209213754925333E-2</v>
      </c>
      <c r="LS8" s="363">
        <f t="shared" ca="1" si="69"/>
        <v>2.6271378853985561E-2</v>
      </c>
      <c r="LT8" s="363">
        <f t="shared" ca="1" si="69"/>
        <v>1.9803355493234115E-2</v>
      </c>
      <c r="LU8" s="363">
        <f t="shared" ca="1" si="69"/>
        <v>2.2224172589414337E-2</v>
      </c>
      <c r="LV8" s="363">
        <f t="shared" ca="1" si="69"/>
        <v>1.5583607250308737E-2</v>
      </c>
      <c r="LW8" s="363">
        <f t="shared" ca="1" si="69"/>
        <v>2.0926891457293709E-2</v>
      </c>
      <c r="LX8" s="363">
        <f t="shared" ca="1" si="69"/>
        <v>1.8106537432524696E-2</v>
      </c>
      <c r="LY8" s="363">
        <f t="shared" ca="1" si="69"/>
        <v>1.2685707987933552E-2</v>
      </c>
      <c r="LZ8" s="363">
        <f t="shared" ca="1" si="69"/>
        <v>1.9490154492097591E-2</v>
      </c>
      <c r="MA8" s="363">
        <f t="shared" ca="1" si="69"/>
        <v>1.5368190774468337E-2</v>
      </c>
      <c r="MB8" s="363">
        <f t="shared" ca="1" si="69"/>
        <v>1.886126979435989E-2</v>
      </c>
      <c r="MC8" s="363">
        <f t="shared" ca="1" si="69"/>
        <v>2.1924729861971692E-2</v>
      </c>
      <c r="MD8" s="363">
        <f t="shared" ca="1" si="69"/>
        <v>1.9198223227530585E-2</v>
      </c>
      <c r="ME8" s="363">
        <f t="shared" ca="1" si="69"/>
        <v>2.3755693350798524E-2</v>
      </c>
      <c r="MF8" s="363">
        <f t="shared" ca="1" si="69"/>
        <v>1.3214178270393513E-2</v>
      </c>
      <c r="MG8" s="363">
        <f t="shared" ca="1" si="69"/>
        <v>2.357931285204784E-2</v>
      </c>
      <c r="MH8" s="363">
        <f t="shared" ca="1" si="69"/>
        <v>2.1856106525212304E-2</v>
      </c>
      <c r="MI8" s="363">
        <f t="shared" ca="1" si="69"/>
        <v>1.6563710216042686E-2</v>
      </c>
      <c r="MJ8" s="363">
        <f t="shared" ca="1" si="69"/>
        <v>1.9840086377863012E-2</v>
      </c>
      <c r="MK8" s="363">
        <f t="shared" ca="1" si="69"/>
        <v>2.3695410777416881E-2</v>
      </c>
      <c r="ML8" s="363">
        <f t="shared" ca="1" si="69"/>
        <v>1.7923393729422143E-2</v>
      </c>
      <c r="MM8" s="363">
        <f t="shared" ca="1" si="69"/>
        <v>2.8212921542835723E-2</v>
      </c>
      <c r="MN8" s="363">
        <f t="shared" ca="1" si="69"/>
        <v>1.6177992723863353E-2</v>
      </c>
      <c r="MO8" s="363">
        <f t="shared" ca="1" si="69"/>
        <v>2.3206865068252869E-2</v>
      </c>
      <c r="MP8" s="363">
        <f t="shared" ca="1" si="69"/>
        <v>1.8524126801595247E-2</v>
      </c>
      <c r="MQ8" s="363">
        <f t="shared" ca="1" si="69"/>
        <v>2.5281377989253562E-2</v>
      </c>
      <c r="MR8" s="363">
        <f t="shared" ca="1" si="69"/>
        <v>2.3040267900892419E-2</v>
      </c>
      <c r="MS8" s="363">
        <f t="shared" ca="1" si="69"/>
        <v>1.5957028302317201E-2</v>
      </c>
      <c r="MT8" s="363">
        <f t="shared" ca="1" si="69"/>
        <v>1.5333922751818288E-2</v>
      </c>
      <c r="MU8" s="363">
        <f t="shared" ca="1" si="69"/>
        <v>1.5799156523904227E-2</v>
      </c>
      <c r="MV8" s="363">
        <f t="shared" ca="1" si="69"/>
        <v>1.8966016352674048E-2</v>
      </c>
      <c r="MW8" s="363">
        <f t="shared" ca="1" si="69"/>
        <v>2.3695782436919943E-2</v>
      </c>
      <c r="MX8" s="363">
        <f t="shared" ca="1" si="69"/>
        <v>2.3888018920681597E-2</v>
      </c>
      <c r="MY8" s="363">
        <f t="shared" ca="1" si="69"/>
        <v>2.368755112643639E-2</v>
      </c>
      <c r="MZ8" s="363">
        <f t="shared" ca="1" si="69"/>
        <v>2.4817130819039912E-2</v>
      </c>
      <c r="NA8" s="363">
        <f t="shared" ca="1" si="69"/>
        <v>2.5212022184161964E-2</v>
      </c>
      <c r="NB8" s="363">
        <f t="shared" ca="1" si="69"/>
        <v>2.4498067805764134E-2</v>
      </c>
      <c r="NC8" s="363">
        <f t="shared" ca="1" si="69"/>
        <v>2.6391625050790513E-2</v>
      </c>
      <c r="ND8" s="363">
        <f t="shared" ca="1" si="69"/>
        <v>1.8532831003889003E-2</v>
      </c>
      <c r="NE8" s="363">
        <f t="shared" ca="1" si="69"/>
        <v>2.5948853323458643E-2</v>
      </c>
      <c r="NF8" s="363">
        <f t="shared" ca="1" si="69"/>
        <v>2.1310451483235134E-2</v>
      </c>
      <c r="NG8" s="363">
        <f t="shared" ca="1" si="69"/>
        <v>2.8172477602541157E-2</v>
      </c>
      <c r="NH8" s="363">
        <f t="shared" ca="1" si="69"/>
        <v>1.426335617616745E-2</v>
      </c>
      <c r="NI8" s="363">
        <f t="shared" ca="1" si="69"/>
        <v>3.0422414583419988E-2</v>
      </c>
      <c r="NJ8" s="363">
        <f t="shared" ca="1" si="69"/>
        <v>2.2651129734629905E-2</v>
      </c>
      <c r="NK8" s="363">
        <f t="shared" ca="1" si="69"/>
        <v>2.4959096339213782E-2</v>
      </c>
      <c r="NL8" s="363">
        <f t="shared" ca="1" si="69"/>
        <v>2.310142599225562E-2</v>
      </c>
      <c r="NM8" s="363">
        <f t="shared" ca="1" si="69"/>
        <v>2.2269311666887948E-2</v>
      </c>
      <c r="NN8" s="363">
        <f t="shared" ref="NN8:OV8" ca="1" si="70">_xlfn.BETA.INV(RAND(),$I$8,$J$8)</f>
        <v>1.9548398592607208E-2</v>
      </c>
      <c r="NO8" s="363">
        <f t="shared" ca="1" si="70"/>
        <v>2.0099254472231216E-2</v>
      </c>
      <c r="NP8" s="363">
        <f t="shared" ca="1" si="70"/>
        <v>3.0252459394039533E-2</v>
      </c>
      <c r="NQ8" s="363">
        <f t="shared" ca="1" si="70"/>
        <v>2.3517742489166271E-2</v>
      </c>
      <c r="NR8" s="363">
        <f t="shared" ca="1" si="70"/>
        <v>1.8027037548442763E-2</v>
      </c>
      <c r="NS8" s="363">
        <f t="shared" ca="1" si="70"/>
        <v>2.153249449972329E-2</v>
      </c>
      <c r="NT8" s="363">
        <f t="shared" ca="1" si="70"/>
        <v>1.8963570793922434E-2</v>
      </c>
      <c r="NU8" s="363">
        <f t="shared" ca="1" si="70"/>
        <v>1.7476882056556356E-2</v>
      </c>
      <c r="NV8" s="363">
        <f t="shared" ca="1" si="70"/>
        <v>2.5280764805486133E-2</v>
      </c>
      <c r="NW8" s="363">
        <f t="shared" ca="1" si="70"/>
        <v>2.9038379759238953E-2</v>
      </c>
      <c r="NX8" s="363">
        <f t="shared" ca="1" si="70"/>
        <v>2.3723852663027456E-2</v>
      </c>
      <c r="NY8" s="363">
        <f t="shared" ca="1" si="70"/>
        <v>2.3047721709141822E-2</v>
      </c>
      <c r="NZ8" s="363">
        <f t="shared" ca="1" si="70"/>
        <v>1.9720626365946719E-2</v>
      </c>
      <c r="OA8" s="363">
        <f t="shared" ca="1" si="70"/>
        <v>2.3813646790496135E-2</v>
      </c>
      <c r="OB8" s="363">
        <f t="shared" ca="1" si="70"/>
        <v>2.0643513203650397E-2</v>
      </c>
      <c r="OC8" s="363">
        <f t="shared" ca="1" si="70"/>
        <v>1.7841786743296225E-2</v>
      </c>
      <c r="OD8" s="363">
        <f t="shared" ca="1" si="70"/>
        <v>1.9967001514934236E-2</v>
      </c>
      <c r="OE8" s="363">
        <f t="shared" ca="1" si="70"/>
        <v>2.319391009295535E-2</v>
      </c>
      <c r="OF8" s="363">
        <f t="shared" ca="1" si="70"/>
        <v>2.5129515386081436E-2</v>
      </c>
      <c r="OG8" s="363">
        <f t="shared" ca="1" si="70"/>
        <v>2.3283913654021826E-2</v>
      </c>
      <c r="OH8" s="363">
        <f t="shared" ca="1" si="70"/>
        <v>2.0793977616065187E-2</v>
      </c>
      <c r="OI8" s="363">
        <f t="shared" ca="1" si="70"/>
        <v>2.5958167368250518E-2</v>
      </c>
      <c r="OJ8" s="363">
        <f t="shared" ca="1" si="70"/>
        <v>2.5228196905759392E-2</v>
      </c>
      <c r="OK8" s="363">
        <f t="shared" ca="1" si="70"/>
        <v>2.238080644260676E-2</v>
      </c>
      <c r="OL8" s="363">
        <f t="shared" ca="1" si="70"/>
        <v>2.1307770612363278E-2</v>
      </c>
      <c r="OM8" s="363">
        <f t="shared" ca="1" si="70"/>
        <v>2.9765857391519379E-2</v>
      </c>
      <c r="ON8" s="363">
        <f t="shared" ca="1" si="70"/>
        <v>1.9991713223132271E-2</v>
      </c>
      <c r="OO8" s="363">
        <f t="shared" ca="1" si="70"/>
        <v>2.4830648027556634E-2</v>
      </c>
      <c r="OP8" s="363">
        <f t="shared" ca="1" si="70"/>
        <v>2.8510286936084928E-2</v>
      </c>
      <c r="OQ8" s="363">
        <f t="shared" ca="1" si="70"/>
        <v>1.7272966406807543E-2</v>
      </c>
      <c r="OR8" s="363">
        <f t="shared" ca="1" si="70"/>
        <v>2.1917737514804414E-2</v>
      </c>
      <c r="OS8" s="363">
        <f t="shared" ca="1" si="70"/>
        <v>2.8201156653591242E-2</v>
      </c>
      <c r="OT8" s="363">
        <f t="shared" ca="1" si="70"/>
        <v>2.8979436542809767E-2</v>
      </c>
      <c r="OU8" s="363">
        <f t="shared" ca="1" si="70"/>
        <v>3.2193863866622707E-2</v>
      </c>
      <c r="OV8" s="363">
        <f t="shared" ca="1" si="70"/>
        <v>2.5230819561174234E-2</v>
      </c>
      <c r="OW8" s="363">
        <f ca="1">_xlfn.BETA.INV(RAND(),$I$8,$J$8)</f>
        <v>1.8655093437238354E-2</v>
      </c>
      <c r="OX8" s="363">
        <f t="shared" ref="OX8:RI8" ca="1" si="71">_xlfn.BETA.INV(RAND(),$I$8,$J$8)</f>
        <v>2.5518718360746928E-2</v>
      </c>
      <c r="OY8" s="363">
        <f t="shared" ca="1" si="71"/>
        <v>2.2720638610344457E-2</v>
      </c>
      <c r="OZ8" s="363">
        <f t="shared" ca="1" si="71"/>
        <v>2.1888618973550544E-2</v>
      </c>
      <c r="PA8" s="363">
        <f t="shared" ca="1" si="71"/>
        <v>2.44575592941213E-2</v>
      </c>
      <c r="PB8" s="363">
        <f t="shared" ca="1" si="71"/>
        <v>1.439630239456193E-2</v>
      </c>
      <c r="PC8" s="363">
        <f t="shared" ca="1" si="71"/>
        <v>3.2080801151007643E-2</v>
      </c>
      <c r="PD8" s="363">
        <f t="shared" ca="1" si="71"/>
        <v>2.2171178194311358E-2</v>
      </c>
      <c r="PE8" s="363">
        <f t="shared" ca="1" si="71"/>
        <v>3.0794861504512716E-2</v>
      </c>
      <c r="PF8" s="363">
        <f t="shared" ca="1" si="71"/>
        <v>2.0551039931925256E-2</v>
      </c>
      <c r="PG8" s="363">
        <f t="shared" ca="1" si="71"/>
        <v>2.7385411808907745E-2</v>
      </c>
      <c r="PH8" s="363">
        <f t="shared" ca="1" si="71"/>
        <v>1.9510612495005724E-2</v>
      </c>
      <c r="PI8" s="363">
        <f t="shared" ca="1" si="71"/>
        <v>2.5031055812666181E-2</v>
      </c>
      <c r="PJ8" s="363">
        <f t="shared" ca="1" si="71"/>
        <v>1.743282044344115E-2</v>
      </c>
      <c r="PK8" s="363">
        <f t="shared" ca="1" si="71"/>
        <v>4.1128175089656382E-2</v>
      </c>
      <c r="PL8" s="363">
        <f t="shared" ca="1" si="71"/>
        <v>2.2552764023552219E-2</v>
      </c>
      <c r="PM8" s="363">
        <f t="shared" ca="1" si="71"/>
        <v>1.4877124552512699E-2</v>
      </c>
      <c r="PN8" s="363">
        <f t="shared" ca="1" si="71"/>
        <v>9.3173217914142275E-3</v>
      </c>
      <c r="PO8" s="363">
        <f t="shared" ca="1" si="71"/>
        <v>1.7402030272466128E-2</v>
      </c>
      <c r="PP8" s="363">
        <f t="shared" ca="1" si="71"/>
        <v>2.0714569514061119E-2</v>
      </c>
      <c r="PQ8" s="363">
        <f t="shared" ca="1" si="71"/>
        <v>2.3386697194098693E-2</v>
      </c>
      <c r="PR8" s="363">
        <f t="shared" ca="1" si="71"/>
        <v>1.4580244574644512E-2</v>
      </c>
      <c r="PS8" s="363">
        <f t="shared" ca="1" si="71"/>
        <v>2.368175091633784E-2</v>
      </c>
      <c r="PT8" s="363">
        <f t="shared" ca="1" si="71"/>
        <v>1.8967151608170963E-2</v>
      </c>
      <c r="PU8" s="363">
        <f t="shared" ca="1" si="71"/>
        <v>2.4284445244034392E-2</v>
      </c>
      <c r="PV8" s="363">
        <f t="shared" ca="1" si="71"/>
        <v>1.2339110691394249E-2</v>
      </c>
      <c r="PW8" s="363">
        <f t="shared" ca="1" si="71"/>
        <v>1.5163593770174399E-2</v>
      </c>
      <c r="PX8" s="363">
        <f t="shared" ca="1" si="71"/>
        <v>2.1265736803315966E-2</v>
      </c>
      <c r="PY8" s="363">
        <f t="shared" ca="1" si="71"/>
        <v>2.0733336756460028E-2</v>
      </c>
      <c r="PZ8" s="363">
        <f t="shared" ca="1" si="71"/>
        <v>3.9479603700187327E-2</v>
      </c>
      <c r="QA8" s="363">
        <f t="shared" ca="1" si="71"/>
        <v>2.6743173994799974E-2</v>
      </c>
      <c r="QB8" s="363">
        <f t="shared" ca="1" si="71"/>
        <v>3.1326825327208208E-2</v>
      </c>
      <c r="QC8" s="363">
        <f t="shared" ca="1" si="71"/>
        <v>1.6597784074089666E-2</v>
      </c>
      <c r="QD8" s="363">
        <f t="shared" ca="1" si="71"/>
        <v>2.2274661009252128E-2</v>
      </c>
      <c r="QE8" s="363">
        <f t="shared" ca="1" si="71"/>
        <v>2.6404734479391845E-2</v>
      </c>
      <c r="QF8" s="363">
        <f t="shared" ca="1" si="71"/>
        <v>2.4625687361070181E-2</v>
      </c>
      <c r="QG8" s="363">
        <f t="shared" ca="1" si="71"/>
        <v>2.5855245159330797E-2</v>
      </c>
      <c r="QH8" s="363">
        <f t="shared" ca="1" si="71"/>
        <v>1.6942271595922515E-2</v>
      </c>
      <c r="QI8" s="363">
        <f t="shared" ca="1" si="71"/>
        <v>2.4729116618918967E-2</v>
      </c>
      <c r="QJ8" s="363">
        <f t="shared" ca="1" si="71"/>
        <v>2.233881650445968E-2</v>
      </c>
      <c r="QK8" s="363">
        <f t="shared" ca="1" si="71"/>
        <v>2.1005405283708138E-2</v>
      </c>
      <c r="QL8" s="363">
        <f t="shared" ca="1" si="71"/>
        <v>2.4928884061906853E-2</v>
      </c>
      <c r="QM8" s="363">
        <f t="shared" ca="1" si="71"/>
        <v>2.2821219015361272E-2</v>
      </c>
      <c r="QN8" s="363">
        <f t="shared" ca="1" si="71"/>
        <v>2.2901355139254842E-2</v>
      </c>
      <c r="QO8" s="363">
        <f t="shared" ca="1" si="71"/>
        <v>2.4514949460916369E-2</v>
      </c>
      <c r="QP8" s="363">
        <f t="shared" ca="1" si="71"/>
        <v>2.6122995357428791E-2</v>
      </c>
      <c r="QQ8" s="363">
        <f t="shared" ca="1" si="71"/>
        <v>3.1449157794279037E-2</v>
      </c>
      <c r="QR8" s="363">
        <f t="shared" ca="1" si="71"/>
        <v>2.1324994824152631E-2</v>
      </c>
      <c r="QS8" s="363">
        <f t="shared" ca="1" si="71"/>
        <v>1.3056744074694301E-2</v>
      </c>
      <c r="QT8" s="363">
        <f t="shared" ca="1" si="71"/>
        <v>1.7478287456072376E-2</v>
      </c>
      <c r="QU8" s="363">
        <f t="shared" ca="1" si="71"/>
        <v>2.5267744165981543E-2</v>
      </c>
      <c r="QV8" s="363">
        <f t="shared" ca="1" si="71"/>
        <v>2.4874434843399684E-2</v>
      </c>
      <c r="QW8" s="363">
        <f t="shared" ca="1" si="71"/>
        <v>2.2140793265544412E-2</v>
      </c>
      <c r="QX8" s="363">
        <f t="shared" ca="1" si="71"/>
        <v>2.819499311931517E-2</v>
      </c>
      <c r="QY8" s="363">
        <f t="shared" ca="1" si="71"/>
        <v>2.5917155678439774E-2</v>
      </c>
      <c r="QZ8" s="363">
        <f t="shared" ca="1" si="71"/>
        <v>3.2164300465399198E-2</v>
      </c>
      <c r="RA8" s="363">
        <f t="shared" ca="1" si="71"/>
        <v>2.3864747228925287E-2</v>
      </c>
      <c r="RB8" s="363">
        <f t="shared" ca="1" si="71"/>
        <v>1.945257297014584E-2</v>
      </c>
      <c r="RC8" s="363">
        <f t="shared" ca="1" si="71"/>
        <v>1.8401697555911437E-2</v>
      </c>
      <c r="RD8" s="363">
        <f t="shared" ca="1" si="71"/>
        <v>2.4735816663469357E-2</v>
      </c>
      <c r="RE8" s="363">
        <f t="shared" ca="1" si="71"/>
        <v>2.357481461321731E-2</v>
      </c>
      <c r="RF8" s="363">
        <f t="shared" ca="1" si="71"/>
        <v>3.0508032068566227E-2</v>
      </c>
      <c r="RG8" s="363">
        <f t="shared" ca="1" si="71"/>
        <v>2.557197618201934E-2</v>
      </c>
      <c r="RH8" s="363">
        <f t="shared" ca="1" si="71"/>
        <v>1.5985399976796006E-2</v>
      </c>
      <c r="RI8" s="363">
        <f t="shared" ca="1" si="71"/>
        <v>1.6189868415734481E-2</v>
      </c>
      <c r="RJ8" s="363">
        <f t="shared" ref="RJ8:SR8" ca="1" si="72">_xlfn.BETA.INV(RAND(),$I$8,$J$8)</f>
        <v>2.0378246446720129E-2</v>
      </c>
      <c r="RK8" s="363">
        <f t="shared" ca="1" si="72"/>
        <v>1.6597633319835412E-2</v>
      </c>
      <c r="RL8" s="363">
        <f t="shared" ca="1" si="72"/>
        <v>2.73773466856575E-2</v>
      </c>
      <c r="RM8" s="363">
        <f t="shared" ca="1" si="72"/>
        <v>2.0382101393722058E-2</v>
      </c>
      <c r="RN8" s="363">
        <f t="shared" ca="1" si="72"/>
        <v>2.7588695415921571E-2</v>
      </c>
      <c r="RO8" s="363">
        <f t="shared" ca="1" si="72"/>
        <v>1.8559434990930573E-2</v>
      </c>
      <c r="RP8" s="363">
        <f t="shared" ca="1" si="72"/>
        <v>2.4049688576345929E-2</v>
      </c>
      <c r="RQ8" s="363">
        <f t="shared" ca="1" si="72"/>
        <v>1.4377369732223179E-2</v>
      </c>
      <c r="RR8" s="363">
        <f t="shared" ca="1" si="72"/>
        <v>2.4276145341054489E-2</v>
      </c>
      <c r="RS8" s="363">
        <f t="shared" ca="1" si="72"/>
        <v>1.8097082422110718E-2</v>
      </c>
      <c r="RT8" s="363">
        <f t="shared" ca="1" si="72"/>
        <v>2.6347182949933212E-2</v>
      </c>
      <c r="RU8" s="363">
        <f t="shared" ca="1" si="72"/>
        <v>1.4507917011359469E-2</v>
      </c>
      <c r="RV8" s="363">
        <f t="shared" ca="1" si="72"/>
        <v>2.0398380548688061E-2</v>
      </c>
      <c r="RW8" s="363">
        <f t="shared" ca="1" si="72"/>
        <v>1.3836096613856597E-2</v>
      </c>
      <c r="RX8" s="363">
        <f t="shared" ca="1" si="72"/>
        <v>2.6748495948882622E-2</v>
      </c>
      <c r="RY8" s="363">
        <f t="shared" ca="1" si="72"/>
        <v>1.6550184253380774E-2</v>
      </c>
      <c r="RZ8" s="363">
        <f t="shared" ca="1" si="72"/>
        <v>2.7651975928884909E-2</v>
      </c>
      <c r="SA8" s="363">
        <f t="shared" ca="1" si="72"/>
        <v>1.9446608856156206E-2</v>
      </c>
      <c r="SB8" s="363">
        <f t="shared" ca="1" si="72"/>
        <v>1.7661291855415255E-2</v>
      </c>
      <c r="SC8" s="363">
        <f t="shared" ca="1" si="72"/>
        <v>1.8692058765567374E-2</v>
      </c>
      <c r="SD8" s="363">
        <f t="shared" ca="1" si="72"/>
        <v>2.1863094621557999E-2</v>
      </c>
      <c r="SE8" s="363">
        <f t="shared" ca="1" si="72"/>
        <v>1.7853132769858639E-2</v>
      </c>
      <c r="SF8" s="363">
        <f t="shared" ca="1" si="72"/>
        <v>2.6905320757671713E-2</v>
      </c>
      <c r="SG8" s="363">
        <f t="shared" ca="1" si="72"/>
        <v>2.0041191873750207E-2</v>
      </c>
      <c r="SH8" s="363">
        <f t="shared" ca="1" si="72"/>
        <v>2.4422801342630862E-2</v>
      </c>
      <c r="SI8" s="363">
        <f t="shared" ca="1" si="72"/>
        <v>1.9893695415739255E-2</v>
      </c>
      <c r="SJ8" s="363">
        <f t="shared" ca="1" si="72"/>
        <v>2.0010505020575556E-2</v>
      </c>
      <c r="SK8" s="363">
        <f t="shared" ca="1" si="72"/>
        <v>1.6372111627094763E-2</v>
      </c>
      <c r="SL8" s="363">
        <f t="shared" ca="1" si="72"/>
        <v>1.979913687749333E-2</v>
      </c>
      <c r="SM8" s="363">
        <f t="shared" ca="1" si="72"/>
        <v>2.4458824750189123E-2</v>
      </c>
      <c r="SN8" s="363">
        <f t="shared" ca="1" si="72"/>
        <v>1.8367995877455703E-2</v>
      </c>
      <c r="SO8" s="363">
        <f t="shared" ca="1" si="72"/>
        <v>1.9071797849862016E-2</v>
      </c>
      <c r="SP8" s="363">
        <f t="shared" ca="1" si="72"/>
        <v>2.09205052635794E-2</v>
      </c>
      <c r="SQ8" s="363">
        <f t="shared" ca="1" si="72"/>
        <v>1.8833652816527758E-2</v>
      </c>
      <c r="SR8" s="363">
        <f t="shared" ca="1" si="72"/>
        <v>1.8757626029386264E-2</v>
      </c>
      <c r="SS8" s="363">
        <f ca="1">_xlfn.BETA.INV(RAND(),$I$8,$J$8)</f>
        <v>2.532334896301569E-2</v>
      </c>
      <c r="ST8" s="363">
        <f t="shared" ref="ST8:VE8" ca="1" si="73">_xlfn.BETA.INV(RAND(),$I$8,$J$8)</f>
        <v>2.5487225247165401E-2</v>
      </c>
      <c r="SU8" s="363">
        <f t="shared" ca="1" si="73"/>
        <v>1.7002357023137737E-2</v>
      </c>
      <c r="SV8" s="363">
        <f t="shared" ca="1" si="73"/>
        <v>2.1444569409249575E-2</v>
      </c>
      <c r="SW8" s="363">
        <f t="shared" ca="1" si="73"/>
        <v>1.693653275285829E-2</v>
      </c>
      <c r="SX8" s="363">
        <f t="shared" ca="1" si="73"/>
        <v>2.8089704030432872E-2</v>
      </c>
      <c r="SY8" s="363">
        <f t="shared" ca="1" si="73"/>
        <v>3.3247672423597496E-2</v>
      </c>
      <c r="SZ8" s="363">
        <f t="shared" ca="1" si="73"/>
        <v>2.7859436481293964E-2</v>
      </c>
      <c r="TA8" s="363">
        <f t="shared" ca="1" si="73"/>
        <v>2.8206249253040383E-2</v>
      </c>
      <c r="TB8" s="363">
        <f t="shared" ca="1" si="73"/>
        <v>2.8624864328796518E-2</v>
      </c>
      <c r="TC8" s="363">
        <f t="shared" ca="1" si="73"/>
        <v>1.9885575021134104E-2</v>
      </c>
      <c r="TD8" s="363">
        <f t="shared" ca="1" si="73"/>
        <v>2.9006749214355421E-2</v>
      </c>
      <c r="TE8" s="363">
        <f t="shared" ca="1" si="73"/>
        <v>2.1705570977135435E-2</v>
      </c>
      <c r="TF8" s="363">
        <f t="shared" ca="1" si="73"/>
        <v>2.396574428600251E-2</v>
      </c>
      <c r="TG8" s="363">
        <f t="shared" ca="1" si="73"/>
        <v>1.5565628588157224E-2</v>
      </c>
      <c r="TH8" s="363">
        <f t="shared" ca="1" si="73"/>
        <v>2.661664061657909E-2</v>
      </c>
      <c r="TI8" s="363">
        <f t="shared" ca="1" si="73"/>
        <v>2.817550689724313E-2</v>
      </c>
      <c r="TJ8" s="363">
        <f t="shared" ca="1" si="73"/>
        <v>1.6781328725359264E-2</v>
      </c>
      <c r="TK8" s="363">
        <f t="shared" ca="1" si="73"/>
        <v>2.1798153666451547E-2</v>
      </c>
      <c r="TL8" s="363">
        <f t="shared" ca="1" si="73"/>
        <v>2.0765369740063329E-2</v>
      </c>
      <c r="TM8" s="363">
        <f t="shared" ca="1" si="73"/>
        <v>1.9251980254576532E-2</v>
      </c>
      <c r="TN8" s="363">
        <f t="shared" ca="1" si="73"/>
        <v>1.7849359899058347E-2</v>
      </c>
      <c r="TO8" s="363">
        <f t="shared" ca="1" si="73"/>
        <v>2.2138780045792283E-2</v>
      </c>
      <c r="TP8" s="363">
        <f t="shared" ca="1" si="73"/>
        <v>2.9466269459202055E-2</v>
      </c>
      <c r="TQ8" s="363">
        <f t="shared" ca="1" si="73"/>
        <v>1.751945193529961E-2</v>
      </c>
      <c r="TR8" s="363">
        <f t="shared" ca="1" si="73"/>
        <v>3.2726720101103335E-2</v>
      </c>
      <c r="TS8" s="363">
        <f t="shared" ca="1" si="73"/>
        <v>2.4713825175101234E-2</v>
      </c>
      <c r="TT8" s="363">
        <f t="shared" ca="1" si="73"/>
        <v>1.4764496636358846E-2</v>
      </c>
      <c r="TU8" s="363">
        <f t="shared" ca="1" si="73"/>
        <v>2.0641986233152269E-2</v>
      </c>
      <c r="TV8" s="363">
        <f t="shared" ca="1" si="73"/>
        <v>1.9987266235984458E-2</v>
      </c>
      <c r="TW8" s="363">
        <f t="shared" ca="1" si="73"/>
        <v>2.0864006778882335E-2</v>
      </c>
      <c r="TX8" s="363">
        <f t="shared" ca="1" si="73"/>
        <v>1.6340754862165803E-2</v>
      </c>
      <c r="TY8" s="363">
        <f t="shared" ca="1" si="73"/>
        <v>3.3422616184949572E-2</v>
      </c>
      <c r="TZ8" s="363">
        <f t="shared" ca="1" si="73"/>
        <v>2.2082764910027586E-2</v>
      </c>
      <c r="UA8" s="363">
        <f t="shared" ca="1" si="73"/>
        <v>1.5937059106623696E-2</v>
      </c>
      <c r="UB8" s="363">
        <f t="shared" ca="1" si="73"/>
        <v>1.6420315830895989E-2</v>
      </c>
      <c r="UC8" s="363">
        <f t="shared" ca="1" si="73"/>
        <v>2.4318502084494598E-2</v>
      </c>
      <c r="UD8" s="363">
        <f t="shared" ca="1" si="73"/>
        <v>2.4177906406662397E-2</v>
      </c>
      <c r="UE8" s="363">
        <f t="shared" ca="1" si="73"/>
        <v>1.5462064993451586E-2</v>
      </c>
      <c r="UF8" s="363">
        <f t="shared" ca="1" si="73"/>
        <v>1.9615593845487812E-2</v>
      </c>
      <c r="UG8" s="363">
        <f t="shared" ca="1" si="73"/>
        <v>2.5217151116238123E-2</v>
      </c>
      <c r="UH8" s="363">
        <f t="shared" ca="1" si="73"/>
        <v>1.6358953342412084E-2</v>
      </c>
      <c r="UI8" s="363">
        <f t="shared" ca="1" si="73"/>
        <v>1.7042381186013245E-2</v>
      </c>
      <c r="UJ8" s="363">
        <f t="shared" ca="1" si="73"/>
        <v>2.2688072675945303E-2</v>
      </c>
      <c r="UK8" s="363">
        <f t="shared" ca="1" si="73"/>
        <v>2.3327631432277451E-2</v>
      </c>
      <c r="UL8" s="363">
        <f t="shared" ca="1" si="73"/>
        <v>2.677438959090428E-2</v>
      </c>
      <c r="UM8" s="363">
        <f t="shared" ca="1" si="73"/>
        <v>1.7562195290186849E-2</v>
      </c>
      <c r="UN8" s="363">
        <f t="shared" ca="1" si="73"/>
        <v>2.4750213642911412E-2</v>
      </c>
      <c r="UO8" s="363">
        <f t="shared" ca="1" si="73"/>
        <v>3.0540523391739072E-2</v>
      </c>
      <c r="UP8" s="363">
        <f t="shared" ca="1" si="73"/>
        <v>2.0292960578410263E-2</v>
      </c>
      <c r="UQ8" s="363">
        <f t="shared" ca="1" si="73"/>
        <v>2.6823269833337271E-2</v>
      </c>
      <c r="UR8" s="363">
        <f t="shared" ca="1" si="73"/>
        <v>2.13007476208113E-2</v>
      </c>
      <c r="US8" s="363">
        <f t="shared" ca="1" si="73"/>
        <v>1.8057360814699958E-2</v>
      </c>
      <c r="UT8" s="363">
        <f t="shared" ca="1" si="73"/>
        <v>2.1859863875044572E-2</v>
      </c>
      <c r="UU8" s="363">
        <f t="shared" ca="1" si="73"/>
        <v>2.9732092104524543E-2</v>
      </c>
      <c r="UV8" s="363">
        <f t="shared" ca="1" si="73"/>
        <v>1.9748564697315819E-2</v>
      </c>
      <c r="UW8" s="363">
        <f t="shared" ca="1" si="73"/>
        <v>1.9318152594711358E-2</v>
      </c>
      <c r="UX8" s="363">
        <f t="shared" ca="1" si="73"/>
        <v>2.3520765745028038E-2</v>
      </c>
      <c r="UY8" s="363">
        <f t="shared" ca="1" si="73"/>
        <v>1.5895012480759623E-2</v>
      </c>
      <c r="UZ8" s="363">
        <f t="shared" ca="1" si="73"/>
        <v>1.5464499561492751E-2</v>
      </c>
      <c r="VA8" s="363">
        <f t="shared" ca="1" si="73"/>
        <v>2.5967831055134227E-2</v>
      </c>
      <c r="VB8" s="363">
        <f t="shared" ca="1" si="73"/>
        <v>2.6155065706681024E-2</v>
      </c>
      <c r="VC8" s="363">
        <f t="shared" ca="1" si="73"/>
        <v>3.4504748799607743E-2</v>
      </c>
      <c r="VD8" s="363">
        <f t="shared" ca="1" si="73"/>
        <v>2.2798903422240668E-2</v>
      </c>
      <c r="VE8" s="363">
        <f t="shared" ca="1" si="73"/>
        <v>1.8679220227642651E-2</v>
      </c>
      <c r="VF8" s="363">
        <f t="shared" ref="VF8:WN8" ca="1" si="74">_xlfn.BETA.INV(RAND(),$I$8,$J$8)</f>
        <v>2.0688723891008242E-2</v>
      </c>
      <c r="VG8" s="363">
        <f t="shared" ca="1" si="74"/>
        <v>2.9945194295980304E-2</v>
      </c>
      <c r="VH8" s="363">
        <f t="shared" ca="1" si="74"/>
        <v>2.2148690616916822E-2</v>
      </c>
      <c r="VI8" s="363">
        <f t="shared" ca="1" si="74"/>
        <v>2.2269926800209006E-2</v>
      </c>
      <c r="VJ8" s="363">
        <f t="shared" ca="1" si="74"/>
        <v>2.3322640057642507E-2</v>
      </c>
      <c r="VK8" s="363">
        <f t="shared" ca="1" si="74"/>
        <v>1.6637822439487138E-2</v>
      </c>
      <c r="VL8" s="363">
        <f t="shared" ca="1" si="74"/>
        <v>1.4877516160245666E-2</v>
      </c>
      <c r="VM8" s="363">
        <f t="shared" ca="1" si="74"/>
        <v>2.0254346650568772E-2</v>
      </c>
      <c r="VN8" s="363">
        <f t="shared" ca="1" si="74"/>
        <v>1.711352106948353E-2</v>
      </c>
      <c r="VO8" s="363">
        <f t="shared" ca="1" si="74"/>
        <v>1.7543637212506576E-2</v>
      </c>
      <c r="VP8" s="363">
        <f t="shared" ca="1" si="74"/>
        <v>2.0515669317452349E-2</v>
      </c>
      <c r="VQ8" s="363">
        <f t="shared" ca="1" si="74"/>
        <v>1.9624225431608581E-2</v>
      </c>
      <c r="VR8" s="363">
        <f t="shared" ca="1" si="74"/>
        <v>2.002989289047187E-2</v>
      </c>
      <c r="VS8" s="363">
        <f t="shared" ca="1" si="74"/>
        <v>1.9159747453575144E-2</v>
      </c>
      <c r="VT8" s="363">
        <f t="shared" ca="1" si="74"/>
        <v>1.8536375117262791E-2</v>
      </c>
      <c r="VU8" s="363">
        <f t="shared" ca="1" si="74"/>
        <v>2.1961781774372913E-2</v>
      </c>
      <c r="VV8" s="363">
        <f t="shared" ca="1" si="74"/>
        <v>2.4599747237509795E-2</v>
      </c>
      <c r="VW8" s="363">
        <f t="shared" ca="1" si="74"/>
        <v>2.9154895603895836E-2</v>
      </c>
      <c r="VX8" s="363">
        <f t="shared" ca="1" si="74"/>
        <v>2.8268499166171246E-2</v>
      </c>
      <c r="VY8" s="363">
        <f t="shared" ca="1" si="74"/>
        <v>1.8273725206979306E-2</v>
      </c>
      <c r="VZ8" s="363">
        <f t="shared" ca="1" si="74"/>
        <v>2.1518735729026683E-2</v>
      </c>
      <c r="WA8" s="363">
        <f t="shared" ca="1" si="74"/>
        <v>1.4646337199586272E-2</v>
      </c>
      <c r="WB8" s="363">
        <f t="shared" ca="1" si="74"/>
        <v>3.2083950154024765E-2</v>
      </c>
      <c r="WC8" s="363">
        <f t="shared" ca="1" si="74"/>
        <v>1.6079263782551631E-2</v>
      </c>
      <c r="WD8" s="363">
        <f t="shared" ca="1" si="74"/>
        <v>1.4715403237071191E-2</v>
      </c>
      <c r="WE8" s="363">
        <f t="shared" ca="1" si="74"/>
        <v>2.0860881062096239E-2</v>
      </c>
      <c r="WF8" s="363">
        <f t="shared" ca="1" si="74"/>
        <v>2.4170421059277358E-2</v>
      </c>
      <c r="WG8" s="363">
        <f t="shared" ca="1" si="74"/>
        <v>2.7445614345193214E-2</v>
      </c>
      <c r="WH8" s="363">
        <f t="shared" ca="1" si="74"/>
        <v>3.0414092147242888E-2</v>
      </c>
      <c r="WI8" s="363">
        <f t="shared" ca="1" si="74"/>
        <v>2.5182513604415036E-2</v>
      </c>
      <c r="WJ8" s="363">
        <f t="shared" ca="1" si="74"/>
        <v>2.4245376162114307E-2</v>
      </c>
      <c r="WK8" s="363">
        <f t="shared" ca="1" si="74"/>
        <v>2.1131248384747545E-2</v>
      </c>
      <c r="WL8" s="363">
        <f t="shared" ca="1" si="74"/>
        <v>1.8650001214134519E-2</v>
      </c>
      <c r="WM8" s="363">
        <f t="shared" ca="1" si="74"/>
        <v>2.2065006964527623E-2</v>
      </c>
      <c r="WN8" s="363">
        <f t="shared" ca="1" si="74"/>
        <v>1.649773658920525E-2</v>
      </c>
    </row>
    <row r="9" spans="2:612" x14ac:dyDescent="0.15">
      <c r="B9" s="466" t="s">
        <v>876</v>
      </c>
      <c r="D9" s="363">
        <f t="shared" si="0"/>
        <v>6.0999999999999999E-2</v>
      </c>
      <c r="F9" s="363">
        <v>6.0999999999999999E-2</v>
      </c>
      <c r="G9" s="367">
        <v>1023</v>
      </c>
      <c r="H9" s="363">
        <v>7.4827269324786311E-3</v>
      </c>
      <c r="I9" s="438">
        <f>F9*G9</f>
        <v>62.402999999999999</v>
      </c>
      <c r="J9" s="438">
        <f>G9-I9</f>
        <v>960.59699999999998</v>
      </c>
      <c r="K9" s="367" t="s">
        <v>1273</v>
      </c>
      <c r="M9" s="363">
        <f ca="1">_xlfn.BETA.INV(RAND(),$I$9,$J$9)</f>
        <v>8.7013357576628536E-2</v>
      </c>
      <c r="N9" s="363">
        <f t="shared" ref="N9:BY9" ca="1" si="75">_xlfn.BETA.INV(RAND(),$I$9,$J$9)</f>
        <v>6.5871036047859044E-2</v>
      </c>
      <c r="O9" s="363">
        <f t="shared" ca="1" si="75"/>
        <v>6.1130831738353986E-2</v>
      </c>
      <c r="P9" s="363">
        <f t="shared" ca="1" si="75"/>
        <v>5.4498838556324716E-2</v>
      </c>
      <c r="Q9" s="363">
        <f t="shared" ca="1" si="75"/>
        <v>5.5955022264342548E-2</v>
      </c>
      <c r="R9" s="363">
        <f t="shared" ca="1" si="75"/>
        <v>5.9263507565736354E-2</v>
      </c>
      <c r="S9" s="363">
        <f t="shared" ca="1" si="75"/>
        <v>6.1703275256586254E-2</v>
      </c>
      <c r="T9" s="363">
        <f t="shared" ca="1" si="75"/>
        <v>6.0290267933507287E-2</v>
      </c>
      <c r="U9" s="363">
        <f t="shared" ca="1" si="75"/>
        <v>5.5738917324549789E-2</v>
      </c>
      <c r="V9" s="363">
        <f t="shared" ca="1" si="75"/>
        <v>5.3278492238263447E-2</v>
      </c>
      <c r="W9" s="363">
        <f t="shared" ca="1" si="75"/>
        <v>5.8488916963642133E-2</v>
      </c>
      <c r="X9" s="363">
        <f t="shared" ca="1" si="75"/>
        <v>6.6483145663123633E-2</v>
      </c>
      <c r="Y9" s="363">
        <f t="shared" ca="1" si="75"/>
        <v>5.8288644822315848E-2</v>
      </c>
      <c r="Z9" s="363">
        <f t="shared" ca="1" si="75"/>
        <v>5.579994652848299E-2</v>
      </c>
      <c r="AA9" s="363">
        <f t="shared" ca="1" si="75"/>
        <v>3.9447834370862016E-2</v>
      </c>
      <c r="AB9" s="363">
        <f t="shared" ca="1" si="75"/>
        <v>7.1210249177679041E-2</v>
      </c>
      <c r="AC9" s="363">
        <f t="shared" ca="1" si="75"/>
        <v>8.0249366973876524E-2</v>
      </c>
      <c r="AD9" s="363">
        <f t="shared" ca="1" si="75"/>
        <v>6.0986624143499313E-2</v>
      </c>
      <c r="AE9" s="363">
        <f t="shared" ca="1" si="75"/>
        <v>5.992227631128684E-2</v>
      </c>
      <c r="AF9" s="363">
        <f t="shared" ca="1" si="75"/>
        <v>5.9411732454366581E-2</v>
      </c>
      <c r="AG9" s="363">
        <f t="shared" ca="1" si="75"/>
        <v>6.5297949332983385E-2</v>
      </c>
      <c r="AH9" s="363">
        <f t="shared" ca="1" si="75"/>
        <v>6.145933773315615E-2</v>
      </c>
      <c r="AI9" s="363">
        <f t="shared" ca="1" si="75"/>
        <v>5.3884671530219815E-2</v>
      </c>
      <c r="AJ9" s="363">
        <f t="shared" ca="1" si="75"/>
        <v>5.6929677115504562E-2</v>
      </c>
      <c r="AK9" s="363">
        <f t="shared" ca="1" si="75"/>
        <v>5.6921259351290311E-2</v>
      </c>
      <c r="AL9" s="363">
        <f t="shared" ca="1" si="75"/>
        <v>7.3647977227624506E-2</v>
      </c>
      <c r="AM9" s="363">
        <f t="shared" ca="1" si="75"/>
        <v>5.6482762180143531E-2</v>
      </c>
      <c r="AN9" s="363">
        <f t="shared" ca="1" si="75"/>
        <v>5.8559031282779311E-2</v>
      </c>
      <c r="AO9" s="363">
        <f t="shared" ca="1" si="75"/>
        <v>6.6423483588934684E-2</v>
      </c>
      <c r="AP9" s="363">
        <f t="shared" ca="1" si="75"/>
        <v>5.7566452451021446E-2</v>
      </c>
      <c r="AQ9" s="363">
        <f t="shared" ca="1" si="75"/>
        <v>5.6601749613509889E-2</v>
      </c>
      <c r="AR9" s="363">
        <f t="shared" ca="1" si="75"/>
        <v>6.1019088195161331E-2</v>
      </c>
      <c r="AS9" s="363">
        <f t="shared" ca="1" si="75"/>
        <v>5.4664277271681494E-2</v>
      </c>
      <c r="AT9" s="363">
        <f t="shared" ca="1" si="75"/>
        <v>5.4364924183550926E-2</v>
      </c>
      <c r="AU9" s="363">
        <f t="shared" ca="1" si="75"/>
        <v>6.1925116391233992E-2</v>
      </c>
      <c r="AV9" s="363">
        <f t="shared" ca="1" si="75"/>
        <v>7.2965165383824804E-2</v>
      </c>
      <c r="AW9" s="363">
        <f t="shared" ca="1" si="75"/>
        <v>6.8052362712203496E-2</v>
      </c>
      <c r="AX9" s="363">
        <f t="shared" ca="1" si="75"/>
        <v>5.0087554840264385E-2</v>
      </c>
      <c r="AY9" s="363">
        <f t="shared" ca="1" si="75"/>
        <v>7.4158480122557435E-2</v>
      </c>
      <c r="AZ9" s="363">
        <f t="shared" ca="1" si="75"/>
        <v>4.8721066507857069E-2</v>
      </c>
      <c r="BA9" s="363">
        <f t="shared" ca="1" si="75"/>
        <v>6.0461290649576595E-2</v>
      </c>
      <c r="BB9" s="363">
        <f t="shared" ca="1" si="75"/>
        <v>4.4963102475588136E-2</v>
      </c>
      <c r="BC9" s="363">
        <f t="shared" ca="1" si="75"/>
        <v>5.0836359723035886E-2</v>
      </c>
      <c r="BD9" s="363">
        <f t="shared" ca="1" si="75"/>
        <v>6.1004622381754192E-2</v>
      </c>
      <c r="BE9" s="363">
        <f t="shared" ca="1" si="75"/>
        <v>5.0475753724446286E-2</v>
      </c>
      <c r="BF9" s="363">
        <f t="shared" ca="1" si="75"/>
        <v>6.4708145150500718E-2</v>
      </c>
      <c r="BG9" s="363">
        <f t="shared" ca="1" si="75"/>
        <v>5.6896930181967703E-2</v>
      </c>
      <c r="BH9" s="363">
        <f t="shared" ca="1" si="75"/>
        <v>5.3470903642407364E-2</v>
      </c>
      <c r="BI9" s="363">
        <f t="shared" ca="1" si="75"/>
        <v>5.737760814373466E-2</v>
      </c>
      <c r="BJ9" s="363">
        <f t="shared" ca="1" si="75"/>
        <v>6.1105429350934104E-2</v>
      </c>
      <c r="BK9" s="363">
        <f t="shared" ca="1" si="75"/>
        <v>6.725503947504996E-2</v>
      </c>
      <c r="BL9" s="363">
        <f t="shared" ca="1" si="75"/>
        <v>5.5635491992099502E-2</v>
      </c>
      <c r="BM9" s="363">
        <f t="shared" ca="1" si="75"/>
        <v>7.8597414319809045E-2</v>
      </c>
      <c r="BN9" s="363">
        <f t="shared" ca="1" si="75"/>
        <v>6.0554843710925316E-2</v>
      </c>
      <c r="BO9" s="363">
        <f t="shared" ca="1" si="75"/>
        <v>6.1884632696135089E-2</v>
      </c>
      <c r="BP9" s="363">
        <f t="shared" ca="1" si="75"/>
        <v>7.1986799163275106E-2</v>
      </c>
      <c r="BQ9" s="363">
        <f t="shared" ca="1" si="75"/>
        <v>4.7614317948595754E-2</v>
      </c>
      <c r="BR9" s="363">
        <f t="shared" ca="1" si="75"/>
        <v>6.8029482324283741E-2</v>
      </c>
      <c r="BS9" s="363">
        <f t="shared" ca="1" si="75"/>
        <v>6.6390550154970751E-2</v>
      </c>
      <c r="BT9" s="363">
        <f t="shared" ca="1" si="75"/>
        <v>5.7204214872615178E-2</v>
      </c>
      <c r="BU9" s="363">
        <f t="shared" ca="1" si="75"/>
        <v>6.1161399013407225E-2</v>
      </c>
      <c r="BV9" s="363">
        <f t="shared" ca="1" si="75"/>
        <v>7.1548713854847734E-2</v>
      </c>
      <c r="BW9" s="363">
        <f t="shared" ca="1" si="75"/>
        <v>6.3384918016002101E-2</v>
      </c>
      <c r="BX9" s="363">
        <f t="shared" ca="1" si="75"/>
        <v>5.2054043858982345E-2</v>
      </c>
      <c r="BY9" s="363">
        <f t="shared" ca="1" si="75"/>
        <v>6.1425261180239943E-2</v>
      </c>
      <c r="BZ9" s="363">
        <f t="shared" ref="BZ9:DH9" ca="1" si="76">_xlfn.BETA.INV(RAND(),$I$9,$J$9)</f>
        <v>5.7348307438101112E-2</v>
      </c>
      <c r="CA9" s="363">
        <f t="shared" ca="1" si="76"/>
        <v>6.6647922153094674E-2</v>
      </c>
      <c r="CB9" s="363">
        <f t="shared" ca="1" si="76"/>
        <v>5.0972410604955692E-2</v>
      </c>
      <c r="CC9" s="363">
        <f t="shared" ca="1" si="76"/>
        <v>5.7756129301829176E-2</v>
      </c>
      <c r="CD9" s="363">
        <f t="shared" ca="1" si="76"/>
        <v>5.5422906630571957E-2</v>
      </c>
      <c r="CE9" s="363">
        <f t="shared" ca="1" si="76"/>
        <v>5.3976124478763675E-2</v>
      </c>
      <c r="CF9" s="363">
        <f t="shared" ca="1" si="76"/>
        <v>7.1154263735280221E-2</v>
      </c>
      <c r="CG9" s="363">
        <f t="shared" ca="1" si="76"/>
        <v>6.4470191244282771E-2</v>
      </c>
      <c r="CH9" s="363">
        <f t="shared" ca="1" si="76"/>
        <v>5.5755902970063019E-2</v>
      </c>
      <c r="CI9" s="363">
        <f t="shared" ca="1" si="76"/>
        <v>5.9834977286695824E-2</v>
      </c>
      <c r="CJ9" s="363">
        <f t="shared" ca="1" si="76"/>
        <v>6.2858265182838546E-2</v>
      </c>
      <c r="CK9" s="363">
        <f t="shared" ca="1" si="76"/>
        <v>6.8186372889654345E-2</v>
      </c>
      <c r="CL9" s="363">
        <f t="shared" ca="1" si="76"/>
        <v>5.5269721442076571E-2</v>
      </c>
      <c r="CM9" s="363">
        <f t="shared" ca="1" si="76"/>
        <v>6.8691704206571336E-2</v>
      </c>
      <c r="CN9" s="363">
        <f t="shared" ca="1" si="76"/>
        <v>5.5559054947136872E-2</v>
      </c>
      <c r="CO9" s="363">
        <f t="shared" ca="1" si="76"/>
        <v>6.2125187303335938E-2</v>
      </c>
      <c r="CP9" s="363">
        <f t="shared" ca="1" si="76"/>
        <v>6.5706359721828367E-2</v>
      </c>
      <c r="CQ9" s="363">
        <f t="shared" ca="1" si="76"/>
        <v>4.8986805666960079E-2</v>
      </c>
      <c r="CR9" s="363">
        <f t="shared" ca="1" si="76"/>
        <v>6.0215937276180298E-2</v>
      </c>
      <c r="CS9" s="363">
        <f t="shared" ca="1" si="76"/>
        <v>6.1344073785369657E-2</v>
      </c>
      <c r="CT9" s="363">
        <f t="shared" ca="1" si="76"/>
        <v>5.3387396522246333E-2</v>
      </c>
      <c r="CU9" s="363">
        <f t="shared" ca="1" si="76"/>
        <v>5.4159731157627837E-2</v>
      </c>
      <c r="CV9" s="363">
        <f t="shared" ca="1" si="76"/>
        <v>6.7238244759876165E-2</v>
      </c>
      <c r="CW9" s="363">
        <f t="shared" ca="1" si="76"/>
        <v>6.3192331159346971E-2</v>
      </c>
      <c r="CX9" s="363">
        <f t="shared" ca="1" si="76"/>
        <v>6.047875905078879E-2</v>
      </c>
      <c r="CY9" s="363">
        <f t="shared" ca="1" si="76"/>
        <v>5.8008957268919588E-2</v>
      </c>
      <c r="CZ9" s="363">
        <f t="shared" ca="1" si="76"/>
        <v>5.4994708773885854E-2</v>
      </c>
      <c r="DA9" s="363">
        <f t="shared" ca="1" si="76"/>
        <v>6.1287492356961515E-2</v>
      </c>
      <c r="DB9" s="363">
        <f t="shared" ca="1" si="76"/>
        <v>6.8977949579159481E-2</v>
      </c>
      <c r="DC9" s="363">
        <f t="shared" ca="1" si="76"/>
        <v>6.6463265172877262E-2</v>
      </c>
      <c r="DD9" s="363">
        <f t="shared" ca="1" si="76"/>
        <v>6.9589851850306084E-2</v>
      </c>
      <c r="DE9" s="363">
        <f t="shared" ca="1" si="76"/>
        <v>6.2017067959917904E-2</v>
      </c>
      <c r="DF9" s="363">
        <f t="shared" ca="1" si="76"/>
        <v>5.841261150628714E-2</v>
      </c>
      <c r="DG9" s="363">
        <f t="shared" ca="1" si="76"/>
        <v>6.6548182545394519E-2</v>
      </c>
      <c r="DH9" s="363">
        <f t="shared" ca="1" si="76"/>
        <v>7.0825978539428402E-2</v>
      </c>
      <c r="DI9" s="363">
        <f ca="1">_xlfn.BETA.INV(RAND(),$I$9,$J$9)</f>
        <v>5.8768807202389882E-2</v>
      </c>
      <c r="DJ9" s="363">
        <f t="shared" ref="DJ9:FU9" ca="1" si="77">_xlfn.BETA.INV(RAND(),$I$9,$J$9)</f>
        <v>6.368861082221533E-2</v>
      </c>
      <c r="DK9" s="363">
        <f t="shared" ca="1" si="77"/>
        <v>6.9010997755365899E-2</v>
      </c>
      <c r="DL9" s="363">
        <f t="shared" ca="1" si="77"/>
        <v>5.8088155320853069E-2</v>
      </c>
      <c r="DM9" s="363">
        <f t="shared" ca="1" si="77"/>
        <v>5.69523377398801E-2</v>
      </c>
      <c r="DN9" s="363">
        <f t="shared" ca="1" si="77"/>
        <v>6.0696932611573377E-2</v>
      </c>
      <c r="DO9" s="363">
        <f t="shared" ca="1" si="77"/>
        <v>5.7329332819167668E-2</v>
      </c>
      <c r="DP9" s="363">
        <f t="shared" ca="1" si="77"/>
        <v>5.4172982036039395E-2</v>
      </c>
      <c r="DQ9" s="363">
        <f t="shared" ca="1" si="77"/>
        <v>5.5847337493023293E-2</v>
      </c>
      <c r="DR9" s="363">
        <f t="shared" ca="1" si="77"/>
        <v>6.5834560412496357E-2</v>
      </c>
      <c r="DS9" s="363">
        <f t="shared" ca="1" si="77"/>
        <v>4.7267683151463583E-2</v>
      </c>
      <c r="DT9" s="363">
        <f t="shared" ca="1" si="77"/>
        <v>5.4021909780238742E-2</v>
      </c>
      <c r="DU9" s="363">
        <f t="shared" ca="1" si="77"/>
        <v>6.757530440401216E-2</v>
      </c>
      <c r="DV9" s="363">
        <f t="shared" ca="1" si="77"/>
        <v>7.1720308453219528E-2</v>
      </c>
      <c r="DW9" s="363">
        <f t="shared" ca="1" si="77"/>
        <v>6.4871749114960076E-2</v>
      </c>
      <c r="DX9" s="363">
        <f t="shared" ca="1" si="77"/>
        <v>6.4718527284683969E-2</v>
      </c>
      <c r="DY9" s="363">
        <f t="shared" ca="1" si="77"/>
        <v>5.5908028066694433E-2</v>
      </c>
      <c r="DZ9" s="363">
        <f t="shared" ca="1" si="77"/>
        <v>5.38678594479126E-2</v>
      </c>
      <c r="EA9" s="363">
        <f t="shared" ca="1" si="77"/>
        <v>5.465367374608332E-2</v>
      </c>
      <c r="EB9" s="363">
        <f t="shared" ca="1" si="77"/>
        <v>5.9752602552588442E-2</v>
      </c>
      <c r="EC9" s="363">
        <f t="shared" ca="1" si="77"/>
        <v>5.4754709167058317E-2</v>
      </c>
      <c r="ED9" s="363">
        <f t="shared" ca="1" si="77"/>
        <v>6.8387523869359645E-2</v>
      </c>
      <c r="EE9" s="363">
        <f t="shared" ca="1" si="77"/>
        <v>6.0900049388373345E-2</v>
      </c>
      <c r="EF9" s="363">
        <f t="shared" ca="1" si="77"/>
        <v>6.4131635760825367E-2</v>
      </c>
      <c r="EG9" s="363">
        <f t="shared" ca="1" si="77"/>
        <v>6.1402218401690356E-2</v>
      </c>
      <c r="EH9" s="363">
        <f t="shared" ca="1" si="77"/>
        <v>5.6266951749430028E-2</v>
      </c>
      <c r="EI9" s="363">
        <f t="shared" ca="1" si="77"/>
        <v>7.1069412130502885E-2</v>
      </c>
      <c r="EJ9" s="363">
        <f t="shared" ca="1" si="77"/>
        <v>6.3987114117774579E-2</v>
      </c>
      <c r="EK9" s="363">
        <f t="shared" ca="1" si="77"/>
        <v>5.0553565201555545E-2</v>
      </c>
      <c r="EL9" s="363">
        <f t="shared" ca="1" si="77"/>
        <v>7.0618556640825947E-2</v>
      </c>
      <c r="EM9" s="363">
        <f t="shared" ca="1" si="77"/>
        <v>5.5904022032557309E-2</v>
      </c>
      <c r="EN9" s="363">
        <f t="shared" ca="1" si="77"/>
        <v>6.385106141475283E-2</v>
      </c>
      <c r="EO9" s="363">
        <f t="shared" ca="1" si="77"/>
        <v>7.2847291510081735E-2</v>
      </c>
      <c r="EP9" s="363">
        <f t="shared" ca="1" si="77"/>
        <v>6.7344538594255599E-2</v>
      </c>
      <c r="EQ9" s="363">
        <f t="shared" ca="1" si="77"/>
        <v>7.0082787735126884E-2</v>
      </c>
      <c r="ER9" s="363">
        <f t="shared" ca="1" si="77"/>
        <v>7.4929631896387572E-2</v>
      </c>
      <c r="ES9" s="363">
        <f t="shared" ca="1" si="77"/>
        <v>6.1611961112917779E-2</v>
      </c>
      <c r="ET9" s="363">
        <f t="shared" ca="1" si="77"/>
        <v>6.1126668924404992E-2</v>
      </c>
      <c r="EU9" s="363">
        <f t="shared" ca="1" si="77"/>
        <v>6.1818998714987305E-2</v>
      </c>
      <c r="EV9" s="363">
        <f t="shared" ca="1" si="77"/>
        <v>5.8373656045202789E-2</v>
      </c>
      <c r="EW9" s="363">
        <f t="shared" ca="1" si="77"/>
        <v>5.5450381522899349E-2</v>
      </c>
      <c r="EX9" s="363">
        <f t="shared" ca="1" si="77"/>
        <v>6.5538671347400879E-2</v>
      </c>
      <c r="EY9" s="363">
        <f t="shared" ca="1" si="77"/>
        <v>7.3369086214388091E-2</v>
      </c>
      <c r="EZ9" s="363">
        <f t="shared" ca="1" si="77"/>
        <v>7.1578974650047034E-2</v>
      </c>
      <c r="FA9" s="363">
        <f t="shared" ca="1" si="77"/>
        <v>8.9295680696522162E-2</v>
      </c>
      <c r="FB9" s="363">
        <f t="shared" ca="1" si="77"/>
        <v>5.8391566192777397E-2</v>
      </c>
      <c r="FC9" s="363">
        <f t="shared" ca="1" si="77"/>
        <v>5.3524598383791061E-2</v>
      </c>
      <c r="FD9" s="363">
        <f t="shared" ca="1" si="77"/>
        <v>6.8692439187918453E-2</v>
      </c>
      <c r="FE9" s="363">
        <f t="shared" ca="1" si="77"/>
        <v>7.1454189489417286E-2</v>
      </c>
      <c r="FF9" s="363">
        <f t="shared" ca="1" si="77"/>
        <v>6.611904257335699E-2</v>
      </c>
      <c r="FG9" s="363">
        <f t="shared" ca="1" si="77"/>
        <v>6.2615517389810527E-2</v>
      </c>
      <c r="FH9" s="363">
        <f t="shared" ca="1" si="77"/>
        <v>6.2325939202548253E-2</v>
      </c>
      <c r="FI9" s="363">
        <f t="shared" ca="1" si="77"/>
        <v>5.9801736085698616E-2</v>
      </c>
      <c r="FJ9" s="363">
        <f t="shared" ca="1" si="77"/>
        <v>7.069609081802164E-2</v>
      </c>
      <c r="FK9" s="363">
        <f t="shared" ca="1" si="77"/>
        <v>5.7667978977292242E-2</v>
      </c>
      <c r="FL9" s="363">
        <f t="shared" ca="1" si="77"/>
        <v>5.7295325323373093E-2</v>
      </c>
      <c r="FM9" s="363">
        <f t="shared" ca="1" si="77"/>
        <v>5.7351652435154971E-2</v>
      </c>
      <c r="FN9" s="363">
        <f t="shared" ca="1" si="77"/>
        <v>5.948589643194524E-2</v>
      </c>
      <c r="FO9" s="363">
        <f t="shared" ca="1" si="77"/>
        <v>6.0400065236736279E-2</v>
      </c>
      <c r="FP9" s="363">
        <f t="shared" ca="1" si="77"/>
        <v>5.8037831530641584E-2</v>
      </c>
      <c r="FQ9" s="363">
        <f t="shared" ca="1" si="77"/>
        <v>5.8469372916355455E-2</v>
      </c>
      <c r="FR9" s="363">
        <f t="shared" ca="1" si="77"/>
        <v>5.7829553951430482E-2</v>
      </c>
      <c r="FS9" s="363">
        <f t="shared" ca="1" si="77"/>
        <v>6.1324227762169059E-2</v>
      </c>
      <c r="FT9" s="363">
        <f t="shared" ca="1" si="77"/>
        <v>5.7117141506739535E-2</v>
      </c>
      <c r="FU9" s="363">
        <f t="shared" ca="1" si="77"/>
        <v>6.1883956618156932E-2</v>
      </c>
      <c r="FV9" s="363">
        <f t="shared" ref="FV9:HD9" ca="1" si="78">_xlfn.BETA.INV(RAND(),$I$9,$J$9)</f>
        <v>6.5896363148248649E-2</v>
      </c>
      <c r="FW9" s="363">
        <f t="shared" ca="1" si="78"/>
        <v>6.7521580614627985E-2</v>
      </c>
      <c r="FX9" s="363">
        <f t="shared" ca="1" si="78"/>
        <v>5.656449697448436E-2</v>
      </c>
      <c r="FY9" s="363">
        <f t="shared" ca="1" si="78"/>
        <v>6.6694046120921446E-2</v>
      </c>
      <c r="FZ9" s="363">
        <f t="shared" ca="1" si="78"/>
        <v>6.6510310184046628E-2</v>
      </c>
      <c r="GA9" s="363">
        <f t="shared" ca="1" si="78"/>
        <v>5.7549969855646532E-2</v>
      </c>
      <c r="GB9" s="363">
        <f t="shared" ca="1" si="78"/>
        <v>6.2629052010571118E-2</v>
      </c>
      <c r="GC9" s="363">
        <f t="shared" ca="1" si="78"/>
        <v>6.16236591903363E-2</v>
      </c>
      <c r="GD9" s="363">
        <f t="shared" ca="1" si="78"/>
        <v>6.5874592648523467E-2</v>
      </c>
      <c r="GE9" s="363">
        <f t="shared" ca="1" si="78"/>
        <v>6.3748953107782502E-2</v>
      </c>
      <c r="GF9" s="363">
        <f t="shared" ca="1" si="78"/>
        <v>6.9912644642913024E-2</v>
      </c>
      <c r="GG9" s="363">
        <f t="shared" ca="1" si="78"/>
        <v>5.7094266945787335E-2</v>
      </c>
      <c r="GH9" s="363">
        <f t="shared" ca="1" si="78"/>
        <v>5.6886516604827735E-2</v>
      </c>
      <c r="GI9" s="363">
        <f t="shared" ca="1" si="78"/>
        <v>6.0194838813890095E-2</v>
      </c>
      <c r="GJ9" s="363">
        <f t="shared" ca="1" si="78"/>
        <v>6.7082894005988436E-2</v>
      </c>
      <c r="GK9" s="363">
        <f t="shared" ca="1" si="78"/>
        <v>5.8167903477583292E-2</v>
      </c>
      <c r="GL9" s="363">
        <f t="shared" ca="1" si="78"/>
        <v>7.0258117645444429E-2</v>
      </c>
      <c r="GM9" s="363">
        <f t="shared" ca="1" si="78"/>
        <v>7.0956398689936195E-2</v>
      </c>
      <c r="GN9" s="363">
        <f t="shared" ca="1" si="78"/>
        <v>5.813153585497878E-2</v>
      </c>
      <c r="GO9" s="363">
        <f t="shared" ca="1" si="78"/>
        <v>4.9625356149581683E-2</v>
      </c>
      <c r="GP9" s="363">
        <f t="shared" ca="1" si="78"/>
        <v>6.6002891953802822E-2</v>
      </c>
      <c r="GQ9" s="363">
        <f t="shared" ca="1" si="78"/>
        <v>5.8367833871851821E-2</v>
      </c>
      <c r="GR9" s="363">
        <f t="shared" ca="1" si="78"/>
        <v>5.6994876612880663E-2</v>
      </c>
      <c r="GS9" s="363">
        <f t="shared" ca="1" si="78"/>
        <v>6.4866102244371171E-2</v>
      </c>
      <c r="GT9" s="363">
        <f t="shared" ca="1" si="78"/>
        <v>4.8960105700774421E-2</v>
      </c>
      <c r="GU9" s="363">
        <f t="shared" ca="1" si="78"/>
        <v>5.3055102833331071E-2</v>
      </c>
      <c r="GV9" s="363">
        <f t="shared" ca="1" si="78"/>
        <v>5.7410631130974561E-2</v>
      </c>
      <c r="GW9" s="363">
        <f t="shared" ca="1" si="78"/>
        <v>7.3806690916706885E-2</v>
      </c>
      <c r="GX9" s="363">
        <f t="shared" ca="1" si="78"/>
        <v>6.0412192860876339E-2</v>
      </c>
      <c r="GY9" s="363">
        <f t="shared" ca="1" si="78"/>
        <v>5.5807718321659212E-2</v>
      </c>
      <c r="GZ9" s="363">
        <f t="shared" ca="1" si="78"/>
        <v>6.7520792834414034E-2</v>
      </c>
      <c r="HA9" s="363">
        <f t="shared" ca="1" si="78"/>
        <v>5.6845983576728092E-2</v>
      </c>
      <c r="HB9" s="363">
        <f t="shared" ca="1" si="78"/>
        <v>6.0441380825514479E-2</v>
      </c>
      <c r="HC9" s="363">
        <f t="shared" ca="1" si="78"/>
        <v>5.7436856302390274E-2</v>
      </c>
      <c r="HD9" s="363">
        <f t="shared" ca="1" si="78"/>
        <v>7.657605474876461E-2</v>
      </c>
      <c r="HE9" s="363">
        <f ca="1">_xlfn.BETA.INV(RAND(),$I$9,$J$9)</f>
        <v>4.8655440149323659E-2</v>
      </c>
      <c r="HF9" s="363">
        <f t="shared" ref="HF9:JQ9" ca="1" si="79">_xlfn.BETA.INV(RAND(),$I$9,$J$9)</f>
        <v>5.82451280155383E-2</v>
      </c>
      <c r="HG9" s="363">
        <f t="shared" ca="1" si="79"/>
        <v>5.2104514389557807E-2</v>
      </c>
      <c r="HH9" s="363">
        <f t="shared" ca="1" si="79"/>
        <v>6.8971916985114845E-2</v>
      </c>
      <c r="HI9" s="363">
        <f t="shared" ca="1" si="79"/>
        <v>6.2753134865699445E-2</v>
      </c>
      <c r="HJ9" s="363">
        <f t="shared" ca="1" si="79"/>
        <v>6.5294097371023097E-2</v>
      </c>
      <c r="HK9" s="363">
        <f t="shared" ca="1" si="79"/>
        <v>6.7037320814637091E-2</v>
      </c>
      <c r="HL9" s="363">
        <f t="shared" ca="1" si="79"/>
        <v>6.6115033129774514E-2</v>
      </c>
      <c r="HM9" s="363">
        <f t="shared" ca="1" si="79"/>
        <v>7.2258116415446882E-2</v>
      </c>
      <c r="HN9" s="363">
        <f t="shared" ca="1" si="79"/>
        <v>7.3084992096146828E-2</v>
      </c>
      <c r="HO9" s="363">
        <f t="shared" ca="1" si="79"/>
        <v>6.7318662902745463E-2</v>
      </c>
      <c r="HP9" s="363">
        <f t="shared" ca="1" si="79"/>
        <v>5.1638464612147071E-2</v>
      </c>
      <c r="HQ9" s="363">
        <f t="shared" ca="1" si="79"/>
        <v>7.2527680621200741E-2</v>
      </c>
      <c r="HR9" s="363">
        <f t="shared" ca="1" si="79"/>
        <v>5.8233661273276262E-2</v>
      </c>
      <c r="HS9" s="363">
        <f t="shared" ca="1" si="79"/>
        <v>5.5633168145757701E-2</v>
      </c>
      <c r="HT9" s="363">
        <f t="shared" ca="1" si="79"/>
        <v>6.8848622893039835E-2</v>
      </c>
      <c r="HU9" s="363">
        <f t="shared" ca="1" si="79"/>
        <v>5.413103019772314E-2</v>
      </c>
      <c r="HV9" s="363">
        <f t="shared" ca="1" si="79"/>
        <v>5.7495222763568006E-2</v>
      </c>
      <c r="HW9" s="363">
        <f t="shared" ca="1" si="79"/>
        <v>5.3769747057345656E-2</v>
      </c>
      <c r="HX9" s="363">
        <f t="shared" ca="1" si="79"/>
        <v>5.7646578185765372E-2</v>
      </c>
      <c r="HY9" s="363">
        <f t="shared" ca="1" si="79"/>
        <v>6.3934323319370989E-2</v>
      </c>
      <c r="HZ9" s="363">
        <f t="shared" ca="1" si="79"/>
        <v>6.3451984228889979E-2</v>
      </c>
      <c r="IA9" s="363">
        <f t="shared" ca="1" si="79"/>
        <v>6.6671157775782697E-2</v>
      </c>
      <c r="IB9" s="363">
        <f t="shared" ca="1" si="79"/>
        <v>5.9251040135763579E-2</v>
      </c>
      <c r="IC9" s="363">
        <f t="shared" ca="1" si="79"/>
        <v>6.1262509889945749E-2</v>
      </c>
      <c r="ID9" s="363">
        <f t="shared" ca="1" si="79"/>
        <v>6.8226170972719657E-2</v>
      </c>
      <c r="IE9" s="363">
        <f t="shared" ca="1" si="79"/>
        <v>7.1213386192235162E-2</v>
      </c>
      <c r="IF9" s="363">
        <f t="shared" ca="1" si="79"/>
        <v>6.7671394198926427E-2</v>
      </c>
      <c r="IG9" s="363">
        <f t="shared" ca="1" si="79"/>
        <v>6.9191262776088336E-2</v>
      </c>
      <c r="IH9" s="363">
        <f t="shared" ca="1" si="79"/>
        <v>6.1198186852422509E-2</v>
      </c>
      <c r="II9" s="363">
        <f t="shared" ca="1" si="79"/>
        <v>5.7486974939728742E-2</v>
      </c>
      <c r="IJ9" s="363">
        <f t="shared" ca="1" si="79"/>
        <v>6.1548447508989912E-2</v>
      </c>
      <c r="IK9" s="363">
        <f t="shared" ca="1" si="79"/>
        <v>6.0483839845568051E-2</v>
      </c>
      <c r="IL9" s="363">
        <f t="shared" ca="1" si="79"/>
        <v>5.7595741049878593E-2</v>
      </c>
      <c r="IM9" s="363">
        <f t="shared" ca="1" si="79"/>
        <v>4.7519578156455619E-2</v>
      </c>
      <c r="IN9" s="363">
        <f t="shared" ca="1" si="79"/>
        <v>6.1320870986519505E-2</v>
      </c>
      <c r="IO9" s="363">
        <f t="shared" ca="1" si="79"/>
        <v>5.4963902386628988E-2</v>
      </c>
      <c r="IP9" s="363">
        <f t="shared" ca="1" si="79"/>
        <v>6.1115182707360605E-2</v>
      </c>
      <c r="IQ9" s="363">
        <f t="shared" ca="1" si="79"/>
        <v>6.260884936156863E-2</v>
      </c>
      <c r="IR9" s="363">
        <f t="shared" ca="1" si="79"/>
        <v>6.2160939397715942E-2</v>
      </c>
      <c r="IS9" s="363">
        <f t="shared" ca="1" si="79"/>
        <v>6.1432082783327235E-2</v>
      </c>
      <c r="IT9" s="363">
        <f t="shared" ca="1" si="79"/>
        <v>6.3773968722401486E-2</v>
      </c>
      <c r="IU9" s="363">
        <f t="shared" ca="1" si="79"/>
        <v>6.8085646029772962E-2</v>
      </c>
      <c r="IV9" s="363">
        <f t="shared" ca="1" si="79"/>
        <v>5.2244751287134891E-2</v>
      </c>
      <c r="IW9" s="363">
        <f t="shared" ca="1" si="79"/>
        <v>6.0389509860074513E-2</v>
      </c>
      <c r="IX9" s="363">
        <f t="shared" ca="1" si="79"/>
        <v>6.1079156967709936E-2</v>
      </c>
      <c r="IY9" s="363">
        <f t="shared" ca="1" si="79"/>
        <v>7.3330182857480164E-2</v>
      </c>
      <c r="IZ9" s="363">
        <f t="shared" ca="1" si="79"/>
        <v>5.7741300572714767E-2</v>
      </c>
      <c r="JA9" s="363">
        <f t="shared" ca="1" si="79"/>
        <v>6.1159034818258018E-2</v>
      </c>
      <c r="JB9" s="363">
        <f t="shared" ca="1" si="79"/>
        <v>6.6739624217126647E-2</v>
      </c>
      <c r="JC9" s="363">
        <f t="shared" ca="1" si="79"/>
        <v>5.3634263099255085E-2</v>
      </c>
      <c r="JD9" s="363">
        <f t="shared" ca="1" si="79"/>
        <v>5.2558469698548445E-2</v>
      </c>
      <c r="JE9" s="363">
        <f t="shared" ca="1" si="79"/>
        <v>5.1151842693052771E-2</v>
      </c>
      <c r="JF9" s="363">
        <f t="shared" ca="1" si="79"/>
        <v>8.4772695459356173E-2</v>
      </c>
      <c r="JG9" s="363">
        <f t="shared" ca="1" si="79"/>
        <v>5.1109485849080816E-2</v>
      </c>
      <c r="JH9" s="363">
        <f t="shared" ca="1" si="79"/>
        <v>6.7892040860787706E-2</v>
      </c>
      <c r="JI9" s="363">
        <f t="shared" ca="1" si="79"/>
        <v>5.5859790752239388E-2</v>
      </c>
      <c r="JJ9" s="363">
        <f t="shared" ca="1" si="79"/>
        <v>4.4434788543659058E-2</v>
      </c>
      <c r="JK9" s="363">
        <f t="shared" ca="1" si="79"/>
        <v>6.5116398236797268E-2</v>
      </c>
      <c r="JL9" s="363">
        <f t="shared" ca="1" si="79"/>
        <v>5.4572469454856276E-2</v>
      </c>
      <c r="JM9" s="363">
        <f t="shared" ca="1" si="79"/>
        <v>5.2541343630755154E-2</v>
      </c>
      <c r="JN9" s="363">
        <f t="shared" ca="1" si="79"/>
        <v>6.3132161428609224E-2</v>
      </c>
      <c r="JO9" s="363">
        <f t="shared" ca="1" si="79"/>
        <v>6.0394208745884241E-2</v>
      </c>
      <c r="JP9" s="363">
        <f t="shared" ca="1" si="79"/>
        <v>5.5869120166823813E-2</v>
      </c>
      <c r="JQ9" s="363">
        <f t="shared" ca="1" si="79"/>
        <v>5.7126419808489939E-2</v>
      </c>
      <c r="JR9" s="363">
        <f t="shared" ref="JR9:KZ9" ca="1" si="80">_xlfn.BETA.INV(RAND(),$I$9,$J$9)</f>
        <v>5.1197949070935098E-2</v>
      </c>
      <c r="JS9" s="363">
        <f t="shared" ca="1" si="80"/>
        <v>5.412411479910232E-2</v>
      </c>
      <c r="JT9" s="363">
        <f t="shared" ca="1" si="80"/>
        <v>6.3975130691025894E-2</v>
      </c>
      <c r="JU9" s="363">
        <f t="shared" ca="1" si="80"/>
        <v>5.5197240129629066E-2</v>
      </c>
      <c r="JV9" s="363">
        <f t="shared" ca="1" si="80"/>
        <v>6.99151047347355E-2</v>
      </c>
      <c r="JW9" s="363">
        <f t="shared" ca="1" si="80"/>
        <v>7.266387742274949E-2</v>
      </c>
      <c r="JX9" s="363">
        <f t="shared" ca="1" si="80"/>
        <v>5.7316075951862173E-2</v>
      </c>
      <c r="JY9" s="363">
        <f t="shared" ca="1" si="80"/>
        <v>5.3065874131192896E-2</v>
      </c>
      <c r="JZ9" s="363">
        <f t="shared" ca="1" si="80"/>
        <v>5.1221126597293262E-2</v>
      </c>
      <c r="KA9" s="363">
        <f t="shared" ca="1" si="80"/>
        <v>5.1526187847043541E-2</v>
      </c>
      <c r="KB9" s="363">
        <f t="shared" ca="1" si="80"/>
        <v>5.5123805804808565E-2</v>
      </c>
      <c r="KC9" s="363">
        <f t="shared" ca="1" si="80"/>
        <v>6.3925493214534668E-2</v>
      </c>
      <c r="KD9" s="363">
        <f t="shared" ca="1" si="80"/>
        <v>5.7471153427665206E-2</v>
      </c>
      <c r="KE9" s="363">
        <f t="shared" ca="1" si="80"/>
        <v>6.3567895754349069E-2</v>
      </c>
      <c r="KF9" s="363">
        <f t="shared" ca="1" si="80"/>
        <v>5.9940092550254863E-2</v>
      </c>
      <c r="KG9" s="363">
        <f t="shared" ca="1" si="80"/>
        <v>4.6461252136993744E-2</v>
      </c>
      <c r="KH9" s="363">
        <f t="shared" ca="1" si="80"/>
        <v>5.2095503573202764E-2</v>
      </c>
      <c r="KI9" s="363">
        <f t="shared" ca="1" si="80"/>
        <v>7.1742966603973835E-2</v>
      </c>
      <c r="KJ9" s="363">
        <f t="shared" ca="1" si="80"/>
        <v>7.209122271914703E-2</v>
      </c>
      <c r="KK9" s="363">
        <f t="shared" ca="1" si="80"/>
        <v>6.4661417333176763E-2</v>
      </c>
      <c r="KL9" s="363">
        <f t="shared" ca="1" si="80"/>
        <v>7.3565188989636265E-2</v>
      </c>
      <c r="KM9" s="363">
        <f t="shared" ca="1" si="80"/>
        <v>6.0695401201356136E-2</v>
      </c>
      <c r="KN9" s="363">
        <f t="shared" ca="1" si="80"/>
        <v>4.9500806248976258E-2</v>
      </c>
      <c r="KO9" s="363">
        <f t="shared" ca="1" si="80"/>
        <v>5.6542585658618694E-2</v>
      </c>
      <c r="KP9" s="363">
        <f t="shared" ca="1" si="80"/>
        <v>6.7291126686551683E-2</v>
      </c>
      <c r="KQ9" s="363">
        <f t="shared" ca="1" si="80"/>
        <v>6.3703543030179888E-2</v>
      </c>
      <c r="KR9" s="363">
        <f t="shared" ca="1" si="80"/>
        <v>5.8071026447952305E-2</v>
      </c>
      <c r="KS9" s="363">
        <f t="shared" ca="1" si="80"/>
        <v>5.4149669024588717E-2</v>
      </c>
      <c r="KT9" s="363">
        <f t="shared" ca="1" si="80"/>
        <v>5.9884697179529142E-2</v>
      </c>
      <c r="KU9" s="363">
        <f t="shared" ca="1" si="80"/>
        <v>6.0145408638986299E-2</v>
      </c>
      <c r="KV9" s="363">
        <f t="shared" ca="1" si="80"/>
        <v>6.1487581248333756E-2</v>
      </c>
      <c r="KW9" s="363">
        <f t="shared" ca="1" si="80"/>
        <v>5.9706680760411114E-2</v>
      </c>
      <c r="KX9" s="363">
        <f t="shared" ca="1" si="80"/>
        <v>6.8273882396209795E-2</v>
      </c>
      <c r="KY9" s="363">
        <f t="shared" ca="1" si="80"/>
        <v>6.7804191643128342E-2</v>
      </c>
      <c r="KZ9" s="363">
        <f t="shared" ca="1" si="80"/>
        <v>6.805699914650043E-2</v>
      </c>
      <c r="LA9" s="363">
        <f ca="1">_xlfn.BETA.INV(RAND(),$I$9,$J$9)</f>
        <v>5.8220804881994367E-2</v>
      </c>
      <c r="LB9" s="363">
        <f t="shared" ref="LB9:NM9" ca="1" si="81">_xlfn.BETA.INV(RAND(),$I$9,$J$9)</f>
        <v>4.9344107790983208E-2</v>
      </c>
      <c r="LC9" s="363">
        <f t="shared" ca="1" si="81"/>
        <v>6.3103164110404508E-2</v>
      </c>
      <c r="LD9" s="363">
        <f t="shared" ca="1" si="81"/>
        <v>5.651270858791646E-2</v>
      </c>
      <c r="LE9" s="363">
        <f t="shared" ca="1" si="81"/>
        <v>8.5286416048007241E-2</v>
      </c>
      <c r="LF9" s="363">
        <f t="shared" ca="1" si="81"/>
        <v>7.0652066354954024E-2</v>
      </c>
      <c r="LG9" s="363">
        <f t="shared" ca="1" si="81"/>
        <v>5.7650178529860492E-2</v>
      </c>
      <c r="LH9" s="363">
        <f t="shared" ca="1" si="81"/>
        <v>6.598753346392916E-2</v>
      </c>
      <c r="LI9" s="363">
        <f t="shared" ca="1" si="81"/>
        <v>6.3659424852846924E-2</v>
      </c>
      <c r="LJ9" s="363">
        <f t="shared" ca="1" si="81"/>
        <v>6.3393130517156004E-2</v>
      </c>
      <c r="LK9" s="363">
        <f t="shared" ca="1" si="81"/>
        <v>6.5148494874708973E-2</v>
      </c>
      <c r="LL9" s="363">
        <f t="shared" ca="1" si="81"/>
        <v>5.4790467194178676E-2</v>
      </c>
      <c r="LM9" s="363">
        <f t="shared" ca="1" si="81"/>
        <v>5.7598974408762188E-2</v>
      </c>
      <c r="LN9" s="363">
        <f t="shared" ca="1" si="81"/>
        <v>7.7363781762898265E-2</v>
      </c>
      <c r="LO9" s="363">
        <f t="shared" ca="1" si="81"/>
        <v>5.7150038808601061E-2</v>
      </c>
      <c r="LP9" s="363">
        <f t="shared" ca="1" si="81"/>
        <v>5.9609350684963876E-2</v>
      </c>
      <c r="LQ9" s="363">
        <f t="shared" ca="1" si="81"/>
        <v>5.3835495927377255E-2</v>
      </c>
      <c r="LR9" s="363">
        <f t="shared" ca="1" si="81"/>
        <v>6.2039009662137601E-2</v>
      </c>
      <c r="LS9" s="363">
        <f t="shared" ca="1" si="81"/>
        <v>7.1794026101095754E-2</v>
      </c>
      <c r="LT9" s="363">
        <f t="shared" ca="1" si="81"/>
        <v>6.4827088762837048E-2</v>
      </c>
      <c r="LU9" s="363">
        <f t="shared" ca="1" si="81"/>
        <v>6.5528472958196304E-2</v>
      </c>
      <c r="LV9" s="363">
        <f t="shared" ca="1" si="81"/>
        <v>6.590965518392089E-2</v>
      </c>
      <c r="LW9" s="363">
        <f t="shared" ca="1" si="81"/>
        <v>6.5527343828159834E-2</v>
      </c>
      <c r="LX9" s="363">
        <f t="shared" ca="1" si="81"/>
        <v>6.0221022574530964E-2</v>
      </c>
      <c r="LY9" s="363">
        <f t="shared" ca="1" si="81"/>
        <v>7.1820179528152339E-2</v>
      </c>
      <c r="LZ9" s="363">
        <f t="shared" ca="1" si="81"/>
        <v>6.3563262785572894E-2</v>
      </c>
      <c r="MA9" s="363">
        <f t="shared" ca="1" si="81"/>
        <v>5.8158916788588089E-2</v>
      </c>
      <c r="MB9" s="363">
        <f t="shared" ca="1" si="81"/>
        <v>5.2384782216208729E-2</v>
      </c>
      <c r="MC9" s="363">
        <f t="shared" ca="1" si="81"/>
        <v>6.7313283560839987E-2</v>
      </c>
      <c r="MD9" s="363">
        <f t="shared" ca="1" si="81"/>
        <v>5.3481906084940731E-2</v>
      </c>
      <c r="ME9" s="363">
        <f t="shared" ca="1" si="81"/>
        <v>5.274024886103941E-2</v>
      </c>
      <c r="MF9" s="363">
        <f t="shared" ca="1" si="81"/>
        <v>5.1155299988310428E-2</v>
      </c>
      <c r="MG9" s="363">
        <f t="shared" ca="1" si="81"/>
        <v>6.9803857222569987E-2</v>
      </c>
      <c r="MH9" s="363">
        <f t="shared" ca="1" si="81"/>
        <v>7.1050965772610053E-2</v>
      </c>
      <c r="MI9" s="363">
        <f t="shared" ca="1" si="81"/>
        <v>7.4726686323491665E-2</v>
      </c>
      <c r="MJ9" s="363">
        <f t="shared" ca="1" si="81"/>
        <v>6.0556704153378965E-2</v>
      </c>
      <c r="MK9" s="363">
        <f t="shared" ca="1" si="81"/>
        <v>5.9494149039809777E-2</v>
      </c>
      <c r="ML9" s="363">
        <f t="shared" ca="1" si="81"/>
        <v>5.8281398914933988E-2</v>
      </c>
      <c r="MM9" s="363">
        <f t="shared" ca="1" si="81"/>
        <v>5.4178474474061059E-2</v>
      </c>
      <c r="MN9" s="363">
        <f t="shared" ca="1" si="81"/>
        <v>5.4057796686657972E-2</v>
      </c>
      <c r="MO9" s="363">
        <f t="shared" ca="1" si="81"/>
        <v>6.237946568991326E-2</v>
      </c>
      <c r="MP9" s="363">
        <f t="shared" ca="1" si="81"/>
        <v>6.4738529168655079E-2</v>
      </c>
      <c r="MQ9" s="363">
        <f t="shared" ca="1" si="81"/>
        <v>6.6400139988102902E-2</v>
      </c>
      <c r="MR9" s="363">
        <f t="shared" ca="1" si="81"/>
        <v>5.6379847441340621E-2</v>
      </c>
      <c r="MS9" s="363">
        <f t="shared" ca="1" si="81"/>
        <v>6.5706501682234464E-2</v>
      </c>
      <c r="MT9" s="363">
        <f t="shared" ca="1" si="81"/>
        <v>5.3898256568306185E-2</v>
      </c>
      <c r="MU9" s="363">
        <f t="shared" ca="1" si="81"/>
        <v>6.1796178055960049E-2</v>
      </c>
      <c r="MV9" s="363">
        <f t="shared" ca="1" si="81"/>
        <v>5.7475818151030228E-2</v>
      </c>
      <c r="MW9" s="363">
        <f t="shared" ca="1" si="81"/>
        <v>6.1153308861677802E-2</v>
      </c>
      <c r="MX9" s="363">
        <f t="shared" ca="1" si="81"/>
        <v>6.860630800569667E-2</v>
      </c>
      <c r="MY9" s="363">
        <f t="shared" ca="1" si="81"/>
        <v>5.4280188326268117E-2</v>
      </c>
      <c r="MZ9" s="363">
        <f t="shared" ca="1" si="81"/>
        <v>5.9539053905666127E-2</v>
      </c>
      <c r="NA9" s="363">
        <f t="shared" ca="1" si="81"/>
        <v>6.2168920475650036E-2</v>
      </c>
      <c r="NB9" s="363">
        <f t="shared" ca="1" si="81"/>
        <v>5.212208756092767E-2</v>
      </c>
      <c r="NC9" s="363">
        <f t="shared" ca="1" si="81"/>
        <v>5.2018582395405265E-2</v>
      </c>
      <c r="ND9" s="363">
        <f t="shared" ca="1" si="81"/>
        <v>6.0907584047339647E-2</v>
      </c>
      <c r="NE9" s="363">
        <f t="shared" ca="1" si="81"/>
        <v>5.6011132476697763E-2</v>
      </c>
      <c r="NF9" s="363">
        <f t="shared" ca="1" si="81"/>
        <v>5.4351810614218447E-2</v>
      </c>
      <c r="NG9" s="363">
        <f t="shared" ca="1" si="81"/>
        <v>5.8918491055138932E-2</v>
      </c>
      <c r="NH9" s="363">
        <f t="shared" ca="1" si="81"/>
        <v>5.9203552710976312E-2</v>
      </c>
      <c r="NI9" s="363">
        <f t="shared" ca="1" si="81"/>
        <v>5.0714756931787827E-2</v>
      </c>
      <c r="NJ9" s="363">
        <f t="shared" ca="1" si="81"/>
        <v>5.2667444268485429E-2</v>
      </c>
      <c r="NK9" s="363">
        <f t="shared" ca="1" si="81"/>
        <v>6.5991375234240257E-2</v>
      </c>
      <c r="NL9" s="363">
        <f t="shared" ca="1" si="81"/>
        <v>6.3450644472663353E-2</v>
      </c>
      <c r="NM9" s="363">
        <f t="shared" ca="1" si="81"/>
        <v>5.270201851937311E-2</v>
      </c>
      <c r="NN9" s="363">
        <f t="shared" ref="NN9:OV9" ca="1" si="82">_xlfn.BETA.INV(RAND(),$I$9,$J$9)</f>
        <v>6.1392065639979898E-2</v>
      </c>
      <c r="NO9" s="363">
        <f t="shared" ca="1" si="82"/>
        <v>6.2157352022585211E-2</v>
      </c>
      <c r="NP9" s="363">
        <f t="shared" ca="1" si="82"/>
        <v>4.9697799660945619E-2</v>
      </c>
      <c r="NQ9" s="363">
        <f t="shared" ca="1" si="82"/>
        <v>6.4308169848881103E-2</v>
      </c>
      <c r="NR9" s="363">
        <f t="shared" ca="1" si="82"/>
        <v>6.6114302117735724E-2</v>
      </c>
      <c r="NS9" s="363">
        <f t="shared" ca="1" si="82"/>
        <v>5.1546276602613426E-2</v>
      </c>
      <c r="NT9" s="363">
        <f t="shared" ca="1" si="82"/>
        <v>6.4519352938708696E-2</v>
      </c>
      <c r="NU9" s="363">
        <f t="shared" ca="1" si="82"/>
        <v>5.3341226013875413E-2</v>
      </c>
      <c r="NV9" s="363">
        <f t="shared" ca="1" si="82"/>
        <v>5.6514475794419358E-2</v>
      </c>
      <c r="NW9" s="363">
        <f t="shared" ca="1" si="82"/>
        <v>6.0324164622089803E-2</v>
      </c>
      <c r="NX9" s="363">
        <f t="shared" ca="1" si="82"/>
        <v>6.4180443791983177E-2</v>
      </c>
      <c r="NY9" s="363">
        <f t="shared" ca="1" si="82"/>
        <v>5.4044015439274166E-2</v>
      </c>
      <c r="NZ9" s="363">
        <f t="shared" ca="1" si="82"/>
        <v>6.0854896912314826E-2</v>
      </c>
      <c r="OA9" s="363">
        <f t="shared" ca="1" si="82"/>
        <v>5.2435041105293893E-2</v>
      </c>
      <c r="OB9" s="363">
        <f t="shared" ca="1" si="82"/>
        <v>6.3945360277653074E-2</v>
      </c>
      <c r="OC9" s="363">
        <f t="shared" ca="1" si="82"/>
        <v>6.0279870361623966E-2</v>
      </c>
      <c r="OD9" s="363">
        <f t="shared" ca="1" si="82"/>
        <v>5.6820036285357013E-2</v>
      </c>
      <c r="OE9" s="363">
        <f t="shared" ca="1" si="82"/>
        <v>6.706288932463178E-2</v>
      </c>
      <c r="OF9" s="363">
        <f t="shared" ca="1" si="82"/>
        <v>6.7345177404151024E-2</v>
      </c>
      <c r="OG9" s="363">
        <f t="shared" ca="1" si="82"/>
        <v>5.2883273376346608E-2</v>
      </c>
      <c r="OH9" s="363">
        <f t="shared" ca="1" si="82"/>
        <v>6.6025491222564514E-2</v>
      </c>
      <c r="OI9" s="363">
        <f t="shared" ca="1" si="82"/>
        <v>7.6821172995026443E-2</v>
      </c>
      <c r="OJ9" s="363">
        <f t="shared" ca="1" si="82"/>
        <v>7.472854976679677E-2</v>
      </c>
      <c r="OK9" s="363">
        <f t="shared" ca="1" si="82"/>
        <v>5.9221284664813127E-2</v>
      </c>
      <c r="OL9" s="363">
        <f t="shared" ca="1" si="82"/>
        <v>5.771017955313943E-2</v>
      </c>
      <c r="OM9" s="363">
        <f t="shared" ca="1" si="82"/>
        <v>8.0724874111212874E-2</v>
      </c>
      <c r="ON9" s="363">
        <f t="shared" ca="1" si="82"/>
        <v>6.7173543753413334E-2</v>
      </c>
      <c r="OO9" s="363">
        <f t="shared" ca="1" si="82"/>
        <v>6.6273461562879388E-2</v>
      </c>
      <c r="OP9" s="363">
        <f t="shared" ca="1" si="82"/>
        <v>5.1481832615279E-2</v>
      </c>
      <c r="OQ9" s="363">
        <f t="shared" ca="1" si="82"/>
        <v>4.8822062671167843E-2</v>
      </c>
      <c r="OR9" s="363">
        <f t="shared" ca="1" si="82"/>
        <v>5.0445418564619461E-2</v>
      </c>
      <c r="OS9" s="363">
        <f t="shared" ca="1" si="82"/>
        <v>7.1807142218894282E-2</v>
      </c>
      <c r="OT9" s="363">
        <f t="shared" ca="1" si="82"/>
        <v>4.0441478922740012E-2</v>
      </c>
      <c r="OU9" s="363">
        <f t="shared" ca="1" si="82"/>
        <v>5.8408528225383546E-2</v>
      </c>
      <c r="OV9" s="363">
        <f t="shared" ca="1" si="82"/>
        <v>5.4203377872351959E-2</v>
      </c>
      <c r="OW9" s="363">
        <f ca="1">_xlfn.BETA.INV(RAND(),$I$9,$J$9)</f>
        <v>6.5409530064139187E-2</v>
      </c>
      <c r="OX9" s="363">
        <f t="shared" ref="OX9:RI9" ca="1" si="83">_xlfn.BETA.INV(RAND(),$I$9,$J$9)</f>
        <v>6.6841751199019916E-2</v>
      </c>
      <c r="OY9" s="363">
        <f t="shared" ca="1" si="83"/>
        <v>6.0151122712970316E-2</v>
      </c>
      <c r="OZ9" s="363">
        <f t="shared" ca="1" si="83"/>
        <v>6.1079460181248879E-2</v>
      </c>
      <c r="PA9" s="363">
        <f t="shared" ca="1" si="83"/>
        <v>6.0512523591584585E-2</v>
      </c>
      <c r="PB9" s="363">
        <f t="shared" ca="1" si="83"/>
        <v>5.9866664391099174E-2</v>
      </c>
      <c r="PC9" s="363">
        <f t="shared" ca="1" si="83"/>
        <v>6.4958854190884541E-2</v>
      </c>
      <c r="PD9" s="363">
        <f t="shared" ca="1" si="83"/>
        <v>5.5515723061186566E-2</v>
      </c>
      <c r="PE9" s="363">
        <f t="shared" ca="1" si="83"/>
        <v>4.7657327752156593E-2</v>
      </c>
      <c r="PF9" s="363">
        <f t="shared" ca="1" si="83"/>
        <v>4.729720976379817E-2</v>
      </c>
      <c r="PG9" s="363">
        <f t="shared" ca="1" si="83"/>
        <v>6.9943148137214473E-2</v>
      </c>
      <c r="PH9" s="363">
        <f t="shared" ca="1" si="83"/>
        <v>7.0295459513833536E-2</v>
      </c>
      <c r="PI9" s="363">
        <f t="shared" ca="1" si="83"/>
        <v>7.5227908174591018E-2</v>
      </c>
      <c r="PJ9" s="363">
        <f t="shared" ca="1" si="83"/>
        <v>6.5917480034065945E-2</v>
      </c>
      <c r="PK9" s="363">
        <f t="shared" ca="1" si="83"/>
        <v>5.8223319839495725E-2</v>
      </c>
      <c r="PL9" s="363">
        <f t="shared" ca="1" si="83"/>
        <v>4.7290459916244282E-2</v>
      </c>
      <c r="PM9" s="363">
        <f t="shared" ca="1" si="83"/>
        <v>6.9266514122521383E-2</v>
      </c>
      <c r="PN9" s="363">
        <f t="shared" ca="1" si="83"/>
        <v>5.3871222197013492E-2</v>
      </c>
      <c r="PO9" s="363">
        <f t="shared" ca="1" si="83"/>
        <v>5.6865893253522572E-2</v>
      </c>
      <c r="PP9" s="363">
        <f t="shared" ca="1" si="83"/>
        <v>6.4320149377507074E-2</v>
      </c>
      <c r="PQ9" s="363">
        <f t="shared" ca="1" si="83"/>
        <v>6.3847560146221838E-2</v>
      </c>
      <c r="PR9" s="363">
        <f t="shared" ca="1" si="83"/>
        <v>4.8292335373510381E-2</v>
      </c>
      <c r="PS9" s="363">
        <f t="shared" ca="1" si="83"/>
        <v>5.545079817907933E-2</v>
      </c>
      <c r="PT9" s="363">
        <f t="shared" ca="1" si="83"/>
        <v>5.7436630836094404E-2</v>
      </c>
      <c r="PU9" s="363">
        <f t="shared" ca="1" si="83"/>
        <v>5.5177966402331087E-2</v>
      </c>
      <c r="PV9" s="363">
        <f t="shared" ca="1" si="83"/>
        <v>5.2367140910067049E-2</v>
      </c>
      <c r="PW9" s="363">
        <f t="shared" ca="1" si="83"/>
        <v>5.1773979609732797E-2</v>
      </c>
      <c r="PX9" s="363">
        <f t="shared" ca="1" si="83"/>
        <v>4.4815088531797984E-2</v>
      </c>
      <c r="PY9" s="363">
        <f t="shared" ca="1" si="83"/>
        <v>5.9499479588524549E-2</v>
      </c>
      <c r="PZ9" s="363">
        <f t="shared" ca="1" si="83"/>
        <v>7.5532495532747879E-2</v>
      </c>
      <c r="QA9" s="363">
        <f t="shared" ca="1" si="83"/>
        <v>5.6923335448956898E-2</v>
      </c>
      <c r="QB9" s="363">
        <f t="shared" ca="1" si="83"/>
        <v>7.1602442257562293E-2</v>
      </c>
      <c r="QC9" s="363">
        <f t="shared" ca="1" si="83"/>
        <v>5.6149134753998582E-2</v>
      </c>
      <c r="QD9" s="363">
        <f t="shared" ca="1" si="83"/>
        <v>5.5916278025116874E-2</v>
      </c>
      <c r="QE9" s="363">
        <f t="shared" ca="1" si="83"/>
        <v>6.8590219774617101E-2</v>
      </c>
      <c r="QF9" s="363">
        <f t="shared" ca="1" si="83"/>
        <v>4.9480127690782624E-2</v>
      </c>
      <c r="QG9" s="363">
        <f t="shared" ca="1" si="83"/>
        <v>5.5426568940230313E-2</v>
      </c>
      <c r="QH9" s="363">
        <f t="shared" ca="1" si="83"/>
        <v>5.338895879636172E-2</v>
      </c>
      <c r="QI9" s="363">
        <f t="shared" ca="1" si="83"/>
        <v>6.5108859448099077E-2</v>
      </c>
      <c r="QJ9" s="363">
        <f t="shared" ca="1" si="83"/>
        <v>7.4222295214398271E-2</v>
      </c>
      <c r="QK9" s="363">
        <f t="shared" ca="1" si="83"/>
        <v>5.5962578515974859E-2</v>
      </c>
      <c r="QL9" s="363">
        <f t="shared" ca="1" si="83"/>
        <v>6.379362406974165E-2</v>
      </c>
      <c r="QM9" s="363">
        <f t="shared" ca="1" si="83"/>
        <v>5.6494107264476089E-2</v>
      </c>
      <c r="QN9" s="363">
        <f t="shared" ca="1" si="83"/>
        <v>7.0879068415410362E-2</v>
      </c>
      <c r="QO9" s="363">
        <f t="shared" ca="1" si="83"/>
        <v>5.9106600365054364E-2</v>
      </c>
      <c r="QP9" s="363">
        <f t="shared" ca="1" si="83"/>
        <v>5.0790451688676089E-2</v>
      </c>
      <c r="QQ9" s="363">
        <f t="shared" ca="1" si="83"/>
        <v>5.8848236635615794E-2</v>
      </c>
      <c r="QR9" s="363">
        <f t="shared" ca="1" si="83"/>
        <v>5.7865964103258019E-2</v>
      </c>
      <c r="QS9" s="363">
        <f t="shared" ca="1" si="83"/>
        <v>6.2034656507618857E-2</v>
      </c>
      <c r="QT9" s="363">
        <f t="shared" ca="1" si="83"/>
        <v>6.292452742017951E-2</v>
      </c>
      <c r="QU9" s="363">
        <f t="shared" ca="1" si="83"/>
        <v>6.6817637200801916E-2</v>
      </c>
      <c r="QV9" s="363">
        <f t="shared" ca="1" si="83"/>
        <v>5.2411236448682313E-2</v>
      </c>
      <c r="QW9" s="363">
        <f t="shared" ca="1" si="83"/>
        <v>4.6567676481634089E-2</v>
      </c>
      <c r="QX9" s="363">
        <f t="shared" ca="1" si="83"/>
        <v>5.0679466086854995E-2</v>
      </c>
      <c r="QY9" s="363">
        <f t="shared" ca="1" si="83"/>
        <v>7.6312690182532505E-2</v>
      </c>
      <c r="QZ9" s="363">
        <f t="shared" ca="1" si="83"/>
        <v>5.8695551612084319E-2</v>
      </c>
      <c r="RA9" s="363">
        <f t="shared" ca="1" si="83"/>
        <v>5.4909589743715251E-2</v>
      </c>
      <c r="RB9" s="363">
        <f t="shared" ca="1" si="83"/>
        <v>5.1059568584544954E-2</v>
      </c>
      <c r="RC9" s="363">
        <f t="shared" ca="1" si="83"/>
        <v>5.1857502259016634E-2</v>
      </c>
      <c r="RD9" s="363">
        <f t="shared" ca="1" si="83"/>
        <v>6.3616928075951096E-2</v>
      </c>
      <c r="RE9" s="363">
        <f t="shared" ca="1" si="83"/>
        <v>7.6052381724606932E-2</v>
      </c>
      <c r="RF9" s="363">
        <f t="shared" ca="1" si="83"/>
        <v>6.1457360772764869E-2</v>
      </c>
      <c r="RG9" s="363">
        <f t="shared" ca="1" si="83"/>
        <v>5.3355058448332979E-2</v>
      </c>
      <c r="RH9" s="363">
        <f t="shared" ca="1" si="83"/>
        <v>4.1018671053734711E-2</v>
      </c>
      <c r="RI9" s="363">
        <f t="shared" ca="1" si="83"/>
        <v>5.6503398677208209E-2</v>
      </c>
      <c r="RJ9" s="363">
        <f t="shared" ref="RJ9:SR9" ca="1" si="84">_xlfn.BETA.INV(RAND(),$I$9,$J$9)</f>
        <v>5.4442463535742863E-2</v>
      </c>
      <c r="RK9" s="363">
        <f t="shared" ca="1" si="84"/>
        <v>6.3878609589713586E-2</v>
      </c>
      <c r="RL9" s="363">
        <f t="shared" ca="1" si="84"/>
        <v>6.0966499153934151E-2</v>
      </c>
      <c r="RM9" s="363">
        <f t="shared" ca="1" si="84"/>
        <v>5.9397298718358443E-2</v>
      </c>
      <c r="RN9" s="363">
        <f t="shared" ca="1" si="84"/>
        <v>5.6855426187735869E-2</v>
      </c>
      <c r="RO9" s="363">
        <f t="shared" ca="1" si="84"/>
        <v>6.470505141629157E-2</v>
      </c>
      <c r="RP9" s="363">
        <f t="shared" ca="1" si="84"/>
        <v>6.8807659848045377E-2</v>
      </c>
      <c r="RQ9" s="363">
        <f t="shared" ca="1" si="84"/>
        <v>5.638418864703873E-2</v>
      </c>
      <c r="RR9" s="363">
        <f t="shared" ca="1" si="84"/>
        <v>5.405172470759724E-2</v>
      </c>
      <c r="RS9" s="363">
        <f t="shared" ca="1" si="84"/>
        <v>5.033945492428428E-2</v>
      </c>
      <c r="RT9" s="363">
        <f t="shared" ca="1" si="84"/>
        <v>6.1499079228249376E-2</v>
      </c>
      <c r="RU9" s="363">
        <f t="shared" ca="1" si="84"/>
        <v>6.4315429286638026E-2</v>
      </c>
      <c r="RV9" s="363">
        <f t="shared" ca="1" si="84"/>
        <v>6.352736430234518E-2</v>
      </c>
      <c r="RW9" s="363">
        <f t="shared" ca="1" si="84"/>
        <v>4.9077146856535268E-2</v>
      </c>
      <c r="RX9" s="363">
        <f t="shared" ca="1" si="84"/>
        <v>6.1512880618528887E-2</v>
      </c>
      <c r="RY9" s="363">
        <f t="shared" ca="1" si="84"/>
        <v>6.7643033155425636E-2</v>
      </c>
      <c r="RZ9" s="363">
        <f t="shared" ca="1" si="84"/>
        <v>6.1898345060674154E-2</v>
      </c>
      <c r="SA9" s="363">
        <f t="shared" ca="1" si="84"/>
        <v>7.0426701263672009E-2</v>
      </c>
      <c r="SB9" s="363">
        <f t="shared" ca="1" si="84"/>
        <v>7.248342390850615E-2</v>
      </c>
      <c r="SC9" s="363">
        <f t="shared" ca="1" si="84"/>
        <v>6.5168896845512858E-2</v>
      </c>
      <c r="SD9" s="363">
        <f t="shared" ca="1" si="84"/>
        <v>5.5860830971203611E-2</v>
      </c>
      <c r="SE9" s="363">
        <f t="shared" ca="1" si="84"/>
        <v>5.8554745506987006E-2</v>
      </c>
      <c r="SF9" s="363">
        <f t="shared" ca="1" si="84"/>
        <v>7.006987616884619E-2</v>
      </c>
      <c r="SG9" s="363">
        <f t="shared" ca="1" si="84"/>
        <v>7.4236575351220524E-2</v>
      </c>
      <c r="SH9" s="363">
        <f t="shared" ca="1" si="84"/>
        <v>7.1131793656249331E-2</v>
      </c>
      <c r="SI9" s="363">
        <f t="shared" ca="1" si="84"/>
        <v>4.8858572008239891E-2</v>
      </c>
      <c r="SJ9" s="363">
        <f t="shared" ca="1" si="84"/>
        <v>6.4027620305647459E-2</v>
      </c>
      <c r="SK9" s="363">
        <f t="shared" ca="1" si="84"/>
        <v>5.5060171042038877E-2</v>
      </c>
      <c r="SL9" s="363">
        <f t="shared" ca="1" si="84"/>
        <v>6.2296179113927264E-2</v>
      </c>
      <c r="SM9" s="363">
        <f t="shared" ca="1" si="84"/>
        <v>6.6153366607465514E-2</v>
      </c>
      <c r="SN9" s="363">
        <f t="shared" ca="1" si="84"/>
        <v>6.3067851004309117E-2</v>
      </c>
      <c r="SO9" s="363">
        <f t="shared" ca="1" si="84"/>
        <v>6.3304659617985592E-2</v>
      </c>
      <c r="SP9" s="363">
        <f t="shared" ca="1" si="84"/>
        <v>6.17767197061313E-2</v>
      </c>
      <c r="SQ9" s="363">
        <f t="shared" ca="1" si="84"/>
        <v>9.3231378048057922E-2</v>
      </c>
      <c r="SR9" s="363">
        <f t="shared" ca="1" si="84"/>
        <v>6.9620376291242847E-2</v>
      </c>
      <c r="SS9" s="363">
        <f ca="1">_xlfn.BETA.INV(RAND(),$I$9,$J$9)</f>
        <v>6.8297290773647101E-2</v>
      </c>
      <c r="ST9" s="363">
        <f t="shared" ref="ST9:VE9" ca="1" si="85">_xlfn.BETA.INV(RAND(),$I$9,$J$9)</f>
        <v>6.3082992790463255E-2</v>
      </c>
      <c r="SU9" s="363">
        <f t="shared" ca="1" si="85"/>
        <v>6.2221739539098042E-2</v>
      </c>
      <c r="SV9" s="363">
        <f t="shared" ca="1" si="85"/>
        <v>7.0145787602169496E-2</v>
      </c>
      <c r="SW9" s="363">
        <f t="shared" ca="1" si="85"/>
        <v>6.1546057439126889E-2</v>
      </c>
      <c r="SX9" s="363">
        <f t="shared" ca="1" si="85"/>
        <v>7.1734196570653164E-2</v>
      </c>
      <c r="SY9" s="363">
        <f t="shared" ca="1" si="85"/>
        <v>6.019357712963478E-2</v>
      </c>
      <c r="SZ9" s="363">
        <f t="shared" ca="1" si="85"/>
        <v>6.2447079488374468E-2</v>
      </c>
      <c r="TA9" s="363">
        <f t="shared" ca="1" si="85"/>
        <v>5.7019359439171767E-2</v>
      </c>
      <c r="TB9" s="363">
        <f t="shared" ca="1" si="85"/>
        <v>5.4925197582783608E-2</v>
      </c>
      <c r="TC9" s="363">
        <f t="shared" ca="1" si="85"/>
        <v>6.6801210612500772E-2</v>
      </c>
      <c r="TD9" s="363">
        <f t="shared" ca="1" si="85"/>
        <v>5.5761584717607678E-2</v>
      </c>
      <c r="TE9" s="363">
        <f t="shared" ca="1" si="85"/>
        <v>5.3618336853958413E-2</v>
      </c>
      <c r="TF9" s="363">
        <f t="shared" ca="1" si="85"/>
        <v>5.363055589993182E-2</v>
      </c>
      <c r="TG9" s="363">
        <f t="shared" ca="1" si="85"/>
        <v>6.1214926975860839E-2</v>
      </c>
      <c r="TH9" s="363">
        <f t="shared" ca="1" si="85"/>
        <v>5.6579877232055036E-2</v>
      </c>
      <c r="TI9" s="363">
        <f t="shared" ca="1" si="85"/>
        <v>5.4931262516559574E-2</v>
      </c>
      <c r="TJ9" s="363">
        <f t="shared" ca="1" si="85"/>
        <v>6.000896295317891E-2</v>
      </c>
      <c r="TK9" s="363">
        <f t="shared" ca="1" si="85"/>
        <v>4.960478368732945E-2</v>
      </c>
      <c r="TL9" s="363">
        <f t="shared" ca="1" si="85"/>
        <v>5.7052586156939068E-2</v>
      </c>
      <c r="TM9" s="363">
        <f t="shared" ca="1" si="85"/>
        <v>5.4728686894503331E-2</v>
      </c>
      <c r="TN9" s="363">
        <f t="shared" ca="1" si="85"/>
        <v>6.0510196517532866E-2</v>
      </c>
      <c r="TO9" s="363">
        <f t="shared" ca="1" si="85"/>
        <v>7.1365758803935364E-2</v>
      </c>
      <c r="TP9" s="363">
        <f t="shared" ca="1" si="85"/>
        <v>6.3557337303383976E-2</v>
      </c>
      <c r="TQ9" s="363">
        <f t="shared" ca="1" si="85"/>
        <v>6.7635205548558952E-2</v>
      </c>
      <c r="TR9" s="363">
        <f t="shared" ca="1" si="85"/>
        <v>5.8893714394146791E-2</v>
      </c>
      <c r="TS9" s="363">
        <f t="shared" ca="1" si="85"/>
        <v>5.9790911358253471E-2</v>
      </c>
      <c r="TT9" s="363">
        <f t="shared" ca="1" si="85"/>
        <v>5.4953427920249216E-2</v>
      </c>
      <c r="TU9" s="363">
        <f t="shared" ca="1" si="85"/>
        <v>5.3542817729378987E-2</v>
      </c>
      <c r="TV9" s="363">
        <f t="shared" ca="1" si="85"/>
        <v>7.2026338248349697E-2</v>
      </c>
      <c r="TW9" s="363">
        <f t="shared" ca="1" si="85"/>
        <v>5.701182344006081E-2</v>
      </c>
      <c r="TX9" s="363">
        <f t="shared" ca="1" si="85"/>
        <v>6.0599599392903783E-2</v>
      </c>
      <c r="TY9" s="363">
        <f t="shared" ca="1" si="85"/>
        <v>7.9487040418217081E-2</v>
      </c>
      <c r="TZ9" s="363">
        <f t="shared" ca="1" si="85"/>
        <v>6.2186141781813919E-2</v>
      </c>
      <c r="UA9" s="363">
        <f t="shared" ca="1" si="85"/>
        <v>6.6193817323796034E-2</v>
      </c>
      <c r="UB9" s="363">
        <f t="shared" ca="1" si="85"/>
        <v>6.5154330104508773E-2</v>
      </c>
      <c r="UC9" s="363">
        <f t="shared" ca="1" si="85"/>
        <v>5.8553407875493173E-2</v>
      </c>
      <c r="UD9" s="363">
        <f t="shared" ca="1" si="85"/>
        <v>7.5269269894928215E-2</v>
      </c>
      <c r="UE9" s="363">
        <f t="shared" ca="1" si="85"/>
        <v>7.0614565116541961E-2</v>
      </c>
      <c r="UF9" s="363">
        <f t="shared" ca="1" si="85"/>
        <v>6.4126966516719786E-2</v>
      </c>
      <c r="UG9" s="363">
        <f t="shared" ca="1" si="85"/>
        <v>6.0873561490383032E-2</v>
      </c>
      <c r="UH9" s="363">
        <f t="shared" ca="1" si="85"/>
        <v>7.1731981015372037E-2</v>
      </c>
      <c r="UI9" s="363">
        <f t="shared" ca="1" si="85"/>
        <v>6.410919292353956E-2</v>
      </c>
      <c r="UJ9" s="363">
        <f t="shared" ca="1" si="85"/>
        <v>5.2039715463807909E-2</v>
      </c>
      <c r="UK9" s="363">
        <f t="shared" ca="1" si="85"/>
        <v>5.4693168871268537E-2</v>
      </c>
      <c r="UL9" s="363">
        <f t="shared" ca="1" si="85"/>
        <v>5.677595567703194E-2</v>
      </c>
      <c r="UM9" s="363">
        <f t="shared" ca="1" si="85"/>
        <v>5.5897677618509681E-2</v>
      </c>
      <c r="UN9" s="363">
        <f t="shared" ca="1" si="85"/>
        <v>5.8068619621349377E-2</v>
      </c>
      <c r="UO9" s="363">
        <f t="shared" ca="1" si="85"/>
        <v>6.9783252498763382E-2</v>
      </c>
      <c r="UP9" s="363">
        <f t="shared" ca="1" si="85"/>
        <v>5.807861211038521E-2</v>
      </c>
      <c r="UQ9" s="363">
        <f t="shared" ca="1" si="85"/>
        <v>6.9982738594013716E-2</v>
      </c>
      <c r="UR9" s="363">
        <f t="shared" ca="1" si="85"/>
        <v>6.2150645174368302E-2</v>
      </c>
      <c r="US9" s="363">
        <f t="shared" ca="1" si="85"/>
        <v>6.715760100742052E-2</v>
      </c>
      <c r="UT9" s="363">
        <f t="shared" ca="1" si="85"/>
        <v>5.4590998579320607E-2</v>
      </c>
      <c r="UU9" s="363">
        <f t="shared" ca="1" si="85"/>
        <v>4.8198735010956902E-2</v>
      </c>
      <c r="UV9" s="363">
        <f t="shared" ca="1" si="85"/>
        <v>5.6685634210343658E-2</v>
      </c>
      <c r="UW9" s="363">
        <f t="shared" ca="1" si="85"/>
        <v>5.3613730641615967E-2</v>
      </c>
      <c r="UX9" s="363">
        <f t="shared" ca="1" si="85"/>
        <v>5.9905375596780566E-2</v>
      </c>
      <c r="UY9" s="363">
        <f t="shared" ca="1" si="85"/>
        <v>7.6383547319753053E-2</v>
      </c>
      <c r="UZ9" s="363">
        <f t="shared" ca="1" si="85"/>
        <v>6.0022443288237977E-2</v>
      </c>
      <c r="VA9" s="363">
        <f t="shared" ca="1" si="85"/>
        <v>6.1565958635596996E-2</v>
      </c>
      <c r="VB9" s="363">
        <f t="shared" ca="1" si="85"/>
        <v>7.5267521946081106E-2</v>
      </c>
      <c r="VC9" s="363">
        <f t="shared" ca="1" si="85"/>
        <v>4.6730503820697752E-2</v>
      </c>
      <c r="VD9" s="363">
        <f t="shared" ca="1" si="85"/>
        <v>5.5808368735125437E-2</v>
      </c>
      <c r="VE9" s="363">
        <f t="shared" ca="1" si="85"/>
        <v>6.085728515392097E-2</v>
      </c>
      <c r="VF9" s="363">
        <f t="shared" ref="VF9:WN9" ca="1" si="86">_xlfn.BETA.INV(RAND(),$I$9,$J$9)</f>
        <v>5.843181769136991E-2</v>
      </c>
      <c r="VG9" s="363">
        <f t="shared" ca="1" si="86"/>
        <v>7.5161088813846866E-2</v>
      </c>
      <c r="VH9" s="363">
        <f t="shared" ca="1" si="86"/>
        <v>6.5772601394516905E-2</v>
      </c>
      <c r="VI9" s="363">
        <f t="shared" ca="1" si="86"/>
        <v>5.3682423891317874E-2</v>
      </c>
      <c r="VJ9" s="363">
        <f t="shared" ca="1" si="86"/>
        <v>5.911756137452364E-2</v>
      </c>
      <c r="VK9" s="363">
        <f t="shared" ca="1" si="86"/>
        <v>5.5526520303789302E-2</v>
      </c>
      <c r="VL9" s="363">
        <f t="shared" ca="1" si="86"/>
        <v>5.9445832783479619E-2</v>
      </c>
      <c r="VM9" s="363">
        <f t="shared" ca="1" si="86"/>
        <v>5.7805859365580504E-2</v>
      </c>
      <c r="VN9" s="363">
        <f t="shared" ca="1" si="86"/>
        <v>5.4546363380753672E-2</v>
      </c>
      <c r="VO9" s="363">
        <f t="shared" ca="1" si="86"/>
        <v>6.921752724497221E-2</v>
      </c>
      <c r="VP9" s="363">
        <f t="shared" ca="1" si="86"/>
        <v>6.6308092033872446E-2</v>
      </c>
      <c r="VQ9" s="363">
        <f t="shared" ca="1" si="86"/>
        <v>5.2825583066137556E-2</v>
      </c>
      <c r="VR9" s="363">
        <f t="shared" ca="1" si="86"/>
        <v>5.299616009124386E-2</v>
      </c>
      <c r="VS9" s="363">
        <f t="shared" ca="1" si="86"/>
        <v>7.3067854190057013E-2</v>
      </c>
      <c r="VT9" s="363">
        <f t="shared" ca="1" si="86"/>
        <v>7.9237395459850202E-2</v>
      </c>
      <c r="VU9" s="363">
        <f t="shared" ca="1" si="86"/>
        <v>4.3924962504304249E-2</v>
      </c>
      <c r="VV9" s="363">
        <f t="shared" ca="1" si="86"/>
        <v>7.1232732459987402E-2</v>
      </c>
      <c r="VW9" s="363">
        <f t="shared" ca="1" si="86"/>
        <v>6.2391060330364345E-2</v>
      </c>
      <c r="VX9" s="363">
        <f t="shared" ca="1" si="86"/>
        <v>6.5320058708829398E-2</v>
      </c>
      <c r="VY9" s="363">
        <f t="shared" ca="1" si="86"/>
        <v>5.5992211409681976E-2</v>
      </c>
      <c r="VZ9" s="363">
        <f t="shared" ca="1" si="86"/>
        <v>5.005598690856225E-2</v>
      </c>
      <c r="WA9" s="363">
        <f t="shared" ca="1" si="86"/>
        <v>5.4705698241256456E-2</v>
      </c>
      <c r="WB9" s="363">
        <f t="shared" ca="1" si="86"/>
        <v>6.1461365679372881E-2</v>
      </c>
      <c r="WC9" s="363">
        <f t="shared" ca="1" si="86"/>
        <v>6.2211220252776589E-2</v>
      </c>
      <c r="WD9" s="363">
        <f t="shared" ca="1" si="86"/>
        <v>6.3709275579321933E-2</v>
      </c>
      <c r="WE9" s="363">
        <f t="shared" ca="1" si="86"/>
        <v>6.1997029157810024E-2</v>
      </c>
      <c r="WF9" s="363">
        <f t="shared" ca="1" si="86"/>
        <v>5.8271045897141681E-2</v>
      </c>
      <c r="WG9" s="363">
        <f t="shared" ca="1" si="86"/>
        <v>5.5521315594544242E-2</v>
      </c>
      <c r="WH9" s="363">
        <f t="shared" ca="1" si="86"/>
        <v>6.1447981431416165E-2</v>
      </c>
      <c r="WI9" s="363">
        <f t="shared" ca="1" si="86"/>
        <v>4.9010494902839159E-2</v>
      </c>
      <c r="WJ9" s="363">
        <f t="shared" ca="1" si="86"/>
        <v>5.2786043747123187E-2</v>
      </c>
      <c r="WK9" s="363">
        <f t="shared" ca="1" si="86"/>
        <v>5.7487365986363025E-2</v>
      </c>
      <c r="WL9" s="363">
        <f t="shared" ca="1" si="86"/>
        <v>6.5561392576829802E-2</v>
      </c>
      <c r="WM9" s="363">
        <f t="shared" ca="1" si="86"/>
        <v>8.1194498563815887E-2</v>
      </c>
      <c r="WN9" s="363">
        <f t="shared" ca="1" si="86"/>
        <v>7.5018598183118734E-2</v>
      </c>
    </row>
    <row r="10" spans="2:612" x14ac:dyDescent="0.15">
      <c r="B10" s="468" t="s">
        <v>915</v>
      </c>
      <c r="D10" s="363">
        <f t="shared" si="0"/>
        <v>0.29699999999999999</v>
      </c>
      <c r="F10" s="367">
        <v>0.29699999999999999</v>
      </c>
      <c r="G10" s="367" t="s">
        <v>350</v>
      </c>
      <c r="H10" s="363">
        <v>0.1</v>
      </c>
      <c r="I10" s="438">
        <f t="shared" ref="I10:I15" si="87">((F10^2)*((1-F10)/H10^2))-F10</f>
        <v>5.9040926999999996</v>
      </c>
      <c r="J10" s="438">
        <f t="shared" ref="J10:J15" si="88">I10*((1-F10)/F10)</f>
        <v>13.9750073</v>
      </c>
      <c r="K10" s="367" t="s">
        <v>1273</v>
      </c>
      <c r="M10" s="363">
        <f ca="1">MAX(0.26, MIN(1, _xlfn.BETA.INV(RAND(),$I$10,$J$10)))</f>
        <v>0.47915900165099545</v>
      </c>
      <c r="N10" s="363">
        <f t="shared" ref="N10:BY10" ca="1" si="89">MAX(0.26, MIN(1, _xlfn.BETA.INV(RAND(),$I$10,$J$10)))</f>
        <v>0.26</v>
      </c>
      <c r="O10" s="363">
        <f t="shared" ca="1" si="89"/>
        <v>0.27767926722582048</v>
      </c>
      <c r="P10" s="363">
        <f t="shared" ca="1" si="89"/>
        <v>0.32368181420350106</v>
      </c>
      <c r="Q10" s="363">
        <f t="shared" ca="1" si="89"/>
        <v>0.32079160249147776</v>
      </c>
      <c r="R10" s="363">
        <f t="shared" ca="1" si="89"/>
        <v>0.32857902046581888</v>
      </c>
      <c r="S10" s="363">
        <f t="shared" ca="1" si="89"/>
        <v>0.36770017464076532</v>
      </c>
      <c r="T10" s="363">
        <f t="shared" ca="1" si="89"/>
        <v>0.30744732203994041</v>
      </c>
      <c r="U10" s="363">
        <f t="shared" ca="1" si="89"/>
        <v>0.39172361209442141</v>
      </c>
      <c r="V10" s="363">
        <f t="shared" ca="1" si="89"/>
        <v>0.26</v>
      </c>
      <c r="W10" s="363">
        <f t="shared" ca="1" si="89"/>
        <v>0.36528485449561598</v>
      </c>
      <c r="X10" s="363">
        <f t="shared" ca="1" si="89"/>
        <v>0.34733956244148811</v>
      </c>
      <c r="Y10" s="363">
        <f t="shared" ca="1" si="89"/>
        <v>0.26</v>
      </c>
      <c r="Z10" s="363">
        <f t="shared" ca="1" si="89"/>
        <v>0.26</v>
      </c>
      <c r="AA10" s="363">
        <f t="shared" ca="1" si="89"/>
        <v>0.39289228695567946</v>
      </c>
      <c r="AB10" s="363">
        <f t="shared" ca="1" si="89"/>
        <v>0.41026825144963786</v>
      </c>
      <c r="AC10" s="363">
        <f t="shared" ca="1" si="89"/>
        <v>0.29268860646239225</v>
      </c>
      <c r="AD10" s="363">
        <f t="shared" ca="1" si="89"/>
        <v>0.34146589255284987</v>
      </c>
      <c r="AE10" s="363">
        <f t="shared" ca="1" si="89"/>
        <v>0.26</v>
      </c>
      <c r="AF10" s="363">
        <f t="shared" ca="1" si="89"/>
        <v>0.31118497531466049</v>
      </c>
      <c r="AG10" s="363">
        <f t="shared" ca="1" si="89"/>
        <v>0.43590276931182426</v>
      </c>
      <c r="AH10" s="363">
        <f t="shared" ca="1" si="89"/>
        <v>0.30881049228724056</v>
      </c>
      <c r="AI10" s="363">
        <f t="shared" ca="1" si="89"/>
        <v>0.26</v>
      </c>
      <c r="AJ10" s="363">
        <f t="shared" ca="1" si="89"/>
        <v>0.32267997597711284</v>
      </c>
      <c r="AK10" s="363">
        <f t="shared" ca="1" si="89"/>
        <v>0.26</v>
      </c>
      <c r="AL10" s="363">
        <f t="shared" ca="1" si="89"/>
        <v>0.36791382579749676</v>
      </c>
      <c r="AM10" s="363">
        <f t="shared" ca="1" si="89"/>
        <v>0.28849209200250714</v>
      </c>
      <c r="AN10" s="363">
        <f t="shared" ca="1" si="89"/>
        <v>0.26</v>
      </c>
      <c r="AO10" s="363">
        <f t="shared" ca="1" si="89"/>
        <v>0.30600051463550648</v>
      </c>
      <c r="AP10" s="363">
        <f t="shared" ca="1" si="89"/>
        <v>0.5072912620256067</v>
      </c>
      <c r="AQ10" s="363">
        <f t="shared" ca="1" si="89"/>
        <v>0.49143889825371001</v>
      </c>
      <c r="AR10" s="363">
        <f t="shared" ca="1" si="89"/>
        <v>0.30935726211969039</v>
      </c>
      <c r="AS10" s="363">
        <f t="shared" ca="1" si="89"/>
        <v>0.33329676486648874</v>
      </c>
      <c r="AT10" s="363">
        <f t="shared" ca="1" si="89"/>
        <v>0.26</v>
      </c>
      <c r="AU10" s="363">
        <f t="shared" ca="1" si="89"/>
        <v>0.26</v>
      </c>
      <c r="AV10" s="363">
        <f t="shared" ca="1" si="89"/>
        <v>0.31388935746309021</v>
      </c>
      <c r="AW10" s="363">
        <f t="shared" ca="1" si="89"/>
        <v>0.26055185100000433</v>
      </c>
      <c r="AX10" s="363">
        <f t="shared" ca="1" si="89"/>
        <v>0.26</v>
      </c>
      <c r="AY10" s="363">
        <f t="shared" ca="1" si="89"/>
        <v>0.26</v>
      </c>
      <c r="AZ10" s="363">
        <f t="shared" ca="1" si="89"/>
        <v>0.31976137261120485</v>
      </c>
      <c r="BA10" s="363">
        <f t="shared" ca="1" si="89"/>
        <v>0.37910266417264149</v>
      </c>
      <c r="BB10" s="363">
        <f t="shared" ca="1" si="89"/>
        <v>0.27483190196890811</v>
      </c>
      <c r="BC10" s="363">
        <f t="shared" ca="1" si="89"/>
        <v>0.2751237599185683</v>
      </c>
      <c r="BD10" s="363">
        <f t="shared" ca="1" si="89"/>
        <v>0.28776347610949166</v>
      </c>
      <c r="BE10" s="363">
        <f t="shared" ca="1" si="89"/>
        <v>0.43584555669878888</v>
      </c>
      <c r="BF10" s="363">
        <f t="shared" ca="1" si="89"/>
        <v>0.45751121733693156</v>
      </c>
      <c r="BG10" s="363">
        <f t="shared" ca="1" si="89"/>
        <v>0.26</v>
      </c>
      <c r="BH10" s="363">
        <f t="shared" ca="1" si="89"/>
        <v>0.26</v>
      </c>
      <c r="BI10" s="363">
        <f t="shared" ca="1" si="89"/>
        <v>0.29136084627890946</v>
      </c>
      <c r="BJ10" s="363">
        <f t="shared" ca="1" si="89"/>
        <v>0.31137209030495949</v>
      </c>
      <c r="BK10" s="363">
        <f t="shared" ca="1" si="89"/>
        <v>0.30721534534353268</v>
      </c>
      <c r="BL10" s="363">
        <f t="shared" ca="1" si="89"/>
        <v>0.26</v>
      </c>
      <c r="BM10" s="363">
        <f t="shared" ca="1" si="89"/>
        <v>0.44351107949837942</v>
      </c>
      <c r="BN10" s="363">
        <f t="shared" ca="1" si="89"/>
        <v>0.26</v>
      </c>
      <c r="BO10" s="363">
        <f t="shared" ca="1" si="89"/>
        <v>0.31711490258427533</v>
      </c>
      <c r="BP10" s="363">
        <f t="shared" ca="1" si="89"/>
        <v>0.33088358921451555</v>
      </c>
      <c r="BQ10" s="363">
        <f t="shared" ca="1" si="89"/>
        <v>0.3330536372437799</v>
      </c>
      <c r="BR10" s="363">
        <f t="shared" ca="1" si="89"/>
        <v>0.28998543662835241</v>
      </c>
      <c r="BS10" s="363">
        <f t="shared" ca="1" si="89"/>
        <v>0.26</v>
      </c>
      <c r="BT10" s="363">
        <f t="shared" ca="1" si="89"/>
        <v>0.3357452384408578</v>
      </c>
      <c r="BU10" s="363">
        <f t="shared" ca="1" si="89"/>
        <v>0.31376662781892639</v>
      </c>
      <c r="BV10" s="363">
        <f t="shared" ca="1" si="89"/>
        <v>0.41769487568331287</v>
      </c>
      <c r="BW10" s="363">
        <f t="shared" ca="1" si="89"/>
        <v>0.26</v>
      </c>
      <c r="BX10" s="363">
        <f t="shared" ca="1" si="89"/>
        <v>0.34378759206632525</v>
      </c>
      <c r="BY10" s="363">
        <f t="shared" ca="1" si="89"/>
        <v>0.28324168570124936</v>
      </c>
      <c r="BZ10" s="363">
        <f t="shared" ref="BZ10:DH10" ca="1" si="90">MAX(0.26, MIN(1, _xlfn.BETA.INV(RAND(),$I$10,$J$10)))</f>
        <v>0.31809077417423648</v>
      </c>
      <c r="CA10" s="363">
        <f t="shared" ca="1" si="90"/>
        <v>0.31421364741896984</v>
      </c>
      <c r="CB10" s="363">
        <f t="shared" ca="1" si="90"/>
        <v>0.39367546815139853</v>
      </c>
      <c r="CC10" s="363">
        <f t="shared" ca="1" si="90"/>
        <v>0.33546653468868948</v>
      </c>
      <c r="CD10" s="363">
        <f t="shared" ca="1" si="90"/>
        <v>0.28849692348112288</v>
      </c>
      <c r="CE10" s="363">
        <f t="shared" ca="1" si="90"/>
        <v>0.49741120387840898</v>
      </c>
      <c r="CF10" s="363">
        <f t="shared" ca="1" si="90"/>
        <v>0.26</v>
      </c>
      <c r="CG10" s="363">
        <f t="shared" ca="1" si="90"/>
        <v>0.26</v>
      </c>
      <c r="CH10" s="363">
        <f t="shared" ca="1" si="90"/>
        <v>0.32521057012646848</v>
      </c>
      <c r="CI10" s="363">
        <f t="shared" ca="1" si="90"/>
        <v>0.51627334804630531</v>
      </c>
      <c r="CJ10" s="363">
        <f t="shared" ca="1" si="90"/>
        <v>0.26</v>
      </c>
      <c r="CK10" s="363">
        <f t="shared" ca="1" si="90"/>
        <v>0.26</v>
      </c>
      <c r="CL10" s="363">
        <f t="shared" ca="1" si="90"/>
        <v>0.26965664590138277</v>
      </c>
      <c r="CM10" s="363">
        <f t="shared" ca="1" si="90"/>
        <v>0.26</v>
      </c>
      <c r="CN10" s="363">
        <f t="shared" ca="1" si="90"/>
        <v>0.26544686223921948</v>
      </c>
      <c r="CO10" s="363">
        <f t="shared" ca="1" si="90"/>
        <v>0.26</v>
      </c>
      <c r="CP10" s="363">
        <f t="shared" ca="1" si="90"/>
        <v>0.26</v>
      </c>
      <c r="CQ10" s="363">
        <f t="shared" ca="1" si="90"/>
        <v>0.26</v>
      </c>
      <c r="CR10" s="363">
        <f t="shared" ca="1" si="90"/>
        <v>0.3090896536063199</v>
      </c>
      <c r="CS10" s="363">
        <f t="shared" ca="1" si="90"/>
        <v>0.5696476377419708</v>
      </c>
      <c r="CT10" s="363">
        <f t="shared" ca="1" si="90"/>
        <v>0.26</v>
      </c>
      <c r="CU10" s="363">
        <f t="shared" ca="1" si="90"/>
        <v>0.42523338517226028</v>
      </c>
      <c r="CV10" s="363">
        <f t="shared" ca="1" si="90"/>
        <v>0.26</v>
      </c>
      <c r="CW10" s="363">
        <f t="shared" ca="1" si="90"/>
        <v>0.26</v>
      </c>
      <c r="CX10" s="363">
        <f t="shared" ca="1" si="90"/>
        <v>0.35031290027499562</v>
      </c>
      <c r="CY10" s="363">
        <f t="shared" ca="1" si="90"/>
        <v>0.26</v>
      </c>
      <c r="CZ10" s="363">
        <f t="shared" ca="1" si="90"/>
        <v>0.35758209440909983</v>
      </c>
      <c r="DA10" s="363">
        <f t="shared" ca="1" si="90"/>
        <v>0.26</v>
      </c>
      <c r="DB10" s="363">
        <f t="shared" ca="1" si="90"/>
        <v>0.26</v>
      </c>
      <c r="DC10" s="363">
        <f t="shared" ca="1" si="90"/>
        <v>0.44298820055827048</v>
      </c>
      <c r="DD10" s="363">
        <f t="shared" ca="1" si="90"/>
        <v>0.30297193984841664</v>
      </c>
      <c r="DE10" s="363">
        <f t="shared" ca="1" si="90"/>
        <v>0.30633030002140438</v>
      </c>
      <c r="DF10" s="363">
        <f t="shared" ca="1" si="90"/>
        <v>0.26</v>
      </c>
      <c r="DG10" s="363">
        <f t="shared" ca="1" si="90"/>
        <v>0.30454011743661069</v>
      </c>
      <c r="DH10" s="363">
        <f t="shared" ca="1" si="90"/>
        <v>0.26</v>
      </c>
      <c r="DI10" s="363">
        <f ca="1">MAX(0.26, MIN(1, _xlfn.BETA.INV(RAND(),$I$10,$J$10)))</f>
        <v>0.33559433607325084</v>
      </c>
      <c r="DJ10" s="363">
        <f t="shared" ref="DJ10:FU10" ca="1" si="91">MAX(0.26, MIN(1, _xlfn.BETA.INV(RAND(),$I$10,$J$10)))</f>
        <v>0.26155109860492648</v>
      </c>
      <c r="DK10" s="363">
        <f t="shared" ca="1" si="91"/>
        <v>0.26</v>
      </c>
      <c r="DL10" s="363">
        <f t="shared" ca="1" si="91"/>
        <v>0.38548514826293634</v>
      </c>
      <c r="DM10" s="363">
        <f t="shared" ca="1" si="91"/>
        <v>0.30731863287673544</v>
      </c>
      <c r="DN10" s="363">
        <f t="shared" ca="1" si="91"/>
        <v>0.26618338977705908</v>
      </c>
      <c r="DO10" s="363">
        <f t="shared" ca="1" si="91"/>
        <v>0.26</v>
      </c>
      <c r="DP10" s="363">
        <f t="shared" ca="1" si="91"/>
        <v>0.28296716123199578</v>
      </c>
      <c r="DQ10" s="363">
        <f t="shared" ca="1" si="91"/>
        <v>0.37547729735540858</v>
      </c>
      <c r="DR10" s="363">
        <f t="shared" ca="1" si="91"/>
        <v>0.42098194483566764</v>
      </c>
      <c r="DS10" s="363">
        <f t="shared" ca="1" si="91"/>
        <v>0.26</v>
      </c>
      <c r="DT10" s="363">
        <f t="shared" ca="1" si="91"/>
        <v>0.32158191515149648</v>
      </c>
      <c r="DU10" s="363">
        <f t="shared" ca="1" si="91"/>
        <v>0.37668260033871015</v>
      </c>
      <c r="DV10" s="363">
        <f t="shared" ca="1" si="91"/>
        <v>0.52652348249961367</v>
      </c>
      <c r="DW10" s="363">
        <f t="shared" ca="1" si="91"/>
        <v>0.40797720448763419</v>
      </c>
      <c r="DX10" s="363">
        <f t="shared" ca="1" si="91"/>
        <v>0.32729245535050089</v>
      </c>
      <c r="DY10" s="363">
        <f t="shared" ca="1" si="91"/>
        <v>0.29920378329164166</v>
      </c>
      <c r="DZ10" s="363">
        <f t="shared" ca="1" si="91"/>
        <v>0.26</v>
      </c>
      <c r="EA10" s="363">
        <f t="shared" ca="1" si="91"/>
        <v>0.2627523220011585</v>
      </c>
      <c r="EB10" s="363">
        <f t="shared" ca="1" si="91"/>
        <v>0.44676137714710928</v>
      </c>
      <c r="EC10" s="363">
        <f t="shared" ca="1" si="91"/>
        <v>0.35225227335140474</v>
      </c>
      <c r="ED10" s="363">
        <f t="shared" ca="1" si="91"/>
        <v>0.26</v>
      </c>
      <c r="EE10" s="363">
        <f t="shared" ca="1" si="91"/>
        <v>0.26</v>
      </c>
      <c r="EF10" s="363">
        <f t="shared" ca="1" si="91"/>
        <v>0.44727984743353899</v>
      </c>
      <c r="EG10" s="363">
        <f t="shared" ca="1" si="91"/>
        <v>0.38890470279656519</v>
      </c>
      <c r="EH10" s="363">
        <f t="shared" ca="1" si="91"/>
        <v>0.26</v>
      </c>
      <c r="EI10" s="363">
        <f t="shared" ca="1" si="91"/>
        <v>0.36269716392141005</v>
      </c>
      <c r="EJ10" s="363">
        <f t="shared" ca="1" si="91"/>
        <v>0.26756433893686643</v>
      </c>
      <c r="EK10" s="363">
        <f t="shared" ca="1" si="91"/>
        <v>0.28567553989185851</v>
      </c>
      <c r="EL10" s="363">
        <f t="shared" ca="1" si="91"/>
        <v>0.28750067157617393</v>
      </c>
      <c r="EM10" s="363">
        <f t="shared" ca="1" si="91"/>
        <v>0.33774481122080657</v>
      </c>
      <c r="EN10" s="363">
        <f t="shared" ca="1" si="91"/>
        <v>0.50052362558687036</v>
      </c>
      <c r="EO10" s="363">
        <f t="shared" ca="1" si="91"/>
        <v>0.32693446821085981</v>
      </c>
      <c r="EP10" s="363">
        <f t="shared" ca="1" si="91"/>
        <v>0.36182926211982724</v>
      </c>
      <c r="EQ10" s="363">
        <f t="shared" ca="1" si="91"/>
        <v>0.31452352964286834</v>
      </c>
      <c r="ER10" s="363">
        <f t="shared" ca="1" si="91"/>
        <v>0.39861234261380873</v>
      </c>
      <c r="ES10" s="363">
        <f t="shared" ca="1" si="91"/>
        <v>0.28739497368946498</v>
      </c>
      <c r="ET10" s="363">
        <f t="shared" ca="1" si="91"/>
        <v>0.26</v>
      </c>
      <c r="EU10" s="363">
        <f t="shared" ca="1" si="91"/>
        <v>0.49788481682811048</v>
      </c>
      <c r="EV10" s="363">
        <f t="shared" ca="1" si="91"/>
        <v>0.26</v>
      </c>
      <c r="EW10" s="363">
        <f t="shared" ca="1" si="91"/>
        <v>0.38323201807902174</v>
      </c>
      <c r="EX10" s="363">
        <f t="shared" ca="1" si="91"/>
        <v>0.2643139624758194</v>
      </c>
      <c r="EY10" s="363">
        <f t="shared" ca="1" si="91"/>
        <v>0.26</v>
      </c>
      <c r="EZ10" s="363">
        <f t="shared" ca="1" si="91"/>
        <v>0.32037567563037417</v>
      </c>
      <c r="FA10" s="363">
        <f t="shared" ca="1" si="91"/>
        <v>0.26</v>
      </c>
      <c r="FB10" s="363">
        <f t="shared" ca="1" si="91"/>
        <v>0.26</v>
      </c>
      <c r="FC10" s="363">
        <f t="shared" ca="1" si="91"/>
        <v>0.26012387909357643</v>
      </c>
      <c r="FD10" s="363">
        <f t="shared" ca="1" si="91"/>
        <v>0.26</v>
      </c>
      <c r="FE10" s="363">
        <f t="shared" ca="1" si="91"/>
        <v>0.41931006067922316</v>
      </c>
      <c r="FF10" s="363">
        <f t="shared" ca="1" si="91"/>
        <v>0.27711522243928349</v>
      </c>
      <c r="FG10" s="363">
        <f t="shared" ca="1" si="91"/>
        <v>0.26</v>
      </c>
      <c r="FH10" s="363">
        <f t="shared" ca="1" si="91"/>
        <v>0.3690362346082583</v>
      </c>
      <c r="FI10" s="363">
        <f t="shared" ca="1" si="91"/>
        <v>0.37417062521231736</v>
      </c>
      <c r="FJ10" s="363">
        <f t="shared" ca="1" si="91"/>
        <v>0.26</v>
      </c>
      <c r="FK10" s="363">
        <f t="shared" ca="1" si="91"/>
        <v>0.26</v>
      </c>
      <c r="FL10" s="363">
        <f t="shared" ca="1" si="91"/>
        <v>0.26</v>
      </c>
      <c r="FM10" s="363">
        <f t="shared" ca="1" si="91"/>
        <v>0.33843307707617964</v>
      </c>
      <c r="FN10" s="363">
        <f t="shared" ca="1" si="91"/>
        <v>0.26</v>
      </c>
      <c r="FO10" s="363">
        <f t="shared" ca="1" si="91"/>
        <v>0.31573607546414539</v>
      </c>
      <c r="FP10" s="363">
        <f t="shared" ca="1" si="91"/>
        <v>0.26</v>
      </c>
      <c r="FQ10" s="363">
        <f t="shared" ca="1" si="91"/>
        <v>0.26</v>
      </c>
      <c r="FR10" s="363">
        <f t="shared" ca="1" si="91"/>
        <v>0.26</v>
      </c>
      <c r="FS10" s="363">
        <f t="shared" ca="1" si="91"/>
        <v>0.26</v>
      </c>
      <c r="FT10" s="363">
        <f t="shared" ca="1" si="91"/>
        <v>0.29734279524893759</v>
      </c>
      <c r="FU10" s="363">
        <f t="shared" ca="1" si="91"/>
        <v>0.4393847718687901</v>
      </c>
      <c r="FV10" s="363">
        <f t="shared" ref="FV10:HD10" ca="1" si="92">MAX(0.26, MIN(1, _xlfn.BETA.INV(RAND(),$I$10,$J$10)))</f>
        <v>0.36704256234743049</v>
      </c>
      <c r="FW10" s="363">
        <f t="shared" ca="1" si="92"/>
        <v>0.41124275760312945</v>
      </c>
      <c r="FX10" s="363">
        <f t="shared" ca="1" si="92"/>
        <v>0.26</v>
      </c>
      <c r="FY10" s="363">
        <f t="shared" ca="1" si="92"/>
        <v>0.26</v>
      </c>
      <c r="FZ10" s="363">
        <f t="shared" ca="1" si="92"/>
        <v>0.36824074177329713</v>
      </c>
      <c r="GA10" s="363">
        <f t="shared" ca="1" si="92"/>
        <v>0.26</v>
      </c>
      <c r="GB10" s="363">
        <f t="shared" ca="1" si="92"/>
        <v>0.30884706041671184</v>
      </c>
      <c r="GC10" s="363">
        <f t="shared" ca="1" si="92"/>
        <v>0.52043159449972676</v>
      </c>
      <c r="GD10" s="363">
        <f t="shared" ca="1" si="92"/>
        <v>0.26</v>
      </c>
      <c r="GE10" s="363">
        <f t="shared" ca="1" si="92"/>
        <v>0.50955882172096811</v>
      </c>
      <c r="GF10" s="363">
        <f t="shared" ca="1" si="92"/>
        <v>0.26</v>
      </c>
      <c r="GG10" s="363">
        <f t="shared" ca="1" si="92"/>
        <v>0.26</v>
      </c>
      <c r="GH10" s="363">
        <f t="shared" ca="1" si="92"/>
        <v>0.30547363398797467</v>
      </c>
      <c r="GI10" s="363">
        <f t="shared" ca="1" si="92"/>
        <v>0.43338854801751481</v>
      </c>
      <c r="GJ10" s="363">
        <f t="shared" ca="1" si="92"/>
        <v>0.26</v>
      </c>
      <c r="GK10" s="363">
        <f t="shared" ca="1" si="92"/>
        <v>0.26</v>
      </c>
      <c r="GL10" s="363">
        <f t="shared" ca="1" si="92"/>
        <v>0.28825721154228418</v>
      </c>
      <c r="GM10" s="363">
        <f t="shared" ca="1" si="92"/>
        <v>0.26</v>
      </c>
      <c r="GN10" s="363">
        <f t="shared" ca="1" si="92"/>
        <v>0.26</v>
      </c>
      <c r="GO10" s="363">
        <f t="shared" ca="1" si="92"/>
        <v>0.26</v>
      </c>
      <c r="GP10" s="363">
        <f t="shared" ca="1" si="92"/>
        <v>0.44702769638789086</v>
      </c>
      <c r="GQ10" s="363">
        <f t="shared" ca="1" si="92"/>
        <v>0.26</v>
      </c>
      <c r="GR10" s="363">
        <f t="shared" ca="1" si="92"/>
        <v>0.26</v>
      </c>
      <c r="GS10" s="363">
        <f t="shared" ca="1" si="92"/>
        <v>0.34221755048614777</v>
      </c>
      <c r="GT10" s="363">
        <f t="shared" ca="1" si="92"/>
        <v>0.34951207081550695</v>
      </c>
      <c r="GU10" s="363">
        <f t="shared" ca="1" si="92"/>
        <v>0.30030199301639027</v>
      </c>
      <c r="GV10" s="363">
        <f t="shared" ca="1" si="92"/>
        <v>0.43271356251088855</v>
      </c>
      <c r="GW10" s="363">
        <f t="shared" ca="1" si="92"/>
        <v>0.26</v>
      </c>
      <c r="GX10" s="363">
        <f t="shared" ca="1" si="92"/>
        <v>0.26</v>
      </c>
      <c r="GY10" s="363">
        <f t="shared" ca="1" si="92"/>
        <v>0.26</v>
      </c>
      <c r="GZ10" s="363">
        <f t="shared" ca="1" si="92"/>
        <v>0.26</v>
      </c>
      <c r="HA10" s="363">
        <f t="shared" ca="1" si="92"/>
        <v>0.43739119485097244</v>
      </c>
      <c r="HB10" s="363">
        <f t="shared" ca="1" si="92"/>
        <v>0.27767374463171346</v>
      </c>
      <c r="HC10" s="363">
        <f t="shared" ca="1" si="92"/>
        <v>0.26</v>
      </c>
      <c r="HD10" s="363">
        <f t="shared" ca="1" si="92"/>
        <v>0.27204150965664736</v>
      </c>
      <c r="HE10" s="363">
        <f ca="1">MAX(0.26, MIN(1, _xlfn.BETA.INV(RAND(),$I$10,$J$10)))</f>
        <v>0.3186701675196224</v>
      </c>
      <c r="HF10" s="363">
        <f t="shared" ref="HF10:JQ10" ca="1" si="93">MAX(0.26, MIN(1, _xlfn.BETA.INV(RAND(),$I$10,$J$10)))</f>
        <v>0.41426037289140238</v>
      </c>
      <c r="HG10" s="363">
        <f t="shared" ca="1" si="93"/>
        <v>0.30020008052449065</v>
      </c>
      <c r="HH10" s="363">
        <f t="shared" ca="1" si="93"/>
        <v>0.40737922105648239</v>
      </c>
      <c r="HI10" s="363">
        <f t="shared" ca="1" si="93"/>
        <v>0.30304381507033884</v>
      </c>
      <c r="HJ10" s="363">
        <f t="shared" ca="1" si="93"/>
        <v>0.37312213904566027</v>
      </c>
      <c r="HK10" s="363">
        <f t="shared" ca="1" si="93"/>
        <v>0.2988999096538455</v>
      </c>
      <c r="HL10" s="363">
        <f t="shared" ca="1" si="93"/>
        <v>0.26</v>
      </c>
      <c r="HM10" s="363">
        <f t="shared" ca="1" si="93"/>
        <v>0.33262275428796717</v>
      </c>
      <c r="HN10" s="363">
        <f t="shared" ca="1" si="93"/>
        <v>0.26</v>
      </c>
      <c r="HO10" s="363">
        <f t="shared" ca="1" si="93"/>
        <v>0.26</v>
      </c>
      <c r="HP10" s="363">
        <f t="shared" ca="1" si="93"/>
        <v>0.64025460402952161</v>
      </c>
      <c r="HQ10" s="363">
        <f t="shared" ca="1" si="93"/>
        <v>0.26</v>
      </c>
      <c r="HR10" s="363">
        <f t="shared" ca="1" si="93"/>
        <v>0.27555273858556789</v>
      </c>
      <c r="HS10" s="363">
        <f t="shared" ca="1" si="93"/>
        <v>0.26</v>
      </c>
      <c r="HT10" s="363">
        <f t="shared" ca="1" si="93"/>
        <v>0.26</v>
      </c>
      <c r="HU10" s="363">
        <f t="shared" ca="1" si="93"/>
        <v>0.26</v>
      </c>
      <c r="HV10" s="363">
        <f t="shared" ca="1" si="93"/>
        <v>0.28271615453292576</v>
      </c>
      <c r="HW10" s="363">
        <f t="shared" ca="1" si="93"/>
        <v>0.51411190113260852</v>
      </c>
      <c r="HX10" s="363">
        <f t="shared" ca="1" si="93"/>
        <v>0.26</v>
      </c>
      <c r="HY10" s="363">
        <f t="shared" ca="1" si="93"/>
        <v>0.32475342222495196</v>
      </c>
      <c r="HZ10" s="363">
        <f t="shared" ca="1" si="93"/>
        <v>0.26</v>
      </c>
      <c r="IA10" s="363">
        <f t="shared" ca="1" si="93"/>
        <v>0.26</v>
      </c>
      <c r="IB10" s="363">
        <f t="shared" ca="1" si="93"/>
        <v>0.26</v>
      </c>
      <c r="IC10" s="363">
        <f t="shared" ca="1" si="93"/>
        <v>0.28264091427777654</v>
      </c>
      <c r="ID10" s="363">
        <f t="shared" ca="1" si="93"/>
        <v>0.38297028828430069</v>
      </c>
      <c r="IE10" s="363">
        <f t="shared" ca="1" si="93"/>
        <v>0.38154275374590307</v>
      </c>
      <c r="IF10" s="363">
        <f t="shared" ca="1" si="93"/>
        <v>0.3266930034393194</v>
      </c>
      <c r="IG10" s="363">
        <f t="shared" ca="1" si="93"/>
        <v>0.26</v>
      </c>
      <c r="IH10" s="363">
        <f t="shared" ca="1" si="93"/>
        <v>0.26</v>
      </c>
      <c r="II10" s="363">
        <f t="shared" ca="1" si="93"/>
        <v>0.4289643457667871</v>
      </c>
      <c r="IJ10" s="363">
        <f t="shared" ca="1" si="93"/>
        <v>0.39742233975048213</v>
      </c>
      <c r="IK10" s="363">
        <f t="shared" ca="1" si="93"/>
        <v>0.30256641248765404</v>
      </c>
      <c r="IL10" s="363">
        <f t="shared" ca="1" si="93"/>
        <v>0.2722725856655111</v>
      </c>
      <c r="IM10" s="363">
        <f t="shared" ca="1" si="93"/>
        <v>0.26</v>
      </c>
      <c r="IN10" s="363">
        <f t="shared" ca="1" si="93"/>
        <v>0.36892007322667919</v>
      </c>
      <c r="IO10" s="363">
        <f t="shared" ca="1" si="93"/>
        <v>0.26033243280292073</v>
      </c>
      <c r="IP10" s="363">
        <f t="shared" ca="1" si="93"/>
        <v>0.26</v>
      </c>
      <c r="IQ10" s="363">
        <f t="shared" ca="1" si="93"/>
        <v>0.26</v>
      </c>
      <c r="IR10" s="363">
        <f t="shared" ca="1" si="93"/>
        <v>0.26</v>
      </c>
      <c r="IS10" s="363">
        <f t="shared" ca="1" si="93"/>
        <v>0.35353397481470761</v>
      </c>
      <c r="IT10" s="363">
        <f t="shared" ca="1" si="93"/>
        <v>0.26</v>
      </c>
      <c r="IU10" s="363">
        <f t="shared" ca="1" si="93"/>
        <v>0.35675915283251758</v>
      </c>
      <c r="IV10" s="363">
        <f t="shared" ca="1" si="93"/>
        <v>0.26172171289913193</v>
      </c>
      <c r="IW10" s="363">
        <f t="shared" ca="1" si="93"/>
        <v>0.37931197610383649</v>
      </c>
      <c r="IX10" s="363">
        <f t="shared" ca="1" si="93"/>
        <v>0.38519028228401586</v>
      </c>
      <c r="IY10" s="363">
        <f t="shared" ca="1" si="93"/>
        <v>0.26</v>
      </c>
      <c r="IZ10" s="363">
        <f t="shared" ca="1" si="93"/>
        <v>0.37268534583261193</v>
      </c>
      <c r="JA10" s="363">
        <f t="shared" ca="1" si="93"/>
        <v>0.35845996029380678</v>
      </c>
      <c r="JB10" s="363">
        <f t="shared" ca="1" si="93"/>
        <v>0.26</v>
      </c>
      <c r="JC10" s="363">
        <f t="shared" ca="1" si="93"/>
        <v>0.26</v>
      </c>
      <c r="JD10" s="363">
        <f t="shared" ca="1" si="93"/>
        <v>0.30436724050921149</v>
      </c>
      <c r="JE10" s="363">
        <f t="shared" ca="1" si="93"/>
        <v>0.26</v>
      </c>
      <c r="JF10" s="363">
        <f t="shared" ca="1" si="93"/>
        <v>0.26</v>
      </c>
      <c r="JG10" s="363">
        <f t="shared" ca="1" si="93"/>
        <v>0.31323903608147263</v>
      </c>
      <c r="JH10" s="363">
        <f t="shared" ca="1" si="93"/>
        <v>0.32091889158218256</v>
      </c>
      <c r="JI10" s="363">
        <f t="shared" ca="1" si="93"/>
        <v>0.43928094754205405</v>
      </c>
      <c r="JJ10" s="363">
        <f t="shared" ca="1" si="93"/>
        <v>0.49227047915221644</v>
      </c>
      <c r="JK10" s="363">
        <f t="shared" ca="1" si="93"/>
        <v>0.26</v>
      </c>
      <c r="JL10" s="363">
        <f t="shared" ca="1" si="93"/>
        <v>0.41054599330178032</v>
      </c>
      <c r="JM10" s="363">
        <f t="shared" ca="1" si="93"/>
        <v>0.26</v>
      </c>
      <c r="JN10" s="363">
        <f t="shared" ca="1" si="93"/>
        <v>0.26</v>
      </c>
      <c r="JO10" s="363">
        <f t="shared" ca="1" si="93"/>
        <v>0.37881965469415679</v>
      </c>
      <c r="JP10" s="363">
        <f t="shared" ca="1" si="93"/>
        <v>0.44168920905555586</v>
      </c>
      <c r="JQ10" s="363">
        <f t="shared" ca="1" si="93"/>
        <v>0.32738975859460795</v>
      </c>
      <c r="JR10" s="363">
        <f t="shared" ref="JR10:KZ10" ca="1" si="94">MAX(0.26, MIN(1, _xlfn.BETA.INV(RAND(),$I$10,$J$10)))</f>
        <v>0.28300285700637295</v>
      </c>
      <c r="JS10" s="363">
        <f t="shared" ca="1" si="94"/>
        <v>0.26557704365914109</v>
      </c>
      <c r="JT10" s="363">
        <f t="shared" ca="1" si="94"/>
        <v>0.26</v>
      </c>
      <c r="JU10" s="363">
        <f t="shared" ca="1" si="94"/>
        <v>0.51239457397939936</v>
      </c>
      <c r="JV10" s="363">
        <f t="shared" ca="1" si="94"/>
        <v>0.26</v>
      </c>
      <c r="JW10" s="363">
        <f t="shared" ca="1" si="94"/>
        <v>0.31093152242495559</v>
      </c>
      <c r="JX10" s="363">
        <f t="shared" ca="1" si="94"/>
        <v>0.40070807583674661</v>
      </c>
      <c r="JY10" s="363">
        <f t="shared" ca="1" si="94"/>
        <v>0.26</v>
      </c>
      <c r="JZ10" s="363">
        <f t="shared" ca="1" si="94"/>
        <v>0.35755478412867081</v>
      </c>
      <c r="KA10" s="363">
        <f t="shared" ca="1" si="94"/>
        <v>0.32572884861067297</v>
      </c>
      <c r="KB10" s="363">
        <f t="shared" ca="1" si="94"/>
        <v>0.26</v>
      </c>
      <c r="KC10" s="363">
        <f t="shared" ca="1" si="94"/>
        <v>0.26</v>
      </c>
      <c r="KD10" s="363">
        <f t="shared" ca="1" si="94"/>
        <v>0.26</v>
      </c>
      <c r="KE10" s="363">
        <f t="shared" ca="1" si="94"/>
        <v>0.35010539789376371</v>
      </c>
      <c r="KF10" s="363">
        <f t="shared" ca="1" si="94"/>
        <v>0.26</v>
      </c>
      <c r="KG10" s="363">
        <f t="shared" ca="1" si="94"/>
        <v>0.36758780570636218</v>
      </c>
      <c r="KH10" s="363">
        <f t="shared" ca="1" si="94"/>
        <v>0.48554316165163414</v>
      </c>
      <c r="KI10" s="363">
        <f t="shared" ca="1" si="94"/>
        <v>0.33699929681171492</v>
      </c>
      <c r="KJ10" s="363">
        <f t="shared" ca="1" si="94"/>
        <v>0.36112604289813821</v>
      </c>
      <c r="KK10" s="363">
        <f t="shared" ca="1" si="94"/>
        <v>0.53451874314584846</v>
      </c>
      <c r="KL10" s="363">
        <f t="shared" ca="1" si="94"/>
        <v>0.39204006213900855</v>
      </c>
      <c r="KM10" s="363">
        <f t="shared" ca="1" si="94"/>
        <v>0.35829661549199265</v>
      </c>
      <c r="KN10" s="363">
        <f t="shared" ca="1" si="94"/>
        <v>0.34738892197696958</v>
      </c>
      <c r="KO10" s="363">
        <f t="shared" ca="1" si="94"/>
        <v>0.28347883863148743</v>
      </c>
      <c r="KP10" s="363">
        <f t="shared" ca="1" si="94"/>
        <v>0.26</v>
      </c>
      <c r="KQ10" s="363">
        <f t="shared" ca="1" si="94"/>
        <v>0.26</v>
      </c>
      <c r="KR10" s="363">
        <f t="shared" ca="1" si="94"/>
        <v>0.32529820412823429</v>
      </c>
      <c r="KS10" s="363">
        <f t="shared" ca="1" si="94"/>
        <v>0.26</v>
      </c>
      <c r="KT10" s="363">
        <f t="shared" ca="1" si="94"/>
        <v>0.30639710981672419</v>
      </c>
      <c r="KU10" s="363">
        <f t="shared" ca="1" si="94"/>
        <v>0.30143245031821875</v>
      </c>
      <c r="KV10" s="363">
        <f t="shared" ca="1" si="94"/>
        <v>0.26</v>
      </c>
      <c r="KW10" s="363">
        <f t="shared" ca="1" si="94"/>
        <v>0.35193125693600091</v>
      </c>
      <c r="KX10" s="363">
        <f t="shared" ca="1" si="94"/>
        <v>0.26</v>
      </c>
      <c r="KY10" s="363">
        <f t="shared" ca="1" si="94"/>
        <v>0.35612649607425306</v>
      </c>
      <c r="KZ10" s="363">
        <f t="shared" ca="1" si="94"/>
        <v>0.32812473352356974</v>
      </c>
      <c r="LA10" s="363">
        <f ca="1">MAX(0.26, MIN(1, _xlfn.BETA.INV(RAND(),$I$10,$J$10)))</f>
        <v>0.54135764226031968</v>
      </c>
      <c r="LB10" s="363">
        <f t="shared" ref="LB10:NM10" ca="1" si="95">MAX(0.26, MIN(1, _xlfn.BETA.INV(RAND(),$I$10,$J$10)))</f>
        <v>0.26</v>
      </c>
      <c r="LC10" s="363">
        <f t="shared" ca="1" si="95"/>
        <v>0.26</v>
      </c>
      <c r="LD10" s="363">
        <f t="shared" ca="1" si="95"/>
        <v>0.26</v>
      </c>
      <c r="LE10" s="363">
        <f t="shared" ca="1" si="95"/>
        <v>0.38275637954479058</v>
      </c>
      <c r="LF10" s="363">
        <f t="shared" ca="1" si="95"/>
        <v>0.32272066478216344</v>
      </c>
      <c r="LG10" s="363">
        <f t="shared" ca="1" si="95"/>
        <v>0.27078828169293451</v>
      </c>
      <c r="LH10" s="363">
        <f t="shared" ca="1" si="95"/>
        <v>0.46116590789530332</v>
      </c>
      <c r="LI10" s="363">
        <f t="shared" ca="1" si="95"/>
        <v>0.26</v>
      </c>
      <c r="LJ10" s="363">
        <f t="shared" ca="1" si="95"/>
        <v>0.26</v>
      </c>
      <c r="LK10" s="363">
        <f t="shared" ca="1" si="95"/>
        <v>0.26</v>
      </c>
      <c r="LL10" s="363">
        <f t="shared" ca="1" si="95"/>
        <v>0.32008500318330524</v>
      </c>
      <c r="LM10" s="363">
        <f t="shared" ca="1" si="95"/>
        <v>0.39582141783241087</v>
      </c>
      <c r="LN10" s="363">
        <f t="shared" ca="1" si="95"/>
        <v>0.26</v>
      </c>
      <c r="LO10" s="363">
        <f t="shared" ca="1" si="95"/>
        <v>0.26</v>
      </c>
      <c r="LP10" s="363">
        <f t="shared" ca="1" si="95"/>
        <v>0.26</v>
      </c>
      <c r="LQ10" s="363">
        <f t="shared" ca="1" si="95"/>
        <v>0.37076372617234543</v>
      </c>
      <c r="LR10" s="363">
        <f t="shared" ca="1" si="95"/>
        <v>0.26</v>
      </c>
      <c r="LS10" s="363">
        <f t="shared" ca="1" si="95"/>
        <v>0.407072724309824</v>
      </c>
      <c r="LT10" s="363">
        <f t="shared" ca="1" si="95"/>
        <v>0.29046265998300302</v>
      </c>
      <c r="LU10" s="363">
        <f t="shared" ca="1" si="95"/>
        <v>0.28261143188235721</v>
      </c>
      <c r="LV10" s="363">
        <f t="shared" ca="1" si="95"/>
        <v>0.40421358191083034</v>
      </c>
      <c r="LW10" s="363">
        <f t="shared" ca="1" si="95"/>
        <v>0.43002517705450582</v>
      </c>
      <c r="LX10" s="363">
        <f t="shared" ca="1" si="95"/>
        <v>0.26</v>
      </c>
      <c r="LY10" s="363">
        <f t="shared" ca="1" si="95"/>
        <v>0.34929788332684319</v>
      </c>
      <c r="LZ10" s="363">
        <f t="shared" ca="1" si="95"/>
        <v>0.29862621741619844</v>
      </c>
      <c r="MA10" s="363">
        <f t="shared" ca="1" si="95"/>
        <v>0.48158058380212754</v>
      </c>
      <c r="MB10" s="363">
        <f t="shared" ca="1" si="95"/>
        <v>0.55494715926791849</v>
      </c>
      <c r="MC10" s="363">
        <f t="shared" ca="1" si="95"/>
        <v>0.26</v>
      </c>
      <c r="MD10" s="363">
        <f t="shared" ca="1" si="95"/>
        <v>0.51012392110867966</v>
      </c>
      <c r="ME10" s="363">
        <f t="shared" ca="1" si="95"/>
        <v>0.26</v>
      </c>
      <c r="MF10" s="363">
        <f t="shared" ca="1" si="95"/>
        <v>0.26</v>
      </c>
      <c r="MG10" s="363">
        <f t="shared" ca="1" si="95"/>
        <v>0.29178012315312996</v>
      </c>
      <c r="MH10" s="363">
        <f t="shared" ca="1" si="95"/>
        <v>0.28718660554759767</v>
      </c>
      <c r="MI10" s="363">
        <f t="shared" ca="1" si="95"/>
        <v>0.26</v>
      </c>
      <c r="MJ10" s="363">
        <f t="shared" ca="1" si="95"/>
        <v>0.27526089173998997</v>
      </c>
      <c r="MK10" s="363">
        <f t="shared" ca="1" si="95"/>
        <v>0.26</v>
      </c>
      <c r="ML10" s="363">
        <f t="shared" ca="1" si="95"/>
        <v>0.26</v>
      </c>
      <c r="MM10" s="363">
        <f t="shared" ca="1" si="95"/>
        <v>0.37441963961133573</v>
      </c>
      <c r="MN10" s="363">
        <f t="shared" ca="1" si="95"/>
        <v>0.39186549269421955</v>
      </c>
      <c r="MO10" s="363">
        <f t="shared" ca="1" si="95"/>
        <v>0.37501285300700904</v>
      </c>
      <c r="MP10" s="363">
        <f t="shared" ca="1" si="95"/>
        <v>0.4399220916583958</v>
      </c>
      <c r="MQ10" s="363">
        <f t="shared" ca="1" si="95"/>
        <v>0.32366485418562929</v>
      </c>
      <c r="MR10" s="363">
        <f t="shared" ca="1" si="95"/>
        <v>0.27670185811965242</v>
      </c>
      <c r="MS10" s="363">
        <f t="shared" ca="1" si="95"/>
        <v>0.26</v>
      </c>
      <c r="MT10" s="363">
        <f t="shared" ca="1" si="95"/>
        <v>0.29174602446582731</v>
      </c>
      <c r="MU10" s="363">
        <f t="shared" ca="1" si="95"/>
        <v>0.4084326994085592</v>
      </c>
      <c r="MV10" s="363">
        <f t="shared" ca="1" si="95"/>
        <v>0.36959191333225405</v>
      </c>
      <c r="MW10" s="363">
        <f t="shared" ca="1" si="95"/>
        <v>0.50263359810780095</v>
      </c>
      <c r="MX10" s="363">
        <f t="shared" ca="1" si="95"/>
        <v>0.26</v>
      </c>
      <c r="MY10" s="363">
        <f t="shared" ca="1" si="95"/>
        <v>0.36138567854058157</v>
      </c>
      <c r="MZ10" s="363">
        <f t="shared" ca="1" si="95"/>
        <v>0.37582609129844025</v>
      </c>
      <c r="NA10" s="363">
        <f t="shared" ca="1" si="95"/>
        <v>0.26</v>
      </c>
      <c r="NB10" s="363">
        <f t="shared" ca="1" si="95"/>
        <v>0.26</v>
      </c>
      <c r="NC10" s="363">
        <f t="shared" ca="1" si="95"/>
        <v>0.26</v>
      </c>
      <c r="ND10" s="363">
        <f t="shared" ca="1" si="95"/>
        <v>0.26</v>
      </c>
      <c r="NE10" s="363">
        <f t="shared" ca="1" si="95"/>
        <v>0.32054693863486949</v>
      </c>
      <c r="NF10" s="363">
        <f t="shared" ca="1" si="95"/>
        <v>0.26</v>
      </c>
      <c r="NG10" s="363">
        <f t="shared" ca="1" si="95"/>
        <v>0.31382182329068864</v>
      </c>
      <c r="NH10" s="363">
        <f t="shared" ca="1" si="95"/>
        <v>0.59598326469462259</v>
      </c>
      <c r="NI10" s="363">
        <f t="shared" ca="1" si="95"/>
        <v>0.43246254533428241</v>
      </c>
      <c r="NJ10" s="363">
        <f t="shared" ca="1" si="95"/>
        <v>0.26</v>
      </c>
      <c r="NK10" s="363">
        <f t="shared" ca="1" si="95"/>
        <v>0.26</v>
      </c>
      <c r="NL10" s="363">
        <f t="shared" ca="1" si="95"/>
        <v>0.31200881019448423</v>
      </c>
      <c r="NM10" s="363">
        <f t="shared" ca="1" si="95"/>
        <v>0.26</v>
      </c>
      <c r="NN10" s="363">
        <f t="shared" ref="NN10:OV10" ca="1" si="96">MAX(0.26, MIN(1, _xlfn.BETA.INV(RAND(),$I$10,$J$10)))</f>
        <v>0.26</v>
      </c>
      <c r="NO10" s="363">
        <f t="shared" ca="1" si="96"/>
        <v>0.26513142958665198</v>
      </c>
      <c r="NP10" s="363">
        <f t="shared" ca="1" si="96"/>
        <v>0.32448157977987147</v>
      </c>
      <c r="NQ10" s="363">
        <f t="shared" ca="1" si="96"/>
        <v>0.39766507915936711</v>
      </c>
      <c r="NR10" s="363">
        <f t="shared" ca="1" si="96"/>
        <v>0.26</v>
      </c>
      <c r="NS10" s="363">
        <f t="shared" ca="1" si="96"/>
        <v>0.37622349032621016</v>
      </c>
      <c r="NT10" s="363">
        <f t="shared" ca="1" si="96"/>
        <v>0.26</v>
      </c>
      <c r="NU10" s="363">
        <f t="shared" ca="1" si="96"/>
        <v>0.39614822098536484</v>
      </c>
      <c r="NV10" s="363">
        <f t="shared" ca="1" si="96"/>
        <v>0.26</v>
      </c>
      <c r="NW10" s="363">
        <f t="shared" ca="1" si="96"/>
        <v>0.30581587892970541</v>
      </c>
      <c r="NX10" s="363">
        <f t="shared" ca="1" si="96"/>
        <v>0.26</v>
      </c>
      <c r="NY10" s="363">
        <f t="shared" ca="1" si="96"/>
        <v>0.26</v>
      </c>
      <c r="NZ10" s="363">
        <f t="shared" ca="1" si="96"/>
        <v>0.34967195736003887</v>
      </c>
      <c r="OA10" s="363">
        <f t="shared" ca="1" si="96"/>
        <v>0.29907653991662819</v>
      </c>
      <c r="OB10" s="363">
        <f t="shared" ca="1" si="96"/>
        <v>0.26</v>
      </c>
      <c r="OC10" s="363">
        <f t="shared" ca="1" si="96"/>
        <v>0.26</v>
      </c>
      <c r="OD10" s="363">
        <f t="shared" ca="1" si="96"/>
        <v>0.26</v>
      </c>
      <c r="OE10" s="363">
        <f t="shared" ca="1" si="96"/>
        <v>0.26</v>
      </c>
      <c r="OF10" s="363">
        <f t="shared" ca="1" si="96"/>
        <v>0.26</v>
      </c>
      <c r="OG10" s="363">
        <f t="shared" ca="1" si="96"/>
        <v>0.32469071479520395</v>
      </c>
      <c r="OH10" s="363">
        <f t="shared" ca="1" si="96"/>
        <v>0.26</v>
      </c>
      <c r="OI10" s="363">
        <f t="shared" ca="1" si="96"/>
        <v>0.5148345594561109</v>
      </c>
      <c r="OJ10" s="363">
        <f t="shared" ca="1" si="96"/>
        <v>0.26</v>
      </c>
      <c r="OK10" s="363">
        <f t="shared" ca="1" si="96"/>
        <v>0.33982747477701969</v>
      </c>
      <c r="OL10" s="363">
        <f t="shared" ca="1" si="96"/>
        <v>0.26</v>
      </c>
      <c r="OM10" s="363">
        <f t="shared" ca="1" si="96"/>
        <v>0.26</v>
      </c>
      <c r="ON10" s="363">
        <f t="shared" ca="1" si="96"/>
        <v>0.29472628475498908</v>
      </c>
      <c r="OO10" s="363">
        <f t="shared" ca="1" si="96"/>
        <v>0.50499056694696054</v>
      </c>
      <c r="OP10" s="363">
        <f t="shared" ca="1" si="96"/>
        <v>0.26</v>
      </c>
      <c r="OQ10" s="363">
        <f t="shared" ca="1" si="96"/>
        <v>0.26</v>
      </c>
      <c r="OR10" s="363">
        <f t="shared" ca="1" si="96"/>
        <v>0.31531322937402606</v>
      </c>
      <c r="OS10" s="363">
        <f t="shared" ca="1" si="96"/>
        <v>0.34254265584228882</v>
      </c>
      <c r="OT10" s="363">
        <f t="shared" ca="1" si="96"/>
        <v>0.26</v>
      </c>
      <c r="OU10" s="363">
        <f t="shared" ca="1" si="96"/>
        <v>0.28295908502578865</v>
      </c>
      <c r="OV10" s="363">
        <f t="shared" ca="1" si="96"/>
        <v>0.3450352905245998</v>
      </c>
      <c r="OW10" s="363">
        <f ca="1">MAX(0.26, MIN(1, _xlfn.BETA.INV(RAND(),$I$10,$J$10)))</f>
        <v>0.30132522691044639</v>
      </c>
      <c r="OX10" s="363">
        <f t="shared" ref="OX10:RI10" ca="1" si="97">MAX(0.26, MIN(1, _xlfn.BETA.INV(RAND(),$I$10,$J$10)))</f>
        <v>0.28144992599843899</v>
      </c>
      <c r="OY10" s="363">
        <f t="shared" ca="1" si="97"/>
        <v>0.26366458164728057</v>
      </c>
      <c r="OZ10" s="363">
        <f t="shared" ca="1" si="97"/>
        <v>0.38854360370753549</v>
      </c>
      <c r="PA10" s="363">
        <f t="shared" ca="1" si="97"/>
        <v>0.59060922237306168</v>
      </c>
      <c r="PB10" s="363">
        <f t="shared" ca="1" si="97"/>
        <v>0.30333198566794362</v>
      </c>
      <c r="PC10" s="363">
        <f t="shared" ca="1" si="97"/>
        <v>0.26</v>
      </c>
      <c r="PD10" s="363">
        <f t="shared" ca="1" si="97"/>
        <v>0.26</v>
      </c>
      <c r="PE10" s="363">
        <f t="shared" ca="1" si="97"/>
        <v>0.26</v>
      </c>
      <c r="PF10" s="363">
        <f t="shared" ca="1" si="97"/>
        <v>0.38419759627488836</v>
      </c>
      <c r="PG10" s="363">
        <f t="shared" ca="1" si="97"/>
        <v>0.26</v>
      </c>
      <c r="PH10" s="363">
        <f t="shared" ca="1" si="97"/>
        <v>0.31333350121418613</v>
      </c>
      <c r="PI10" s="363">
        <f t="shared" ca="1" si="97"/>
        <v>0.26</v>
      </c>
      <c r="PJ10" s="363">
        <f t="shared" ca="1" si="97"/>
        <v>0.26</v>
      </c>
      <c r="PK10" s="363">
        <f t="shared" ca="1" si="97"/>
        <v>0.26</v>
      </c>
      <c r="PL10" s="363">
        <f t="shared" ca="1" si="97"/>
        <v>0.26</v>
      </c>
      <c r="PM10" s="363">
        <f t="shared" ca="1" si="97"/>
        <v>0.2986732816010842</v>
      </c>
      <c r="PN10" s="363">
        <f t="shared" ca="1" si="97"/>
        <v>0.26</v>
      </c>
      <c r="PO10" s="363">
        <f t="shared" ca="1" si="97"/>
        <v>0.26</v>
      </c>
      <c r="PP10" s="363">
        <f t="shared" ca="1" si="97"/>
        <v>0.42092738695823961</v>
      </c>
      <c r="PQ10" s="363">
        <f t="shared" ca="1" si="97"/>
        <v>0.27633417993226256</v>
      </c>
      <c r="PR10" s="363">
        <f t="shared" ca="1" si="97"/>
        <v>0.43052267260023003</v>
      </c>
      <c r="PS10" s="363">
        <f t="shared" ca="1" si="97"/>
        <v>0.26</v>
      </c>
      <c r="PT10" s="363">
        <f t="shared" ca="1" si="97"/>
        <v>0.35685886772964304</v>
      </c>
      <c r="PU10" s="363">
        <f t="shared" ca="1" si="97"/>
        <v>0.33234094910390533</v>
      </c>
      <c r="PV10" s="363">
        <f t="shared" ca="1" si="97"/>
        <v>0.26825670345642477</v>
      </c>
      <c r="PW10" s="363">
        <f t="shared" ca="1" si="97"/>
        <v>0.26</v>
      </c>
      <c r="PX10" s="363">
        <f t="shared" ca="1" si="97"/>
        <v>0.32996056814851815</v>
      </c>
      <c r="PY10" s="363">
        <f t="shared" ca="1" si="97"/>
        <v>0.33346154974934894</v>
      </c>
      <c r="PZ10" s="363">
        <f t="shared" ca="1" si="97"/>
        <v>0.26866335214184534</v>
      </c>
      <c r="QA10" s="363">
        <f t="shared" ca="1" si="97"/>
        <v>0.26</v>
      </c>
      <c r="QB10" s="363">
        <f t="shared" ca="1" si="97"/>
        <v>0.41561281596452038</v>
      </c>
      <c r="QC10" s="363">
        <f t="shared" ca="1" si="97"/>
        <v>0.28499390358839316</v>
      </c>
      <c r="QD10" s="363">
        <f t="shared" ca="1" si="97"/>
        <v>0.29054439437681845</v>
      </c>
      <c r="QE10" s="363">
        <f t="shared" ca="1" si="97"/>
        <v>0.26</v>
      </c>
      <c r="QF10" s="363">
        <f t="shared" ca="1" si="97"/>
        <v>0.26</v>
      </c>
      <c r="QG10" s="363">
        <f t="shared" ca="1" si="97"/>
        <v>0.30226129932112489</v>
      </c>
      <c r="QH10" s="363">
        <f t="shared" ca="1" si="97"/>
        <v>0.43180561127375028</v>
      </c>
      <c r="QI10" s="363">
        <f t="shared" ca="1" si="97"/>
        <v>0.43850234103657515</v>
      </c>
      <c r="QJ10" s="363">
        <f t="shared" ca="1" si="97"/>
        <v>0.26</v>
      </c>
      <c r="QK10" s="363">
        <f t="shared" ca="1" si="97"/>
        <v>0.26</v>
      </c>
      <c r="QL10" s="363">
        <f t="shared" ca="1" si="97"/>
        <v>0.36134447715115658</v>
      </c>
      <c r="QM10" s="363">
        <f t="shared" ca="1" si="97"/>
        <v>0.26</v>
      </c>
      <c r="QN10" s="363">
        <f t="shared" ca="1" si="97"/>
        <v>0.27275340213635335</v>
      </c>
      <c r="QO10" s="363">
        <f t="shared" ca="1" si="97"/>
        <v>0.30267093107735721</v>
      </c>
      <c r="QP10" s="363">
        <f t="shared" ca="1" si="97"/>
        <v>0.29085671862266815</v>
      </c>
      <c r="QQ10" s="363">
        <f t="shared" ca="1" si="97"/>
        <v>0.26966816150224476</v>
      </c>
      <c r="QR10" s="363">
        <f t="shared" ca="1" si="97"/>
        <v>0.26</v>
      </c>
      <c r="QS10" s="363">
        <f t="shared" ca="1" si="97"/>
        <v>0.26943160343452716</v>
      </c>
      <c r="QT10" s="363">
        <f t="shared" ca="1" si="97"/>
        <v>0.26</v>
      </c>
      <c r="QU10" s="363">
        <f t="shared" ca="1" si="97"/>
        <v>0.30773892023580884</v>
      </c>
      <c r="QV10" s="363">
        <f t="shared" ca="1" si="97"/>
        <v>0.26857131941020496</v>
      </c>
      <c r="QW10" s="363">
        <f t="shared" ca="1" si="97"/>
        <v>0.3250805667492751</v>
      </c>
      <c r="QX10" s="363">
        <f t="shared" ca="1" si="97"/>
        <v>0.26</v>
      </c>
      <c r="QY10" s="363">
        <f t="shared" ca="1" si="97"/>
        <v>0.26</v>
      </c>
      <c r="QZ10" s="363">
        <f t="shared" ca="1" si="97"/>
        <v>0.43077645414386512</v>
      </c>
      <c r="RA10" s="363">
        <f t="shared" ca="1" si="97"/>
        <v>0.38066587904817029</v>
      </c>
      <c r="RB10" s="363">
        <f t="shared" ca="1" si="97"/>
        <v>0.28072383246868932</v>
      </c>
      <c r="RC10" s="363">
        <f t="shared" ca="1" si="97"/>
        <v>0.26</v>
      </c>
      <c r="RD10" s="363">
        <f t="shared" ca="1" si="97"/>
        <v>0.33791149125965014</v>
      </c>
      <c r="RE10" s="363">
        <f t="shared" ca="1" si="97"/>
        <v>0.31139090882351095</v>
      </c>
      <c r="RF10" s="363">
        <f t="shared" ca="1" si="97"/>
        <v>0.43168795174668151</v>
      </c>
      <c r="RG10" s="363">
        <f t="shared" ca="1" si="97"/>
        <v>0.27473347369973078</v>
      </c>
      <c r="RH10" s="363">
        <f t="shared" ca="1" si="97"/>
        <v>0.26</v>
      </c>
      <c r="RI10" s="363">
        <f t="shared" ca="1" si="97"/>
        <v>0.26470704555475438</v>
      </c>
      <c r="RJ10" s="363">
        <f t="shared" ref="RJ10:SR10" ca="1" si="98">MAX(0.26, MIN(1, _xlfn.BETA.INV(RAND(),$I$10,$J$10)))</f>
        <v>0.38772052976160654</v>
      </c>
      <c r="RK10" s="363">
        <f t="shared" ca="1" si="98"/>
        <v>0.26444315659056489</v>
      </c>
      <c r="RL10" s="363">
        <f t="shared" ca="1" si="98"/>
        <v>0.26</v>
      </c>
      <c r="RM10" s="363">
        <f t="shared" ca="1" si="98"/>
        <v>0.26</v>
      </c>
      <c r="RN10" s="363">
        <f t="shared" ca="1" si="98"/>
        <v>0.26</v>
      </c>
      <c r="RO10" s="363">
        <f t="shared" ca="1" si="98"/>
        <v>0.26</v>
      </c>
      <c r="RP10" s="363">
        <f t="shared" ca="1" si="98"/>
        <v>0.26</v>
      </c>
      <c r="RQ10" s="363">
        <f t="shared" ca="1" si="98"/>
        <v>0.26</v>
      </c>
      <c r="RR10" s="363">
        <f t="shared" ca="1" si="98"/>
        <v>0.34446154624661929</v>
      </c>
      <c r="RS10" s="363">
        <f t="shared" ca="1" si="98"/>
        <v>0.26</v>
      </c>
      <c r="RT10" s="363">
        <f t="shared" ca="1" si="98"/>
        <v>0.27227479383010467</v>
      </c>
      <c r="RU10" s="363">
        <f t="shared" ca="1" si="98"/>
        <v>0.43755447397861247</v>
      </c>
      <c r="RV10" s="363">
        <f t="shared" ca="1" si="98"/>
        <v>0.26</v>
      </c>
      <c r="RW10" s="363">
        <f t="shared" ca="1" si="98"/>
        <v>0.28420579226958237</v>
      </c>
      <c r="RX10" s="363">
        <f t="shared" ca="1" si="98"/>
        <v>0.3012947696970637</v>
      </c>
      <c r="RY10" s="363">
        <f t="shared" ca="1" si="98"/>
        <v>0.26</v>
      </c>
      <c r="RZ10" s="363">
        <f t="shared" ca="1" si="98"/>
        <v>0.51998077158710931</v>
      </c>
      <c r="SA10" s="363">
        <f t="shared" ca="1" si="98"/>
        <v>0.28639320864609774</v>
      </c>
      <c r="SB10" s="363">
        <f t="shared" ca="1" si="98"/>
        <v>0.27903463325437478</v>
      </c>
      <c r="SC10" s="363">
        <f t="shared" ca="1" si="98"/>
        <v>0.26</v>
      </c>
      <c r="SD10" s="363">
        <f t="shared" ca="1" si="98"/>
        <v>0.26</v>
      </c>
      <c r="SE10" s="363">
        <f t="shared" ca="1" si="98"/>
        <v>0.37658077339360452</v>
      </c>
      <c r="SF10" s="363">
        <f t="shared" ca="1" si="98"/>
        <v>0.26893642980324955</v>
      </c>
      <c r="SG10" s="363">
        <f t="shared" ca="1" si="98"/>
        <v>0.28206642224531592</v>
      </c>
      <c r="SH10" s="363">
        <f t="shared" ca="1" si="98"/>
        <v>0.26</v>
      </c>
      <c r="SI10" s="363">
        <f t="shared" ca="1" si="98"/>
        <v>0.44940823024240772</v>
      </c>
      <c r="SJ10" s="363">
        <f t="shared" ca="1" si="98"/>
        <v>0.26</v>
      </c>
      <c r="SK10" s="363">
        <f t="shared" ca="1" si="98"/>
        <v>0.39468519237009969</v>
      </c>
      <c r="SL10" s="363">
        <f t="shared" ca="1" si="98"/>
        <v>0.26</v>
      </c>
      <c r="SM10" s="363">
        <f t="shared" ca="1" si="98"/>
        <v>0.40539060177344044</v>
      </c>
      <c r="SN10" s="363">
        <f t="shared" ca="1" si="98"/>
        <v>0.36394457189349749</v>
      </c>
      <c r="SO10" s="363">
        <f t="shared" ca="1" si="98"/>
        <v>0.36378512059474388</v>
      </c>
      <c r="SP10" s="363">
        <f t="shared" ca="1" si="98"/>
        <v>0.36620733529276639</v>
      </c>
      <c r="SQ10" s="363">
        <f t="shared" ca="1" si="98"/>
        <v>0.43307349428327624</v>
      </c>
      <c r="SR10" s="363">
        <f t="shared" ca="1" si="98"/>
        <v>0.30084937735649531</v>
      </c>
      <c r="SS10" s="363">
        <f ca="1">MAX(0.26, MIN(1, _xlfn.BETA.INV(RAND(),$I$10,$J$10)))</f>
        <v>0.43387385992711869</v>
      </c>
      <c r="ST10" s="363">
        <f t="shared" ref="ST10:VE10" ca="1" si="99">MAX(0.26, MIN(1, _xlfn.BETA.INV(RAND(),$I$10,$J$10)))</f>
        <v>0.29868327696833852</v>
      </c>
      <c r="SU10" s="363">
        <f t="shared" ca="1" si="99"/>
        <v>0.29793654696418115</v>
      </c>
      <c r="SV10" s="363">
        <f t="shared" ca="1" si="99"/>
        <v>0.3823263482873589</v>
      </c>
      <c r="SW10" s="363">
        <f t="shared" ca="1" si="99"/>
        <v>0.26</v>
      </c>
      <c r="SX10" s="363">
        <f t="shared" ca="1" si="99"/>
        <v>0.26</v>
      </c>
      <c r="SY10" s="363">
        <f t="shared" ca="1" si="99"/>
        <v>0.3354157212057326</v>
      </c>
      <c r="SZ10" s="363">
        <f t="shared" ca="1" si="99"/>
        <v>0.32837254384878711</v>
      </c>
      <c r="TA10" s="363">
        <f t="shared" ca="1" si="99"/>
        <v>0.26</v>
      </c>
      <c r="TB10" s="363">
        <f t="shared" ca="1" si="99"/>
        <v>0.26</v>
      </c>
      <c r="TC10" s="363">
        <f t="shared" ca="1" si="99"/>
        <v>0.278535979063253</v>
      </c>
      <c r="TD10" s="363">
        <f t="shared" ca="1" si="99"/>
        <v>0.26</v>
      </c>
      <c r="TE10" s="363">
        <f t="shared" ca="1" si="99"/>
        <v>0.30102285153379615</v>
      </c>
      <c r="TF10" s="363">
        <f t="shared" ca="1" si="99"/>
        <v>0.34354064373743731</v>
      </c>
      <c r="TG10" s="363">
        <f t="shared" ca="1" si="99"/>
        <v>0.44079007019013183</v>
      </c>
      <c r="TH10" s="363">
        <f t="shared" ca="1" si="99"/>
        <v>0.26</v>
      </c>
      <c r="TI10" s="363">
        <f t="shared" ca="1" si="99"/>
        <v>0.37242436066096785</v>
      </c>
      <c r="TJ10" s="363">
        <f t="shared" ca="1" si="99"/>
        <v>0.26</v>
      </c>
      <c r="TK10" s="363">
        <f t="shared" ca="1" si="99"/>
        <v>0.26</v>
      </c>
      <c r="TL10" s="363">
        <f t="shared" ca="1" si="99"/>
        <v>0.40074218938720563</v>
      </c>
      <c r="TM10" s="363">
        <f t="shared" ca="1" si="99"/>
        <v>0.26</v>
      </c>
      <c r="TN10" s="363">
        <f t="shared" ca="1" si="99"/>
        <v>0.26</v>
      </c>
      <c r="TO10" s="363">
        <f t="shared" ca="1" si="99"/>
        <v>0.41239703912952419</v>
      </c>
      <c r="TP10" s="363">
        <f t="shared" ca="1" si="99"/>
        <v>0.32963953124423717</v>
      </c>
      <c r="TQ10" s="363">
        <f t="shared" ca="1" si="99"/>
        <v>0.46356626901629339</v>
      </c>
      <c r="TR10" s="363">
        <f t="shared" ca="1" si="99"/>
        <v>0.3972682512739254</v>
      </c>
      <c r="TS10" s="363">
        <f t="shared" ca="1" si="99"/>
        <v>0.37688875383700038</v>
      </c>
      <c r="TT10" s="363">
        <f t="shared" ca="1" si="99"/>
        <v>0.26</v>
      </c>
      <c r="TU10" s="363">
        <f t="shared" ca="1" si="99"/>
        <v>0.29658816976564817</v>
      </c>
      <c r="TV10" s="363">
        <f t="shared" ca="1" si="99"/>
        <v>0.35952576712276063</v>
      </c>
      <c r="TW10" s="363">
        <f t="shared" ca="1" si="99"/>
        <v>0.34929985774097172</v>
      </c>
      <c r="TX10" s="363">
        <f t="shared" ca="1" si="99"/>
        <v>0.29829016434778599</v>
      </c>
      <c r="TY10" s="363">
        <f t="shared" ca="1" si="99"/>
        <v>0.26</v>
      </c>
      <c r="TZ10" s="363">
        <f t="shared" ca="1" si="99"/>
        <v>0.33001101305481184</v>
      </c>
      <c r="UA10" s="363">
        <f t="shared" ca="1" si="99"/>
        <v>0.26</v>
      </c>
      <c r="UB10" s="363">
        <f t="shared" ca="1" si="99"/>
        <v>0.44207211329687257</v>
      </c>
      <c r="UC10" s="363">
        <f t="shared" ca="1" si="99"/>
        <v>0.41041374243063133</v>
      </c>
      <c r="UD10" s="363">
        <f t="shared" ca="1" si="99"/>
        <v>0.26</v>
      </c>
      <c r="UE10" s="363">
        <f t="shared" ca="1" si="99"/>
        <v>0.30644571533277487</v>
      </c>
      <c r="UF10" s="363">
        <f t="shared" ca="1" si="99"/>
        <v>0.26</v>
      </c>
      <c r="UG10" s="363">
        <f t="shared" ca="1" si="99"/>
        <v>0.41550963341852332</v>
      </c>
      <c r="UH10" s="363">
        <f t="shared" ca="1" si="99"/>
        <v>0.43926225027785448</v>
      </c>
      <c r="UI10" s="363">
        <f t="shared" ca="1" si="99"/>
        <v>0.37054296021414568</v>
      </c>
      <c r="UJ10" s="363">
        <f t="shared" ca="1" si="99"/>
        <v>0.27032599637846122</v>
      </c>
      <c r="UK10" s="363">
        <f t="shared" ca="1" si="99"/>
        <v>0.48551733137447872</v>
      </c>
      <c r="UL10" s="363">
        <f t="shared" ca="1" si="99"/>
        <v>0.39546293075388772</v>
      </c>
      <c r="UM10" s="363">
        <f t="shared" ca="1" si="99"/>
        <v>0.33458581133972864</v>
      </c>
      <c r="UN10" s="363">
        <f t="shared" ca="1" si="99"/>
        <v>0.39162396076932571</v>
      </c>
      <c r="UO10" s="363">
        <f t="shared" ca="1" si="99"/>
        <v>0.26</v>
      </c>
      <c r="UP10" s="363">
        <f t="shared" ca="1" si="99"/>
        <v>0.26</v>
      </c>
      <c r="UQ10" s="363">
        <f t="shared" ca="1" si="99"/>
        <v>0.26</v>
      </c>
      <c r="UR10" s="363">
        <f t="shared" ca="1" si="99"/>
        <v>0.26</v>
      </c>
      <c r="US10" s="363">
        <f t="shared" ca="1" si="99"/>
        <v>0.35054768367048228</v>
      </c>
      <c r="UT10" s="363">
        <f t="shared" ca="1" si="99"/>
        <v>0.31390789422290855</v>
      </c>
      <c r="UU10" s="363">
        <f t="shared" ca="1" si="99"/>
        <v>0.26</v>
      </c>
      <c r="UV10" s="363">
        <f t="shared" ca="1" si="99"/>
        <v>0.26</v>
      </c>
      <c r="UW10" s="363">
        <f t="shared" ca="1" si="99"/>
        <v>0.45365795507556683</v>
      </c>
      <c r="UX10" s="363">
        <f t="shared" ca="1" si="99"/>
        <v>0.26</v>
      </c>
      <c r="UY10" s="363">
        <f t="shared" ca="1" si="99"/>
        <v>0.29483660711074688</v>
      </c>
      <c r="UZ10" s="363">
        <f t="shared" ca="1" si="99"/>
        <v>0.26262353304243363</v>
      </c>
      <c r="VA10" s="363">
        <f t="shared" ca="1" si="99"/>
        <v>0.31580800403595211</v>
      </c>
      <c r="VB10" s="363">
        <f t="shared" ca="1" si="99"/>
        <v>0.45270913616954889</v>
      </c>
      <c r="VC10" s="363">
        <f t="shared" ca="1" si="99"/>
        <v>0.37222724617781533</v>
      </c>
      <c r="VD10" s="363">
        <f t="shared" ca="1" si="99"/>
        <v>0.34639319025387161</v>
      </c>
      <c r="VE10" s="363">
        <f t="shared" ca="1" si="99"/>
        <v>0.26</v>
      </c>
      <c r="VF10" s="363">
        <f t="shared" ref="VF10:WN10" ca="1" si="100">MAX(0.26, MIN(1, _xlfn.BETA.INV(RAND(),$I$10,$J$10)))</f>
        <v>0.29682461114841197</v>
      </c>
      <c r="VG10" s="363">
        <f t="shared" ca="1" si="100"/>
        <v>0.34815136063442564</v>
      </c>
      <c r="VH10" s="363">
        <f t="shared" ca="1" si="100"/>
        <v>0.26</v>
      </c>
      <c r="VI10" s="363">
        <f t="shared" ca="1" si="100"/>
        <v>0.26</v>
      </c>
      <c r="VJ10" s="363">
        <f t="shared" ca="1" si="100"/>
        <v>0.31493422474485677</v>
      </c>
      <c r="VK10" s="363">
        <f t="shared" ca="1" si="100"/>
        <v>0.46854425550886936</v>
      </c>
      <c r="VL10" s="363">
        <f t="shared" ca="1" si="100"/>
        <v>0.42856649667009783</v>
      </c>
      <c r="VM10" s="363">
        <f t="shared" ca="1" si="100"/>
        <v>0.27327610460718066</v>
      </c>
      <c r="VN10" s="363">
        <f t="shared" ca="1" si="100"/>
        <v>0.37922476566870211</v>
      </c>
      <c r="VO10" s="363">
        <f t="shared" ca="1" si="100"/>
        <v>0.26</v>
      </c>
      <c r="VP10" s="363">
        <f t="shared" ca="1" si="100"/>
        <v>0.35650597721788557</v>
      </c>
      <c r="VQ10" s="363">
        <f t="shared" ca="1" si="100"/>
        <v>0.3373426793370421</v>
      </c>
      <c r="VR10" s="363">
        <f t="shared" ca="1" si="100"/>
        <v>0.32374677764688886</v>
      </c>
      <c r="VS10" s="363">
        <f t="shared" ca="1" si="100"/>
        <v>0.47790772032190443</v>
      </c>
      <c r="VT10" s="363">
        <f t="shared" ca="1" si="100"/>
        <v>0.28549065861868211</v>
      </c>
      <c r="VU10" s="363">
        <f t="shared" ca="1" si="100"/>
        <v>0.38611365173786283</v>
      </c>
      <c r="VV10" s="363">
        <f t="shared" ca="1" si="100"/>
        <v>0.26</v>
      </c>
      <c r="VW10" s="363">
        <f t="shared" ca="1" si="100"/>
        <v>0.28530073094281205</v>
      </c>
      <c r="VX10" s="363">
        <f t="shared" ca="1" si="100"/>
        <v>0.26</v>
      </c>
      <c r="VY10" s="363">
        <f t="shared" ca="1" si="100"/>
        <v>0.29636840188311475</v>
      </c>
      <c r="VZ10" s="363">
        <f t="shared" ca="1" si="100"/>
        <v>0.36463191703620557</v>
      </c>
      <c r="WA10" s="363">
        <f t="shared" ca="1" si="100"/>
        <v>0.2962488265794091</v>
      </c>
      <c r="WB10" s="363">
        <f t="shared" ca="1" si="100"/>
        <v>0.30584540858177778</v>
      </c>
      <c r="WC10" s="363">
        <f t="shared" ca="1" si="100"/>
        <v>0.26</v>
      </c>
      <c r="WD10" s="363">
        <f t="shared" ca="1" si="100"/>
        <v>0.43575616069113843</v>
      </c>
      <c r="WE10" s="363">
        <f t="shared" ca="1" si="100"/>
        <v>0.3283019825096144</v>
      </c>
      <c r="WF10" s="363">
        <f t="shared" ca="1" si="100"/>
        <v>0.28023471558758162</v>
      </c>
      <c r="WG10" s="363">
        <f t="shared" ca="1" si="100"/>
        <v>0.41899935225931983</v>
      </c>
      <c r="WH10" s="363">
        <f t="shared" ca="1" si="100"/>
        <v>0.3754234955405279</v>
      </c>
      <c r="WI10" s="363">
        <f t="shared" ca="1" si="100"/>
        <v>0.29566355263351529</v>
      </c>
      <c r="WJ10" s="363">
        <f t="shared" ca="1" si="100"/>
        <v>0.36023058679410058</v>
      </c>
      <c r="WK10" s="363">
        <f t="shared" ca="1" si="100"/>
        <v>0.3159941740900577</v>
      </c>
      <c r="WL10" s="363">
        <f t="shared" ca="1" si="100"/>
        <v>0.31461296508190484</v>
      </c>
      <c r="WM10" s="363">
        <f t="shared" ca="1" si="100"/>
        <v>0.26</v>
      </c>
      <c r="WN10" s="363">
        <f t="shared" ca="1" si="100"/>
        <v>0.26</v>
      </c>
    </row>
    <row r="11" spans="2:612" x14ac:dyDescent="0.15">
      <c r="B11" s="470" t="s">
        <v>505</v>
      </c>
      <c r="D11" s="363">
        <f t="shared" si="0"/>
        <v>0.84199999999999997</v>
      </c>
      <c r="F11" s="367">
        <v>0.84199999999999997</v>
      </c>
      <c r="G11" s="367" t="s">
        <v>350</v>
      </c>
      <c r="H11" s="363">
        <v>2E-3</v>
      </c>
      <c r="I11" s="438">
        <f t="shared" si="87"/>
        <v>28003.236000000001</v>
      </c>
      <c r="J11" s="438">
        <f t="shared" si="88"/>
        <v>5254.764000000001</v>
      </c>
      <c r="K11" s="367" t="s">
        <v>1273</v>
      </c>
      <c r="M11" s="363">
        <f ca="1">_xlfn.BETA.INV(RAND(),$I$11,$J$11)</f>
        <v>0.84315225514550474</v>
      </c>
      <c r="N11" s="363">
        <f t="shared" ref="N11:BY11" ca="1" si="101">_xlfn.BETA.INV(RAND(),$I$11,$J$11)</f>
        <v>0.8431972687750191</v>
      </c>
      <c r="O11" s="363">
        <f t="shared" ca="1" si="101"/>
        <v>0.84233055506721366</v>
      </c>
      <c r="P11" s="363">
        <f t="shared" ca="1" si="101"/>
        <v>0.84301118638802097</v>
      </c>
      <c r="Q11" s="363">
        <f t="shared" ca="1" si="101"/>
        <v>0.84074652410868012</v>
      </c>
      <c r="R11" s="363">
        <f t="shared" ca="1" si="101"/>
        <v>0.84012273708497676</v>
      </c>
      <c r="S11" s="363">
        <f t="shared" ca="1" si="101"/>
        <v>0.83853552018642752</v>
      </c>
      <c r="T11" s="363">
        <f t="shared" ca="1" si="101"/>
        <v>0.83889954354553153</v>
      </c>
      <c r="U11" s="363">
        <f t="shared" ca="1" si="101"/>
        <v>0.84510321324507065</v>
      </c>
      <c r="V11" s="363">
        <f t="shared" ca="1" si="101"/>
        <v>0.84143204021681317</v>
      </c>
      <c r="W11" s="363">
        <f t="shared" ca="1" si="101"/>
        <v>0.84087602048010202</v>
      </c>
      <c r="X11" s="363">
        <f t="shared" ca="1" si="101"/>
        <v>0.84066927690398674</v>
      </c>
      <c r="Y11" s="363">
        <f t="shared" ca="1" si="101"/>
        <v>0.84038431216570453</v>
      </c>
      <c r="Z11" s="363">
        <f t="shared" ca="1" si="101"/>
        <v>0.84834780644820196</v>
      </c>
      <c r="AA11" s="363">
        <f t="shared" ca="1" si="101"/>
        <v>0.84186022959489126</v>
      </c>
      <c r="AB11" s="363">
        <f t="shared" ca="1" si="101"/>
        <v>0.84187213499839564</v>
      </c>
      <c r="AC11" s="363">
        <f t="shared" ca="1" si="101"/>
        <v>0.83970026468345249</v>
      </c>
      <c r="AD11" s="363">
        <f t="shared" ca="1" si="101"/>
        <v>0.84036263933964483</v>
      </c>
      <c r="AE11" s="363">
        <f t="shared" ca="1" si="101"/>
        <v>0.84448160396898142</v>
      </c>
      <c r="AF11" s="363">
        <f t="shared" ca="1" si="101"/>
        <v>0.84220789593645384</v>
      </c>
      <c r="AG11" s="363">
        <f t="shared" ca="1" si="101"/>
        <v>0.84189204233562087</v>
      </c>
      <c r="AH11" s="363">
        <f t="shared" ca="1" si="101"/>
        <v>0.84371206475505822</v>
      </c>
      <c r="AI11" s="363">
        <f t="shared" ca="1" si="101"/>
        <v>0.8445081130864901</v>
      </c>
      <c r="AJ11" s="363">
        <f t="shared" ca="1" si="101"/>
        <v>0.84324604464609709</v>
      </c>
      <c r="AK11" s="363">
        <f t="shared" ca="1" si="101"/>
        <v>0.8427411614862278</v>
      </c>
      <c r="AL11" s="363">
        <f t="shared" ca="1" si="101"/>
        <v>0.84285826671716746</v>
      </c>
      <c r="AM11" s="363">
        <f t="shared" ca="1" si="101"/>
        <v>0.84154030856885409</v>
      </c>
      <c r="AN11" s="363">
        <f t="shared" ca="1" si="101"/>
        <v>0.84344686453055639</v>
      </c>
      <c r="AO11" s="363">
        <f t="shared" ca="1" si="101"/>
        <v>0.84461885608525344</v>
      </c>
      <c r="AP11" s="363">
        <f t="shared" ca="1" si="101"/>
        <v>0.8424073825493934</v>
      </c>
      <c r="AQ11" s="363">
        <f t="shared" ca="1" si="101"/>
        <v>0.84428725221227952</v>
      </c>
      <c r="AR11" s="363">
        <f t="shared" ca="1" si="101"/>
        <v>0.84380146626287333</v>
      </c>
      <c r="AS11" s="363">
        <f t="shared" ca="1" si="101"/>
        <v>0.84024386096508907</v>
      </c>
      <c r="AT11" s="363">
        <f t="shared" ca="1" si="101"/>
        <v>0.8456283709549729</v>
      </c>
      <c r="AU11" s="363">
        <f t="shared" ca="1" si="101"/>
        <v>0.84295240057018006</v>
      </c>
      <c r="AV11" s="363">
        <f t="shared" ca="1" si="101"/>
        <v>0.84007716116559594</v>
      </c>
      <c r="AW11" s="363">
        <f t="shared" ca="1" si="101"/>
        <v>0.84096027074008339</v>
      </c>
      <c r="AX11" s="363">
        <f t="shared" ca="1" si="101"/>
        <v>0.84150397724418691</v>
      </c>
      <c r="AY11" s="363">
        <f t="shared" ca="1" si="101"/>
        <v>0.8399275586161683</v>
      </c>
      <c r="AZ11" s="363">
        <f t="shared" ca="1" si="101"/>
        <v>0.84095086998625967</v>
      </c>
      <c r="BA11" s="363">
        <f t="shared" ca="1" si="101"/>
        <v>0.8422868471168643</v>
      </c>
      <c r="BB11" s="363">
        <f t="shared" ca="1" si="101"/>
        <v>0.8434275830116027</v>
      </c>
      <c r="BC11" s="363">
        <f t="shared" ca="1" si="101"/>
        <v>0.84358000495325058</v>
      </c>
      <c r="BD11" s="363">
        <f t="shared" ca="1" si="101"/>
        <v>0.8404858582768453</v>
      </c>
      <c r="BE11" s="363">
        <f t="shared" ca="1" si="101"/>
        <v>0.84276438791380937</v>
      </c>
      <c r="BF11" s="363">
        <f t="shared" ca="1" si="101"/>
        <v>0.84045442451652386</v>
      </c>
      <c r="BG11" s="363">
        <f t="shared" ca="1" si="101"/>
        <v>0.84061164418527767</v>
      </c>
      <c r="BH11" s="363">
        <f t="shared" ca="1" si="101"/>
        <v>0.83887476246011305</v>
      </c>
      <c r="BI11" s="363">
        <f t="shared" ca="1" si="101"/>
        <v>0.84406121463172701</v>
      </c>
      <c r="BJ11" s="363">
        <f t="shared" ca="1" si="101"/>
        <v>0.84322330788896771</v>
      </c>
      <c r="BK11" s="363">
        <f t="shared" ca="1" si="101"/>
        <v>0.84303609958220538</v>
      </c>
      <c r="BL11" s="363">
        <f t="shared" ca="1" si="101"/>
        <v>0.84245705503690493</v>
      </c>
      <c r="BM11" s="363">
        <f t="shared" ca="1" si="101"/>
        <v>0.841630464631408</v>
      </c>
      <c r="BN11" s="363">
        <f t="shared" ca="1" si="101"/>
        <v>0.84217072519556269</v>
      </c>
      <c r="BO11" s="363">
        <f t="shared" ca="1" si="101"/>
        <v>0.84004122730904007</v>
      </c>
      <c r="BP11" s="363">
        <f t="shared" ca="1" si="101"/>
        <v>0.83798325927081274</v>
      </c>
      <c r="BQ11" s="363">
        <f t="shared" ca="1" si="101"/>
        <v>0.84250968961882333</v>
      </c>
      <c r="BR11" s="363">
        <f t="shared" ca="1" si="101"/>
        <v>0.84075788691976827</v>
      </c>
      <c r="BS11" s="363">
        <f t="shared" ca="1" si="101"/>
        <v>0.84050584801417882</v>
      </c>
      <c r="BT11" s="363">
        <f t="shared" ca="1" si="101"/>
        <v>0.84296702821272973</v>
      </c>
      <c r="BU11" s="363">
        <f t="shared" ca="1" si="101"/>
        <v>0.8386807735458206</v>
      </c>
      <c r="BV11" s="363">
        <f t="shared" ca="1" si="101"/>
        <v>0.84193972526056771</v>
      </c>
      <c r="BW11" s="363">
        <f t="shared" ca="1" si="101"/>
        <v>0.84090532501114534</v>
      </c>
      <c r="BX11" s="363">
        <f t="shared" ca="1" si="101"/>
        <v>0.83936994461691983</v>
      </c>
      <c r="BY11" s="363">
        <f t="shared" ca="1" si="101"/>
        <v>0.83878732669991551</v>
      </c>
      <c r="BZ11" s="363">
        <f t="shared" ref="BZ11:DH11" ca="1" si="102">_xlfn.BETA.INV(RAND(),$I$11,$J$11)</f>
        <v>0.84036668233157907</v>
      </c>
      <c r="CA11" s="363">
        <f t="shared" ca="1" si="102"/>
        <v>0.84012939169746681</v>
      </c>
      <c r="CB11" s="363">
        <f t="shared" ca="1" si="102"/>
        <v>0.84133464504937061</v>
      </c>
      <c r="CC11" s="363">
        <f t="shared" ca="1" si="102"/>
        <v>0.8450197432281753</v>
      </c>
      <c r="CD11" s="363">
        <f t="shared" ca="1" si="102"/>
        <v>0.84302032104883673</v>
      </c>
      <c r="CE11" s="363">
        <f t="shared" ca="1" si="102"/>
        <v>0.84182460073202481</v>
      </c>
      <c r="CF11" s="363">
        <f t="shared" ca="1" si="102"/>
        <v>0.84587458806502314</v>
      </c>
      <c r="CG11" s="363">
        <f t="shared" ca="1" si="102"/>
        <v>0.84283939583150169</v>
      </c>
      <c r="CH11" s="363">
        <f t="shared" ca="1" si="102"/>
        <v>0.84168209682800244</v>
      </c>
      <c r="CI11" s="363">
        <f t="shared" ca="1" si="102"/>
        <v>0.84147475592947563</v>
      </c>
      <c r="CJ11" s="363">
        <f t="shared" ca="1" si="102"/>
        <v>0.83977267805358657</v>
      </c>
      <c r="CK11" s="363">
        <f t="shared" ca="1" si="102"/>
        <v>0.84094391840123761</v>
      </c>
      <c r="CL11" s="363">
        <f t="shared" ca="1" si="102"/>
        <v>0.84305266381690491</v>
      </c>
      <c r="CM11" s="363">
        <f t="shared" ca="1" si="102"/>
        <v>0.84250846228689957</v>
      </c>
      <c r="CN11" s="363">
        <f t="shared" ca="1" si="102"/>
        <v>0.84482400516453615</v>
      </c>
      <c r="CO11" s="363">
        <f t="shared" ca="1" si="102"/>
        <v>0.84355554041868852</v>
      </c>
      <c r="CP11" s="363">
        <f t="shared" ca="1" si="102"/>
        <v>0.84157673739184946</v>
      </c>
      <c r="CQ11" s="363">
        <f t="shared" ca="1" si="102"/>
        <v>0.84029954121195993</v>
      </c>
      <c r="CR11" s="363">
        <f t="shared" ca="1" si="102"/>
        <v>0.8412637942056489</v>
      </c>
      <c r="CS11" s="363">
        <f t="shared" ca="1" si="102"/>
        <v>0.83909815722969527</v>
      </c>
      <c r="CT11" s="363">
        <f t="shared" ca="1" si="102"/>
        <v>0.84402352313021745</v>
      </c>
      <c r="CU11" s="363">
        <f t="shared" ca="1" si="102"/>
        <v>0.84029669746112545</v>
      </c>
      <c r="CV11" s="363">
        <f t="shared" ca="1" si="102"/>
        <v>0.84255175757558309</v>
      </c>
      <c r="CW11" s="363">
        <f t="shared" ca="1" si="102"/>
        <v>0.83964191316255909</v>
      </c>
      <c r="CX11" s="363">
        <f t="shared" ca="1" si="102"/>
        <v>0.84217764880697821</v>
      </c>
      <c r="CY11" s="363">
        <f t="shared" ca="1" si="102"/>
        <v>0.84064570811729589</v>
      </c>
      <c r="CZ11" s="363">
        <f t="shared" ca="1" si="102"/>
        <v>0.84387633398281725</v>
      </c>
      <c r="DA11" s="363">
        <f t="shared" ca="1" si="102"/>
        <v>0.84054991151468061</v>
      </c>
      <c r="DB11" s="363">
        <f t="shared" ca="1" si="102"/>
        <v>0.84288877395254902</v>
      </c>
      <c r="DC11" s="363">
        <f t="shared" ca="1" si="102"/>
        <v>0.83965027491800948</v>
      </c>
      <c r="DD11" s="363">
        <f t="shared" ca="1" si="102"/>
        <v>0.84051811597837456</v>
      </c>
      <c r="DE11" s="363">
        <f t="shared" ca="1" si="102"/>
        <v>0.84078321016404067</v>
      </c>
      <c r="DF11" s="363">
        <f t="shared" ca="1" si="102"/>
        <v>0.8454307335942981</v>
      </c>
      <c r="DG11" s="363">
        <f t="shared" ca="1" si="102"/>
        <v>0.8403585521897079</v>
      </c>
      <c r="DH11" s="363">
        <f t="shared" ca="1" si="102"/>
        <v>0.84190197711574088</v>
      </c>
      <c r="DI11" s="363">
        <f ca="1">_xlfn.BETA.INV(RAND(),$I$11,$J$11)</f>
        <v>0.84410251880706988</v>
      </c>
      <c r="DJ11" s="363">
        <f t="shared" ref="DJ11:FU11" ca="1" si="103">_xlfn.BETA.INV(RAND(),$I$11,$J$11)</f>
        <v>0.83916307430703951</v>
      </c>
      <c r="DK11" s="363">
        <f t="shared" ca="1" si="103"/>
        <v>0.84294218554878653</v>
      </c>
      <c r="DL11" s="363">
        <f t="shared" ca="1" si="103"/>
        <v>0.84190692812734236</v>
      </c>
      <c r="DM11" s="363">
        <f t="shared" ca="1" si="103"/>
        <v>0.840727954157792</v>
      </c>
      <c r="DN11" s="363">
        <f t="shared" ca="1" si="103"/>
        <v>0.84256504974311164</v>
      </c>
      <c r="DO11" s="363">
        <f t="shared" ca="1" si="103"/>
        <v>0.84305659755947493</v>
      </c>
      <c r="DP11" s="363">
        <f t="shared" ca="1" si="103"/>
        <v>0.83677312974449269</v>
      </c>
      <c r="DQ11" s="363">
        <f t="shared" ca="1" si="103"/>
        <v>0.83996255242129358</v>
      </c>
      <c r="DR11" s="363">
        <f t="shared" ca="1" si="103"/>
        <v>0.84221513969793482</v>
      </c>
      <c r="DS11" s="363">
        <f t="shared" ca="1" si="103"/>
        <v>0.84049647817301787</v>
      </c>
      <c r="DT11" s="363">
        <f t="shared" ca="1" si="103"/>
        <v>0.84615078671991406</v>
      </c>
      <c r="DU11" s="363">
        <f t="shared" ca="1" si="103"/>
        <v>0.84207131430617532</v>
      </c>
      <c r="DV11" s="363">
        <f t="shared" ca="1" si="103"/>
        <v>0.84562733652765387</v>
      </c>
      <c r="DW11" s="363">
        <f t="shared" ca="1" si="103"/>
        <v>0.84383046094318748</v>
      </c>
      <c r="DX11" s="363">
        <f t="shared" ca="1" si="103"/>
        <v>0.84075055939492616</v>
      </c>
      <c r="DY11" s="363">
        <f t="shared" ca="1" si="103"/>
        <v>0.84326599617084863</v>
      </c>
      <c r="DZ11" s="363">
        <f t="shared" ca="1" si="103"/>
        <v>0.8410265352268097</v>
      </c>
      <c r="EA11" s="363">
        <f t="shared" ca="1" si="103"/>
        <v>0.84425906650551319</v>
      </c>
      <c r="EB11" s="363">
        <f t="shared" ca="1" si="103"/>
        <v>0.84134322639255488</v>
      </c>
      <c r="EC11" s="363">
        <f t="shared" ca="1" si="103"/>
        <v>0.84274942668350827</v>
      </c>
      <c r="ED11" s="363">
        <f t="shared" ca="1" si="103"/>
        <v>0.84294405223056812</v>
      </c>
      <c r="EE11" s="363">
        <f t="shared" ca="1" si="103"/>
        <v>0.84038301235543489</v>
      </c>
      <c r="EF11" s="363">
        <f t="shared" ca="1" si="103"/>
        <v>0.84023909343994274</v>
      </c>
      <c r="EG11" s="363">
        <f t="shared" ca="1" si="103"/>
        <v>0.83910361627033347</v>
      </c>
      <c r="EH11" s="363">
        <f t="shared" ca="1" si="103"/>
        <v>0.84279602189448677</v>
      </c>
      <c r="EI11" s="363">
        <f t="shared" ca="1" si="103"/>
        <v>0.84126675069597234</v>
      </c>
      <c r="EJ11" s="363">
        <f t="shared" ca="1" si="103"/>
        <v>0.84355389282546178</v>
      </c>
      <c r="EK11" s="363">
        <f t="shared" ca="1" si="103"/>
        <v>0.84263550748125382</v>
      </c>
      <c r="EL11" s="363">
        <f t="shared" ca="1" si="103"/>
        <v>0.84100919868448454</v>
      </c>
      <c r="EM11" s="363">
        <f t="shared" ca="1" si="103"/>
        <v>0.84158869608005882</v>
      </c>
      <c r="EN11" s="363">
        <f t="shared" ca="1" si="103"/>
        <v>0.84222406239645942</v>
      </c>
      <c r="EO11" s="363">
        <f t="shared" ca="1" si="103"/>
        <v>0.84139603023419973</v>
      </c>
      <c r="EP11" s="363">
        <f t="shared" ca="1" si="103"/>
        <v>0.83864702573629157</v>
      </c>
      <c r="EQ11" s="363">
        <f t="shared" ca="1" si="103"/>
        <v>0.84428138741500325</v>
      </c>
      <c r="ER11" s="363">
        <f t="shared" ca="1" si="103"/>
        <v>0.84380931144724625</v>
      </c>
      <c r="ES11" s="363">
        <f t="shared" ca="1" si="103"/>
        <v>0.84109065635382685</v>
      </c>
      <c r="ET11" s="363">
        <f t="shared" ca="1" si="103"/>
        <v>0.84060148487416642</v>
      </c>
      <c r="EU11" s="363">
        <f t="shared" ca="1" si="103"/>
        <v>0.84162782519349277</v>
      </c>
      <c r="EV11" s="363">
        <f t="shared" ca="1" si="103"/>
        <v>0.84206880738283796</v>
      </c>
      <c r="EW11" s="363">
        <f t="shared" ca="1" si="103"/>
        <v>0.84524034093278866</v>
      </c>
      <c r="EX11" s="363">
        <f t="shared" ca="1" si="103"/>
        <v>0.84397637327117014</v>
      </c>
      <c r="EY11" s="363">
        <f t="shared" ca="1" si="103"/>
        <v>0.84195458366842679</v>
      </c>
      <c r="EZ11" s="363">
        <f t="shared" ca="1" si="103"/>
        <v>0.84260178685811093</v>
      </c>
      <c r="FA11" s="363">
        <f t="shared" ca="1" si="103"/>
        <v>0.84137053091979064</v>
      </c>
      <c r="FB11" s="363">
        <f t="shared" ca="1" si="103"/>
        <v>0.84265804443838432</v>
      </c>
      <c r="FC11" s="363">
        <f t="shared" ca="1" si="103"/>
        <v>0.83958667372236406</v>
      </c>
      <c r="FD11" s="363">
        <f t="shared" ca="1" si="103"/>
        <v>0.84414588359871301</v>
      </c>
      <c r="FE11" s="363">
        <f t="shared" ca="1" si="103"/>
        <v>0.84044150727479772</v>
      </c>
      <c r="FF11" s="363">
        <f t="shared" ca="1" si="103"/>
        <v>0.8426236593808587</v>
      </c>
      <c r="FG11" s="363">
        <f t="shared" ca="1" si="103"/>
        <v>0.84186746820194935</v>
      </c>
      <c r="FH11" s="363">
        <f t="shared" ca="1" si="103"/>
        <v>0.84484007602874023</v>
      </c>
      <c r="FI11" s="363">
        <f t="shared" ca="1" si="103"/>
        <v>0.84073026753590407</v>
      </c>
      <c r="FJ11" s="363">
        <f t="shared" ca="1" si="103"/>
        <v>0.84550546790947279</v>
      </c>
      <c r="FK11" s="363">
        <f t="shared" ca="1" si="103"/>
        <v>0.84082473404527314</v>
      </c>
      <c r="FL11" s="363">
        <f t="shared" ca="1" si="103"/>
        <v>0.83964361583832026</v>
      </c>
      <c r="FM11" s="363">
        <f t="shared" ca="1" si="103"/>
        <v>0.84108151362329819</v>
      </c>
      <c r="FN11" s="363">
        <f t="shared" ca="1" si="103"/>
        <v>0.83916895162922867</v>
      </c>
      <c r="FO11" s="363">
        <f t="shared" ca="1" si="103"/>
        <v>0.83954751744855782</v>
      </c>
      <c r="FP11" s="363">
        <f t="shared" ca="1" si="103"/>
        <v>0.84444953483806695</v>
      </c>
      <c r="FQ11" s="363">
        <f t="shared" ca="1" si="103"/>
        <v>0.84069405542462772</v>
      </c>
      <c r="FR11" s="363">
        <f t="shared" ca="1" si="103"/>
        <v>0.84093543264627924</v>
      </c>
      <c r="FS11" s="363">
        <f t="shared" ca="1" si="103"/>
        <v>0.8398261596354174</v>
      </c>
      <c r="FT11" s="363">
        <f t="shared" ca="1" si="103"/>
        <v>0.84062064889188515</v>
      </c>
      <c r="FU11" s="363">
        <f t="shared" ca="1" si="103"/>
        <v>0.84279224205064696</v>
      </c>
      <c r="FV11" s="363">
        <f t="shared" ref="FV11:HD11" ca="1" si="104">_xlfn.BETA.INV(RAND(),$I$11,$J$11)</f>
        <v>0.8419085595781618</v>
      </c>
      <c r="FW11" s="363">
        <f t="shared" ca="1" si="104"/>
        <v>0.8469036346966452</v>
      </c>
      <c r="FX11" s="363">
        <f t="shared" ca="1" si="104"/>
        <v>0.84059619217654236</v>
      </c>
      <c r="FY11" s="363">
        <f t="shared" ca="1" si="104"/>
        <v>0.84179556555782642</v>
      </c>
      <c r="FZ11" s="363">
        <f t="shared" ca="1" si="104"/>
        <v>0.84169236935279856</v>
      </c>
      <c r="GA11" s="363">
        <f t="shared" ca="1" si="104"/>
        <v>0.84151214957746923</v>
      </c>
      <c r="GB11" s="363">
        <f t="shared" ca="1" si="104"/>
        <v>0.84437466995859767</v>
      </c>
      <c r="GC11" s="363">
        <f t="shared" ca="1" si="104"/>
        <v>0.84053878276274763</v>
      </c>
      <c r="GD11" s="363">
        <f t="shared" ca="1" si="104"/>
        <v>0.84147179396560412</v>
      </c>
      <c r="GE11" s="363">
        <f t="shared" ca="1" si="104"/>
        <v>0.84129016115394795</v>
      </c>
      <c r="GF11" s="363">
        <f t="shared" ca="1" si="104"/>
        <v>0.84360305195073937</v>
      </c>
      <c r="GG11" s="363">
        <f t="shared" ca="1" si="104"/>
        <v>0.84150667778873445</v>
      </c>
      <c r="GH11" s="363">
        <f t="shared" ca="1" si="104"/>
        <v>0.84040567822752266</v>
      </c>
      <c r="GI11" s="363">
        <f t="shared" ca="1" si="104"/>
        <v>0.84349875706639665</v>
      </c>
      <c r="GJ11" s="363">
        <f t="shared" ca="1" si="104"/>
        <v>0.84169867081481498</v>
      </c>
      <c r="GK11" s="363">
        <f t="shared" ca="1" si="104"/>
        <v>0.83996882057243849</v>
      </c>
      <c r="GL11" s="363">
        <f t="shared" ca="1" si="104"/>
        <v>0.8412380210607332</v>
      </c>
      <c r="GM11" s="363">
        <f t="shared" ca="1" si="104"/>
        <v>0.84338847861472577</v>
      </c>
      <c r="GN11" s="363">
        <f t="shared" ca="1" si="104"/>
        <v>0.84632407446277957</v>
      </c>
      <c r="GO11" s="363">
        <f t="shared" ca="1" si="104"/>
        <v>0.84102279325099516</v>
      </c>
      <c r="GP11" s="363">
        <f t="shared" ca="1" si="104"/>
        <v>0.84652813799882098</v>
      </c>
      <c r="GQ11" s="363">
        <f t="shared" ca="1" si="104"/>
        <v>0.84199259193031983</v>
      </c>
      <c r="GR11" s="363">
        <f t="shared" ca="1" si="104"/>
        <v>0.8406457470411931</v>
      </c>
      <c r="GS11" s="363">
        <f t="shared" ca="1" si="104"/>
        <v>0.83948741992258735</v>
      </c>
      <c r="GT11" s="363">
        <f t="shared" ca="1" si="104"/>
        <v>0.84157903841111015</v>
      </c>
      <c r="GU11" s="363">
        <f t="shared" ca="1" si="104"/>
        <v>0.83909576031593769</v>
      </c>
      <c r="GV11" s="363">
        <f t="shared" ca="1" si="104"/>
        <v>0.84295076972111116</v>
      </c>
      <c r="GW11" s="363">
        <f t="shared" ca="1" si="104"/>
        <v>0.84129377225817414</v>
      </c>
      <c r="GX11" s="363">
        <f t="shared" ca="1" si="104"/>
        <v>0.84450889667688389</v>
      </c>
      <c r="GY11" s="363">
        <f t="shared" ca="1" si="104"/>
        <v>0.83943668020846884</v>
      </c>
      <c r="GZ11" s="363">
        <f t="shared" ca="1" si="104"/>
        <v>0.84140733347460694</v>
      </c>
      <c r="HA11" s="363">
        <f t="shared" ca="1" si="104"/>
        <v>0.83976431058756151</v>
      </c>
      <c r="HB11" s="363">
        <f t="shared" ca="1" si="104"/>
        <v>0.84518949789398312</v>
      </c>
      <c r="HC11" s="363">
        <f t="shared" ca="1" si="104"/>
        <v>0.84268649991196176</v>
      </c>
      <c r="HD11" s="363">
        <f t="shared" ca="1" si="104"/>
        <v>0.83933298416528901</v>
      </c>
      <c r="HE11" s="363">
        <f ca="1">_xlfn.BETA.INV(RAND(),$I$11,$J$11)</f>
        <v>0.84428323613735867</v>
      </c>
      <c r="HF11" s="363">
        <f t="shared" ref="HF11:JQ11" ca="1" si="105">_xlfn.BETA.INV(RAND(),$I$11,$J$11)</f>
        <v>0.84544484923852203</v>
      </c>
      <c r="HG11" s="363">
        <f t="shared" ca="1" si="105"/>
        <v>0.84170647717394809</v>
      </c>
      <c r="HH11" s="363">
        <f t="shared" ca="1" si="105"/>
        <v>0.83848274088289121</v>
      </c>
      <c r="HI11" s="363">
        <f t="shared" ca="1" si="105"/>
        <v>0.84053831547874225</v>
      </c>
      <c r="HJ11" s="363">
        <f t="shared" ca="1" si="105"/>
        <v>0.84111451060003006</v>
      </c>
      <c r="HK11" s="363">
        <f t="shared" ca="1" si="105"/>
        <v>0.84294932272230871</v>
      </c>
      <c r="HL11" s="363">
        <f t="shared" ca="1" si="105"/>
        <v>0.84079971496178341</v>
      </c>
      <c r="HM11" s="363">
        <f t="shared" ca="1" si="105"/>
        <v>0.84384127233886441</v>
      </c>
      <c r="HN11" s="363">
        <f t="shared" ca="1" si="105"/>
        <v>0.8404020071232533</v>
      </c>
      <c r="HO11" s="363">
        <f t="shared" ca="1" si="105"/>
        <v>0.84244661373933138</v>
      </c>
      <c r="HP11" s="363">
        <f t="shared" ca="1" si="105"/>
        <v>0.84003748260764077</v>
      </c>
      <c r="HQ11" s="363">
        <f t="shared" ca="1" si="105"/>
        <v>0.83902935903803399</v>
      </c>
      <c r="HR11" s="363">
        <f t="shared" ca="1" si="105"/>
        <v>0.83742849537321185</v>
      </c>
      <c r="HS11" s="363">
        <f t="shared" ca="1" si="105"/>
        <v>0.83909401145532514</v>
      </c>
      <c r="HT11" s="363">
        <f t="shared" ca="1" si="105"/>
        <v>0.84492085984283216</v>
      </c>
      <c r="HU11" s="363">
        <f t="shared" ca="1" si="105"/>
        <v>0.83903453935998218</v>
      </c>
      <c r="HV11" s="363">
        <f t="shared" ca="1" si="105"/>
        <v>0.84036603681713973</v>
      </c>
      <c r="HW11" s="363">
        <f t="shared" ca="1" si="105"/>
        <v>0.84322786791509408</v>
      </c>
      <c r="HX11" s="363">
        <f t="shared" ca="1" si="105"/>
        <v>0.84201415503587229</v>
      </c>
      <c r="HY11" s="363">
        <f t="shared" ca="1" si="105"/>
        <v>0.84432430906498768</v>
      </c>
      <c r="HZ11" s="363">
        <f t="shared" ca="1" si="105"/>
        <v>0.83799220722878109</v>
      </c>
      <c r="IA11" s="363">
        <f t="shared" ca="1" si="105"/>
        <v>0.84357423685352084</v>
      </c>
      <c r="IB11" s="363">
        <f t="shared" ca="1" si="105"/>
        <v>0.84575217605692454</v>
      </c>
      <c r="IC11" s="363">
        <f t="shared" ca="1" si="105"/>
        <v>0.84192157721096172</v>
      </c>
      <c r="ID11" s="363">
        <f t="shared" ca="1" si="105"/>
        <v>0.84332761904760867</v>
      </c>
      <c r="IE11" s="363">
        <f t="shared" ca="1" si="105"/>
        <v>0.84547190338184219</v>
      </c>
      <c r="IF11" s="363">
        <f t="shared" ca="1" si="105"/>
        <v>0.84379012523234664</v>
      </c>
      <c r="IG11" s="363">
        <f t="shared" ca="1" si="105"/>
        <v>0.84174408277415835</v>
      </c>
      <c r="IH11" s="363">
        <f t="shared" ca="1" si="105"/>
        <v>0.84165822557676051</v>
      </c>
      <c r="II11" s="363">
        <f t="shared" ca="1" si="105"/>
        <v>0.84122383460419126</v>
      </c>
      <c r="IJ11" s="363">
        <f t="shared" ca="1" si="105"/>
        <v>0.84064634653594583</v>
      </c>
      <c r="IK11" s="363">
        <f t="shared" ca="1" si="105"/>
        <v>0.84014659390658064</v>
      </c>
      <c r="IL11" s="363">
        <f t="shared" ca="1" si="105"/>
        <v>0.83964928574734854</v>
      </c>
      <c r="IM11" s="363">
        <f t="shared" ca="1" si="105"/>
        <v>0.84326788033274169</v>
      </c>
      <c r="IN11" s="363">
        <f t="shared" ca="1" si="105"/>
        <v>0.84272818903474522</v>
      </c>
      <c r="IO11" s="363">
        <f t="shared" ca="1" si="105"/>
        <v>0.84301615424679266</v>
      </c>
      <c r="IP11" s="363">
        <f t="shared" ca="1" si="105"/>
        <v>0.84272372146196406</v>
      </c>
      <c r="IQ11" s="363">
        <f t="shared" ca="1" si="105"/>
        <v>0.84178823129608848</v>
      </c>
      <c r="IR11" s="363">
        <f t="shared" ca="1" si="105"/>
        <v>0.84218417083345576</v>
      </c>
      <c r="IS11" s="363">
        <f t="shared" ca="1" si="105"/>
        <v>0.84385643159250501</v>
      </c>
      <c r="IT11" s="363">
        <f t="shared" ca="1" si="105"/>
        <v>0.83761954278812045</v>
      </c>
      <c r="IU11" s="363">
        <f t="shared" ca="1" si="105"/>
        <v>0.84067493862814202</v>
      </c>
      <c r="IV11" s="363">
        <f t="shared" ca="1" si="105"/>
        <v>0.83985202872450471</v>
      </c>
      <c r="IW11" s="363">
        <f t="shared" ca="1" si="105"/>
        <v>0.84280366394460127</v>
      </c>
      <c r="IX11" s="363">
        <f t="shared" ca="1" si="105"/>
        <v>0.8405019510143209</v>
      </c>
      <c r="IY11" s="363">
        <f t="shared" ca="1" si="105"/>
        <v>0.84060560994649824</v>
      </c>
      <c r="IZ11" s="363">
        <f t="shared" ca="1" si="105"/>
        <v>0.84285698967685985</v>
      </c>
      <c r="JA11" s="363">
        <f t="shared" ca="1" si="105"/>
        <v>0.83910780168467747</v>
      </c>
      <c r="JB11" s="363">
        <f t="shared" ca="1" si="105"/>
        <v>0.83880968551392676</v>
      </c>
      <c r="JC11" s="363">
        <f t="shared" ca="1" si="105"/>
        <v>0.84351182937909608</v>
      </c>
      <c r="JD11" s="363">
        <f t="shared" ca="1" si="105"/>
        <v>0.84370670879470711</v>
      </c>
      <c r="JE11" s="363">
        <f t="shared" ca="1" si="105"/>
        <v>0.84269071604484724</v>
      </c>
      <c r="JF11" s="363">
        <f t="shared" ca="1" si="105"/>
        <v>0.84469021621120477</v>
      </c>
      <c r="JG11" s="363">
        <f t="shared" ca="1" si="105"/>
        <v>0.83877748305214983</v>
      </c>
      <c r="JH11" s="363">
        <f t="shared" ca="1" si="105"/>
        <v>0.84478486696029031</v>
      </c>
      <c r="JI11" s="363">
        <f t="shared" ca="1" si="105"/>
        <v>0.84433781337159575</v>
      </c>
      <c r="JJ11" s="363">
        <f t="shared" ca="1" si="105"/>
        <v>0.84004169281656138</v>
      </c>
      <c r="JK11" s="363">
        <f t="shared" ca="1" si="105"/>
        <v>0.84192399290008058</v>
      </c>
      <c r="JL11" s="363">
        <f t="shared" ca="1" si="105"/>
        <v>0.84183076746165086</v>
      </c>
      <c r="JM11" s="363">
        <f t="shared" ca="1" si="105"/>
        <v>0.84110466405715612</v>
      </c>
      <c r="JN11" s="363">
        <f t="shared" ca="1" si="105"/>
        <v>0.83972032506693828</v>
      </c>
      <c r="JO11" s="363">
        <f t="shared" ca="1" si="105"/>
        <v>0.84193325601925617</v>
      </c>
      <c r="JP11" s="363">
        <f t="shared" ca="1" si="105"/>
        <v>0.84176383403463462</v>
      </c>
      <c r="JQ11" s="363">
        <f t="shared" ca="1" si="105"/>
        <v>0.84247598080424924</v>
      </c>
      <c r="JR11" s="363">
        <f t="shared" ref="JR11:KZ11" ca="1" si="106">_xlfn.BETA.INV(RAND(),$I$11,$J$11)</f>
        <v>0.8414787917119011</v>
      </c>
      <c r="JS11" s="363">
        <f t="shared" ca="1" si="106"/>
        <v>0.83974652053668897</v>
      </c>
      <c r="JT11" s="363">
        <f t="shared" ca="1" si="106"/>
        <v>0.84049310356106255</v>
      </c>
      <c r="JU11" s="363">
        <f t="shared" ca="1" si="106"/>
        <v>0.83860758966033244</v>
      </c>
      <c r="JV11" s="363">
        <f t="shared" ca="1" si="106"/>
        <v>0.84018720705333216</v>
      </c>
      <c r="JW11" s="363">
        <f t="shared" ca="1" si="106"/>
        <v>0.84325415126536485</v>
      </c>
      <c r="JX11" s="363">
        <f t="shared" ca="1" si="106"/>
        <v>0.84662611297274126</v>
      </c>
      <c r="JY11" s="363">
        <f t="shared" ca="1" si="106"/>
        <v>0.83818483958910628</v>
      </c>
      <c r="JZ11" s="363">
        <f t="shared" ca="1" si="106"/>
        <v>0.84297196312061073</v>
      </c>
      <c r="KA11" s="363">
        <f t="shared" ca="1" si="106"/>
        <v>0.84110176446468987</v>
      </c>
      <c r="KB11" s="363">
        <f t="shared" ca="1" si="106"/>
        <v>0.84125539370181845</v>
      </c>
      <c r="KC11" s="363">
        <f t="shared" ca="1" si="106"/>
        <v>0.8420888963233536</v>
      </c>
      <c r="KD11" s="363">
        <f t="shared" ca="1" si="106"/>
        <v>0.83803843259383326</v>
      </c>
      <c r="KE11" s="363">
        <f t="shared" ca="1" si="106"/>
        <v>0.84504581297967973</v>
      </c>
      <c r="KF11" s="363">
        <f t="shared" ca="1" si="106"/>
        <v>0.84171562170425251</v>
      </c>
      <c r="KG11" s="363">
        <f t="shared" ca="1" si="106"/>
        <v>0.84639834264994285</v>
      </c>
      <c r="KH11" s="363">
        <f t="shared" ca="1" si="106"/>
        <v>0.84088125852861806</v>
      </c>
      <c r="KI11" s="363">
        <f t="shared" ca="1" si="106"/>
        <v>0.8424965733543619</v>
      </c>
      <c r="KJ11" s="363">
        <f t="shared" ca="1" si="106"/>
        <v>0.83990728130250514</v>
      </c>
      <c r="KK11" s="363">
        <f t="shared" ca="1" si="106"/>
        <v>0.84097746247818705</v>
      </c>
      <c r="KL11" s="363">
        <f t="shared" ca="1" si="106"/>
        <v>0.83867628346146916</v>
      </c>
      <c r="KM11" s="363">
        <f t="shared" ca="1" si="106"/>
        <v>0.84173753818985497</v>
      </c>
      <c r="KN11" s="363">
        <f t="shared" ca="1" si="106"/>
        <v>0.84160639998534981</v>
      </c>
      <c r="KO11" s="363">
        <f t="shared" ca="1" si="106"/>
        <v>0.84165657934657212</v>
      </c>
      <c r="KP11" s="363">
        <f t="shared" ca="1" si="106"/>
        <v>0.84311826313916338</v>
      </c>
      <c r="KQ11" s="363">
        <f t="shared" ca="1" si="106"/>
        <v>0.84170892753207871</v>
      </c>
      <c r="KR11" s="363">
        <f t="shared" ca="1" si="106"/>
        <v>0.84157650390667282</v>
      </c>
      <c r="KS11" s="363">
        <f t="shared" ca="1" si="106"/>
        <v>0.84069018758872527</v>
      </c>
      <c r="KT11" s="363">
        <f t="shared" ca="1" si="106"/>
        <v>0.84308418454772682</v>
      </c>
      <c r="KU11" s="363">
        <f t="shared" ca="1" si="106"/>
        <v>0.84021463650442185</v>
      </c>
      <c r="KV11" s="363">
        <f t="shared" ca="1" si="106"/>
        <v>0.8411492132998043</v>
      </c>
      <c r="KW11" s="363">
        <f t="shared" ca="1" si="106"/>
        <v>0.84544437297837327</v>
      </c>
      <c r="KX11" s="363">
        <f t="shared" ca="1" si="106"/>
        <v>0.84576475446974309</v>
      </c>
      <c r="KY11" s="363">
        <f t="shared" ca="1" si="106"/>
        <v>0.84209188928084222</v>
      </c>
      <c r="KZ11" s="363">
        <f t="shared" ca="1" si="106"/>
        <v>0.84184990496153767</v>
      </c>
      <c r="LA11" s="363">
        <f ca="1">_xlfn.BETA.INV(RAND(),$I$11,$J$11)</f>
        <v>0.84022765469076333</v>
      </c>
      <c r="LB11" s="363">
        <f t="shared" ref="LB11:NM11" ca="1" si="107">_xlfn.BETA.INV(RAND(),$I$11,$J$11)</f>
        <v>0.84197202673157101</v>
      </c>
      <c r="LC11" s="363">
        <f t="shared" ca="1" si="107"/>
        <v>0.84118747661070314</v>
      </c>
      <c r="LD11" s="363">
        <f t="shared" ca="1" si="107"/>
        <v>0.84567967779550823</v>
      </c>
      <c r="LE11" s="363">
        <f t="shared" ca="1" si="107"/>
        <v>0.84418402257128378</v>
      </c>
      <c r="LF11" s="363">
        <f t="shared" ca="1" si="107"/>
        <v>0.84117345803174848</v>
      </c>
      <c r="LG11" s="363">
        <f t="shared" ca="1" si="107"/>
        <v>0.84303430706681848</v>
      </c>
      <c r="LH11" s="363">
        <f t="shared" ca="1" si="107"/>
        <v>0.8446710997664062</v>
      </c>
      <c r="LI11" s="363">
        <f t="shared" ca="1" si="107"/>
        <v>0.83933940427177467</v>
      </c>
      <c r="LJ11" s="363">
        <f t="shared" ca="1" si="107"/>
        <v>0.84130534323849848</v>
      </c>
      <c r="LK11" s="363">
        <f t="shared" ca="1" si="107"/>
        <v>0.84241102304558302</v>
      </c>
      <c r="LL11" s="363">
        <f t="shared" ca="1" si="107"/>
        <v>0.83989480163290497</v>
      </c>
      <c r="LM11" s="363">
        <f t="shared" ca="1" si="107"/>
        <v>0.84244137806154062</v>
      </c>
      <c r="LN11" s="363">
        <f t="shared" ca="1" si="107"/>
        <v>0.8422599145734091</v>
      </c>
      <c r="LO11" s="363">
        <f t="shared" ca="1" si="107"/>
        <v>0.84407412100158719</v>
      </c>
      <c r="LP11" s="363">
        <f t="shared" ca="1" si="107"/>
        <v>0.84246132173446164</v>
      </c>
      <c r="LQ11" s="363">
        <f t="shared" ca="1" si="107"/>
        <v>0.8425681109067209</v>
      </c>
      <c r="LR11" s="363">
        <f t="shared" ca="1" si="107"/>
        <v>0.84102644633880308</v>
      </c>
      <c r="LS11" s="363">
        <f t="shared" ca="1" si="107"/>
        <v>0.84429456102842226</v>
      </c>
      <c r="LT11" s="363">
        <f t="shared" ca="1" si="107"/>
        <v>0.84028323216038836</v>
      </c>
      <c r="LU11" s="363">
        <f t="shared" ca="1" si="107"/>
        <v>0.83920967383384826</v>
      </c>
      <c r="LV11" s="363">
        <f t="shared" ca="1" si="107"/>
        <v>0.84217690747295404</v>
      </c>
      <c r="LW11" s="363">
        <f t="shared" ca="1" si="107"/>
        <v>0.84071670886826089</v>
      </c>
      <c r="LX11" s="363">
        <f t="shared" ca="1" si="107"/>
        <v>0.83954858117280984</v>
      </c>
      <c r="LY11" s="363">
        <f t="shared" ca="1" si="107"/>
        <v>0.83999101236741125</v>
      </c>
      <c r="LZ11" s="363">
        <f t="shared" ca="1" si="107"/>
        <v>0.84132175754812832</v>
      </c>
      <c r="MA11" s="363">
        <f t="shared" ca="1" si="107"/>
        <v>0.84311193058288159</v>
      </c>
      <c r="MB11" s="363">
        <f t="shared" ca="1" si="107"/>
        <v>0.84276649404511494</v>
      </c>
      <c r="MC11" s="363">
        <f t="shared" ca="1" si="107"/>
        <v>0.84470257969989637</v>
      </c>
      <c r="MD11" s="363">
        <f t="shared" ca="1" si="107"/>
        <v>0.83630679149761067</v>
      </c>
      <c r="ME11" s="363">
        <f t="shared" ca="1" si="107"/>
        <v>0.84103420609494139</v>
      </c>
      <c r="MF11" s="363">
        <f t="shared" ca="1" si="107"/>
        <v>0.83903891145782183</v>
      </c>
      <c r="MG11" s="363">
        <f t="shared" ca="1" si="107"/>
        <v>0.84099088661957677</v>
      </c>
      <c r="MH11" s="363">
        <f t="shared" ca="1" si="107"/>
        <v>0.84205480433445201</v>
      </c>
      <c r="MI11" s="363">
        <f t="shared" ca="1" si="107"/>
        <v>0.84260152035354696</v>
      </c>
      <c r="MJ11" s="363">
        <f t="shared" ca="1" si="107"/>
        <v>0.84222549360821608</v>
      </c>
      <c r="MK11" s="363">
        <f t="shared" ca="1" si="107"/>
        <v>0.84113379171028624</v>
      </c>
      <c r="ML11" s="363">
        <f t="shared" ca="1" si="107"/>
        <v>0.84077443094200477</v>
      </c>
      <c r="MM11" s="363">
        <f t="shared" ca="1" si="107"/>
        <v>0.83864539564831331</v>
      </c>
      <c r="MN11" s="363">
        <f t="shared" ca="1" si="107"/>
        <v>0.84178558265067926</v>
      </c>
      <c r="MO11" s="363">
        <f t="shared" ca="1" si="107"/>
        <v>0.84033673278552301</v>
      </c>
      <c r="MP11" s="363">
        <f t="shared" ca="1" si="107"/>
        <v>0.84202006036719157</v>
      </c>
      <c r="MQ11" s="363">
        <f t="shared" ca="1" si="107"/>
        <v>0.84414691173154588</v>
      </c>
      <c r="MR11" s="363">
        <f t="shared" ca="1" si="107"/>
        <v>0.8436503815121551</v>
      </c>
      <c r="MS11" s="363">
        <f t="shared" ca="1" si="107"/>
        <v>0.84038789383992896</v>
      </c>
      <c r="MT11" s="363">
        <f t="shared" ca="1" si="107"/>
        <v>0.84075542019059113</v>
      </c>
      <c r="MU11" s="363">
        <f t="shared" ca="1" si="107"/>
        <v>0.84140458730013967</v>
      </c>
      <c r="MV11" s="363">
        <f t="shared" ca="1" si="107"/>
        <v>0.84244614185300559</v>
      </c>
      <c r="MW11" s="363">
        <f t="shared" ca="1" si="107"/>
        <v>0.84107034177591011</v>
      </c>
      <c r="MX11" s="363">
        <f t="shared" ca="1" si="107"/>
        <v>0.8428446769619522</v>
      </c>
      <c r="MY11" s="363">
        <f t="shared" ca="1" si="107"/>
        <v>0.84199563893775509</v>
      </c>
      <c r="MZ11" s="363">
        <f t="shared" ca="1" si="107"/>
        <v>0.84165517986981264</v>
      </c>
      <c r="NA11" s="363">
        <f t="shared" ca="1" si="107"/>
        <v>0.84513954620099008</v>
      </c>
      <c r="NB11" s="363">
        <f t="shared" ca="1" si="107"/>
        <v>0.84232794203935901</v>
      </c>
      <c r="NC11" s="363">
        <f t="shared" ca="1" si="107"/>
        <v>0.83939660805047978</v>
      </c>
      <c r="ND11" s="363">
        <f t="shared" ca="1" si="107"/>
        <v>0.83933021681431941</v>
      </c>
      <c r="NE11" s="363">
        <f t="shared" ca="1" si="107"/>
        <v>0.8410713885774378</v>
      </c>
      <c r="NF11" s="363">
        <f t="shared" ca="1" si="107"/>
        <v>0.84253235113547209</v>
      </c>
      <c r="NG11" s="363">
        <f t="shared" ca="1" si="107"/>
        <v>0.83998919965589347</v>
      </c>
      <c r="NH11" s="363">
        <f t="shared" ca="1" si="107"/>
        <v>0.84427474622502729</v>
      </c>
      <c r="NI11" s="363">
        <f t="shared" ca="1" si="107"/>
        <v>0.84372756333659038</v>
      </c>
      <c r="NJ11" s="363">
        <f t="shared" ca="1" si="107"/>
        <v>0.83934902937667133</v>
      </c>
      <c r="NK11" s="363">
        <f t="shared" ca="1" si="107"/>
        <v>0.84156199073229743</v>
      </c>
      <c r="NL11" s="363">
        <f t="shared" ca="1" si="107"/>
        <v>0.84117711182961286</v>
      </c>
      <c r="NM11" s="363">
        <f t="shared" ca="1" si="107"/>
        <v>0.84281599895889214</v>
      </c>
      <c r="NN11" s="363">
        <f t="shared" ref="NN11:OV11" ca="1" si="108">_xlfn.BETA.INV(RAND(),$I$11,$J$11)</f>
        <v>0.84318395056091933</v>
      </c>
      <c r="NO11" s="363">
        <f t="shared" ca="1" si="108"/>
        <v>0.84029880382900646</v>
      </c>
      <c r="NP11" s="363">
        <f t="shared" ca="1" si="108"/>
        <v>0.84060920100082537</v>
      </c>
      <c r="NQ11" s="363">
        <f t="shared" ca="1" si="108"/>
        <v>0.84022649738255906</v>
      </c>
      <c r="NR11" s="363">
        <f t="shared" ca="1" si="108"/>
        <v>0.84303226120957953</v>
      </c>
      <c r="NS11" s="363">
        <f t="shared" ca="1" si="108"/>
        <v>0.84611858480117352</v>
      </c>
      <c r="NT11" s="363">
        <f t="shared" ca="1" si="108"/>
        <v>0.84413482353490588</v>
      </c>
      <c r="NU11" s="363">
        <f t="shared" ca="1" si="108"/>
        <v>0.84271077372719949</v>
      </c>
      <c r="NV11" s="363">
        <f t="shared" ca="1" si="108"/>
        <v>0.83707323379424836</v>
      </c>
      <c r="NW11" s="363">
        <f t="shared" ca="1" si="108"/>
        <v>0.83945639270872763</v>
      </c>
      <c r="NX11" s="363">
        <f t="shared" ca="1" si="108"/>
        <v>0.83724130449116829</v>
      </c>
      <c r="NY11" s="363">
        <f t="shared" ca="1" si="108"/>
        <v>0.8430275525966463</v>
      </c>
      <c r="NZ11" s="363">
        <f t="shared" ca="1" si="108"/>
        <v>0.84157094908714014</v>
      </c>
      <c r="OA11" s="363">
        <f t="shared" ca="1" si="108"/>
        <v>0.84237524145551312</v>
      </c>
      <c r="OB11" s="363">
        <f t="shared" ca="1" si="108"/>
        <v>0.84009066390408649</v>
      </c>
      <c r="OC11" s="363">
        <f t="shared" ca="1" si="108"/>
        <v>0.84542222696569713</v>
      </c>
      <c r="OD11" s="363">
        <f t="shared" ca="1" si="108"/>
        <v>0.84193092452239127</v>
      </c>
      <c r="OE11" s="363">
        <f t="shared" ca="1" si="108"/>
        <v>0.84063706284632977</v>
      </c>
      <c r="OF11" s="363">
        <f t="shared" ca="1" si="108"/>
        <v>0.8431698023869687</v>
      </c>
      <c r="OG11" s="363">
        <f t="shared" ca="1" si="108"/>
        <v>0.84426084254312261</v>
      </c>
      <c r="OH11" s="363">
        <f t="shared" ca="1" si="108"/>
        <v>0.84073399005635996</v>
      </c>
      <c r="OI11" s="363">
        <f t="shared" ca="1" si="108"/>
        <v>0.84316032904866178</v>
      </c>
      <c r="OJ11" s="363">
        <f t="shared" ca="1" si="108"/>
        <v>0.84146582859615926</v>
      </c>
      <c r="OK11" s="363">
        <f t="shared" ca="1" si="108"/>
        <v>0.84358442022296887</v>
      </c>
      <c r="OL11" s="363">
        <f t="shared" ca="1" si="108"/>
        <v>0.83848650549498527</v>
      </c>
      <c r="OM11" s="363">
        <f t="shared" ca="1" si="108"/>
        <v>0.8407387109878518</v>
      </c>
      <c r="ON11" s="363">
        <f t="shared" ca="1" si="108"/>
        <v>0.8400298287780823</v>
      </c>
      <c r="OO11" s="363">
        <f t="shared" ca="1" si="108"/>
        <v>0.84341530641255869</v>
      </c>
      <c r="OP11" s="363">
        <f t="shared" ca="1" si="108"/>
        <v>0.84282400726497952</v>
      </c>
      <c r="OQ11" s="363">
        <f t="shared" ca="1" si="108"/>
        <v>0.84240210368431834</v>
      </c>
      <c r="OR11" s="363">
        <f t="shared" ca="1" si="108"/>
        <v>0.84027756299754608</v>
      </c>
      <c r="OS11" s="363">
        <f t="shared" ca="1" si="108"/>
        <v>0.8452501374512793</v>
      </c>
      <c r="OT11" s="363">
        <f t="shared" ca="1" si="108"/>
        <v>0.84241838743353481</v>
      </c>
      <c r="OU11" s="363">
        <f t="shared" ca="1" si="108"/>
        <v>0.84300143984232678</v>
      </c>
      <c r="OV11" s="363">
        <f t="shared" ca="1" si="108"/>
        <v>0.84148698104633246</v>
      </c>
      <c r="OW11" s="363">
        <f ca="1">_xlfn.BETA.INV(RAND(),$I$11,$J$11)</f>
        <v>0.83732300893918854</v>
      </c>
      <c r="OX11" s="363">
        <f t="shared" ref="OX11:RI11" ca="1" si="109">_xlfn.BETA.INV(RAND(),$I$11,$J$11)</f>
        <v>0.84563751296224565</v>
      </c>
      <c r="OY11" s="363">
        <f t="shared" ca="1" si="109"/>
        <v>0.8434738439733368</v>
      </c>
      <c r="OZ11" s="363">
        <f t="shared" ca="1" si="109"/>
        <v>0.84271389225252613</v>
      </c>
      <c r="PA11" s="363">
        <f t="shared" ca="1" si="109"/>
        <v>0.84078268567875325</v>
      </c>
      <c r="PB11" s="363">
        <f t="shared" ca="1" si="109"/>
        <v>0.84420021054839467</v>
      </c>
      <c r="PC11" s="363">
        <f t="shared" ca="1" si="109"/>
        <v>0.84283771256303996</v>
      </c>
      <c r="PD11" s="363">
        <f t="shared" ca="1" si="109"/>
        <v>0.8445192570857134</v>
      </c>
      <c r="PE11" s="363">
        <f t="shared" ca="1" si="109"/>
        <v>0.84183789567582057</v>
      </c>
      <c r="PF11" s="363">
        <f t="shared" ca="1" si="109"/>
        <v>0.84140711239659072</v>
      </c>
      <c r="PG11" s="363">
        <f t="shared" ca="1" si="109"/>
        <v>0.84288703167157586</v>
      </c>
      <c r="PH11" s="363">
        <f t="shared" ca="1" si="109"/>
        <v>0.83783583346327373</v>
      </c>
      <c r="PI11" s="363">
        <f t="shared" ca="1" si="109"/>
        <v>0.83998784135614268</v>
      </c>
      <c r="PJ11" s="363">
        <f t="shared" ca="1" si="109"/>
        <v>0.84337237135138998</v>
      </c>
      <c r="PK11" s="363">
        <f t="shared" ca="1" si="109"/>
        <v>0.84549730359277853</v>
      </c>
      <c r="PL11" s="363">
        <f t="shared" ca="1" si="109"/>
        <v>0.84339009687620226</v>
      </c>
      <c r="PM11" s="363">
        <f t="shared" ca="1" si="109"/>
        <v>0.84164760032495078</v>
      </c>
      <c r="PN11" s="363">
        <f t="shared" ca="1" si="109"/>
        <v>0.84197603838659618</v>
      </c>
      <c r="PO11" s="363">
        <f t="shared" ca="1" si="109"/>
        <v>0.8433916074746467</v>
      </c>
      <c r="PP11" s="363">
        <f t="shared" ca="1" si="109"/>
        <v>0.8421152411696633</v>
      </c>
      <c r="PQ11" s="363">
        <f t="shared" ca="1" si="109"/>
        <v>0.83938625150126489</v>
      </c>
      <c r="PR11" s="363">
        <f t="shared" ca="1" si="109"/>
        <v>0.8441490524126557</v>
      </c>
      <c r="PS11" s="363">
        <f t="shared" ca="1" si="109"/>
        <v>0.84200626573486692</v>
      </c>
      <c r="PT11" s="363">
        <f t="shared" ca="1" si="109"/>
        <v>0.84528854072696613</v>
      </c>
      <c r="PU11" s="363">
        <f t="shared" ca="1" si="109"/>
        <v>0.84223843553489997</v>
      </c>
      <c r="PV11" s="363">
        <f t="shared" ca="1" si="109"/>
        <v>0.84457806801355384</v>
      </c>
      <c r="PW11" s="363">
        <f t="shared" ca="1" si="109"/>
        <v>0.8408182968118012</v>
      </c>
      <c r="PX11" s="363">
        <f t="shared" ca="1" si="109"/>
        <v>0.84055378285954896</v>
      </c>
      <c r="PY11" s="363">
        <f t="shared" ca="1" si="109"/>
        <v>0.84150889715490307</v>
      </c>
      <c r="PZ11" s="363">
        <f t="shared" ca="1" si="109"/>
        <v>0.83997295994603549</v>
      </c>
      <c r="QA11" s="363">
        <f t="shared" ca="1" si="109"/>
        <v>0.84385521163007837</v>
      </c>
      <c r="QB11" s="363">
        <f t="shared" ca="1" si="109"/>
        <v>0.84366676295955179</v>
      </c>
      <c r="QC11" s="363">
        <f t="shared" ca="1" si="109"/>
        <v>0.83976753219981271</v>
      </c>
      <c r="QD11" s="363">
        <f t="shared" ca="1" si="109"/>
        <v>0.84352894127290545</v>
      </c>
      <c r="QE11" s="363">
        <f t="shared" ca="1" si="109"/>
        <v>0.84115402790839799</v>
      </c>
      <c r="QF11" s="363">
        <f t="shared" ca="1" si="109"/>
        <v>0.84513680011763948</v>
      </c>
      <c r="QG11" s="363">
        <f t="shared" ca="1" si="109"/>
        <v>0.8402991816689187</v>
      </c>
      <c r="QH11" s="363">
        <f t="shared" ca="1" si="109"/>
        <v>0.83989419297124623</v>
      </c>
      <c r="QI11" s="363">
        <f t="shared" ca="1" si="109"/>
        <v>0.84033196515515385</v>
      </c>
      <c r="QJ11" s="363">
        <f t="shared" ca="1" si="109"/>
        <v>0.84177430568211098</v>
      </c>
      <c r="QK11" s="363">
        <f t="shared" ca="1" si="109"/>
        <v>0.83796251611552031</v>
      </c>
      <c r="QL11" s="363">
        <f t="shared" ca="1" si="109"/>
        <v>0.84263809180193761</v>
      </c>
      <c r="QM11" s="363">
        <f t="shared" ca="1" si="109"/>
        <v>0.83939092930064341</v>
      </c>
      <c r="QN11" s="363">
        <f t="shared" ca="1" si="109"/>
        <v>0.84116958635312233</v>
      </c>
      <c r="QO11" s="363">
        <f t="shared" ca="1" si="109"/>
        <v>0.8430676653760607</v>
      </c>
      <c r="QP11" s="363">
        <f t="shared" ca="1" si="109"/>
        <v>0.84267400343592858</v>
      </c>
      <c r="QQ11" s="363">
        <f t="shared" ca="1" si="109"/>
        <v>0.84159662245224087</v>
      </c>
      <c r="QR11" s="363">
        <f t="shared" ca="1" si="109"/>
        <v>0.84558865783385362</v>
      </c>
      <c r="QS11" s="363">
        <f t="shared" ca="1" si="109"/>
        <v>0.84338383343808176</v>
      </c>
      <c r="QT11" s="363">
        <f t="shared" ca="1" si="109"/>
        <v>0.84193413017117302</v>
      </c>
      <c r="QU11" s="363">
        <f t="shared" ca="1" si="109"/>
        <v>0.84220533034705736</v>
      </c>
      <c r="QV11" s="363">
        <f t="shared" ca="1" si="109"/>
        <v>0.84411412074475312</v>
      </c>
      <c r="QW11" s="363">
        <f t="shared" ca="1" si="109"/>
        <v>0.84150870827898505</v>
      </c>
      <c r="QX11" s="363">
        <f t="shared" ca="1" si="109"/>
        <v>0.8429649884661935</v>
      </c>
      <c r="QY11" s="363">
        <f t="shared" ca="1" si="109"/>
        <v>0.84227742233994052</v>
      </c>
      <c r="QZ11" s="363">
        <f t="shared" ca="1" si="109"/>
        <v>0.84613543822228099</v>
      </c>
      <c r="RA11" s="363">
        <f t="shared" ca="1" si="109"/>
        <v>0.84256550881614922</v>
      </c>
      <c r="RB11" s="363">
        <f t="shared" ca="1" si="109"/>
        <v>0.84545400202287035</v>
      </c>
      <c r="RC11" s="363">
        <f t="shared" ca="1" si="109"/>
        <v>0.84120261079880942</v>
      </c>
      <c r="RD11" s="363">
        <f t="shared" ca="1" si="109"/>
        <v>0.84091038848867772</v>
      </c>
      <c r="RE11" s="363">
        <f t="shared" ca="1" si="109"/>
        <v>0.84443705729004803</v>
      </c>
      <c r="RF11" s="363">
        <f t="shared" ca="1" si="109"/>
        <v>0.8427374907770091</v>
      </c>
      <c r="RG11" s="363">
        <f t="shared" ca="1" si="109"/>
        <v>0.84378628510658316</v>
      </c>
      <c r="RH11" s="363">
        <f t="shared" ca="1" si="109"/>
        <v>0.84105083318551488</v>
      </c>
      <c r="RI11" s="363">
        <f t="shared" ca="1" si="109"/>
        <v>0.84137771916071991</v>
      </c>
      <c r="RJ11" s="363">
        <f t="shared" ref="RJ11:SR11" ca="1" si="110">_xlfn.BETA.INV(RAND(),$I$11,$J$11)</f>
        <v>0.84126242670680429</v>
      </c>
      <c r="RK11" s="363">
        <f t="shared" ca="1" si="110"/>
        <v>0.83738970212556896</v>
      </c>
      <c r="RL11" s="363">
        <f t="shared" ca="1" si="110"/>
        <v>0.84314952730577064</v>
      </c>
      <c r="RM11" s="363">
        <f t="shared" ca="1" si="110"/>
        <v>0.84415660879022536</v>
      </c>
      <c r="RN11" s="363">
        <f t="shared" ca="1" si="110"/>
        <v>0.8417644432047835</v>
      </c>
      <c r="RO11" s="363">
        <f t="shared" ca="1" si="110"/>
        <v>0.83840485249034402</v>
      </c>
      <c r="RP11" s="363">
        <f t="shared" ca="1" si="110"/>
        <v>0.84224788226774328</v>
      </c>
      <c r="RQ11" s="363">
        <f t="shared" ca="1" si="110"/>
        <v>0.84169143210177744</v>
      </c>
      <c r="RR11" s="363">
        <f t="shared" ca="1" si="110"/>
        <v>0.84132180149543301</v>
      </c>
      <c r="RS11" s="363">
        <f t="shared" ca="1" si="110"/>
        <v>0.83984589006211563</v>
      </c>
      <c r="RT11" s="363">
        <f t="shared" ca="1" si="110"/>
        <v>0.84051153833866887</v>
      </c>
      <c r="RU11" s="363">
        <f t="shared" ca="1" si="110"/>
        <v>0.84149915357321292</v>
      </c>
      <c r="RV11" s="363">
        <f t="shared" ca="1" si="110"/>
        <v>0.83853984737715526</v>
      </c>
      <c r="RW11" s="363">
        <f t="shared" ca="1" si="110"/>
        <v>0.84309438908227474</v>
      </c>
      <c r="RX11" s="363">
        <f t="shared" ca="1" si="110"/>
        <v>0.84175344776530781</v>
      </c>
      <c r="RY11" s="363">
        <f t="shared" ca="1" si="110"/>
        <v>0.84283930679760688</v>
      </c>
      <c r="RZ11" s="363">
        <f t="shared" ca="1" si="110"/>
        <v>0.84159284819276947</v>
      </c>
      <c r="SA11" s="363">
        <f t="shared" ca="1" si="110"/>
        <v>0.8416596203120108</v>
      </c>
      <c r="SB11" s="363">
        <f t="shared" ca="1" si="110"/>
        <v>0.8411370689922848</v>
      </c>
      <c r="SC11" s="363">
        <f t="shared" ca="1" si="110"/>
        <v>0.84208089043644785</v>
      </c>
      <c r="SD11" s="363">
        <f t="shared" ca="1" si="110"/>
        <v>0.8425273049049814</v>
      </c>
      <c r="SE11" s="363">
        <f t="shared" ca="1" si="110"/>
        <v>0.84521669958059586</v>
      </c>
      <c r="SF11" s="363">
        <f t="shared" ca="1" si="110"/>
        <v>0.84295999248089937</v>
      </c>
      <c r="SG11" s="363">
        <f t="shared" ca="1" si="110"/>
        <v>0.84025790360779373</v>
      </c>
      <c r="SH11" s="363">
        <f t="shared" ca="1" si="110"/>
        <v>0.84299743410814243</v>
      </c>
      <c r="SI11" s="363">
        <f t="shared" ca="1" si="110"/>
        <v>0.84111098657122152</v>
      </c>
      <c r="SJ11" s="363">
        <f t="shared" ca="1" si="110"/>
        <v>0.83746186590369998</v>
      </c>
      <c r="SK11" s="363">
        <f t="shared" ca="1" si="110"/>
        <v>0.83850577024403239</v>
      </c>
      <c r="SL11" s="363">
        <f t="shared" ca="1" si="110"/>
        <v>0.84335097484831845</v>
      </c>
      <c r="SM11" s="363">
        <f t="shared" ca="1" si="110"/>
        <v>0.84008385340011549</v>
      </c>
      <c r="SN11" s="363">
        <f t="shared" ca="1" si="110"/>
        <v>0.84223030617582195</v>
      </c>
      <c r="SO11" s="363">
        <f t="shared" ca="1" si="110"/>
        <v>0.8423325909853534</v>
      </c>
      <c r="SP11" s="363">
        <f t="shared" ca="1" si="110"/>
        <v>0.8383830964043989</v>
      </c>
      <c r="SQ11" s="363">
        <f t="shared" ca="1" si="110"/>
        <v>0.84142920310671154</v>
      </c>
      <c r="SR11" s="363">
        <f t="shared" ca="1" si="110"/>
        <v>0.84429748399974192</v>
      </c>
      <c r="SS11" s="363">
        <f ca="1">_xlfn.BETA.INV(RAND(),$I$11,$J$11)</f>
        <v>0.83754924874964543</v>
      </c>
      <c r="ST11" s="363">
        <f t="shared" ref="ST11:VE11" ca="1" si="111">_xlfn.BETA.INV(RAND(),$I$11,$J$11)</f>
        <v>0.84247992082671408</v>
      </c>
      <c r="SU11" s="363">
        <f t="shared" ca="1" si="111"/>
        <v>0.8410323389158666</v>
      </c>
      <c r="SV11" s="363">
        <f t="shared" ca="1" si="111"/>
        <v>0.83941123974699272</v>
      </c>
      <c r="SW11" s="363">
        <f t="shared" ca="1" si="111"/>
        <v>0.84302326174215603</v>
      </c>
      <c r="SX11" s="363">
        <f t="shared" ca="1" si="111"/>
        <v>0.8417560770701431</v>
      </c>
      <c r="SY11" s="363">
        <f t="shared" ca="1" si="111"/>
        <v>0.83876197806851926</v>
      </c>
      <c r="SZ11" s="363">
        <f t="shared" ca="1" si="111"/>
        <v>0.84388251409223902</v>
      </c>
      <c r="TA11" s="363">
        <f t="shared" ca="1" si="111"/>
        <v>0.84031965491289784</v>
      </c>
      <c r="TB11" s="363">
        <f t="shared" ca="1" si="111"/>
        <v>0.83999525130182584</v>
      </c>
      <c r="TC11" s="363">
        <f t="shared" ca="1" si="111"/>
        <v>0.8399017866448546</v>
      </c>
      <c r="TD11" s="363">
        <f t="shared" ca="1" si="111"/>
        <v>0.84019546613401563</v>
      </c>
      <c r="TE11" s="363">
        <f t="shared" ca="1" si="111"/>
        <v>0.84310209849784212</v>
      </c>
      <c r="TF11" s="363">
        <f t="shared" ca="1" si="111"/>
        <v>0.841564913020584</v>
      </c>
      <c r="TG11" s="363">
        <f t="shared" ca="1" si="111"/>
        <v>0.84302382498392392</v>
      </c>
      <c r="TH11" s="363">
        <f t="shared" ca="1" si="111"/>
        <v>0.83810051406892017</v>
      </c>
      <c r="TI11" s="363">
        <f t="shared" ca="1" si="111"/>
        <v>0.84211209451597213</v>
      </c>
      <c r="TJ11" s="363">
        <f t="shared" ca="1" si="111"/>
        <v>0.84264424991792641</v>
      </c>
      <c r="TK11" s="363">
        <f t="shared" ca="1" si="111"/>
        <v>0.83902233795926162</v>
      </c>
      <c r="TL11" s="363">
        <f t="shared" ca="1" si="111"/>
        <v>0.839457298929567</v>
      </c>
      <c r="TM11" s="363">
        <f t="shared" ca="1" si="111"/>
        <v>0.84375515866995221</v>
      </c>
      <c r="TN11" s="363">
        <f t="shared" ca="1" si="111"/>
        <v>0.84199279053959653</v>
      </c>
      <c r="TO11" s="363">
        <f t="shared" ca="1" si="111"/>
        <v>0.84128719500619131</v>
      </c>
      <c r="TP11" s="363">
        <f t="shared" ca="1" si="111"/>
        <v>0.84282503285163979</v>
      </c>
      <c r="TQ11" s="363">
        <f t="shared" ca="1" si="111"/>
        <v>0.84459693938964664</v>
      </c>
      <c r="TR11" s="363">
        <f t="shared" ca="1" si="111"/>
        <v>0.84272281448575903</v>
      </c>
      <c r="TS11" s="363">
        <f t="shared" ca="1" si="111"/>
        <v>0.84086325661200234</v>
      </c>
      <c r="TT11" s="363">
        <f t="shared" ca="1" si="111"/>
        <v>0.8417936609553045</v>
      </c>
      <c r="TU11" s="363">
        <f t="shared" ca="1" si="111"/>
        <v>0.84160206210163679</v>
      </c>
      <c r="TV11" s="363">
        <f t="shared" ca="1" si="111"/>
        <v>0.83929080760094954</v>
      </c>
      <c r="TW11" s="363">
        <f t="shared" ca="1" si="111"/>
        <v>0.84356426186460864</v>
      </c>
      <c r="TX11" s="363">
        <f t="shared" ca="1" si="111"/>
        <v>0.84097029944898871</v>
      </c>
      <c r="TY11" s="363">
        <f t="shared" ca="1" si="111"/>
        <v>0.84632926410186771</v>
      </c>
      <c r="TZ11" s="363">
        <f t="shared" ca="1" si="111"/>
        <v>0.83616592531036993</v>
      </c>
      <c r="UA11" s="363">
        <f t="shared" ca="1" si="111"/>
        <v>0.84035534159876624</v>
      </c>
      <c r="UB11" s="363">
        <f t="shared" ca="1" si="111"/>
        <v>0.84482196482972061</v>
      </c>
      <c r="UC11" s="363">
        <f t="shared" ca="1" si="111"/>
        <v>0.84600186883275619</v>
      </c>
      <c r="UD11" s="363">
        <f t="shared" ca="1" si="111"/>
        <v>0.84367657301241561</v>
      </c>
      <c r="UE11" s="363">
        <f t="shared" ca="1" si="111"/>
        <v>0.84258398061159867</v>
      </c>
      <c r="UF11" s="363">
        <f t="shared" ca="1" si="111"/>
        <v>0.84389145333940607</v>
      </c>
      <c r="UG11" s="363">
        <f t="shared" ca="1" si="111"/>
        <v>0.83923261329155041</v>
      </c>
      <c r="UH11" s="363">
        <f t="shared" ca="1" si="111"/>
        <v>0.8435664631180777</v>
      </c>
      <c r="UI11" s="363">
        <f t="shared" ca="1" si="111"/>
        <v>0.84038702981662095</v>
      </c>
      <c r="UJ11" s="363">
        <f t="shared" ca="1" si="111"/>
        <v>0.84436280745495851</v>
      </c>
      <c r="UK11" s="363">
        <f t="shared" ca="1" si="111"/>
        <v>0.83954014612793637</v>
      </c>
      <c r="UL11" s="363">
        <f t="shared" ca="1" si="111"/>
        <v>0.84253468915469543</v>
      </c>
      <c r="UM11" s="363">
        <f t="shared" ca="1" si="111"/>
        <v>0.84366191931137779</v>
      </c>
      <c r="UN11" s="363">
        <f t="shared" ca="1" si="111"/>
        <v>0.84132877011163676</v>
      </c>
      <c r="UO11" s="363">
        <f t="shared" ca="1" si="111"/>
        <v>0.84118212361956246</v>
      </c>
      <c r="UP11" s="363">
        <f t="shared" ca="1" si="111"/>
        <v>0.83940164959506558</v>
      </c>
      <c r="UQ11" s="363">
        <f t="shared" ca="1" si="111"/>
        <v>0.84017610776825058</v>
      </c>
      <c r="UR11" s="363">
        <f t="shared" ca="1" si="111"/>
        <v>0.83946388058442722</v>
      </c>
      <c r="US11" s="363">
        <f t="shared" ca="1" si="111"/>
        <v>0.84554776799601572</v>
      </c>
      <c r="UT11" s="363">
        <f t="shared" ca="1" si="111"/>
        <v>0.84375447130542902</v>
      </c>
      <c r="UU11" s="363">
        <f t="shared" ca="1" si="111"/>
        <v>0.84150461095380458</v>
      </c>
      <c r="UV11" s="363">
        <f t="shared" ca="1" si="111"/>
        <v>0.84280300774336192</v>
      </c>
      <c r="UW11" s="363">
        <f t="shared" ca="1" si="111"/>
        <v>0.84077529778822269</v>
      </c>
      <c r="UX11" s="363">
        <f t="shared" ca="1" si="111"/>
        <v>0.84090765054807814</v>
      </c>
      <c r="UY11" s="363">
        <f t="shared" ca="1" si="111"/>
        <v>0.83954609028094851</v>
      </c>
      <c r="UZ11" s="363">
        <f t="shared" ca="1" si="111"/>
        <v>0.84363057954983089</v>
      </c>
      <c r="VA11" s="363">
        <f t="shared" ca="1" si="111"/>
        <v>0.84583466531087526</v>
      </c>
      <c r="VB11" s="363">
        <f t="shared" ca="1" si="111"/>
        <v>0.84189613659582474</v>
      </c>
      <c r="VC11" s="363">
        <f t="shared" ca="1" si="111"/>
        <v>0.84052080303470067</v>
      </c>
      <c r="VD11" s="363">
        <f t="shared" ca="1" si="111"/>
        <v>0.83950604245018923</v>
      </c>
      <c r="VE11" s="363">
        <f t="shared" ca="1" si="111"/>
        <v>0.84200499029468978</v>
      </c>
      <c r="VF11" s="363">
        <f t="shared" ref="VF11:WN11" ca="1" si="112">_xlfn.BETA.INV(RAND(),$I$11,$J$11)</f>
        <v>0.84234409279537503</v>
      </c>
      <c r="VG11" s="363">
        <f t="shared" ca="1" si="112"/>
        <v>0.84274890833683935</v>
      </c>
      <c r="VH11" s="363">
        <f t="shared" ca="1" si="112"/>
        <v>0.83977995868055322</v>
      </c>
      <c r="VI11" s="363">
        <f t="shared" ca="1" si="112"/>
        <v>0.84193118933750843</v>
      </c>
      <c r="VJ11" s="363">
        <f t="shared" ca="1" si="112"/>
        <v>0.84067817488650509</v>
      </c>
      <c r="VK11" s="363">
        <f t="shared" ca="1" si="112"/>
        <v>0.84495021229397249</v>
      </c>
      <c r="VL11" s="363">
        <f t="shared" ca="1" si="112"/>
        <v>0.84158260789956274</v>
      </c>
      <c r="VM11" s="363">
        <f t="shared" ca="1" si="112"/>
        <v>0.83949725681733678</v>
      </c>
      <c r="VN11" s="363">
        <f t="shared" ca="1" si="112"/>
        <v>0.84306978378396025</v>
      </c>
      <c r="VO11" s="363">
        <f t="shared" ca="1" si="112"/>
        <v>0.8443635718200555</v>
      </c>
      <c r="VP11" s="363">
        <f t="shared" ca="1" si="112"/>
        <v>0.84109510527500986</v>
      </c>
      <c r="VQ11" s="363">
        <f t="shared" ca="1" si="112"/>
        <v>0.84220827408436205</v>
      </c>
      <c r="VR11" s="363">
        <f t="shared" ca="1" si="112"/>
        <v>0.84241684621178325</v>
      </c>
      <c r="VS11" s="363">
        <f t="shared" ca="1" si="112"/>
        <v>0.84085555780936316</v>
      </c>
      <c r="VT11" s="363">
        <f t="shared" ca="1" si="112"/>
        <v>0.84194783742524837</v>
      </c>
      <c r="VU11" s="363">
        <f t="shared" ca="1" si="112"/>
        <v>0.84191619625418646</v>
      </c>
      <c r="VV11" s="363">
        <f t="shared" ca="1" si="112"/>
        <v>0.84092190376142983</v>
      </c>
      <c r="VW11" s="363">
        <f t="shared" ca="1" si="112"/>
        <v>0.84057703865187272</v>
      </c>
      <c r="VX11" s="363">
        <f t="shared" ca="1" si="112"/>
        <v>0.84388905128739755</v>
      </c>
      <c r="VY11" s="363">
        <f t="shared" ca="1" si="112"/>
        <v>0.84181296212324475</v>
      </c>
      <c r="VZ11" s="363">
        <f t="shared" ca="1" si="112"/>
        <v>0.84026122437686002</v>
      </c>
      <c r="WA11" s="363">
        <f t="shared" ca="1" si="112"/>
        <v>0.84049469383824993</v>
      </c>
      <c r="WB11" s="363">
        <f t="shared" ca="1" si="112"/>
        <v>0.84340189626141171</v>
      </c>
      <c r="WC11" s="363">
        <f t="shared" ca="1" si="112"/>
        <v>0.84033318557241687</v>
      </c>
      <c r="WD11" s="363">
        <f t="shared" ca="1" si="112"/>
        <v>0.83983702943090499</v>
      </c>
      <c r="WE11" s="363">
        <f t="shared" ca="1" si="112"/>
        <v>0.84472362885114438</v>
      </c>
      <c r="WF11" s="363">
        <f t="shared" ca="1" si="112"/>
        <v>0.83866734165891554</v>
      </c>
      <c r="WG11" s="363">
        <f t="shared" ca="1" si="112"/>
        <v>0.83831912957369448</v>
      </c>
      <c r="WH11" s="363">
        <f t="shared" ca="1" si="112"/>
        <v>0.84156786869402433</v>
      </c>
      <c r="WI11" s="363">
        <f t="shared" ca="1" si="112"/>
        <v>0.84096347009488881</v>
      </c>
      <c r="WJ11" s="363">
        <f t="shared" ca="1" si="112"/>
        <v>0.84418819310306159</v>
      </c>
      <c r="WK11" s="363">
        <f t="shared" ca="1" si="112"/>
        <v>0.84270089336120391</v>
      </c>
      <c r="WL11" s="363">
        <f t="shared" ca="1" si="112"/>
        <v>0.84140213457059176</v>
      </c>
      <c r="WM11" s="363">
        <f t="shared" ca="1" si="112"/>
        <v>0.84182733519106923</v>
      </c>
      <c r="WN11" s="363">
        <f t="shared" ca="1" si="112"/>
        <v>0.83662855949192727</v>
      </c>
    </row>
    <row r="12" spans="2:612" x14ac:dyDescent="0.15">
      <c r="B12" s="470" t="s">
        <v>501</v>
      </c>
      <c r="D12" s="363">
        <f t="shared" si="0"/>
        <v>0.77900000000000003</v>
      </c>
      <c r="F12" s="367">
        <v>0.77900000000000003</v>
      </c>
      <c r="G12" s="367" t="s">
        <v>350</v>
      </c>
      <c r="H12" s="363">
        <v>0.01</v>
      </c>
      <c r="I12" s="438">
        <f t="shared" si="87"/>
        <v>1340.33961</v>
      </c>
      <c r="J12" s="438">
        <f t="shared" si="88"/>
        <v>380.25038999999992</v>
      </c>
      <c r="K12" s="367" t="s">
        <v>1273</v>
      </c>
      <c r="M12" s="363">
        <f ca="1">_xlfn.BETA.INV(RAND(),$I$12,$J$12)</f>
        <v>0.76366623192767003</v>
      </c>
      <c r="N12" s="363">
        <f t="shared" ref="N12:BY12" ca="1" si="113">_xlfn.BETA.INV(RAND(),$I$12,$J$12)</f>
        <v>0.79411158831282425</v>
      </c>
      <c r="O12" s="363">
        <f t="shared" ca="1" si="113"/>
        <v>0.78168260815222201</v>
      </c>
      <c r="P12" s="363">
        <f t="shared" ca="1" si="113"/>
        <v>0.7853991804088597</v>
      </c>
      <c r="Q12" s="363">
        <f t="shared" ca="1" si="113"/>
        <v>0.78181383875477928</v>
      </c>
      <c r="R12" s="363">
        <f t="shared" ca="1" si="113"/>
        <v>0.78270791414442165</v>
      </c>
      <c r="S12" s="363">
        <f t="shared" ca="1" si="113"/>
        <v>0.7679404366294228</v>
      </c>
      <c r="T12" s="363">
        <f t="shared" ca="1" si="113"/>
        <v>0.7695049028635419</v>
      </c>
      <c r="U12" s="363">
        <f t="shared" ca="1" si="113"/>
        <v>0.7759470610272623</v>
      </c>
      <c r="V12" s="363">
        <f t="shared" ca="1" si="113"/>
        <v>0.77572777323706543</v>
      </c>
      <c r="W12" s="363">
        <f t="shared" ca="1" si="113"/>
        <v>0.79417233199307324</v>
      </c>
      <c r="X12" s="363">
        <f t="shared" ca="1" si="113"/>
        <v>0.76586907199857612</v>
      </c>
      <c r="Y12" s="363">
        <f t="shared" ca="1" si="113"/>
        <v>0.7741665050225881</v>
      </c>
      <c r="Z12" s="363">
        <f t="shared" ca="1" si="113"/>
        <v>0.77281703728010998</v>
      </c>
      <c r="AA12" s="363">
        <f t="shared" ca="1" si="113"/>
        <v>0.79180515066437829</v>
      </c>
      <c r="AB12" s="363">
        <f t="shared" ca="1" si="113"/>
        <v>0.76279387974686452</v>
      </c>
      <c r="AC12" s="363">
        <f t="shared" ca="1" si="113"/>
        <v>0.80088047106899185</v>
      </c>
      <c r="AD12" s="363">
        <f t="shared" ca="1" si="113"/>
        <v>0.7874246329246779</v>
      </c>
      <c r="AE12" s="363">
        <f t="shared" ca="1" si="113"/>
        <v>0.76965905557661185</v>
      </c>
      <c r="AF12" s="363">
        <f t="shared" ca="1" si="113"/>
        <v>0.78740381740331988</v>
      </c>
      <c r="AG12" s="363">
        <f t="shared" ca="1" si="113"/>
        <v>0.7938840235033976</v>
      </c>
      <c r="AH12" s="363">
        <f t="shared" ca="1" si="113"/>
        <v>0.78271810614001436</v>
      </c>
      <c r="AI12" s="363">
        <f t="shared" ca="1" si="113"/>
        <v>0.79181562084486101</v>
      </c>
      <c r="AJ12" s="363">
        <f t="shared" ca="1" si="113"/>
        <v>0.78475268222663419</v>
      </c>
      <c r="AK12" s="363">
        <f t="shared" ca="1" si="113"/>
        <v>0.78925306261465478</v>
      </c>
      <c r="AL12" s="363">
        <f t="shared" ca="1" si="113"/>
        <v>0.78401296222671102</v>
      </c>
      <c r="AM12" s="363">
        <f t="shared" ca="1" si="113"/>
        <v>0.78084371127736341</v>
      </c>
      <c r="AN12" s="363">
        <f t="shared" ca="1" si="113"/>
        <v>0.78911400139150412</v>
      </c>
      <c r="AO12" s="363">
        <f t="shared" ca="1" si="113"/>
        <v>0.78019928318816678</v>
      </c>
      <c r="AP12" s="363">
        <f t="shared" ca="1" si="113"/>
        <v>0.77165694844800614</v>
      </c>
      <c r="AQ12" s="363">
        <f t="shared" ca="1" si="113"/>
        <v>0.78511606805988821</v>
      </c>
      <c r="AR12" s="363">
        <f t="shared" ca="1" si="113"/>
        <v>0.77296162201131824</v>
      </c>
      <c r="AS12" s="363">
        <f t="shared" ca="1" si="113"/>
        <v>0.78222457259626299</v>
      </c>
      <c r="AT12" s="363">
        <f t="shared" ca="1" si="113"/>
        <v>0.76570091929096684</v>
      </c>
      <c r="AU12" s="363">
        <f t="shared" ca="1" si="113"/>
        <v>0.78813012245019998</v>
      </c>
      <c r="AV12" s="363">
        <f t="shared" ca="1" si="113"/>
        <v>0.78058948788537852</v>
      </c>
      <c r="AW12" s="363">
        <f t="shared" ca="1" si="113"/>
        <v>0.79287706204382191</v>
      </c>
      <c r="AX12" s="363">
        <f t="shared" ca="1" si="113"/>
        <v>0.77867915918107322</v>
      </c>
      <c r="AY12" s="363">
        <f t="shared" ca="1" si="113"/>
        <v>0.77800918086003479</v>
      </c>
      <c r="AZ12" s="363">
        <f t="shared" ca="1" si="113"/>
        <v>0.77957393777559236</v>
      </c>
      <c r="BA12" s="363">
        <f t="shared" ca="1" si="113"/>
        <v>0.77990285066645959</v>
      </c>
      <c r="BB12" s="363">
        <f t="shared" ca="1" si="113"/>
        <v>0.77240974896141112</v>
      </c>
      <c r="BC12" s="363">
        <f t="shared" ca="1" si="113"/>
        <v>0.76083540819772411</v>
      </c>
      <c r="BD12" s="363">
        <f t="shared" ca="1" si="113"/>
        <v>0.77307767477059142</v>
      </c>
      <c r="BE12" s="363">
        <f t="shared" ca="1" si="113"/>
        <v>0.77638847408298872</v>
      </c>
      <c r="BF12" s="363">
        <f t="shared" ca="1" si="113"/>
        <v>0.77939687629585575</v>
      </c>
      <c r="BG12" s="363">
        <f t="shared" ca="1" si="113"/>
        <v>0.77890556517774956</v>
      </c>
      <c r="BH12" s="363">
        <f t="shared" ca="1" si="113"/>
        <v>0.76420563426365518</v>
      </c>
      <c r="BI12" s="363">
        <f t="shared" ca="1" si="113"/>
        <v>0.77714020309180354</v>
      </c>
      <c r="BJ12" s="363">
        <f t="shared" ca="1" si="113"/>
        <v>0.7857142953476266</v>
      </c>
      <c r="BK12" s="363">
        <f t="shared" ca="1" si="113"/>
        <v>0.7849130147398089</v>
      </c>
      <c r="BL12" s="363">
        <f t="shared" ca="1" si="113"/>
        <v>0.76793294930007416</v>
      </c>
      <c r="BM12" s="363">
        <f t="shared" ca="1" si="113"/>
        <v>0.78882691795570303</v>
      </c>
      <c r="BN12" s="363">
        <f t="shared" ca="1" si="113"/>
        <v>0.77840803558373051</v>
      </c>
      <c r="BO12" s="363">
        <f t="shared" ca="1" si="113"/>
        <v>0.78167605716227695</v>
      </c>
      <c r="BP12" s="363">
        <f t="shared" ca="1" si="113"/>
        <v>0.78231657648809827</v>
      </c>
      <c r="BQ12" s="363">
        <f t="shared" ca="1" si="113"/>
        <v>0.77140490683652241</v>
      </c>
      <c r="BR12" s="363">
        <f t="shared" ca="1" si="113"/>
        <v>0.78135345624041008</v>
      </c>
      <c r="BS12" s="363">
        <f t="shared" ca="1" si="113"/>
        <v>0.78849185688965107</v>
      </c>
      <c r="BT12" s="363">
        <f t="shared" ca="1" si="113"/>
        <v>0.77642911430023309</v>
      </c>
      <c r="BU12" s="363">
        <f t="shared" ca="1" si="113"/>
        <v>0.78747087901332335</v>
      </c>
      <c r="BV12" s="363">
        <f t="shared" ca="1" si="113"/>
        <v>0.76286161079578818</v>
      </c>
      <c r="BW12" s="363">
        <f t="shared" ca="1" si="113"/>
        <v>0.75929353044690862</v>
      </c>
      <c r="BX12" s="363">
        <f t="shared" ca="1" si="113"/>
        <v>0.77035983293042321</v>
      </c>
      <c r="BY12" s="363">
        <f t="shared" ca="1" si="113"/>
        <v>0.78574619625388409</v>
      </c>
      <c r="BZ12" s="363">
        <f t="shared" ref="BZ12:DH12" ca="1" si="114">_xlfn.BETA.INV(RAND(),$I$12,$J$12)</f>
        <v>0.78113632766994878</v>
      </c>
      <c r="CA12" s="363">
        <f t="shared" ca="1" si="114"/>
        <v>0.78174274149005119</v>
      </c>
      <c r="CB12" s="363">
        <f t="shared" ca="1" si="114"/>
        <v>0.77262470931992233</v>
      </c>
      <c r="CC12" s="363">
        <f t="shared" ca="1" si="114"/>
        <v>0.76426542901411687</v>
      </c>
      <c r="CD12" s="363">
        <f t="shared" ca="1" si="114"/>
        <v>0.78570288595421567</v>
      </c>
      <c r="CE12" s="363">
        <f t="shared" ca="1" si="114"/>
        <v>0.77675952721503216</v>
      </c>
      <c r="CF12" s="363">
        <f t="shared" ca="1" si="114"/>
        <v>0.77530487404831638</v>
      </c>
      <c r="CG12" s="363">
        <f t="shared" ca="1" si="114"/>
        <v>0.779710471317415</v>
      </c>
      <c r="CH12" s="363">
        <f t="shared" ca="1" si="114"/>
        <v>0.78028716738085224</v>
      </c>
      <c r="CI12" s="363">
        <f t="shared" ca="1" si="114"/>
        <v>0.7719828079721951</v>
      </c>
      <c r="CJ12" s="363">
        <f t="shared" ca="1" si="114"/>
        <v>0.76907019283797207</v>
      </c>
      <c r="CK12" s="363">
        <f t="shared" ca="1" si="114"/>
        <v>0.79277292557663892</v>
      </c>
      <c r="CL12" s="363">
        <f t="shared" ca="1" si="114"/>
        <v>0.77282975375549623</v>
      </c>
      <c r="CM12" s="363">
        <f t="shared" ca="1" si="114"/>
        <v>0.79761826207283115</v>
      </c>
      <c r="CN12" s="363">
        <f t="shared" ca="1" si="114"/>
        <v>0.77538170135864959</v>
      </c>
      <c r="CO12" s="363">
        <f t="shared" ca="1" si="114"/>
        <v>0.76990734616410028</v>
      </c>
      <c r="CP12" s="363">
        <f t="shared" ca="1" si="114"/>
        <v>0.76424815364977428</v>
      </c>
      <c r="CQ12" s="363">
        <f t="shared" ca="1" si="114"/>
        <v>0.77584439269954708</v>
      </c>
      <c r="CR12" s="363">
        <f t="shared" ca="1" si="114"/>
        <v>0.78709021924858025</v>
      </c>
      <c r="CS12" s="363">
        <f t="shared" ca="1" si="114"/>
        <v>0.78017853839098428</v>
      </c>
      <c r="CT12" s="363">
        <f t="shared" ca="1" si="114"/>
        <v>0.79000726583547032</v>
      </c>
      <c r="CU12" s="363">
        <f t="shared" ca="1" si="114"/>
        <v>0.78598816257652715</v>
      </c>
      <c r="CV12" s="363">
        <f t="shared" ca="1" si="114"/>
        <v>0.78199239978267099</v>
      </c>
      <c r="CW12" s="363">
        <f t="shared" ca="1" si="114"/>
        <v>0.7754786168491854</v>
      </c>
      <c r="CX12" s="363">
        <f t="shared" ca="1" si="114"/>
        <v>0.76660516616640872</v>
      </c>
      <c r="CY12" s="363">
        <f t="shared" ca="1" si="114"/>
        <v>0.7863836735582892</v>
      </c>
      <c r="CZ12" s="363">
        <f t="shared" ca="1" si="114"/>
        <v>0.7738163222067016</v>
      </c>
      <c r="DA12" s="363">
        <f t="shared" ca="1" si="114"/>
        <v>0.80769596234205787</v>
      </c>
      <c r="DB12" s="363">
        <f t="shared" ca="1" si="114"/>
        <v>0.77221368454071804</v>
      </c>
      <c r="DC12" s="363">
        <f t="shared" ca="1" si="114"/>
        <v>0.78707949246233433</v>
      </c>
      <c r="DD12" s="363">
        <f t="shared" ca="1" si="114"/>
        <v>0.76545205499690294</v>
      </c>
      <c r="DE12" s="363">
        <f t="shared" ca="1" si="114"/>
        <v>0.78743370387499567</v>
      </c>
      <c r="DF12" s="363">
        <f t="shared" ca="1" si="114"/>
        <v>0.77132475093191144</v>
      </c>
      <c r="DG12" s="363">
        <f t="shared" ca="1" si="114"/>
        <v>0.78073838110125104</v>
      </c>
      <c r="DH12" s="363">
        <f t="shared" ca="1" si="114"/>
        <v>0.78145594428736376</v>
      </c>
      <c r="DI12" s="363">
        <f ca="1">_xlfn.BETA.INV(RAND(),$I$12,$J$12)</f>
        <v>0.78485836377075024</v>
      </c>
      <c r="DJ12" s="363">
        <f t="shared" ref="DJ12:FU12" ca="1" si="115">_xlfn.BETA.INV(RAND(),$I$12,$J$12)</f>
        <v>0.77572585550637974</v>
      </c>
      <c r="DK12" s="363">
        <f t="shared" ca="1" si="115"/>
        <v>0.79106584816886183</v>
      </c>
      <c r="DL12" s="363">
        <f t="shared" ca="1" si="115"/>
        <v>0.78520573058867293</v>
      </c>
      <c r="DM12" s="363">
        <f t="shared" ca="1" si="115"/>
        <v>0.77651557602168808</v>
      </c>
      <c r="DN12" s="363">
        <f t="shared" ca="1" si="115"/>
        <v>0.77228056858247573</v>
      </c>
      <c r="DO12" s="363">
        <f t="shared" ca="1" si="115"/>
        <v>0.78622648272103934</v>
      </c>
      <c r="DP12" s="363">
        <f t="shared" ca="1" si="115"/>
        <v>0.78124261483076896</v>
      </c>
      <c r="DQ12" s="363">
        <f t="shared" ca="1" si="115"/>
        <v>0.79670770224579157</v>
      </c>
      <c r="DR12" s="363">
        <f t="shared" ca="1" si="115"/>
        <v>0.76551911954951291</v>
      </c>
      <c r="DS12" s="363">
        <f t="shared" ca="1" si="115"/>
        <v>0.77357042995777792</v>
      </c>
      <c r="DT12" s="363">
        <f t="shared" ca="1" si="115"/>
        <v>0.78818331018900545</v>
      </c>
      <c r="DU12" s="363">
        <f t="shared" ca="1" si="115"/>
        <v>0.78551262913379838</v>
      </c>
      <c r="DV12" s="363">
        <f t="shared" ca="1" si="115"/>
        <v>0.7707963218260061</v>
      </c>
      <c r="DW12" s="363">
        <f t="shared" ca="1" si="115"/>
        <v>0.77979962066470854</v>
      </c>
      <c r="DX12" s="363">
        <f t="shared" ca="1" si="115"/>
        <v>0.78085238899886233</v>
      </c>
      <c r="DY12" s="363">
        <f t="shared" ca="1" si="115"/>
        <v>0.78307212917459401</v>
      </c>
      <c r="DZ12" s="363">
        <f t="shared" ca="1" si="115"/>
        <v>0.77730236651160067</v>
      </c>
      <c r="EA12" s="363">
        <f t="shared" ca="1" si="115"/>
        <v>0.75880303101635027</v>
      </c>
      <c r="EB12" s="363">
        <f t="shared" ca="1" si="115"/>
        <v>0.77547297613824839</v>
      </c>
      <c r="EC12" s="363">
        <f t="shared" ca="1" si="115"/>
        <v>0.76560598817883807</v>
      </c>
      <c r="ED12" s="363">
        <f t="shared" ca="1" si="115"/>
        <v>0.78415427909157198</v>
      </c>
      <c r="EE12" s="363">
        <f t="shared" ca="1" si="115"/>
        <v>0.77340771846114842</v>
      </c>
      <c r="EF12" s="363">
        <f t="shared" ca="1" si="115"/>
        <v>0.79036482495029936</v>
      </c>
      <c r="EG12" s="363">
        <f t="shared" ca="1" si="115"/>
        <v>0.77515784317661163</v>
      </c>
      <c r="EH12" s="363">
        <f t="shared" ca="1" si="115"/>
        <v>0.79059924375344048</v>
      </c>
      <c r="EI12" s="363">
        <f t="shared" ca="1" si="115"/>
        <v>0.77924098132788511</v>
      </c>
      <c r="EJ12" s="363">
        <f t="shared" ca="1" si="115"/>
        <v>0.78119628765608684</v>
      </c>
      <c r="EK12" s="363">
        <f t="shared" ca="1" si="115"/>
        <v>0.78135623534931609</v>
      </c>
      <c r="EL12" s="363">
        <f t="shared" ca="1" si="115"/>
        <v>0.78024258114087963</v>
      </c>
      <c r="EM12" s="363">
        <f t="shared" ca="1" si="115"/>
        <v>0.79864530699598113</v>
      </c>
      <c r="EN12" s="363">
        <f t="shared" ca="1" si="115"/>
        <v>0.7772450305543952</v>
      </c>
      <c r="EO12" s="363">
        <f t="shared" ca="1" si="115"/>
        <v>0.78083271411634803</v>
      </c>
      <c r="EP12" s="363">
        <f t="shared" ca="1" si="115"/>
        <v>0.78844958892179018</v>
      </c>
      <c r="EQ12" s="363">
        <f t="shared" ca="1" si="115"/>
        <v>0.77640461024994945</v>
      </c>
      <c r="ER12" s="363">
        <f t="shared" ca="1" si="115"/>
        <v>0.79363858875700266</v>
      </c>
      <c r="ES12" s="363">
        <f t="shared" ca="1" si="115"/>
        <v>0.77097626434819644</v>
      </c>
      <c r="ET12" s="363">
        <f t="shared" ca="1" si="115"/>
        <v>0.76797911309028577</v>
      </c>
      <c r="EU12" s="363">
        <f t="shared" ca="1" si="115"/>
        <v>0.77464124489639941</v>
      </c>
      <c r="EV12" s="363">
        <f t="shared" ca="1" si="115"/>
        <v>0.76951715774908591</v>
      </c>
      <c r="EW12" s="363">
        <f t="shared" ca="1" si="115"/>
        <v>0.77185244101195405</v>
      </c>
      <c r="EX12" s="363">
        <f t="shared" ca="1" si="115"/>
        <v>0.76635063249296287</v>
      </c>
      <c r="EY12" s="363">
        <f t="shared" ca="1" si="115"/>
        <v>0.76751287020265069</v>
      </c>
      <c r="EZ12" s="363">
        <f t="shared" ca="1" si="115"/>
        <v>0.77247234750940119</v>
      </c>
      <c r="FA12" s="363">
        <f t="shared" ca="1" si="115"/>
        <v>0.78669712008982018</v>
      </c>
      <c r="FB12" s="363">
        <f t="shared" ca="1" si="115"/>
        <v>0.777934174006362</v>
      </c>
      <c r="FC12" s="363">
        <f t="shared" ca="1" si="115"/>
        <v>0.7951425408925461</v>
      </c>
      <c r="FD12" s="363">
        <f t="shared" ca="1" si="115"/>
        <v>0.79538909309534422</v>
      </c>
      <c r="FE12" s="363">
        <f t="shared" ca="1" si="115"/>
        <v>0.78485361095315209</v>
      </c>
      <c r="FF12" s="363">
        <f t="shared" ca="1" si="115"/>
        <v>0.76797325602279409</v>
      </c>
      <c r="FG12" s="363">
        <f t="shared" ca="1" si="115"/>
        <v>0.77188838946943183</v>
      </c>
      <c r="FH12" s="363">
        <f t="shared" ca="1" si="115"/>
        <v>0.78050057002631579</v>
      </c>
      <c r="FI12" s="363">
        <f t="shared" ca="1" si="115"/>
        <v>0.78005173505555192</v>
      </c>
      <c r="FJ12" s="363">
        <f t="shared" ca="1" si="115"/>
        <v>0.77888029544587889</v>
      </c>
      <c r="FK12" s="363">
        <f t="shared" ca="1" si="115"/>
        <v>0.78390228335147716</v>
      </c>
      <c r="FL12" s="363">
        <f t="shared" ca="1" si="115"/>
        <v>0.78928449255824673</v>
      </c>
      <c r="FM12" s="363">
        <f t="shared" ca="1" si="115"/>
        <v>0.76406476558358016</v>
      </c>
      <c r="FN12" s="363">
        <f t="shared" ca="1" si="115"/>
        <v>0.78241691003058955</v>
      </c>
      <c r="FO12" s="363">
        <f t="shared" ca="1" si="115"/>
        <v>0.79022859523372013</v>
      </c>
      <c r="FP12" s="363">
        <f t="shared" ca="1" si="115"/>
        <v>0.75790612176201588</v>
      </c>
      <c r="FQ12" s="363">
        <f t="shared" ca="1" si="115"/>
        <v>0.76893340922855768</v>
      </c>
      <c r="FR12" s="363">
        <f t="shared" ca="1" si="115"/>
        <v>0.77904760009987961</v>
      </c>
      <c r="FS12" s="363">
        <f t="shared" ca="1" si="115"/>
        <v>0.76644647223365125</v>
      </c>
      <c r="FT12" s="363">
        <f t="shared" ca="1" si="115"/>
        <v>0.78218148037597446</v>
      </c>
      <c r="FU12" s="363">
        <f t="shared" ca="1" si="115"/>
        <v>0.76941647355020548</v>
      </c>
      <c r="FV12" s="363">
        <f t="shared" ref="FV12:HD12" ca="1" si="116">_xlfn.BETA.INV(RAND(),$I$12,$J$12)</f>
        <v>0.79332758663435055</v>
      </c>
      <c r="FW12" s="363">
        <f t="shared" ca="1" si="116"/>
        <v>0.7742116961601837</v>
      </c>
      <c r="FX12" s="363">
        <f t="shared" ca="1" si="116"/>
        <v>0.76103443359953649</v>
      </c>
      <c r="FY12" s="363">
        <f t="shared" ca="1" si="116"/>
        <v>0.79033854831220729</v>
      </c>
      <c r="FZ12" s="363">
        <f t="shared" ca="1" si="116"/>
        <v>0.78829439146141389</v>
      </c>
      <c r="GA12" s="363">
        <f t="shared" ca="1" si="116"/>
        <v>0.78102320738377851</v>
      </c>
      <c r="GB12" s="363">
        <f t="shared" ca="1" si="116"/>
        <v>0.79961891734092294</v>
      </c>
      <c r="GC12" s="363">
        <f t="shared" ca="1" si="116"/>
        <v>0.78671877642573351</v>
      </c>
      <c r="GD12" s="363">
        <f t="shared" ca="1" si="116"/>
        <v>0.78755675953497672</v>
      </c>
      <c r="GE12" s="363">
        <f t="shared" ca="1" si="116"/>
        <v>0.79508053396929568</v>
      </c>
      <c r="GF12" s="363">
        <f t="shared" ca="1" si="116"/>
        <v>0.77316396006702137</v>
      </c>
      <c r="GG12" s="363">
        <f t="shared" ca="1" si="116"/>
        <v>0.78073682452404758</v>
      </c>
      <c r="GH12" s="363">
        <f t="shared" ca="1" si="116"/>
        <v>0.784985429088915</v>
      </c>
      <c r="GI12" s="363">
        <f t="shared" ca="1" si="116"/>
        <v>0.77538713827588468</v>
      </c>
      <c r="GJ12" s="363">
        <f t="shared" ca="1" si="116"/>
        <v>0.77261344534247645</v>
      </c>
      <c r="GK12" s="363">
        <f t="shared" ca="1" si="116"/>
        <v>0.78327558173393308</v>
      </c>
      <c r="GL12" s="363">
        <f t="shared" ca="1" si="116"/>
        <v>0.77576597401759984</v>
      </c>
      <c r="GM12" s="363">
        <f t="shared" ca="1" si="116"/>
        <v>0.7987379665013612</v>
      </c>
      <c r="GN12" s="363">
        <f t="shared" ca="1" si="116"/>
        <v>0.77355858183213888</v>
      </c>
      <c r="GO12" s="363">
        <f t="shared" ca="1" si="116"/>
        <v>0.7664605668162997</v>
      </c>
      <c r="GP12" s="363">
        <f t="shared" ca="1" si="116"/>
        <v>0.79212342049330697</v>
      </c>
      <c r="GQ12" s="363">
        <f t="shared" ca="1" si="116"/>
        <v>0.78056261256568626</v>
      </c>
      <c r="GR12" s="363">
        <f t="shared" ca="1" si="116"/>
        <v>0.78719450756353049</v>
      </c>
      <c r="GS12" s="363">
        <f t="shared" ca="1" si="116"/>
        <v>0.77959417592726044</v>
      </c>
      <c r="GT12" s="363">
        <f t="shared" ca="1" si="116"/>
        <v>0.77235203465877</v>
      </c>
      <c r="GU12" s="363">
        <f t="shared" ca="1" si="116"/>
        <v>0.7839755401531936</v>
      </c>
      <c r="GV12" s="363">
        <f t="shared" ca="1" si="116"/>
        <v>0.78799537977119471</v>
      </c>
      <c r="GW12" s="363">
        <f t="shared" ca="1" si="116"/>
        <v>0.76471893447223804</v>
      </c>
      <c r="GX12" s="363">
        <f t="shared" ca="1" si="116"/>
        <v>0.78265314019315047</v>
      </c>
      <c r="GY12" s="363">
        <f t="shared" ca="1" si="116"/>
        <v>0.76527041517137961</v>
      </c>
      <c r="GZ12" s="363">
        <f t="shared" ca="1" si="116"/>
        <v>0.77492155307164823</v>
      </c>
      <c r="HA12" s="363">
        <f t="shared" ca="1" si="116"/>
        <v>0.79679272632052389</v>
      </c>
      <c r="HB12" s="363">
        <f t="shared" ca="1" si="116"/>
        <v>0.76132388091872183</v>
      </c>
      <c r="HC12" s="363">
        <f t="shared" ca="1" si="116"/>
        <v>0.78730304473437906</v>
      </c>
      <c r="HD12" s="363">
        <f t="shared" ca="1" si="116"/>
        <v>0.78312659695403142</v>
      </c>
      <c r="HE12" s="363">
        <f ca="1">_xlfn.BETA.INV(RAND(),$I$12,$J$12)</f>
        <v>0.78609843143983305</v>
      </c>
      <c r="HF12" s="363">
        <f t="shared" ref="HF12:JQ12" ca="1" si="117">_xlfn.BETA.INV(RAND(),$I$12,$J$12)</f>
        <v>0.79034135645972325</v>
      </c>
      <c r="HG12" s="363">
        <f t="shared" ca="1" si="117"/>
        <v>0.78788449805814276</v>
      </c>
      <c r="HH12" s="363">
        <f t="shared" ca="1" si="117"/>
        <v>0.77744474973141742</v>
      </c>
      <c r="HI12" s="363">
        <f t="shared" ca="1" si="117"/>
        <v>0.79395680587575135</v>
      </c>
      <c r="HJ12" s="363">
        <f t="shared" ca="1" si="117"/>
        <v>0.76538361194361615</v>
      </c>
      <c r="HK12" s="363">
        <f t="shared" ca="1" si="117"/>
        <v>0.78194401441577877</v>
      </c>
      <c r="HL12" s="363">
        <f t="shared" ca="1" si="117"/>
        <v>0.77727534830140832</v>
      </c>
      <c r="HM12" s="363">
        <f t="shared" ca="1" si="117"/>
        <v>0.7722842788083224</v>
      </c>
      <c r="HN12" s="363">
        <f t="shared" ca="1" si="117"/>
        <v>0.77805680633070706</v>
      </c>
      <c r="HO12" s="363">
        <f t="shared" ca="1" si="117"/>
        <v>0.79140344789561756</v>
      </c>
      <c r="HP12" s="363">
        <f t="shared" ca="1" si="117"/>
        <v>0.77803630980569061</v>
      </c>
      <c r="HQ12" s="363">
        <f t="shared" ca="1" si="117"/>
        <v>0.77262456487889386</v>
      </c>
      <c r="HR12" s="363">
        <f t="shared" ca="1" si="117"/>
        <v>0.75766473789792732</v>
      </c>
      <c r="HS12" s="363">
        <f t="shared" ca="1" si="117"/>
        <v>0.78788582115262007</v>
      </c>
      <c r="HT12" s="363">
        <f t="shared" ca="1" si="117"/>
        <v>0.78793889915270676</v>
      </c>
      <c r="HU12" s="363">
        <f t="shared" ca="1" si="117"/>
        <v>0.78790780585548592</v>
      </c>
      <c r="HV12" s="363">
        <f t="shared" ca="1" si="117"/>
        <v>0.78026134572387817</v>
      </c>
      <c r="HW12" s="363">
        <f t="shared" ca="1" si="117"/>
        <v>0.7788602446184778</v>
      </c>
      <c r="HX12" s="363">
        <f t="shared" ca="1" si="117"/>
        <v>0.78218180937858961</v>
      </c>
      <c r="HY12" s="363">
        <f t="shared" ca="1" si="117"/>
        <v>0.77666823177095068</v>
      </c>
      <c r="HZ12" s="363">
        <f t="shared" ca="1" si="117"/>
        <v>0.7526758711852487</v>
      </c>
      <c r="IA12" s="363">
        <f t="shared" ca="1" si="117"/>
        <v>0.78601924835343961</v>
      </c>
      <c r="IB12" s="363">
        <f t="shared" ca="1" si="117"/>
        <v>0.7685701657666334</v>
      </c>
      <c r="IC12" s="363">
        <f t="shared" ca="1" si="117"/>
        <v>0.75902221875712372</v>
      </c>
      <c r="ID12" s="363">
        <f t="shared" ca="1" si="117"/>
        <v>0.78132941045657001</v>
      </c>
      <c r="IE12" s="363">
        <f t="shared" ca="1" si="117"/>
        <v>0.78092547588030259</v>
      </c>
      <c r="IF12" s="363">
        <f t="shared" ca="1" si="117"/>
        <v>0.80028998853486377</v>
      </c>
      <c r="IG12" s="363">
        <f t="shared" ca="1" si="117"/>
        <v>0.7861282187300398</v>
      </c>
      <c r="IH12" s="363">
        <f t="shared" ca="1" si="117"/>
        <v>0.78334651521992027</v>
      </c>
      <c r="II12" s="363">
        <f t="shared" ca="1" si="117"/>
        <v>0.75294365312325995</v>
      </c>
      <c r="IJ12" s="363">
        <f t="shared" ca="1" si="117"/>
        <v>0.78238204798664435</v>
      </c>
      <c r="IK12" s="363">
        <f t="shared" ca="1" si="117"/>
        <v>0.79987131690740376</v>
      </c>
      <c r="IL12" s="363">
        <f t="shared" ca="1" si="117"/>
        <v>0.76607055713199768</v>
      </c>
      <c r="IM12" s="363">
        <f t="shared" ca="1" si="117"/>
        <v>0.78316601748754744</v>
      </c>
      <c r="IN12" s="363">
        <f t="shared" ca="1" si="117"/>
        <v>0.79225110563433687</v>
      </c>
      <c r="IO12" s="363">
        <f t="shared" ca="1" si="117"/>
        <v>0.79258975497474093</v>
      </c>
      <c r="IP12" s="363">
        <f t="shared" ca="1" si="117"/>
        <v>0.75637699251362434</v>
      </c>
      <c r="IQ12" s="363">
        <f t="shared" ca="1" si="117"/>
        <v>0.77061158870577451</v>
      </c>
      <c r="IR12" s="363">
        <f t="shared" ca="1" si="117"/>
        <v>0.77466185143320365</v>
      </c>
      <c r="IS12" s="363">
        <f t="shared" ca="1" si="117"/>
        <v>0.77047229218880575</v>
      </c>
      <c r="IT12" s="363">
        <f t="shared" ca="1" si="117"/>
        <v>0.77904783658188492</v>
      </c>
      <c r="IU12" s="363">
        <f t="shared" ca="1" si="117"/>
        <v>0.76668051253981095</v>
      </c>
      <c r="IV12" s="363">
        <f t="shared" ca="1" si="117"/>
        <v>0.78544773971973292</v>
      </c>
      <c r="IW12" s="363">
        <f t="shared" ca="1" si="117"/>
        <v>0.77464393903578477</v>
      </c>
      <c r="IX12" s="363">
        <f t="shared" ca="1" si="117"/>
        <v>0.77789919541213626</v>
      </c>
      <c r="IY12" s="363">
        <f t="shared" ca="1" si="117"/>
        <v>0.78845456371571898</v>
      </c>
      <c r="IZ12" s="363">
        <f t="shared" ca="1" si="117"/>
        <v>0.79138324899533719</v>
      </c>
      <c r="JA12" s="363">
        <f t="shared" ca="1" si="117"/>
        <v>0.76495194940761657</v>
      </c>
      <c r="JB12" s="363">
        <f t="shared" ca="1" si="117"/>
        <v>0.75541952738374574</v>
      </c>
      <c r="JC12" s="363">
        <f t="shared" ca="1" si="117"/>
        <v>0.78324816621467797</v>
      </c>
      <c r="JD12" s="363">
        <f t="shared" ca="1" si="117"/>
        <v>0.78588488450104599</v>
      </c>
      <c r="JE12" s="363">
        <f t="shared" ca="1" si="117"/>
        <v>0.76192229691936919</v>
      </c>
      <c r="JF12" s="363">
        <f t="shared" ca="1" si="117"/>
        <v>0.78774225338561998</v>
      </c>
      <c r="JG12" s="363">
        <f t="shared" ca="1" si="117"/>
        <v>0.77431256440770346</v>
      </c>
      <c r="JH12" s="363">
        <f t="shared" ca="1" si="117"/>
        <v>0.7762686991968748</v>
      </c>
      <c r="JI12" s="363">
        <f t="shared" ca="1" si="117"/>
        <v>0.76494029355054183</v>
      </c>
      <c r="JJ12" s="363">
        <f t="shared" ca="1" si="117"/>
        <v>0.77723998040980924</v>
      </c>
      <c r="JK12" s="363">
        <f t="shared" ca="1" si="117"/>
        <v>0.76835268542538004</v>
      </c>
      <c r="JL12" s="363">
        <f t="shared" ca="1" si="117"/>
        <v>0.78753064795444094</v>
      </c>
      <c r="JM12" s="363">
        <f t="shared" ca="1" si="117"/>
        <v>0.79115989287493171</v>
      </c>
      <c r="JN12" s="363">
        <f t="shared" ca="1" si="117"/>
        <v>0.78884457837065614</v>
      </c>
      <c r="JO12" s="363">
        <f t="shared" ca="1" si="117"/>
        <v>0.78176212210467222</v>
      </c>
      <c r="JP12" s="363">
        <f t="shared" ca="1" si="117"/>
        <v>0.78861163087887731</v>
      </c>
      <c r="JQ12" s="363">
        <f t="shared" ca="1" si="117"/>
        <v>0.78569162416296856</v>
      </c>
      <c r="JR12" s="363">
        <f t="shared" ref="JR12:KZ12" ca="1" si="118">_xlfn.BETA.INV(RAND(),$I$12,$J$12)</f>
        <v>0.77753012063238314</v>
      </c>
      <c r="JS12" s="363">
        <f t="shared" ca="1" si="118"/>
        <v>0.7818291981715253</v>
      </c>
      <c r="JT12" s="363">
        <f t="shared" ca="1" si="118"/>
        <v>0.78218578075698708</v>
      </c>
      <c r="JU12" s="363">
        <f t="shared" ca="1" si="118"/>
        <v>0.77369043165569118</v>
      </c>
      <c r="JV12" s="363">
        <f t="shared" ca="1" si="118"/>
        <v>0.77825362812407173</v>
      </c>
      <c r="JW12" s="363">
        <f t="shared" ca="1" si="118"/>
        <v>0.77233814009321333</v>
      </c>
      <c r="JX12" s="363">
        <f t="shared" ca="1" si="118"/>
        <v>0.77345989748442912</v>
      </c>
      <c r="JY12" s="363">
        <f t="shared" ca="1" si="118"/>
        <v>0.77115491077398923</v>
      </c>
      <c r="JZ12" s="363">
        <f t="shared" ca="1" si="118"/>
        <v>0.76987696093195679</v>
      </c>
      <c r="KA12" s="363">
        <f t="shared" ca="1" si="118"/>
        <v>0.78288881496207252</v>
      </c>
      <c r="KB12" s="363">
        <f t="shared" ca="1" si="118"/>
        <v>0.77722098774342052</v>
      </c>
      <c r="KC12" s="363">
        <f t="shared" ca="1" si="118"/>
        <v>0.78231140874115879</v>
      </c>
      <c r="KD12" s="363">
        <f t="shared" ca="1" si="118"/>
        <v>0.7886005330569148</v>
      </c>
      <c r="KE12" s="363">
        <f t="shared" ca="1" si="118"/>
        <v>0.78327549686738829</v>
      </c>
      <c r="KF12" s="363">
        <f t="shared" ca="1" si="118"/>
        <v>0.78207973398742547</v>
      </c>
      <c r="KG12" s="363">
        <f t="shared" ca="1" si="118"/>
        <v>0.76487689629174971</v>
      </c>
      <c r="KH12" s="363">
        <f t="shared" ca="1" si="118"/>
        <v>0.77692218779931022</v>
      </c>
      <c r="KI12" s="363">
        <f t="shared" ca="1" si="118"/>
        <v>0.79181887065718659</v>
      </c>
      <c r="KJ12" s="363">
        <f t="shared" ca="1" si="118"/>
        <v>0.77495899163641024</v>
      </c>
      <c r="KK12" s="363">
        <f t="shared" ca="1" si="118"/>
        <v>0.7823009846234299</v>
      </c>
      <c r="KL12" s="363">
        <f t="shared" ca="1" si="118"/>
        <v>0.77723997462303562</v>
      </c>
      <c r="KM12" s="363">
        <f t="shared" ca="1" si="118"/>
        <v>0.79880967412908677</v>
      </c>
      <c r="KN12" s="363">
        <f t="shared" ca="1" si="118"/>
        <v>0.76981546058953365</v>
      </c>
      <c r="KO12" s="363">
        <f t="shared" ca="1" si="118"/>
        <v>0.76799321313849722</v>
      </c>
      <c r="KP12" s="363">
        <f t="shared" ca="1" si="118"/>
        <v>0.78594508483418757</v>
      </c>
      <c r="KQ12" s="363">
        <f t="shared" ca="1" si="118"/>
        <v>0.76381063394650661</v>
      </c>
      <c r="KR12" s="363">
        <f t="shared" ca="1" si="118"/>
        <v>0.75529128037002147</v>
      </c>
      <c r="KS12" s="363">
        <f t="shared" ca="1" si="118"/>
        <v>0.77980289437904893</v>
      </c>
      <c r="KT12" s="363">
        <f t="shared" ca="1" si="118"/>
        <v>0.7702405246390942</v>
      </c>
      <c r="KU12" s="363">
        <f t="shared" ca="1" si="118"/>
        <v>0.78812829463638445</v>
      </c>
      <c r="KV12" s="363">
        <f t="shared" ca="1" si="118"/>
        <v>0.78863361356082073</v>
      </c>
      <c r="KW12" s="363">
        <f t="shared" ca="1" si="118"/>
        <v>0.77557877227549032</v>
      </c>
      <c r="KX12" s="363">
        <f t="shared" ca="1" si="118"/>
        <v>0.79096819830556031</v>
      </c>
      <c r="KY12" s="363">
        <f t="shared" ca="1" si="118"/>
        <v>0.77397298182260621</v>
      </c>
      <c r="KZ12" s="363">
        <f t="shared" ca="1" si="118"/>
        <v>0.78438707610359848</v>
      </c>
      <c r="LA12" s="363">
        <f ca="1">_xlfn.BETA.INV(RAND(),$I$12,$J$12)</f>
        <v>0.77321197547261877</v>
      </c>
      <c r="LB12" s="363">
        <f t="shared" ref="LB12:NM12" ca="1" si="119">_xlfn.BETA.INV(RAND(),$I$12,$J$12)</f>
        <v>0.76978599488346</v>
      </c>
      <c r="LC12" s="363">
        <f t="shared" ca="1" si="119"/>
        <v>0.79311802523502728</v>
      </c>
      <c r="LD12" s="363">
        <f t="shared" ca="1" si="119"/>
        <v>0.75297918717244117</v>
      </c>
      <c r="LE12" s="363">
        <f t="shared" ca="1" si="119"/>
        <v>0.77506454236787314</v>
      </c>
      <c r="LF12" s="363">
        <f t="shared" ca="1" si="119"/>
        <v>0.78160703987816704</v>
      </c>
      <c r="LG12" s="363">
        <f t="shared" ca="1" si="119"/>
        <v>0.7754472892561578</v>
      </c>
      <c r="LH12" s="363">
        <f t="shared" ca="1" si="119"/>
        <v>0.78148741031798608</v>
      </c>
      <c r="LI12" s="363">
        <f t="shared" ca="1" si="119"/>
        <v>0.7739513735636222</v>
      </c>
      <c r="LJ12" s="363">
        <f t="shared" ca="1" si="119"/>
        <v>0.78327048984239089</v>
      </c>
      <c r="LK12" s="363">
        <f t="shared" ca="1" si="119"/>
        <v>0.77885472735445427</v>
      </c>
      <c r="LL12" s="363">
        <f t="shared" ca="1" si="119"/>
        <v>0.77490642329439718</v>
      </c>
      <c r="LM12" s="363">
        <f t="shared" ca="1" si="119"/>
        <v>0.77750868080198632</v>
      </c>
      <c r="LN12" s="363">
        <f t="shared" ca="1" si="119"/>
        <v>0.7962396587683318</v>
      </c>
      <c r="LO12" s="363">
        <f t="shared" ca="1" si="119"/>
        <v>0.77569156914215609</v>
      </c>
      <c r="LP12" s="363">
        <f t="shared" ca="1" si="119"/>
        <v>0.78341160979270597</v>
      </c>
      <c r="LQ12" s="363">
        <f t="shared" ca="1" si="119"/>
        <v>0.78146501041381256</v>
      </c>
      <c r="LR12" s="363">
        <f t="shared" ca="1" si="119"/>
        <v>0.77988893139733229</v>
      </c>
      <c r="LS12" s="363">
        <f t="shared" ca="1" si="119"/>
        <v>0.79166725977610963</v>
      </c>
      <c r="LT12" s="363">
        <f t="shared" ca="1" si="119"/>
        <v>0.77042433545361078</v>
      </c>
      <c r="LU12" s="363">
        <f t="shared" ca="1" si="119"/>
        <v>0.78129571579152834</v>
      </c>
      <c r="LV12" s="363">
        <f t="shared" ca="1" si="119"/>
        <v>0.76561123556093125</v>
      </c>
      <c r="LW12" s="363">
        <f t="shared" ca="1" si="119"/>
        <v>0.77657515242602515</v>
      </c>
      <c r="LX12" s="363">
        <f t="shared" ca="1" si="119"/>
        <v>0.78368758673626715</v>
      </c>
      <c r="LY12" s="363">
        <f t="shared" ca="1" si="119"/>
        <v>0.80003726086649807</v>
      </c>
      <c r="LZ12" s="363">
        <f t="shared" ca="1" si="119"/>
        <v>0.76426838637037553</v>
      </c>
      <c r="MA12" s="363">
        <f t="shared" ca="1" si="119"/>
        <v>0.78171409379005063</v>
      </c>
      <c r="MB12" s="363">
        <f t="shared" ca="1" si="119"/>
        <v>0.7498593889427525</v>
      </c>
      <c r="MC12" s="363">
        <f t="shared" ca="1" si="119"/>
        <v>0.77780785677715669</v>
      </c>
      <c r="MD12" s="363">
        <f t="shared" ca="1" si="119"/>
        <v>0.78041459104429289</v>
      </c>
      <c r="ME12" s="363">
        <f t="shared" ca="1" si="119"/>
        <v>0.77172534474184906</v>
      </c>
      <c r="MF12" s="363">
        <f t="shared" ca="1" si="119"/>
        <v>0.79642974676838041</v>
      </c>
      <c r="MG12" s="363">
        <f t="shared" ca="1" si="119"/>
        <v>0.77047425968783456</v>
      </c>
      <c r="MH12" s="363">
        <f t="shared" ca="1" si="119"/>
        <v>0.77440034157415438</v>
      </c>
      <c r="MI12" s="363">
        <f t="shared" ca="1" si="119"/>
        <v>0.7782683760839777</v>
      </c>
      <c r="MJ12" s="363">
        <f t="shared" ca="1" si="119"/>
        <v>0.7867726399306274</v>
      </c>
      <c r="MK12" s="363">
        <f t="shared" ca="1" si="119"/>
        <v>0.78117533168768349</v>
      </c>
      <c r="ML12" s="363">
        <f t="shared" ca="1" si="119"/>
        <v>0.77065906727419375</v>
      </c>
      <c r="MM12" s="363">
        <f t="shared" ca="1" si="119"/>
        <v>0.77681537947741375</v>
      </c>
      <c r="MN12" s="363">
        <f t="shared" ca="1" si="119"/>
        <v>0.77658422112140879</v>
      </c>
      <c r="MO12" s="363">
        <f t="shared" ca="1" si="119"/>
        <v>0.78631382967983132</v>
      </c>
      <c r="MP12" s="363">
        <f t="shared" ca="1" si="119"/>
        <v>0.76252219645381614</v>
      </c>
      <c r="MQ12" s="363">
        <f t="shared" ca="1" si="119"/>
        <v>0.76743557704335708</v>
      </c>
      <c r="MR12" s="363">
        <f t="shared" ca="1" si="119"/>
        <v>0.76812462925497937</v>
      </c>
      <c r="MS12" s="363">
        <f t="shared" ca="1" si="119"/>
        <v>0.78375855934831595</v>
      </c>
      <c r="MT12" s="363">
        <f t="shared" ca="1" si="119"/>
        <v>0.77025555081277253</v>
      </c>
      <c r="MU12" s="363">
        <f t="shared" ca="1" si="119"/>
        <v>0.79145084861190584</v>
      </c>
      <c r="MV12" s="363">
        <f t="shared" ca="1" si="119"/>
        <v>0.78905596494926744</v>
      </c>
      <c r="MW12" s="363">
        <f t="shared" ca="1" si="119"/>
        <v>0.77029476384325635</v>
      </c>
      <c r="MX12" s="363">
        <f t="shared" ca="1" si="119"/>
        <v>0.78424876464466342</v>
      </c>
      <c r="MY12" s="363">
        <f t="shared" ca="1" si="119"/>
        <v>0.79027410602198744</v>
      </c>
      <c r="MZ12" s="363">
        <f t="shared" ca="1" si="119"/>
        <v>0.77581980532394934</v>
      </c>
      <c r="NA12" s="363">
        <f t="shared" ca="1" si="119"/>
        <v>0.76630360127503283</v>
      </c>
      <c r="NB12" s="363">
        <f t="shared" ca="1" si="119"/>
        <v>0.75504040202975031</v>
      </c>
      <c r="NC12" s="363">
        <f t="shared" ca="1" si="119"/>
        <v>0.793247536180407</v>
      </c>
      <c r="ND12" s="363">
        <f t="shared" ca="1" si="119"/>
        <v>0.77058463292883661</v>
      </c>
      <c r="NE12" s="363">
        <f t="shared" ca="1" si="119"/>
        <v>0.77400934929762322</v>
      </c>
      <c r="NF12" s="363">
        <f t="shared" ca="1" si="119"/>
        <v>0.78272543575092801</v>
      </c>
      <c r="NG12" s="363">
        <f t="shared" ca="1" si="119"/>
        <v>0.77142614255543274</v>
      </c>
      <c r="NH12" s="363">
        <f t="shared" ca="1" si="119"/>
        <v>0.76600242233137539</v>
      </c>
      <c r="NI12" s="363">
        <f t="shared" ca="1" si="119"/>
        <v>0.771115552470517</v>
      </c>
      <c r="NJ12" s="363">
        <f t="shared" ca="1" si="119"/>
        <v>0.75109012645624329</v>
      </c>
      <c r="NK12" s="363">
        <f t="shared" ca="1" si="119"/>
        <v>0.78624437256267921</v>
      </c>
      <c r="NL12" s="363">
        <f t="shared" ca="1" si="119"/>
        <v>0.76898848924919549</v>
      </c>
      <c r="NM12" s="363">
        <f t="shared" ca="1" si="119"/>
        <v>0.77404584962994938</v>
      </c>
      <c r="NN12" s="363">
        <f t="shared" ref="NN12:OV12" ca="1" si="120">_xlfn.BETA.INV(RAND(),$I$12,$J$12)</f>
        <v>0.78988504822925454</v>
      </c>
      <c r="NO12" s="363">
        <f t="shared" ca="1" si="120"/>
        <v>0.78124062864891375</v>
      </c>
      <c r="NP12" s="363">
        <f t="shared" ca="1" si="120"/>
        <v>0.78021886391189366</v>
      </c>
      <c r="NQ12" s="363">
        <f t="shared" ca="1" si="120"/>
        <v>0.78968205521096113</v>
      </c>
      <c r="NR12" s="363">
        <f t="shared" ca="1" si="120"/>
        <v>0.78233351575137944</v>
      </c>
      <c r="NS12" s="363">
        <f t="shared" ca="1" si="120"/>
        <v>0.77238768899531296</v>
      </c>
      <c r="NT12" s="363">
        <f t="shared" ca="1" si="120"/>
        <v>0.78427682113954811</v>
      </c>
      <c r="NU12" s="363">
        <f t="shared" ca="1" si="120"/>
        <v>0.77522368895597848</v>
      </c>
      <c r="NV12" s="363">
        <f t="shared" ca="1" si="120"/>
        <v>0.77230737724679521</v>
      </c>
      <c r="NW12" s="363">
        <f t="shared" ca="1" si="120"/>
        <v>0.78833174353613999</v>
      </c>
      <c r="NX12" s="363">
        <f t="shared" ca="1" si="120"/>
        <v>0.75754962437075923</v>
      </c>
      <c r="NY12" s="363">
        <f t="shared" ca="1" si="120"/>
        <v>0.79312427871532498</v>
      </c>
      <c r="NZ12" s="363">
        <f t="shared" ca="1" si="120"/>
        <v>0.77454904105858979</v>
      </c>
      <c r="OA12" s="363">
        <f t="shared" ca="1" si="120"/>
        <v>0.77392190385941362</v>
      </c>
      <c r="OB12" s="363">
        <f t="shared" ca="1" si="120"/>
        <v>0.78106823563262229</v>
      </c>
      <c r="OC12" s="363">
        <f t="shared" ca="1" si="120"/>
        <v>0.7872696974316381</v>
      </c>
      <c r="OD12" s="363">
        <f t="shared" ca="1" si="120"/>
        <v>0.79021257345624596</v>
      </c>
      <c r="OE12" s="363">
        <f t="shared" ca="1" si="120"/>
        <v>0.7790320646333746</v>
      </c>
      <c r="OF12" s="363">
        <f t="shared" ca="1" si="120"/>
        <v>0.77420354252225076</v>
      </c>
      <c r="OG12" s="363">
        <f t="shared" ca="1" si="120"/>
        <v>0.7862617260075847</v>
      </c>
      <c r="OH12" s="363">
        <f t="shared" ca="1" si="120"/>
        <v>0.79053027133133391</v>
      </c>
      <c r="OI12" s="363">
        <f t="shared" ca="1" si="120"/>
        <v>0.78528598775375369</v>
      </c>
      <c r="OJ12" s="363">
        <f t="shared" ca="1" si="120"/>
        <v>0.77601853919343666</v>
      </c>
      <c r="OK12" s="363">
        <f t="shared" ca="1" si="120"/>
        <v>0.77146847521721695</v>
      </c>
      <c r="OL12" s="363">
        <f t="shared" ca="1" si="120"/>
        <v>0.78248761377495768</v>
      </c>
      <c r="OM12" s="363">
        <f t="shared" ca="1" si="120"/>
        <v>0.78238008203406029</v>
      </c>
      <c r="ON12" s="363">
        <f t="shared" ca="1" si="120"/>
        <v>0.77648598288591419</v>
      </c>
      <c r="OO12" s="363">
        <f t="shared" ca="1" si="120"/>
        <v>0.77117719766766113</v>
      </c>
      <c r="OP12" s="363">
        <f t="shared" ca="1" si="120"/>
        <v>0.7808761856383688</v>
      </c>
      <c r="OQ12" s="363">
        <f t="shared" ca="1" si="120"/>
        <v>0.77770759386237709</v>
      </c>
      <c r="OR12" s="363">
        <f t="shared" ca="1" si="120"/>
        <v>0.78320218454566326</v>
      </c>
      <c r="OS12" s="363">
        <f t="shared" ca="1" si="120"/>
        <v>0.78027560629118098</v>
      </c>
      <c r="OT12" s="363">
        <f t="shared" ca="1" si="120"/>
        <v>0.78610997062682686</v>
      </c>
      <c r="OU12" s="363">
        <f t="shared" ca="1" si="120"/>
        <v>0.77575894321162375</v>
      </c>
      <c r="OV12" s="363">
        <f t="shared" ca="1" si="120"/>
        <v>0.75503284516158087</v>
      </c>
      <c r="OW12" s="363">
        <f ca="1">_xlfn.BETA.INV(RAND(),$I$12,$J$12)</f>
        <v>0.77791009446561021</v>
      </c>
      <c r="OX12" s="363">
        <f t="shared" ref="OX12:RI12" ca="1" si="121">_xlfn.BETA.INV(RAND(),$I$12,$J$12)</f>
        <v>0.77423618350833801</v>
      </c>
      <c r="OY12" s="363">
        <f t="shared" ca="1" si="121"/>
        <v>0.76305244050179521</v>
      </c>
      <c r="OZ12" s="363">
        <f t="shared" ca="1" si="121"/>
        <v>0.77930153578623174</v>
      </c>
      <c r="PA12" s="363">
        <f t="shared" ca="1" si="121"/>
        <v>0.77079363697077052</v>
      </c>
      <c r="PB12" s="363">
        <f t="shared" ca="1" si="121"/>
        <v>0.77955261990709812</v>
      </c>
      <c r="PC12" s="363">
        <f t="shared" ca="1" si="121"/>
        <v>0.77199061754823228</v>
      </c>
      <c r="PD12" s="363">
        <f t="shared" ca="1" si="121"/>
        <v>0.79633976467130818</v>
      </c>
      <c r="PE12" s="363">
        <f t="shared" ca="1" si="121"/>
        <v>0.78385846876399023</v>
      </c>
      <c r="PF12" s="363">
        <f t="shared" ca="1" si="121"/>
        <v>0.77604991632283626</v>
      </c>
      <c r="PG12" s="363">
        <f t="shared" ca="1" si="121"/>
        <v>0.77722817035616176</v>
      </c>
      <c r="PH12" s="363">
        <f t="shared" ca="1" si="121"/>
        <v>0.78747514277972019</v>
      </c>
      <c r="PI12" s="363">
        <f t="shared" ca="1" si="121"/>
        <v>0.79442434990273547</v>
      </c>
      <c r="PJ12" s="363">
        <f t="shared" ca="1" si="121"/>
        <v>0.77781127745703682</v>
      </c>
      <c r="PK12" s="363">
        <f t="shared" ca="1" si="121"/>
        <v>0.78383532771504827</v>
      </c>
      <c r="PL12" s="363">
        <f t="shared" ca="1" si="121"/>
        <v>0.78556304700224566</v>
      </c>
      <c r="PM12" s="363">
        <f t="shared" ca="1" si="121"/>
        <v>0.77663713175972404</v>
      </c>
      <c r="PN12" s="363">
        <f t="shared" ca="1" si="121"/>
        <v>0.77512576162785951</v>
      </c>
      <c r="PO12" s="363">
        <f t="shared" ca="1" si="121"/>
        <v>0.77019188284242535</v>
      </c>
      <c r="PP12" s="363">
        <f t="shared" ca="1" si="121"/>
        <v>0.76512483068105408</v>
      </c>
      <c r="PQ12" s="363">
        <f t="shared" ca="1" si="121"/>
        <v>0.79339406383946476</v>
      </c>
      <c r="PR12" s="363">
        <f t="shared" ca="1" si="121"/>
        <v>0.77955574645496784</v>
      </c>
      <c r="PS12" s="363">
        <f t="shared" ca="1" si="121"/>
        <v>0.77507117981953466</v>
      </c>
      <c r="PT12" s="363">
        <f t="shared" ca="1" si="121"/>
        <v>0.7474893596808474</v>
      </c>
      <c r="PU12" s="363">
        <f t="shared" ca="1" si="121"/>
        <v>0.79770131853003945</v>
      </c>
      <c r="PV12" s="363">
        <f t="shared" ca="1" si="121"/>
        <v>0.77211223090055625</v>
      </c>
      <c r="PW12" s="363">
        <f t="shared" ca="1" si="121"/>
        <v>0.78521310259130717</v>
      </c>
      <c r="PX12" s="363">
        <f t="shared" ca="1" si="121"/>
        <v>0.7599320224758136</v>
      </c>
      <c r="PY12" s="363">
        <f t="shared" ca="1" si="121"/>
        <v>0.77350752251892285</v>
      </c>
      <c r="PZ12" s="363">
        <f t="shared" ca="1" si="121"/>
        <v>0.78326533806795884</v>
      </c>
      <c r="QA12" s="363">
        <f t="shared" ca="1" si="121"/>
        <v>0.79239918096102446</v>
      </c>
      <c r="QB12" s="363">
        <f t="shared" ca="1" si="121"/>
        <v>0.78171651931992425</v>
      </c>
      <c r="QC12" s="363">
        <f t="shared" ca="1" si="121"/>
        <v>0.79499576754539003</v>
      </c>
      <c r="QD12" s="363">
        <f t="shared" ca="1" si="121"/>
        <v>0.77505350051585364</v>
      </c>
      <c r="QE12" s="363">
        <f t="shared" ca="1" si="121"/>
        <v>0.77954875424815373</v>
      </c>
      <c r="QF12" s="363">
        <f t="shared" ca="1" si="121"/>
        <v>0.77570293534424239</v>
      </c>
      <c r="QG12" s="363">
        <f t="shared" ca="1" si="121"/>
        <v>0.77682334780475759</v>
      </c>
      <c r="QH12" s="363">
        <f t="shared" ca="1" si="121"/>
        <v>0.77848832426335846</v>
      </c>
      <c r="QI12" s="363">
        <f t="shared" ca="1" si="121"/>
        <v>0.7836055063552736</v>
      </c>
      <c r="QJ12" s="363">
        <f t="shared" ca="1" si="121"/>
        <v>0.7792349476291911</v>
      </c>
      <c r="QK12" s="363">
        <f t="shared" ca="1" si="121"/>
        <v>0.77600783128134621</v>
      </c>
      <c r="QL12" s="363">
        <f t="shared" ca="1" si="121"/>
        <v>0.78970541996263199</v>
      </c>
      <c r="QM12" s="363">
        <f t="shared" ca="1" si="121"/>
        <v>0.78118237988187667</v>
      </c>
      <c r="QN12" s="363">
        <f t="shared" ca="1" si="121"/>
        <v>0.78069305307245473</v>
      </c>
      <c r="QO12" s="363">
        <f t="shared" ca="1" si="121"/>
        <v>0.77697467014876298</v>
      </c>
      <c r="QP12" s="363">
        <f t="shared" ca="1" si="121"/>
        <v>0.77534859240798626</v>
      </c>
      <c r="QQ12" s="363">
        <f t="shared" ca="1" si="121"/>
        <v>0.78440278309484035</v>
      </c>
      <c r="QR12" s="363">
        <f t="shared" ca="1" si="121"/>
        <v>0.76990020438361284</v>
      </c>
      <c r="QS12" s="363">
        <f t="shared" ca="1" si="121"/>
        <v>0.79313420599695839</v>
      </c>
      <c r="QT12" s="363">
        <f t="shared" ca="1" si="121"/>
        <v>0.78052353739162295</v>
      </c>
      <c r="QU12" s="363">
        <f t="shared" ca="1" si="121"/>
        <v>0.76797558241553054</v>
      </c>
      <c r="QV12" s="363">
        <f t="shared" ca="1" si="121"/>
        <v>0.76713234362452043</v>
      </c>
      <c r="QW12" s="363">
        <f t="shared" ca="1" si="121"/>
        <v>0.78719873874069135</v>
      </c>
      <c r="QX12" s="363">
        <f t="shared" ca="1" si="121"/>
        <v>0.78737574535377641</v>
      </c>
      <c r="QY12" s="363">
        <f t="shared" ca="1" si="121"/>
        <v>0.77829943439428384</v>
      </c>
      <c r="QZ12" s="363">
        <f t="shared" ca="1" si="121"/>
        <v>0.75771293593277045</v>
      </c>
      <c r="RA12" s="363">
        <f t="shared" ca="1" si="121"/>
        <v>0.77582473069146374</v>
      </c>
      <c r="RB12" s="363">
        <f t="shared" ca="1" si="121"/>
        <v>0.77026752732420456</v>
      </c>
      <c r="RC12" s="363">
        <f t="shared" ca="1" si="121"/>
        <v>0.76667603646861548</v>
      </c>
      <c r="RD12" s="363">
        <f t="shared" ca="1" si="121"/>
        <v>0.77929691810322987</v>
      </c>
      <c r="RE12" s="363">
        <f t="shared" ca="1" si="121"/>
        <v>0.79254317856597278</v>
      </c>
      <c r="RF12" s="363">
        <f t="shared" ca="1" si="121"/>
        <v>0.78483718212373244</v>
      </c>
      <c r="RG12" s="363">
        <f t="shared" ca="1" si="121"/>
        <v>0.7822815406453365</v>
      </c>
      <c r="RH12" s="363">
        <f t="shared" ca="1" si="121"/>
        <v>0.77757980228030721</v>
      </c>
      <c r="RI12" s="363">
        <f t="shared" ca="1" si="121"/>
        <v>0.77889219608492188</v>
      </c>
      <c r="RJ12" s="363">
        <f t="shared" ref="RJ12:SR12" ca="1" si="122">_xlfn.BETA.INV(RAND(),$I$12,$J$12)</f>
        <v>0.7857673043206248</v>
      </c>
      <c r="RK12" s="363">
        <f t="shared" ca="1" si="122"/>
        <v>0.77727619616698562</v>
      </c>
      <c r="RL12" s="363">
        <f t="shared" ca="1" si="122"/>
        <v>0.77782321210224525</v>
      </c>
      <c r="RM12" s="363">
        <f t="shared" ca="1" si="122"/>
        <v>0.77818626291445625</v>
      </c>
      <c r="RN12" s="363">
        <f t="shared" ca="1" si="122"/>
        <v>0.78407348713480973</v>
      </c>
      <c r="RO12" s="363">
        <f t="shared" ca="1" si="122"/>
        <v>0.79808912545842015</v>
      </c>
      <c r="RP12" s="363">
        <f t="shared" ca="1" si="122"/>
        <v>0.77060717464906536</v>
      </c>
      <c r="RQ12" s="363">
        <f t="shared" ca="1" si="122"/>
        <v>0.7965416681149281</v>
      </c>
      <c r="RR12" s="363">
        <f t="shared" ca="1" si="122"/>
        <v>0.76734517552836212</v>
      </c>
      <c r="RS12" s="363">
        <f t="shared" ca="1" si="122"/>
        <v>0.78704473015523657</v>
      </c>
      <c r="RT12" s="363">
        <f t="shared" ca="1" si="122"/>
        <v>0.77962730692991478</v>
      </c>
      <c r="RU12" s="363">
        <f t="shared" ca="1" si="122"/>
        <v>0.77454724394742314</v>
      </c>
      <c r="RV12" s="363">
        <f t="shared" ca="1" si="122"/>
        <v>0.79021470225489987</v>
      </c>
      <c r="RW12" s="363">
        <f t="shared" ca="1" si="122"/>
        <v>0.78422158501708605</v>
      </c>
      <c r="RX12" s="363">
        <f t="shared" ca="1" si="122"/>
        <v>0.76859293329269696</v>
      </c>
      <c r="RY12" s="363">
        <f t="shared" ca="1" si="122"/>
        <v>0.76731421957119028</v>
      </c>
      <c r="RZ12" s="363">
        <f t="shared" ca="1" si="122"/>
        <v>0.76340274904134486</v>
      </c>
      <c r="SA12" s="363">
        <f t="shared" ca="1" si="122"/>
        <v>0.77305520752428758</v>
      </c>
      <c r="SB12" s="363">
        <f t="shared" ca="1" si="122"/>
        <v>0.76180291204088058</v>
      </c>
      <c r="SC12" s="363">
        <f t="shared" ca="1" si="122"/>
        <v>0.8058953640581632</v>
      </c>
      <c r="SD12" s="363">
        <f t="shared" ca="1" si="122"/>
        <v>0.78631437389711956</v>
      </c>
      <c r="SE12" s="363">
        <f t="shared" ca="1" si="122"/>
        <v>0.78485724166951121</v>
      </c>
      <c r="SF12" s="363">
        <f t="shared" ca="1" si="122"/>
        <v>0.75443655287907752</v>
      </c>
      <c r="SG12" s="363">
        <f t="shared" ca="1" si="122"/>
        <v>0.76679920871731766</v>
      </c>
      <c r="SH12" s="363">
        <f t="shared" ca="1" si="122"/>
        <v>0.7728316816319295</v>
      </c>
      <c r="SI12" s="363">
        <f t="shared" ca="1" si="122"/>
        <v>0.78206636584410683</v>
      </c>
      <c r="SJ12" s="363">
        <f t="shared" ca="1" si="122"/>
        <v>0.77378361267558982</v>
      </c>
      <c r="SK12" s="363">
        <f t="shared" ca="1" si="122"/>
        <v>0.7801233172454386</v>
      </c>
      <c r="SL12" s="363">
        <f t="shared" ca="1" si="122"/>
        <v>0.77741229426328406</v>
      </c>
      <c r="SM12" s="363">
        <f t="shared" ca="1" si="122"/>
        <v>0.7669389839721924</v>
      </c>
      <c r="SN12" s="363">
        <f t="shared" ca="1" si="122"/>
        <v>0.77669006297760401</v>
      </c>
      <c r="SO12" s="363">
        <f t="shared" ca="1" si="122"/>
        <v>0.78385848976803996</v>
      </c>
      <c r="SP12" s="363">
        <f t="shared" ca="1" si="122"/>
        <v>0.75892088721993101</v>
      </c>
      <c r="SQ12" s="363">
        <f t="shared" ca="1" si="122"/>
        <v>0.77124641380515424</v>
      </c>
      <c r="SR12" s="363">
        <f t="shared" ca="1" si="122"/>
        <v>0.80240646962157158</v>
      </c>
      <c r="SS12" s="363">
        <f ca="1">_xlfn.BETA.INV(RAND(),$I$12,$J$12)</f>
        <v>0.78649009145312565</v>
      </c>
      <c r="ST12" s="363">
        <f t="shared" ref="ST12:VE12" ca="1" si="123">_xlfn.BETA.INV(RAND(),$I$12,$J$12)</f>
        <v>0.79106988069278728</v>
      </c>
      <c r="SU12" s="363">
        <f t="shared" ca="1" si="123"/>
        <v>0.77442882283524173</v>
      </c>
      <c r="SV12" s="363">
        <f t="shared" ca="1" si="123"/>
        <v>0.78573241769667779</v>
      </c>
      <c r="SW12" s="363">
        <f t="shared" ca="1" si="123"/>
        <v>0.76884000086524207</v>
      </c>
      <c r="SX12" s="363">
        <f t="shared" ca="1" si="123"/>
        <v>0.78657002341227689</v>
      </c>
      <c r="SY12" s="363">
        <f t="shared" ca="1" si="123"/>
        <v>0.77380311489818954</v>
      </c>
      <c r="SZ12" s="363">
        <f t="shared" ca="1" si="123"/>
        <v>0.78215820474428022</v>
      </c>
      <c r="TA12" s="363">
        <f t="shared" ca="1" si="123"/>
        <v>0.78260644311027616</v>
      </c>
      <c r="TB12" s="363">
        <f t="shared" ca="1" si="123"/>
        <v>0.78034389999781906</v>
      </c>
      <c r="TC12" s="363">
        <f t="shared" ca="1" si="123"/>
        <v>0.78076316973115312</v>
      </c>
      <c r="TD12" s="363">
        <f t="shared" ca="1" si="123"/>
        <v>0.78452591098460056</v>
      </c>
      <c r="TE12" s="363">
        <f t="shared" ca="1" si="123"/>
        <v>0.7692969494907983</v>
      </c>
      <c r="TF12" s="363">
        <f t="shared" ca="1" si="123"/>
        <v>0.76737128322435444</v>
      </c>
      <c r="TG12" s="363">
        <f t="shared" ca="1" si="123"/>
        <v>0.7750731788477514</v>
      </c>
      <c r="TH12" s="363">
        <f t="shared" ca="1" si="123"/>
        <v>0.76509020570668818</v>
      </c>
      <c r="TI12" s="363">
        <f t="shared" ca="1" si="123"/>
        <v>0.77720045111653124</v>
      </c>
      <c r="TJ12" s="363">
        <f t="shared" ca="1" si="123"/>
        <v>0.78215760926972733</v>
      </c>
      <c r="TK12" s="363">
        <f t="shared" ca="1" si="123"/>
        <v>0.78580312977133726</v>
      </c>
      <c r="TL12" s="363">
        <f t="shared" ca="1" si="123"/>
        <v>0.77260506506042181</v>
      </c>
      <c r="TM12" s="363">
        <f t="shared" ca="1" si="123"/>
        <v>0.79623902753074771</v>
      </c>
      <c r="TN12" s="363">
        <f t="shared" ca="1" si="123"/>
        <v>0.76200917158621517</v>
      </c>
      <c r="TO12" s="363">
        <f t="shared" ca="1" si="123"/>
        <v>0.7918417588816653</v>
      </c>
      <c r="TP12" s="363">
        <f t="shared" ca="1" si="123"/>
        <v>0.77350444619792358</v>
      </c>
      <c r="TQ12" s="363">
        <f t="shared" ca="1" si="123"/>
        <v>0.76554117194019011</v>
      </c>
      <c r="TR12" s="363">
        <f t="shared" ca="1" si="123"/>
        <v>0.78519069855463641</v>
      </c>
      <c r="TS12" s="363">
        <f t="shared" ca="1" si="123"/>
        <v>0.78122468210619855</v>
      </c>
      <c r="TT12" s="363">
        <f t="shared" ca="1" si="123"/>
        <v>0.78643077652190718</v>
      </c>
      <c r="TU12" s="363">
        <f t="shared" ca="1" si="123"/>
        <v>0.79489824187785796</v>
      </c>
      <c r="TV12" s="363">
        <f t="shared" ca="1" si="123"/>
        <v>0.7936625927365184</v>
      </c>
      <c r="TW12" s="363">
        <f t="shared" ca="1" si="123"/>
        <v>0.78860222698499849</v>
      </c>
      <c r="TX12" s="363">
        <f t="shared" ca="1" si="123"/>
        <v>0.78265656083315405</v>
      </c>
      <c r="TY12" s="363">
        <f t="shared" ca="1" si="123"/>
        <v>0.76697171618413884</v>
      </c>
      <c r="TZ12" s="363">
        <f t="shared" ca="1" si="123"/>
        <v>0.78549610774191414</v>
      </c>
      <c r="UA12" s="363">
        <f t="shared" ca="1" si="123"/>
        <v>0.79193744454377812</v>
      </c>
      <c r="UB12" s="363">
        <f t="shared" ca="1" si="123"/>
        <v>0.79017930504332501</v>
      </c>
      <c r="UC12" s="363">
        <f t="shared" ca="1" si="123"/>
        <v>0.77008494562767726</v>
      </c>
      <c r="UD12" s="363">
        <f t="shared" ca="1" si="123"/>
        <v>0.76617085321104228</v>
      </c>
      <c r="UE12" s="363">
        <f t="shared" ca="1" si="123"/>
        <v>0.79710539851153239</v>
      </c>
      <c r="UF12" s="363">
        <f t="shared" ca="1" si="123"/>
        <v>0.77832498886782731</v>
      </c>
      <c r="UG12" s="363">
        <f t="shared" ca="1" si="123"/>
        <v>0.77073217908336267</v>
      </c>
      <c r="UH12" s="363">
        <f t="shared" ca="1" si="123"/>
        <v>0.7818073081075736</v>
      </c>
      <c r="UI12" s="363">
        <f t="shared" ca="1" si="123"/>
        <v>0.78485985474194431</v>
      </c>
      <c r="UJ12" s="363">
        <f t="shared" ca="1" si="123"/>
        <v>0.79414152481220179</v>
      </c>
      <c r="UK12" s="363">
        <f t="shared" ca="1" si="123"/>
        <v>0.78558702284218274</v>
      </c>
      <c r="UL12" s="363">
        <f t="shared" ca="1" si="123"/>
        <v>0.77847907144028294</v>
      </c>
      <c r="UM12" s="363">
        <f t="shared" ca="1" si="123"/>
        <v>0.78916524975346458</v>
      </c>
      <c r="UN12" s="363">
        <f t="shared" ca="1" si="123"/>
        <v>0.78388299213190304</v>
      </c>
      <c r="UO12" s="363">
        <f t="shared" ca="1" si="123"/>
        <v>0.76884279856422144</v>
      </c>
      <c r="UP12" s="363">
        <f t="shared" ca="1" si="123"/>
        <v>0.80254341501240534</v>
      </c>
      <c r="UQ12" s="363">
        <f t="shared" ca="1" si="123"/>
        <v>0.77616607382690073</v>
      </c>
      <c r="UR12" s="363">
        <f t="shared" ca="1" si="123"/>
        <v>0.77529062516078939</v>
      </c>
      <c r="US12" s="363">
        <f t="shared" ca="1" si="123"/>
        <v>0.80121025901988663</v>
      </c>
      <c r="UT12" s="363">
        <f t="shared" ca="1" si="123"/>
        <v>0.783171424549716</v>
      </c>
      <c r="UU12" s="363">
        <f t="shared" ca="1" si="123"/>
        <v>0.74605134066913081</v>
      </c>
      <c r="UV12" s="363">
        <f t="shared" ca="1" si="123"/>
        <v>0.77854187798122276</v>
      </c>
      <c r="UW12" s="363">
        <f t="shared" ca="1" si="123"/>
        <v>0.78746695191647176</v>
      </c>
      <c r="UX12" s="363">
        <f t="shared" ca="1" si="123"/>
        <v>0.77021092530609725</v>
      </c>
      <c r="UY12" s="363">
        <f t="shared" ca="1" si="123"/>
        <v>0.76821145506620059</v>
      </c>
      <c r="UZ12" s="363">
        <f t="shared" ca="1" si="123"/>
        <v>0.7778687315747681</v>
      </c>
      <c r="VA12" s="363">
        <f t="shared" ca="1" si="123"/>
        <v>0.77730136036633346</v>
      </c>
      <c r="VB12" s="363">
        <f t="shared" ca="1" si="123"/>
        <v>0.78367138926731583</v>
      </c>
      <c r="VC12" s="363">
        <f t="shared" ca="1" si="123"/>
        <v>0.78053905416499092</v>
      </c>
      <c r="VD12" s="363">
        <f t="shared" ca="1" si="123"/>
        <v>0.7627861721769813</v>
      </c>
      <c r="VE12" s="363">
        <f t="shared" ca="1" si="123"/>
        <v>0.78726940887776542</v>
      </c>
      <c r="VF12" s="363">
        <f t="shared" ref="VF12:WN12" ca="1" si="124">_xlfn.BETA.INV(RAND(),$I$12,$J$12)</f>
        <v>0.77514906293385066</v>
      </c>
      <c r="VG12" s="363">
        <f t="shared" ca="1" si="124"/>
        <v>0.7766009410210124</v>
      </c>
      <c r="VH12" s="363">
        <f t="shared" ca="1" si="124"/>
        <v>0.77777405370890151</v>
      </c>
      <c r="VI12" s="363">
        <f t="shared" ca="1" si="124"/>
        <v>0.78172317046570738</v>
      </c>
      <c r="VJ12" s="363">
        <f t="shared" ca="1" si="124"/>
        <v>0.76676231790571459</v>
      </c>
      <c r="VK12" s="363">
        <f t="shared" ca="1" si="124"/>
        <v>0.77143097304257313</v>
      </c>
      <c r="VL12" s="363">
        <f t="shared" ca="1" si="124"/>
        <v>0.7730389450008206</v>
      </c>
      <c r="VM12" s="363">
        <f t="shared" ca="1" si="124"/>
        <v>0.76337629410643681</v>
      </c>
      <c r="VN12" s="363">
        <f t="shared" ca="1" si="124"/>
        <v>0.78612312792539707</v>
      </c>
      <c r="VO12" s="363">
        <f t="shared" ca="1" si="124"/>
        <v>0.77877400034654065</v>
      </c>
      <c r="VP12" s="363">
        <f t="shared" ca="1" si="124"/>
        <v>0.77213738502180052</v>
      </c>
      <c r="VQ12" s="363">
        <f t="shared" ca="1" si="124"/>
        <v>0.77579394530434376</v>
      </c>
      <c r="VR12" s="363">
        <f t="shared" ca="1" si="124"/>
        <v>0.78314651304637006</v>
      </c>
      <c r="VS12" s="363">
        <f t="shared" ca="1" si="124"/>
        <v>0.78648497809511575</v>
      </c>
      <c r="VT12" s="363">
        <f t="shared" ca="1" si="124"/>
        <v>0.77954561512468645</v>
      </c>
      <c r="VU12" s="363">
        <f t="shared" ca="1" si="124"/>
        <v>0.76965173956035215</v>
      </c>
      <c r="VV12" s="363">
        <f t="shared" ca="1" si="124"/>
        <v>0.78330218429995813</v>
      </c>
      <c r="VW12" s="363">
        <f t="shared" ca="1" si="124"/>
        <v>0.79017246865497437</v>
      </c>
      <c r="VX12" s="363">
        <f t="shared" ca="1" si="124"/>
        <v>0.78370737386800871</v>
      </c>
      <c r="VY12" s="363">
        <f t="shared" ca="1" si="124"/>
        <v>0.78461752260777662</v>
      </c>
      <c r="VZ12" s="363">
        <f t="shared" ca="1" si="124"/>
        <v>0.77331300411173409</v>
      </c>
      <c r="WA12" s="363">
        <f t="shared" ca="1" si="124"/>
        <v>0.77081060228645604</v>
      </c>
      <c r="WB12" s="363">
        <f t="shared" ca="1" si="124"/>
        <v>0.78927837090533526</v>
      </c>
      <c r="WC12" s="363">
        <f t="shared" ca="1" si="124"/>
        <v>0.77590419354324169</v>
      </c>
      <c r="WD12" s="363">
        <f t="shared" ca="1" si="124"/>
        <v>0.77833629943493998</v>
      </c>
      <c r="WE12" s="363">
        <f t="shared" ca="1" si="124"/>
        <v>0.7831077569317052</v>
      </c>
      <c r="WF12" s="363">
        <f t="shared" ca="1" si="124"/>
        <v>0.78515491804333526</v>
      </c>
      <c r="WG12" s="363">
        <f t="shared" ca="1" si="124"/>
        <v>0.76227217560768201</v>
      </c>
      <c r="WH12" s="363">
        <f t="shared" ca="1" si="124"/>
        <v>0.75838707348051659</v>
      </c>
      <c r="WI12" s="363">
        <f t="shared" ca="1" si="124"/>
        <v>0.78044348600132307</v>
      </c>
      <c r="WJ12" s="363">
        <f t="shared" ca="1" si="124"/>
        <v>0.77921180475948826</v>
      </c>
      <c r="WK12" s="363">
        <f t="shared" ca="1" si="124"/>
        <v>0.78494906118381391</v>
      </c>
      <c r="WL12" s="363">
        <f t="shared" ca="1" si="124"/>
        <v>0.77556336127932279</v>
      </c>
      <c r="WM12" s="363">
        <f t="shared" ca="1" si="124"/>
        <v>0.77838636878768874</v>
      </c>
      <c r="WN12" s="363">
        <f t="shared" ca="1" si="124"/>
        <v>0.77133881430271445</v>
      </c>
    </row>
    <row r="13" spans="2:612" x14ac:dyDescent="0.15">
      <c r="B13" s="470" t="s">
        <v>506</v>
      </c>
      <c r="D13" s="363">
        <f t="shared" si="0"/>
        <v>0.82099999999999995</v>
      </c>
      <c r="F13" s="367">
        <v>0.82099999999999995</v>
      </c>
      <c r="G13" s="367" t="s">
        <v>350</v>
      </c>
      <c r="H13" s="363">
        <v>3.7999999999999999E-2</v>
      </c>
      <c r="I13" s="438">
        <f t="shared" si="87"/>
        <v>82.733943905817185</v>
      </c>
      <c r="J13" s="438">
        <f t="shared" si="88"/>
        <v>18.038216759002779</v>
      </c>
      <c r="K13" s="367" t="s">
        <v>1273</v>
      </c>
      <c r="M13" s="363">
        <f ca="1">_xlfn.BETA.INV(RAND(),$I$13,$J$13)</f>
        <v>0.8550309567331511</v>
      </c>
      <c r="N13" s="363">
        <f t="shared" ref="N13:BY13" ca="1" si="125">_xlfn.BETA.INV(RAND(),$I$13,$J$13)</f>
        <v>0.77860329995864863</v>
      </c>
      <c r="O13" s="363">
        <f t="shared" ca="1" si="125"/>
        <v>0.88113811174340395</v>
      </c>
      <c r="P13" s="363">
        <f t="shared" ca="1" si="125"/>
        <v>0.82690189170380046</v>
      </c>
      <c r="Q13" s="363">
        <f t="shared" ca="1" si="125"/>
        <v>0.83273703487765571</v>
      </c>
      <c r="R13" s="363">
        <f t="shared" ca="1" si="125"/>
        <v>0.78981009091890775</v>
      </c>
      <c r="S13" s="363">
        <f t="shared" ca="1" si="125"/>
        <v>0.80933579507425157</v>
      </c>
      <c r="T13" s="363">
        <f t="shared" ca="1" si="125"/>
        <v>0.83252941161238081</v>
      </c>
      <c r="U13" s="363">
        <f t="shared" ca="1" si="125"/>
        <v>0.77873936466547056</v>
      </c>
      <c r="V13" s="363">
        <f t="shared" ca="1" si="125"/>
        <v>0.78336614779030334</v>
      </c>
      <c r="W13" s="363">
        <f t="shared" ca="1" si="125"/>
        <v>0.84221023444666387</v>
      </c>
      <c r="X13" s="363">
        <f t="shared" ca="1" si="125"/>
        <v>0.83712057563827291</v>
      </c>
      <c r="Y13" s="363">
        <f t="shared" ca="1" si="125"/>
        <v>0.80114350055592709</v>
      </c>
      <c r="Z13" s="363">
        <f t="shared" ca="1" si="125"/>
        <v>0.86176299216865027</v>
      </c>
      <c r="AA13" s="363">
        <f t="shared" ca="1" si="125"/>
        <v>0.8405060880328693</v>
      </c>
      <c r="AB13" s="363">
        <f t="shared" ca="1" si="125"/>
        <v>0.87161433182424108</v>
      </c>
      <c r="AC13" s="363">
        <f t="shared" ca="1" si="125"/>
        <v>0.83748917658379862</v>
      </c>
      <c r="AD13" s="363">
        <f t="shared" ca="1" si="125"/>
        <v>0.80821456540965775</v>
      </c>
      <c r="AE13" s="363">
        <f t="shared" ca="1" si="125"/>
        <v>0.87537472847258724</v>
      </c>
      <c r="AF13" s="363">
        <f t="shared" ca="1" si="125"/>
        <v>0.86953064203689279</v>
      </c>
      <c r="AG13" s="363">
        <f t="shared" ca="1" si="125"/>
        <v>0.85732065762541354</v>
      </c>
      <c r="AH13" s="363">
        <f t="shared" ca="1" si="125"/>
        <v>0.80373490006459292</v>
      </c>
      <c r="AI13" s="363">
        <f t="shared" ca="1" si="125"/>
        <v>0.80061426438320871</v>
      </c>
      <c r="AJ13" s="363">
        <f t="shared" ca="1" si="125"/>
        <v>0.77679022453968427</v>
      </c>
      <c r="AK13" s="363">
        <f t="shared" ca="1" si="125"/>
        <v>0.85835044751028988</v>
      </c>
      <c r="AL13" s="363">
        <f t="shared" ca="1" si="125"/>
        <v>0.84824644655272408</v>
      </c>
      <c r="AM13" s="363">
        <f t="shared" ca="1" si="125"/>
        <v>0.81128081467233726</v>
      </c>
      <c r="AN13" s="363">
        <f t="shared" ca="1" si="125"/>
        <v>0.90899311469923127</v>
      </c>
      <c r="AO13" s="363">
        <f t="shared" ca="1" si="125"/>
        <v>0.86610031747849603</v>
      </c>
      <c r="AP13" s="363">
        <f t="shared" ca="1" si="125"/>
        <v>0.8096240083086963</v>
      </c>
      <c r="AQ13" s="363">
        <f t="shared" ca="1" si="125"/>
        <v>0.84279792356439553</v>
      </c>
      <c r="AR13" s="363">
        <f t="shared" ca="1" si="125"/>
        <v>0.82431836563591121</v>
      </c>
      <c r="AS13" s="363">
        <f t="shared" ca="1" si="125"/>
        <v>0.79590511092928706</v>
      </c>
      <c r="AT13" s="363">
        <f t="shared" ca="1" si="125"/>
        <v>0.81910544552823095</v>
      </c>
      <c r="AU13" s="363">
        <f t="shared" ca="1" si="125"/>
        <v>0.84252882939195695</v>
      </c>
      <c r="AV13" s="363">
        <f t="shared" ca="1" si="125"/>
        <v>0.78281223109369558</v>
      </c>
      <c r="AW13" s="363">
        <f t="shared" ca="1" si="125"/>
        <v>0.82966214217777512</v>
      </c>
      <c r="AX13" s="363">
        <f t="shared" ca="1" si="125"/>
        <v>0.82579840976148433</v>
      </c>
      <c r="AY13" s="363">
        <f t="shared" ca="1" si="125"/>
        <v>0.771181216860783</v>
      </c>
      <c r="AZ13" s="363">
        <f t="shared" ca="1" si="125"/>
        <v>0.83257548782709645</v>
      </c>
      <c r="BA13" s="363">
        <f t="shared" ca="1" si="125"/>
        <v>0.86390077820101308</v>
      </c>
      <c r="BB13" s="363">
        <f t="shared" ca="1" si="125"/>
        <v>0.87756942215682132</v>
      </c>
      <c r="BC13" s="363">
        <f t="shared" ca="1" si="125"/>
        <v>0.79365679149774782</v>
      </c>
      <c r="BD13" s="363">
        <f t="shared" ca="1" si="125"/>
        <v>0.86755262771005748</v>
      </c>
      <c r="BE13" s="363">
        <f t="shared" ca="1" si="125"/>
        <v>0.80049147463617631</v>
      </c>
      <c r="BF13" s="363">
        <f t="shared" ca="1" si="125"/>
        <v>0.75892044393528435</v>
      </c>
      <c r="BG13" s="363">
        <f t="shared" ca="1" si="125"/>
        <v>0.79372321767130827</v>
      </c>
      <c r="BH13" s="363">
        <f t="shared" ca="1" si="125"/>
        <v>0.80263448580912211</v>
      </c>
      <c r="BI13" s="363">
        <f t="shared" ca="1" si="125"/>
        <v>0.83161182023136015</v>
      </c>
      <c r="BJ13" s="363">
        <f t="shared" ca="1" si="125"/>
        <v>0.83965948077577879</v>
      </c>
      <c r="BK13" s="363">
        <f t="shared" ca="1" si="125"/>
        <v>0.83458194759974313</v>
      </c>
      <c r="BL13" s="363">
        <f t="shared" ca="1" si="125"/>
        <v>0.85004674022483506</v>
      </c>
      <c r="BM13" s="363">
        <f t="shared" ca="1" si="125"/>
        <v>0.77639637103926218</v>
      </c>
      <c r="BN13" s="363">
        <f t="shared" ca="1" si="125"/>
        <v>0.79659227891189188</v>
      </c>
      <c r="BO13" s="363">
        <f t="shared" ca="1" si="125"/>
        <v>0.80204731682967056</v>
      </c>
      <c r="BP13" s="363">
        <f t="shared" ca="1" si="125"/>
        <v>0.81409798743630268</v>
      </c>
      <c r="BQ13" s="363">
        <f t="shared" ca="1" si="125"/>
        <v>0.84951759015966133</v>
      </c>
      <c r="BR13" s="363">
        <f t="shared" ca="1" si="125"/>
        <v>0.82922609849066764</v>
      </c>
      <c r="BS13" s="363">
        <f t="shared" ca="1" si="125"/>
        <v>0.76764207634904802</v>
      </c>
      <c r="BT13" s="363">
        <f t="shared" ca="1" si="125"/>
        <v>0.81718148207646057</v>
      </c>
      <c r="BU13" s="363">
        <f t="shared" ca="1" si="125"/>
        <v>0.81421838838641492</v>
      </c>
      <c r="BV13" s="363">
        <f t="shared" ca="1" si="125"/>
        <v>0.83994537818792592</v>
      </c>
      <c r="BW13" s="363">
        <f t="shared" ca="1" si="125"/>
        <v>0.83779569041621604</v>
      </c>
      <c r="BX13" s="363">
        <f t="shared" ca="1" si="125"/>
        <v>0.89680634166992701</v>
      </c>
      <c r="BY13" s="363">
        <f t="shared" ca="1" si="125"/>
        <v>0.78994917771012951</v>
      </c>
      <c r="BZ13" s="363">
        <f t="shared" ref="BZ13:DH13" ca="1" si="126">_xlfn.BETA.INV(RAND(),$I$13,$J$13)</f>
        <v>0.73853472016150901</v>
      </c>
      <c r="CA13" s="363">
        <f t="shared" ca="1" si="126"/>
        <v>0.84294599353169453</v>
      </c>
      <c r="CB13" s="363">
        <f t="shared" ca="1" si="126"/>
        <v>0.84478729992970614</v>
      </c>
      <c r="CC13" s="363">
        <f t="shared" ca="1" si="126"/>
        <v>0.77509502235337047</v>
      </c>
      <c r="CD13" s="363">
        <f t="shared" ca="1" si="126"/>
        <v>0.8122424103025494</v>
      </c>
      <c r="CE13" s="363">
        <f t="shared" ca="1" si="126"/>
        <v>0.82742715392186839</v>
      </c>
      <c r="CF13" s="363">
        <f t="shared" ca="1" si="126"/>
        <v>0.80443716393561548</v>
      </c>
      <c r="CG13" s="363">
        <f t="shared" ca="1" si="126"/>
        <v>0.7695599633856407</v>
      </c>
      <c r="CH13" s="363">
        <f t="shared" ca="1" si="126"/>
        <v>0.84923796116223105</v>
      </c>
      <c r="CI13" s="363">
        <f t="shared" ca="1" si="126"/>
        <v>0.85941748773236026</v>
      </c>
      <c r="CJ13" s="363">
        <f t="shared" ca="1" si="126"/>
        <v>0.79880825346771644</v>
      </c>
      <c r="CK13" s="363">
        <f t="shared" ca="1" si="126"/>
        <v>0.78006841423305129</v>
      </c>
      <c r="CL13" s="363">
        <f t="shared" ca="1" si="126"/>
        <v>0.85782315253417862</v>
      </c>
      <c r="CM13" s="363">
        <f t="shared" ca="1" si="126"/>
        <v>0.80085723770496231</v>
      </c>
      <c r="CN13" s="363">
        <f t="shared" ca="1" si="126"/>
        <v>0.81625320258632328</v>
      </c>
      <c r="CO13" s="363">
        <f t="shared" ca="1" si="126"/>
        <v>0.84792652044886929</v>
      </c>
      <c r="CP13" s="363">
        <f t="shared" ca="1" si="126"/>
        <v>0.82328743513579494</v>
      </c>
      <c r="CQ13" s="363">
        <f t="shared" ca="1" si="126"/>
        <v>0.82697904864009963</v>
      </c>
      <c r="CR13" s="363">
        <f t="shared" ca="1" si="126"/>
        <v>0.79216486546850262</v>
      </c>
      <c r="CS13" s="363">
        <f t="shared" ca="1" si="126"/>
        <v>0.71371787849944757</v>
      </c>
      <c r="CT13" s="363">
        <f t="shared" ca="1" si="126"/>
        <v>0.80506854903003244</v>
      </c>
      <c r="CU13" s="363">
        <f t="shared" ca="1" si="126"/>
        <v>0.84096083162961532</v>
      </c>
      <c r="CV13" s="363">
        <f t="shared" ca="1" si="126"/>
        <v>0.77197764909421718</v>
      </c>
      <c r="CW13" s="363">
        <f t="shared" ca="1" si="126"/>
        <v>0.80087306617467413</v>
      </c>
      <c r="CX13" s="363">
        <f t="shared" ca="1" si="126"/>
        <v>0.85283418470603989</v>
      </c>
      <c r="CY13" s="363">
        <f t="shared" ca="1" si="126"/>
        <v>0.79985732970745926</v>
      </c>
      <c r="CZ13" s="363">
        <f t="shared" ca="1" si="126"/>
        <v>0.8306917706542416</v>
      </c>
      <c r="DA13" s="363">
        <f t="shared" ca="1" si="126"/>
        <v>0.83290542282539259</v>
      </c>
      <c r="DB13" s="363">
        <f t="shared" ca="1" si="126"/>
        <v>0.8007007984906872</v>
      </c>
      <c r="DC13" s="363">
        <f t="shared" ca="1" si="126"/>
        <v>0.84230160068543292</v>
      </c>
      <c r="DD13" s="363">
        <f t="shared" ca="1" si="126"/>
        <v>0.86287139794050494</v>
      </c>
      <c r="DE13" s="363">
        <f t="shared" ca="1" si="126"/>
        <v>0.83239855868813051</v>
      </c>
      <c r="DF13" s="363">
        <f t="shared" ca="1" si="126"/>
        <v>0.70739343685636291</v>
      </c>
      <c r="DG13" s="363">
        <f t="shared" ca="1" si="126"/>
        <v>0.83816587916404151</v>
      </c>
      <c r="DH13" s="363">
        <f t="shared" ca="1" si="126"/>
        <v>0.86462023918483877</v>
      </c>
      <c r="DI13" s="363">
        <f ca="1">_xlfn.BETA.INV(RAND(),$I$13,$J$13)</f>
        <v>0.79602031723379041</v>
      </c>
      <c r="DJ13" s="363">
        <f t="shared" ref="DJ13:FU13" ca="1" si="127">_xlfn.BETA.INV(RAND(),$I$13,$J$13)</f>
        <v>0.7731245744290276</v>
      </c>
      <c r="DK13" s="363">
        <f t="shared" ca="1" si="127"/>
        <v>0.86610694778059127</v>
      </c>
      <c r="DL13" s="363">
        <f t="shared" ca="1" si="127"/>
        <v>0.8336907946482599</v>
      </c>
      <c r="DM13" s="363">
        <f t="shared" ca="1" si="127"/>
        <v>0.84172518489702752</v>
      </c>
      <c r="DN13" s="363">
        <f t="shared" ca="1" si="127"/>
        <v>0.86024446879321026</v>
      </c>
      <c r="DO13" s="363">
        <f t="shared" ca="1" si="127"/>
        <v>0.87251903464712743</v>
      </c>
      <c r="DP13" s="363">
        <f t="shared" ca="1" si="127"/>
        <v>0.86733799445674398</v>
      </c>
      <c r="DQ13" s="363">
        <f t="shared" ca="1" si="127"/>
        <v>0.76540573707126658</v>
      </c>
      <c r="DR13" s="363">
        <f t="shared" ca="1" si="127"/>
        <v>0.8677497441345714</v>
      </c>
      <c r="DS13" s="363">
        <f t="shared" ca="1" si="127"/>
        <v>0.80095623102781244</v>
      </c>
      <c r="DT13" s="363">
        <f t="shared" ca="1" si="127"/>
        <v>0.82147253150416299</v>
      </c>
      <c r="DU13" s="363">
        <f t="shared" ca="1" si="127"/>
        <v>0.81567725532791746</v>
      </c>
      <c r="DV13" s="363">
        <f t="shared" ca="1" si="127"/>
        <v>0.85244685733518333</v>
      </c>
      <c r="DW13" s="363">
        <f t="shared" ca="1" si="127"/>
        <v>0.82190925580731067</v>
      </c>
      <c r="DX13" s="363">
        <f t="shared" ca="1" si="127"/>
        <v>0.88769882078584494</v>
      </c>
      <c r="DY13" s="363">
        <f t="shared" ca="1" si="127"/>
        <v>0.810701864335029</v>
      </c>
      <c r="DZ13" s="363">
        <f t="shared" ca="1" si="127"/>
        <v>0.81469586854078779</v>
      </c>
      <c r="EA13" s="363">
        <f t="shared" ca="1" si="127"/>
        <v>0.84359775219058564</v>
      </c>
      <c r="EB13" s="363">
        <f t="shared" ca="1" si="127"/>
        <v>0.8782145669852095</v>
      </c>
      <c r="EC13" s="363">
        <f t="shared" ca="1" si="127"/>
        <v>0.8051290509317155</v>
      </c>
      <c r="ED13" s="363">
        <f t="shared" ca="1" si="127"/>
        <v>0.81730414421844644</v>
      </c>
      <c r="EE13" s="363">
        <f t="shared" ca="1" si="127"/>
        <v>0.85698366571391427</v>
      </c>
      <c r="EF13" s="363">
        <f t="shared" ca="1" si="127"/>
        <v>0.84763957027054848</v>
      </c>
      <c r="EG13" s="363">
        <f t="shared" ca="1" si="127"/>
        <v>0.79489077499928817</v>
      </c>
      <c r="EH13" s="363">
        <f t="shared" ca="1" si="127"/>
        <v>0.87044234543701782</v>
      </c>
      <c r="EI13" s="363">
        <f t="shared" ca="1" si="127"/>
        <v>0.75454329637149964</v>
      </c>
      <c r="EJ13" s="363">
        <f t="shared" ca="1" si="127"/>
        <v>0.83957052528419696</v>
      </c>
      <c r="EK13" s="363">
        <f t="shared" ca="1" si="127"/>
        <v>0.81145336110157107</v>
      </c>
      <c r="EL13" s="363">
        <f t="shared" ca="1" si="127"/>
        <v>0.78360380855467715</v>
      </c>
      <c r="EM13" s="363">
        <f t="shared" ca="1" si="127"/>
        <v>0.78909902899444906</v>
      </c>
      <c r="EN13" s="363">
        <f t="shared" ca="1" si="127"/>
        <v>0.80423337434553899</v>
      </c>
      <c r="EO13" s="363">
        <f t="shared" ca="1" si="127"/>
        <v>0.86673330609275823</v>
      </c>
      <c r="EP13" s="363">
        <f t="shared" ca="1" si="127"/>
        <v>0.81665623031474455</v>
      </c>
      <c r="EQ13" s="363">
        <f t="shared" ca="1" si="127"/>
        <v>0.83009582144901317</v>
      </c>
      <c r="ER13" s="363">
        <f t="shared" ca="1" si="127"/>
        <v>0.8183188988754676</v>
      </c>
      <c r="ES13" s="363">
        <f t="shared" ca="1" si="127"/>
        <v>0.83593363781960506</v>
      </c>
      <c r="ET13" s="363">
        <f t="shared" ca="1" si="127"/>
        <v>0.84443111665811954</v>
      </c>
      <c r="EU13" s="363">
        <f t="shared" ca="1" si="127"/>
        <v>0.8116128352847366</v>
      </c>
      <c r="EV13" s="363">
        <f t="shared" ca="1" si="127"/>
        <v>0.81254171963977673</v>
      </c>
      <c r="EW13" s="363">
        <f t="shared" ca="1" si="127"/>
        <v>0.77739126886076204</v>
      </c>
      <c r="EX13" s="363">
        <f t="shared" ca="1" si="127"/>
        <v>0.80752534556011724</v>
      </c>
      <c r="EY13" s="363">
        <f t="shared" ca="1" si="127"/>
        <v>0.820211360601933</v>
      </c>
      <c r="EZ13" s="363">
        <f t="shared" ca="1" si="127"/>
        <v>0.76270948182879028</v>
      </c>
      <c r="FA13" s="363">
        <f t="shared" ca="1" si="127"/>
        <v>0.75471023852502195</v>
      </c>
      <c r="FB13" s="363">
        <f t="shared" ca="1" si="127"/>
        <v>0.79898019472596682</v>
      </c>
      <c r="FC13" s="363">
        <f t="shared" ca="1" si="127"/>
        <v>0.86027691157542008</v>
      </c>
      <c r="FD13" s="363">
        <f t="shared" ca="1" si="127"/>
        <v>0.81710998960600156</v>
      </c>
      <c r="FE13" s="363">
        <f t="shared" ca="1" si="127"/>
        <v>0.79254771488866782</v>
      </c>
      <c r="FF13" s="363">
        <f t="shared" ca="1" si="127"/>
        <v>0.82130154938829492</v>
      </c>
      <c r="FG13" s="363">
        <f t="shared" ca="1" si="127"/>
        <v>0.78595234914741852</v>
      </c>
      <c r="FH13" s="363">
        <f t="shared" ca="1" si="127"/>
        <v>0.83413712211808388</v>
      </c>
      <c r="FI13" s="363">
        <f t="shared" ca="1" si="127"/>
        <v>0.75294455551958273</v>
      </c>
      <c r="FJ13" s="363">
        <f t="shared" ca="1" si="127"/>
        <v>0.7975298387014873</v>
      </c>
      <c r="FK13" s="363">
        <f t="shared" ca="1" si="127"/>
        <v>0.85449862171500546</v>
      </c>
      <c r="FL13" s="363">
        <f t="shared" ca="1" si="127"/>
        <v>0.80394974043319212</v>
      </c>
      <c r="FM13" s="363">
        <f t="shared" ca="1" si="127"/>
        <v>0.84928770173301926</v>
      </c>
      <c r="FN13" s="363">
        <f t="shared" ca="1" si="127"/>
        <v>0.85331819861089508</v>
      </c>
      <c r="FO13" s="363">
        <f t="shared" ca="1" si="127"/>
        <v>0.85246488078832794</v>
      </c>
      <c r="FP13" s="363">
        <f t="shared" ca="1" si="127"/>
        <v>0.7622246201966365</v>
      </c>
      <c r="FQ13" s="363">
        <f t="shared" ca="1" si="127"/>
        <v>0.80599084650481756</v>
      </c>
      <c r="FR13" s="363">
        <f t="shared" ca="1" si="127"/>
        <v>0.87656403367020996</v>
      </c>
      <c r="FS13" s="363">
        <f t="shared" ca="1" si="127"/>
        <v>0.86327846919786511</v>
      </c>
      <c r="FT13" s="363">
        <f t="shared" ca="1" si="127"/>
        <v>0.79367878216727317</v>
      </c>
      <c r="FU13" s="363">
        <f t="shared" ca="1" si="127"/>
        <v>0.77133233305401672</v>
      </c>
      <c r="FV13" s="363">
        <f t="shared" ref="FV13:HD13" ca="1" si="128">_xlfn.BETA.INV(RAND(),$I$13,$J$13)</f>
        <v>0.86724500411729233</v>
      </c>
      <c r="FW13" s="363">
        <f t="shared" ca="1" si="128"/>
        <v>0.74819404689805336</v>
      </c>
      <c r="FX13" s="363">
        <f t="shared" ca="1" si="128"/>
        <v>0.74557413826742558</v>
      </c>
      <c r="FY13" s="363">
        <f t="shared" ca="1" si="128"/>
        <v>0.83887475293445501</v>
      </c>
      <c r="FZ13" s="363">
        <f t="shared" ca="1" si="128"/>
        <v>0.7595029702964301</v>
      </c>
      <c r="GA13" s="363">
        <f t="shared" ca="1" si="128"/>
        <v>0.81349016347470671</v>
      </c>
      <c r="GB13" s="363">
        <f t="shared" ca="1" si="128"/>
        <v>0.81678651820302195</v>
      </c>
      <c r="GC13" s="363">
        <f t="shared" ca="1" si="128"/>
        <v>0.82094071456439999</v>
      </c>
      <c r="GD13" s="363">
        <f t="shared" ca="1" si="128"/>
        <v>0.86866631257604732</v>
      </c>
      <c r="GE13" s="363">
        <f t="shared" ca="1" si="128"/>
        <v>0.72975496551944186</v>
      </c>
      <c r="GF13" s="363">
        <f t="shared" ca="1" si="128"/>
        <v>0.80963667012509954</v>
      </c>
      <c r="GG13" s="363">
        <f t="shared" ca="1" si="128"/>
        <v>0.87908475262698327</v>
      </c>
      <c r="GH13" s="363">
        <f t="shared" ca="1" si="128"/>
        <v>0.8552590382211438</v>
      </c>
      <c r="GI13" s="363">
        <f t="shared" ca="1" si="128"/>
        <v>0.85572088768539512</v>
      </c>
      <c r="GJ13" s="363">
        <f t="shared" ca="1" si="128"/>
        <v>0.81577110333106484</v>
      </c>
      <c r="GK13" s="363">
        <f t="shared" ca="1" si="128"/>
        <v>0.83963627182395606</v>
      </c>
      <c r="GL13" s="363">
        <f t="shared" ca="1" si="128"/>
        <v>0.81343119078024784</v>
      </c>
      <c r="GM13" s="363">
        <f t="shared" ca="1" si="128"/>
        <v>0.86746303901094235</v>
      </c>
      <c r="GN13" s="363">
        <f t="shared" ca="1" si="128"/>
        <v>0.80687025892964626</v>
      </c>
      <c r="GO13" s="363">
        <f t="shared" ca="1" si="128"/>
        <v>0.83186639191105793</v>
      </c>
      <c r="GP13" s="363">
        <f t="shared" ca="1" si="128"/>
        <v>0.74203107260985446</v>
      </c>
      <c r="GQ13" s="363">
        <f t="shared" ca="1" si="128"/>
        <v>0.83418268675355789</v>
      </c>
      <c r="GR13" s="363">
        <f t="shared" ca="1" si="128"/>
        <v>0.73461767197435979</v>
      </c>
      <c r="GS13" s="363">
        <f t="shared" ca="1" si="128"/>
        <v>0.82088587109896483</v>
      </c>
      <c r="GT13" s="363">
        <f t="shared" ca="1" si="128"/>
        <v>0.8954903728441731</v>
      </c>
      <c r="GU13" s="363">
        <f t="shared" ca="1" si="128"/>
        <v>0.80352402929559696</v>
      </c>
      <c r="GV13" s="363">
        <f t="shared" ca="1" si="128"/>
        <v>0.75687250676528905</v>
      </c>
      <c r="GW13" s="363">
        <f t="shared" ca="1" si="128"/>
        <v>0.83846862465572047</v>
      </c>
      <c r="GX13" s="363">
        <f t="shared" ca="1" si="128"/>
        <v>0.85165542322632237</v>
      </c>
      <c r="GY13" s="363">
        <f t="shared" ca="1" si="128"/>
        <v>0.80139333352897768</v>
      </c>
      <c r="GZ13" s="363">
        <f t="shared" ca="1" si="128"/>
        <v>0.85926333992067105</v>
      </c>
      <c r="HA13" s="363">
        <f t="shared" ca="1" si="128"/>
        <v>0.84807735747357271</v>
      </c>
      <c r="HB13" s="363">
        <f t="shared" ca="1" si="128"/>
        <v>0.75752551291662573</v>
      </c>
      <c r="HC13" s="363">
        <f t="shared" ca="1" si="128"/>
        <v>0.84834903987362331</v>
      </c>
      <c r="HD13" s="363">
        <f t="shared" ca="1" si="128"/>
        <v>0.84213354391383266</v>
      </c>
      <c r="HE13" s="363">
        <f ca="1">_xlfn.BETA.INV(RAND(),$I$13,$J$13)</f>
        <v>0.76100210638693533</v>
      </c>
      <c r="HF13" s="363">
        <f t="shared" ref="HF13:JQ13" ca="1" si="129">_xlfn.BETA.INV(RAND(),$I$13,$J$13)</f>
        <v>0.87182146756573509</v>
      </c>
      <c r="HG13" s="363">
        <f t="shared" ca="1" si="129"/>
        <v>0.86154007912583364</v>
      </c>
      <c r="HH13" s="363">
        <f t="shared" ca="1" si="129"/>
        <v>0.81272532153336197</v>
      </c>
      <c r="HI13" s="363">
        <f t="shared" ca="1" si="129"/>
        <v>0.84653508442722958</v>
      </c>
      <c r="HJ13" s="363">
        <f t="shared" ca="1" si="129"/>
        <v>0.75965240680986446</v>
      </c>
      <c r="HK13" s="363">
        <f t="shared" ca="1" si="129"/>
        <v>0.82374163808902867</v>
      </c>
      <c r="HL13" s="363">
        <f t="shared" ca="1" si="129"/>
        <v>0.72629953610838283</v>
      </c>
      <c r="HM13" s="363">
        <f t="shared" ca="1" si="129"/>
        <v>0.85010947055736519</v>
      </c>
      <c r="HN13" s="363">
        <f t="shared" ca="1" si="129"/>
        <v>0.79390880177282741</v>
      </c>
      <c r="HO13" s="363">
        <f t="shared" ca="1" si="129"/>
        <v>0.83127715607351105</v>
      </c>
      <c r="HP13" s="363">
        <f t="shared" ca="1" si="129"/>
        <v>0.82631093770891062</v>
      </c>
      <c r="HQ13" s="363">
        <f t="shared" ca="1" si="129"/>
        <v>0.86163844876671769</v>
      </c>
      <c r="HR13" s="363">
        <f t="shared" ca="1" si="129"/>
        <v>0.77565181826210972</v>
      </c>
      <c r="HS13" s="363">
        <f t="shared" ca="1" si="129"/>
        <v>0.78746564896482241</v>
      </c>
      <c r="HT13" s="363">
        <f t="shared" ca="1" si="129"/>
        <v>0.83044418386633134</v>
      </c>
      <c r="HU13" s="363">
        <f t="shared" ca="1" si="129"/>
        <v>0.77676671995832702</v>
      </c>
      <c r="HV13" s="363">
        <f t="shared" ca="1" si="129"/>
        <v>0.77611779143263926</v>
      </c>
      <c r="HW13" s="363">
        <f t="shared" ca="1" si="129"/>
        <v>0.83605359568494031</v>
      </c>
      <c r="HX13" s="363">
        <f t="shared" ca="1" si="129"/>
        <v>0.7726692415901717</v>
      </c>
      <c r="HY13" s="363">
        <f t="shared" ca="1" si="129"/>
        <v>0.84602796095339583</v>
      </c>
      <c r="HZ13" s="363">
        <f t="shared" ca="1" si="129"/>
        <v>0.80418404933343679</v>
      </c>
      <c r="IA13" s="363">
        <f t="shared" ca="1" si="129"/>
        <v>0.81045149831416685</v>
      </c>
      <c r="IB13" s="363">
        <f t="shared" ca="1" si="129"/>
        <v>0.78625741695964479</v>
      </c>
      <c r="IC13" s="363">
        <f t="shared" ca="1" si="129"/>
        <v>0.76094902571079748</v>
      </c>
      <c r="ID13" s="363">
        <f t="shared" ca="1" si="129"/>
        <v>0.79551828781276912</v>
      </c>
      <c r="IE13" s="363">
        <f t="shared" ca="1" si="129"/>
        <v>0.76485764243291021</v>
      </c>
      <c r="IF13" s="363">
        <f t="shared" ca="1" si="129"/>
        <v>0.83950518565009924</v>
      </c>
      <c r="IG13" s="363">
        <f t="shared" ca="1" si="129"/>
        <v>0.78174269779243855</v>
      </c>
      <c r="IH13" s="363">
        <f t="shared" ca="1" si="129"/>
        <v>0.88565672623322012</v>
      </c>
      <c r="II13" s="363">
        <f t="shared" ca="1" si="129"/>
        <v>0.88402672230610202</v>
      </c>
      <c r="IJ13" s="363">
        <f t="shared" ca="1" si="129"/>
        <v>0.80811439333750212</v>
      </c>
      <c r="IK13" s="363">
        <f t="shared" ca="1" si="129"/>
        <v>0.77557407964005076</v>
      </c>
      <c r="IL13" s="363">
        <f t="shared" ca="1" si="129"/>
        <v>0.8158661365295895</v>
      </c>
      <c r="IM13" s="363">
        <f t="shared" ca="1" si="129"/>
        <v>0.79422855148167459</v>
      </c>
      <c r="IN13" s="363">
        <f t="shared" ca="1" si="129"/>
        <v>0.79621247765175529</v>
      </c>
      <c r="IO13" s="363">
        <f t="shared" ca="1" si="129"/>
        <v>0.79063331963128836</v>
      </c>
      <c r="IP13" s="363">
        <f t="shared" ca="1" si="129"/>
        <v>0.82680124269059196</v>
      </c>
      <c r="IQ13" s="363">
        <f t="shared" ca="1" si="129"/>
        <v>0.84940652702361386</v>
      </c>
      <c r="IR13" s="363">
        <f t="shared" ca="1" si="129"/>
        <v>0.80538318174431689</v>
      </c>
      <c r="IS13" s="363">
        <f t="shared" ca="1" si="129"/>
        <v>0.77212816140315121</v>
      </c>
      <c r="IT13" s="363">
        <f t="shared" ca="1" si="129"/>
        <v>0.7650158971875568</v>
      </c>
      <c r="IU13" s="363">
        <f t="shared" ca="1" si="129"/>
        <v>0.8433162066087887</v>
      </c>
      <c r="IV13" s="363">
        <f t="shared" ca="1" si="129"/>
        <v>0.82825133472446444</v>
      </c>
      <c r="IW13" s="363">
        <f t="shared" ca="1" si="129"/>
        <v>0.84825137982885168</v>
      </c>
      <c r="IX13" s="363">
        <f t="shared" ca="1" si="129"/>
        <v>0.84377173584547605</v>
      </c>
      <c r="IY13" s="363">
        <f t="shared" ca="1" si="129"/>
        <v>0.81656121161396411</v>
      </c>
      <c r="IZ13" s="363">
        <f t="shared" ca="1" si="129"/>
        <v>0.83120036290457144</v>
      </c>
      <c r="JA13" s="363">
        <f t="shared" ca="1" si="129"/>
        <v>0.77171341054361109</v>
      </c>
      <c r="JB13" s="363">
        <f t="shared" ca="1" si="129"/>
        <v>0.8277769119792624</v>
      </c>
      <c r="JC13" s="363">
        <f t="shared" ca="1" si="129"/>
        <v>0.79685767658996642</v>
      </c>
      <c r="JD13" s="363">
        <f t="shared" ca="1" si="129"/>
        <v>0.79933546886994911</v>
      </c>
      <c r="JE13" s="363">
        <f t="shared" ca="1" si="129"/>
        <v>0.84781554045119822</v>
      </c>
      <c r="JF13" s="363">
        <f t="shared" ca="1" si="129"/>
        <v>0.8895310355888657</v>
      </c>
      <c r="JG13" s="363">
        <f t="shared" ca="1" si="129"/>
        <v>0.85346969031476716</v>
      </c>
      <c r="JH13" s="363">
        <f t="shared" ca="1" si="129"/>
        <v>0.80052405712146157</v>
      </c>
      <c r="JI13" s="363">
        <f t="shared" ca="1" si="129"/>
        <v>0.81155798500206411</v>
      </c>
      <c r="JJ13" s="363">
        <f t="shared" ca="1" si="129"/>
        <v>0.89338210849213784</v>
      </c>
      <c r="JK13" s="363">
        <f t="shared" ca="1" si="129"/>
        <v>0.77833553211881179</v>
      </c>
      <c r="JL13" s="363">
        <f t="shared" ca="1" si="129"/>
        <v>0.85693877532036289</v>
      </c>
      <c r="JM13" s="363">
        <f t="shared" ca="1" si="129"/>
        <v>0.84744244569707095</v>
      </c>
      <c r="JN13" s="363">
        <f t="shared" ca="1" si="129"/>
        <v>0.83812363518911159</v>
      </c>
      <c r="JO13" s="363">
        <f t="shared" ca="1" si="129"/>
        <v>0.78641721429728206</v>
      </c>
      <c r="JP13" s="363">
        <f t="shared" ca="1" si="129"/>
        <v>0.84282636702916935</v>
      </c>
      <c r="JQ13" s="363">
        <f t="shared" ca="1" si="129"/>
        <v>0.85164738527343264</v>
      </c>
      <c r="JR13" s="363">
        <f t="shared" ref="JR13:KZ13" ca="1" si="130">_xlfn.BETA.INV(RAND(),$I$13,$J$13)</f>
        <v>0.81686741841677823</v>
      </c>
      <c r="JS13" s="363">
        <f t="shared" ca="1" si="130"/>
        <v>0.83190065442638095</v>
      </c>
      <c r="JT13" s="363">
        <f t="shared" ca="1" si="130"/>
        <v>0.81356174113144364</v>
      </c>
      <c r="JU13" s="363">
        <f t="shared" ca="1" si="130"/>
        <v>0.79003816117100711</v>
      </c>
      <c r="JV13" s="363">
        <f t="shared" ca="1" si="130"/>
        <v>0.89413569008231608</v>
      </c>
      <c r="JW13" s="363">
        <f t="shared" ca="1" si="130"/>
        <v>0.85151933253221546</v>
      </c>
      <c r="JX13" s="363">
        <f t="shared" ca="1" si="130"/>
        <v>0.84444912212425205</v>
      </c>
      <c r="JY13" s="363">
        <f t="shared" ca="1" si="130"/>
        <v>0.80507022134913697</v>
      </c>
      <c r="JZ13" s="363">
        <f t="shared" ca="1" si="130"/>
        <v>0.86848435569899729</v>
      </c>
      <c r="KA13" s="363">
        <f t="shared" ca="1" si="130"/>
        <v>0.85104202849259991</v>
      </c>
      <c r="KB13" s="363">
        <f t="shared" ca="1" si="130"/>
        <v>0.72177901472433414</v>
      </c>
      <c r="KC13" s="363">
        <f t="shared" ca="1" si="130"/>
        <v>0.71777525660834196</v>
      </c>
      <c r="KD13" s="363">
        <f t="shared" ca="1" si="130"/>
        <v>0.79278602807704557</v>
      </c>
      <c r="KE13" s="363">
        <f t="shared" ca="1" si="130"/>
        <v>0.80154780621108856</v>
      </c>
      <c r="KF13" s="363">
        <f t="shared" ca="1" si="130"/>
        <v>0.79647416914246905</v>
      </c>
      <c r="KG13" s="363">
        <f t="shared" ca="1" si="130"/>
        <v>0.82123937549517156</v>
      </c>
      <c r="KH13" s="363">
        <f t="shared" ca="1" si="130"/>
        <v>0.81035887296033071</v>
      </c>
      <c r="KI13" s="363">
        <f t="shared" ca="1" si="130"/>
        <v>0.85945136650581011</v>
      </c>
      <c r="KJ13" s="363">
        <f t="shared" ca="1" si="130"/>
        <v>0.77538346529561397</v>
      </c>
      <c r="KK13" s="363">
        <f t="shared" ca="1" si="130"/>
        <v>0.80043319397459478</v>
      </c>
      <c r="KL13" s="363">
        <f t="shared" ca="1" si="130"/>
        <v>0.81443401838317464</v>
      </c>
      <c r="KM13" s="363">
        <f t="shared" ca="1" si="130"/>
        <v>0.8732432352800209</v>
      </c>
      <c r="KN13" s="363">
        <f t="shared" ca="1" si="130"/>
        <v>0.78967296211982729</v>
      </c>
      <c r="KO13" s="363">
        <f t="shared" ca="1" si="130"/>
        <v>0.83406223857586403</v>
      </c>
      <c r="KP13" s="363">
        <f t="shared" ca="1" si="130"/>
        <v>0.85948570573399619</v>
      </c>
      <c r="KQ13" s="363">
        <f t="shared" ca="1" si="130"/>
        <v>0.81779664607326363</v>
      </c>
      <c r="KR13" s="363">
        <f t="shared" ca="1" si="130"/>
        <v>0.85455588937697968</v>
      </c>
      <c r="KS13" s="363">
        <f t="shared" ca="1" si="130"/>
        <v>0.87021361627506866</v>
      </c>
      <c r="KT13" s="363">
        <f t="shared" ca="1" si="130"/>
        <v>0.78143175836431933</v>
      </c>
      <c r="KU13" s="363">
        <f t="shared" ca="1" si="130"/>
        <v>0.87539617623033572</v>
      </c>
      <c r="KV13" s="363">
        <f t="shared" ca="1" si="130"/>
        <v>0.77037500178524443</v>
      </c>
      <c r="KW13" s="363">
        <f t="shared" ca="1" si="130"/>
        <v>0.81484286929172944</v>
      </c>
      <c r="KX13" s="363">
        <f t="shared" ca="1" si="130"/>
        <v>0.79056567884728579</v>
      </c>
      <c r="KY13" s="363">
        <f t="shared" ca="1" si="130"/>
        <v>0.84517733149228225</v>
      </c>
      <c r="KZ13" s="363">
        <f t="shared" ca="1" si="130"/>
        <v>0.82232815417461536</v>
      </c>
      <c r="LA13" s="363">
        <f ca="1">_xlfn.BETA.INV(RAND(),$I$13,$J$13)</f>
        <v>0.86204417592437155</v>
      </c>
      <c r="LB13" s="363">
        <f t="shared" ref="LB13:NM13" ca="1" si="131">_xlfn.BETA.INV(RAND(),$I$13,$J$13)</f>
        <v>0.76824492662156751</v>
      </c>
      <c r="LC13" s="363">
        <f t="shared" ca="1" si="131"/>
        <v>0.80428756474915908</v>
      </c>
      <c r="LD13" s="363">
        <f t="shared" ca="1" si="131"/>
        <v>0.76707490462877559</v>
      </c>
      <c r="LE13" s="363">
        <f t="shared" ca="1" si="131"/>
        <v>0.82718108057028017</v>
      </c>
      <c r="LF13" s="363">
        <f t="shared" ca="1" si="131"/>
        <v>0.78775336921280381</v>
      </c>
      <c r="LG13" s="363">
        <f t="shared" ca="1" si="131"/>
        <v>0.84947077406382354</v>
      </c>
      <c r="LH13" s="363">
        <f t="shared" ca="1" si="131"/>
        <v>0.82061512504680678</v>
      </c>
      <c r="LI13" s="363">
        <f t="shared" ca="1" si="131"/>
        <v>0.84416945910751018</v>
      </c>
      <c r="LJ13" s="363">
        <f t="shared" ca="1" si="131"/>
        <v>0.80961624829857748</v>
      </c>
      <c r="LK13" s="363">
        <f t="shared" ca="1" si="131"/>
        <v>0.82211063196095191</v>
      </c>
      <c r="LL13" s="363">
        <f t="shared" ca="1" si="131"/>
        <v>0.74305235709737061</v>
      </c>
      <c r="LM13" s="363">
        <f t="shared" ca="1" si="131"/>
        <v>0.83620519464876875</v>
      </c>
      <c r="LN13" s="363">
        <f t="shared" ca="1" si="131"/>
        <v>0.81565179795223008</v>
      </c>
      <c r="LO13" s="363">
        <f t="shared" ca="1" si="131"/>
        <v>0.71941895543611623</v>
      </c>
      <c r="LP13" s="363">
        <f t="shared" ca="1" si="131"/>
        <v>0.78634735307621917</v>
      </c>
      <c r="LQ13" s="363">
        <f t="shared" ca="1" si="131"/>
        <v>0.88550747479429304</v>
      </c>
      <c r="LR13" s="363">
        <f t="shared" ca="1" si="131"/>
        <v>0.7647244208943984</v>
      </c>
      <c r="LS13" s="363">
        <f t="shared" ca="1" si="131"/>
        <v>0.8390000735853288</v>
      </c>
      <c r="LT13" s="363">
        <f t="shared" ca="1" si="131"/>
        <v>0.81697978828250983</v>
      </c>
      <c r="LU13" s="363">
        <f t="shared" ca="1" si="131"/>
        <v>0.75058858417077523</v>
      </c>
      <c r="LV13" s="363">
        <f t="shared" ca="1" si="131"/>
        <v>0.80219710197035365</v>
      </c>
      <c r="LW13" s="363">
        <f t="shared" ca="1" si="131"/>
        <v>0.79623493807252332</v>
      </c>
      <c r="LX13" s="363">
        <f t="shared" ca="1" si="131"/>
        <v>0.7819949383899002</v>
      </c>
      <c r="LY13" s="363">
        <f t="shared" ca="1" si="131"/>
        <v>0.83730292212444257</v>
      </c>
      <c r="LZ13" s="363">
        <f t="shared" ca="1" si="131"/>
        <v>0.79471413251418088</v>
      </c>
      <c r="MA13" s="363">
        <f t="shared" ca="1" si="131"/>
        <v>0.80469632942813518</v>
      </c>
      <c r="MB13" s="363">
        <f t="shared" ca="1" si="131"/>
        <v>0.85707664972611874</v>
      </c>
      <c r="MC13" s="363">
        <f t="shared" ca="1" si="131"/>
        <v>0.82970776580729344</v>
      </c>
      <c r="MD13" s="363">
        <f t="shared" ca="1" si="131"/>
        <v>0.85542965032355478</v>
      </c>
      <c r="ME13" s="363">
        <f t="shared" ca="1" si="131"/>
        <v>0.82594261394918045</v>
      </c>
      <c r="MF13" s="363">
        <f t="shared" ca="1" si="131"/>
        <v>0.77572333023395235</v>
      </c>
      <c r="MG13" s="363">
        <f t="shared" ca="1" si="131"/>
        <v>0.78646136425141011</v>
      </c>
      <c r="MH13" s="363">
        <f t="shared" ca="1" si="131"/>
        <v>0.78024762220216115</v>
      </c>
      <c r="MI13" s="363">
        <f t="shared" ca="1" si="131"/>
        <v>0.78930483502042237</v>
      </c>
      <c r="MJ13" s="363">
        <f t="shared" ca="1" si="131"/>
        <v>0.81064152343160834</v>
      </c>
      <c r="MK13" s="363">
        <f t="shared" ca="1" si="131"/>
        <v>0.7736710991544189</v>
      </c>
      <c r="ML13" s="363">
        <f t="shared" ca="1" si="131"/>
        <v>0.77440404526755391</v>
      </c>
      <c r="MM13" s="363">
        <f t="shared" ca="1" si="131"/>
        <v>0.77028709982536336</v>
      </c>
      <c r="MN13" s="363">
        <f t="shared" ca="1" si="131"/>
        <v>0.81371569069783389</v>
      </c>
      <c r="MO13" s="363">
        <f t="shared" ca="1" si="131"/>
        <v>0.80791923850887737</v>
      </c>
      <c r="MP13" s="363">
        <f t="shared" ca="1" si="131"/>
        <v>0.74445930170223762</v>
      </c>
      <c r="MQ13" s="363">
        <f t="shared" ca="1" si="131"/>
        <v>0.82976030666633038</v>
      </c>
      <c r="MR13" s="363">
        <f t="shared" ca="1" si="131"/>
        <v>0.84654663452236212</v>
      </c>
      <c r="MS13" s="363">
        <f t="shared" ca="1" si="131"/>
        <v>0.85583348955779504</v>
      </c>
      <c r="MT13" s="363">
        <f t="shared" ca="1" si="131"/>
        <v>0.8117090350883106</v>
      </c>
      <c r="MU13" s="363">
        <f t="shared" ca="1" si="131"/>
        <v>0.84807278710355793</v>
      </c>
      <c r="MV13" s="363">
        <f t="shared" ca="1" si="131"/>
        <v>0.82942249970784399</v>
      </c>
      <c r="MW13" s="363">
        <f t="shared" ca="1" si="131"/>
        <v>0.78546123121048761</v>
      </c>
      <c r="MX13" s="363">
        <f t="shared" ca="1" si="131"/>
        <v>0.84842273373863974</v>
      </c>
      <c r="MY13" s="363">
        <f t="shared" ca="1" si="131"/>
        <v>0.76742339470277565</v>
      </c>
      <c r="MZ13" s="363">
        <f t="shared" ca="1" si="131"/>
        <v>0.84006554199119365</v>
      </c>
      <c r="NA13" s="363">
        <f t="shared" ca="1" si="131"/>
        <v>0.77221202011199663</v>
      </c>
      <c r="NB13" s="363">
        <f t="shared" ca="1" si="131"/>
        <v>0.78887686741682939</v>
      </c>
      <c r="NC13" s="363">
        <f t="shared" ca="1" si="131"/>
        <v>0.83930843753151818</v>
      </c>
      <c r="ND13" s="363">
        <f t="shared" ca="1" si="131"/>
        <v>0.82191696907425538</v>
      </c>
      <c r="NE13" s="363">
        <f t="shared" ca="1" si="131"/>
        <v>0.76399112112215672</v>
      </c>
      <c r="NF13" s="363">
        <f t="shared" ca="1" si="131"/>
        <v>0.86013426681251226</v>
      </c>
      <c r="NG13" s="363">
        <f t="shared" ca="1" si="131"/>
        <v>0.80567908197625115</v>
      </c>
      <c r="NH13" s="363">
        <f t="shared" ca="1" si="131"/>
        <v>0.86677050384291088</v>
      </c>
      <c r="NI13" s="363">
        <f t="shared" ca="1" si="131"/>
        <v>0.84022452400220204</v>
      </c>
      <c r="NJ13" s="363">
        <f t="shared" ca="1" si="131"/>
        <v>0.82800795523799608</v>
      </c>
      <c r="NK13" s="363">
        <f t="shared" ca="1" si="131"/>
        <v>0.84908301774429695</v>
      </c>
      <c r="NL13" s="363">
        <f t="shared" ca="1" si="131"/>
        <v>0.85125998574058148</v>
      </c>
      <c r="NM13" s="363">
        <f t="shared" ca="1" si="131"/>
        <v>0.83678966309624236</v>
      </c>
      <c r="NN13" s="363">
        <f t="shared" ref="NN13:OV13" ca="1" si="132">_xlfn.BETA.INV(RAND(),$I$13,$J$13)</f>
        <v>0.77243774007593236</v>
      </c>
      <c r="NO13" s="363">
        <f t="shared" ca="1" si="132"/>
        <v>0.83568245721900825</v>
      </c>
      <c r="NP13" s="363">
        <f t="shared" ca="1" si="132"/>
        <v>0.82795889226826302</v>
      </c>
      <c r="NQ13" s="363">
        <f t="shared" ca="1" si="132"/>
        <v>0.81499149853452812</v>
      </c>
      <c r="NR13" s="363">
        <f t="shared" ca="1" si="132"/>
        <v>0.85194041451114089</v>
      </c>
      <c r="NS13" s="363">
        <f t="shared" ca="1" si="132"/>
        <v>0.79947266771709391</v>
      </c>
      <c r="NT13" s="363">
        <f t="shared" ca="1" si="132"/>
        <v>0.86304122957589224</v>
      </c>
      <c r="NU13" s="363">
        <f t="shared" ca="1" si="132"/>
        <v>0.84270494075824109</v>
      </c>
      <c r="NV13" s="363">
        <f t="shared" ca="1" si="132"/>
        <v>0.84488889053738159</v>
      </c>
      <c r="NW13" s="363">
        <f t="shared" ca="1" si="132"/>
        <v>0.81354161740491382</v>
      </c>
      <c r="NX13" s="363">
        <f t="shared" ca="1" si="132"/>
        <v>0.84468476996107555</v>
      </c>
      <c r="NY13" s="363">
        <f t="shared" ca="1" si="132"/>
        <v>0.85123799098448316</v>
      </c>
      <c r="NZ13" s="363">
        <f t="shared" ca="1" si="132"/>
        <v>0.87327314905953224</v>
      </c>
      <c r="OA13" s="363">
        <f t="shared" ca="1" si="132"/>
        <v>0.85717018570047632</v>
      </c>
      <c r="OB13" s="363">
        <f t="shared" ca="1" si="132"/>
        <v>0.85208460487036997</v>
      </c>
      <c r="OC13" s="363">
        <f t="shared" ca="1" si="132"/>
        <v>0.75931142662302142</v>
      </c>
      <c r="OD13" s="363">
        <f t="shared" ca="1" si="132"/>
        <v>0.86457095482627389</v>
      </c>
      <c r="OE13" s="363">
        <f t="shared" ca="1" si="132"/>
        <v>0.83110451927798867</v>
      </c>
      <c r="OF13" s="363">
        <f t="shared" ca="1" si="132"/>
        <v>0.82824090521061211</v>
      </c>
      <c r="OG13" s="363">
        <f t="shared" ca="1" si="132"/>
        <v>0.76826745446891243</v>
      </c>
      <c r="OH13" s="363">
        <f t="shared" ca="1" si="132"/>
        <v>0.81072248906504218</v>
      </c>
      <c r="OI13" s="363">
        <f t="shared" ca="1" si="132"/>
        <v>0.80796242265879126</v>
      </c>
      <c r="OJ13" s="363">
        <f t="shared" ca="1" si="132"/>
        <v>0.78107986431075871</v>
      </c>
      <c r="OK13" s="363">
        <f t="shared" ca="1" si="132"/>
        <v>0.81838210574430248</v>
      </c>
      <c r="OL13" s="363">
        <f t="shared" ca="1" si="132"/>
        <v>0.80418936600491464</v>
      </c>
      <c r="OM13" s="363">
        <f t="shared" ca="1" si="132"/>
        <v>0.79581520441620934</v>
      </c>
      <c r="ON13" s="363">
        <f t="shared" ca="1" si="132"/>
        <v>0.76118238617693534</v>
      </c>
      <c r="OO13" s="363">
        <f t="shared" ca="1" si="132"/>
        <v>0.87338624823567512</v>
      </c>
      <c r="OP13" s="363">
        <f t="shared" ca="1" si="132"/>
        <v>0.83996726259549703</v>
      </c>
      <c r="OQ13" s="363">
        <f t="shared" ca="1" si="132"/>
        <v>0.7318496468692135</v>
      </c>
      <c r="OR13" s="363">
        <f t="shared" ca="1" si="132"/>
        <v>0.84078540081496556</v>
      </c>
      <c r="OS13" s="363">
        <f t="shared" ca="1" si="132"/>
        <v>0.82954110336169973</v>
      </c>
      <c r="OT13" s="363">
        <f t="shared" ca="1" si="132"/>
        <v>0.82633949187469624</v>
      </c>
      <c r="OU13" s="363">
        <f t="shared" ca="1" si="132"/>
        <v>0.82040003208795953</v>
      </c>
      <c r="OV13" s="363">
        <f t="shared" ca="1" si="132"/>
        <v>0.81996941333558515</v>
      </c>
      <c r="OW13" s="363">
        <f ca="1">_xlfn.BETA.INV(RAND(),$I$13,$J$13)</f>
        <v>0.83589902577209929</v>
      </c>
      <c r="OX13" s="363">
        <f t="shared" ref="OX13:RI13" ca="1" si="133">_xlfn.BETA.INV(RAND(),$I$13,$J$13)</f>
        <v>0.83761668853758675</v>
      </c>
      <c r="OY13" s="363">
        <f t="shared" ca="1" si="133"/>
        <v>0.84404479931691501</v>
      </c>
      <c r="OZ13" s="363">
        <f t="shared" ca="1" si="133"/>
        <v>0.78127334966862549</v>
      </c>
      <c r="PA13" s="363">
        <f t="shared" ca="1" si="133"/>
        <v>0.80260959197649873</v>
      </c>
      <c r="PB13" s="363">
        <f t="shared" ca="1" si="133"/>
        <v>0.78476782659791988</v>
      </c>
      <c r="PC13" s="363">
        <f t="shared" ca="1" si="133"/>
        <v>0.80620133491740253</v>
      </c>
      <c r="PD13" s="363">
        <f t="shared" ca="1" si="133"/>
        <v>0.84921604896675984</v>
      </c>
      <c r="PE13" s="363">
        <f t="shared" ca="1" si="133"/>
        <v>0.84014305988358084</v>
      </c>
      <c r="PF13" s="363">
        <f t="shared" ca="1" si="133"/>
        <v>0.77435390334789722</v>
      </c>
      <c r="PG13" s="363">
        <f t="shared" ca="1" si="133"/>
        <v>0.77884760502074712</v>
      </c>
      <c r="PH13" s="363">
        <f t="shared" ca="1" si="133"/>
        <v>0.83710708261608457</v>
      </c>
      <c r="PI13" s="363">
        <f t="shared" ca="1" si="133"/>
        <v>0.75691103675220051</v>
      </c>
      <c r="PJ13" s="363">
        <f t="shared" ca="1" si="133"/>
        <v>0.88049099625516192</v>
      </c>
      <c r="PK13" s="363">
        <f t="shared" ca="1" si="133"/>
        <v>0.78505663597804443</v>
      </c>
      <c r="PL13" s="363">
        <f t="shared" ca="1" si="133"/>
        <v>0.82920129977858315</v>
      </c>
      <c r="PM13" s="363">
        <f t="shared" ca="1" si="133"/>
        <v>0.816568273788703</v>
      </c>
      <c r="PN13" s="363">
        <f t="shared" ca="1" si="133"/>
        <v>0.79132949380138629</v>
      </c>
      <c r="PO13" s="363">
        <f t="shared" ca="1" si="133"/>
        <v>0.79206628063097229</v>
      </c>
      <c r="PP13" s="363">
        <f t="shared" ca="1" si="133"/>
        <v>0.82634271283199845</v>
      </c>
      <c r="PQ13" s="363">
        <f t="shared" ca="1" si="133"/>
        <v>0.89746998737869033</v>
      </c>
      <c r="PR13" s="363">
        <f t="shared" ca="1" si="133"/>
        <v>0.73877003657477902</v>
      </c>
      <c r="PS13" s="363">
        <f t="shared" ca="1" si="133"/>
        <v>0.89492648804810837</v>
      </c>
      <c r="PT13" s="363">
        <f t="shared" ca="1" si="133"/>
        <v>0.87710536589970067</v>
      </c>
      <c r="PU13" s="363">
        <f t="shared" ca="1" si="133"/>
        <v>0.81154707682016136</v>
      </c>
      <c r="PV13" s="363">
        <f t="shared" ca="1" si="133"/>
        <v>0.81315283561560303</v>
      </c>
      <c r="PW13" s="363">
        <f t="shared" ca="1" si="133"/>
        <v>0.80199404670318064</v>
      </c>
      <c r="PX13" s="363">
        <f t="shared" ca="1" si="133"/>
        <v>0.72552962440015678</v>
      </c>
      <c r="PY13" s="363">
        <f t="shared" ca="1" si="133"/>
        <v>0.79790331624138322</v>
      </c>
      <c r="PZ13" s="363">
        <f t="shared" ca="1" si="133"/>
        <v>0.85461487777483436</v>
      </c>
      <c r="QA13" s="363">
        <f t="shared" ca="1" si="133"/>
        <v>0.8194459954305674</v>
      </c>
      <c r="QB13" s="363">
        <f t="shared" ca="1" si="133"/>
        <v>0.79199015762452851</v>
      </c>
      <c r="QC13" s="363">
        <f t="shared" ca="1" si="133"/>
        <v>0.73988466193919089</v>
      </c>
      <c r="QD13" s="363">
        <f t="shared" ca="1" si="133"/>
        <v>0.83868027602546491</v>
      </c>
      <c r="QE13" s="363">
        <f t="shared" ca="1" si="133"/>
        <v>0.79081782402171741</v>
      </c>
      <c r="QF13" s="363">
        <f t="shared" ca="1" si="133"/>
        <v>0.82326489674414527</v>
      </c>
      <c r="QG13" s="363">
        <f t="shared" ca="1" si="133"/>
        <v>0.82926392766244872</v>
      </c>
      <c r="QH13" s="363">
        <f t="shared" ca="1" si="133"/>
        <v>0.84857036656150642</v>
      </c>
      <c r="QI13" s="363">
        <f t="shared" ca="1" si="133"/>
        <v>0.88035111444247449</v>
      </c>
      <c r="QJ13" s="363">
        <f t="shared" ca="1" si="133"/>
        <v>0.8735308501034289</v>
      </c>
      <c r="QK13" s="363">
        <f t="shared" ca="1" si="133"/>
        <v>0.82536929338989906</v>
      </c>
      <c r="QL13" s="363">
        <f t="shared" ca="1" si="133"/>
        <v>0.77682568309056632</v>
      </c>
      <c r="QM13" s="363">
        <f t="shared" ca="1" si="133"/>
        <v>0.87405613925900816</v>
      </c>
      <c r="QN13" s="363">
        <f t="shared" ca="1" si="133"/>
        <v>0.79356024104498057</v>
      </c>
      <c r="QO13" s="363">
        <f t="shared" ca="1" si="133"/>
        <v>0.88713180499351285</v>
      </c>
      <c r="QP13" s="363">
        <f t="shared" ca="1" si="133"/>
        <v>0.78822266289486542</v>
      </c>
      <c r="QQ13" s="363">
        <f t="shared" ca="1" si="133"/>
        <v>0.71183785617588458</v>
      </c>
      <c r="QR13" s="363">
        <f t="shared" ca="1" si="133"/>
        <v>0.77368193813244868</v>
      </c>
      <c r="QS13" s="363">
        <f t="shared" ca="1" si="133"/>
        <v>0.8374396773036844</v>
      </c>
      <c r="QT13" s="363">
        <f t="shared" ca="1" si="133"/>
        <v>0.82959004045911344</v>
      </c>
      <c r="QU13" s="363">
        <f t="shared" ca="1" si="133"/>
        <v>0.783435406886971</v>
      </c>
      <c r="QV13" s="363">
        <f t="shared" ca="1" si="133"/>
        <v>0.8455174956324093</v>
      </c>
      <c r="QW13" s="363">
        <f t="shared" ca="1" si="133"/>
        <v>0.83240524103097557</v>
      </c>
      <c r="QX13" s="363">
        <f t="shared" ca="1" si="133"/>
        <v>0.78588352479549284</v>
      </c>
      <c r="QY13" s="363">
        <f t="shared" ca="1" si="133"/>
        <v>0.85524200836254627</v>
      </c>
      <c r="QZ13" s="363">
        <f t="shared" ca="1" si="133"/>
        <v>0.80017284022789159</v>
      </c>
      <c r="RA13" s="363">
        <f t="shared" ca="1" si="133"/>
        <v>0.82555918135665607</v>
      </c>
      <c r="RB13" s="363">
        <f t="shared" ca="1" si="133"/>
        <v>0.82702444549865284</v>
      </c>
      <c r="RC13" s="363">
        <f t="shared" ca="1" si="133"/>
        <v>0.75267300116618874</v>
      </c>
      <c r="RD13" s="363">
        <f t="shared" ca="1" si="133"/>
        <v>0.77771365951741123</v>
      </c>
      <c r="RE13" s="363">
        <f t="shared" ca="1" si="133"/>
        <v>0.84470778997171503</v>
      </c>
      <c r="RF13" s="363">
        <f t="shared" ca="1" si="133"/>
        <v>0.78932525813331533</v>
      </c>
      <c r="RG13" s="363">
        <f t="shared" ca="1" si="133"/>
        <v>0.83534910013250008</v>
      </c>
      <c r="RH13" s="363">
        <f t="shared" ca="1" si="133"/>
        <v>0.74373059741567993</v>
      </c>
      <c r="RI13" s="363">
        <f t="shared" ca="1" si="133"/>
        <v>0.87850565649037937</v>
      </c>
      <c r="RJ13" s="363">
        <f t="shared" ref="RJ13:SR13" ca="1" si="134">_xlfn.BETA.INV(RAND(),$I$13,$J$13)</f>
        <v>0.82166275734046734</v>
      </c>
      <c r="RK13" s="363">
        <f t="shared" ca="1" si="134"/>
        <v>0.82381384544319047</v>
      </c>
      <c r="RL13" s="363">
        <f t="shared" ca="1" si="134"/>
        <v>0.81582655011471339</v>
      </c>
      <c r="RM13" s="363">
        <f t="shared" ca="1" si="134"/>
        <v>0.83246323968405367</v>
      </c>
      <c r="RN13" s="363">
        <f t="shared" ca="1" si="134"/>
        <v>0.86177513285908314</v>
      </c>
      <c r="RO13" s="363">
        <f t="shared" ca="1" si="134"/>
        <v>0.79544358293214656</v>
      </c>
      <c r="RP13" s="363">
        <f t="shared" ca="1" si="134"/>
        <v>0.78828645383897433</v>
      </c>
      <c r="RQ13" s="363">
        <f t="shared" ca="1" si="134"/>
        <v>0.8249524183121234</v>
      </c>
      <c r="RR13" s="363">
        <f t="shared" ca="1" si="134"/>
        <v>0.82166391446381526</v>
      </c>
      <c r="RS13" s="363">
        <f t="shared" ca="1" si="134"/>
        <v>0.7675084298446837</v>
      </c>
      <c r="RT13" s="363">
        <f t="shared" ca="1" si="134"/>
        <v>0.82214782268140518</v>
      </c>
      <c r="RU13" s="363">
        <f t="shared" ca="1" si="134"/>
        <v>0.84830839018468596</v>
      </c>
      <c r="RV13" s="363">
        <f t="shared" ca="1" si="134"/>
        <v>0.7864621205318173</v>
      </c>
      <c r="RW13" s="363">
        <f t="shared" ca="1" si="134"/>
        <v>0.75775649451793914</v>
      </c>
      <c r="RX13" s="363">
        <f t="shared" ca="1" si="134"/>
        <v>0.81297446172483701</v>
      </c>
      <c r="RY13" s="363">
        <f t="shared" ca="1" si="134"/>
        <v>0.80690232367172299</v>
      </c>
      <c r="RZ13" s="363">
        <f t="shared" ca="1" si="134"/>
        <v>0.83396949457376823</v>
      </c>
      <c r="SA13" s="363">
        <f t="shared" ca="1" si="134"/>
        <v>0.83593674191490197</v>
      </c>
      <c r="SB13" s="363">
        <f t="shared" ca="1" si="134"/>
        <v>0.79250858600688456</v>
      </c>
      <c r="SC13" s="363">
        <f t="shared" ca="1" si="134"/>
        <v>0.79575728744116603</v>
      </c>
      <c r="SD13" s="363">
        <f t="shared" ca="1" si="134"/>
        <v>0.85997038299233541</v>
      </c>
      <c r="SE13" s="363">
        <f t="shared" ca="1" si="134"/>
        <v>0.83421998331135505</v>
      </c>
      <c r="SF13" s="363">
        <f t="shared" ca="1" si="134"/>
        <v>0.78231208599493318</v>
      </c>
      <c r="SG13" s="363">
        <f t="shared" ca="1" si="134"/>
        <v>0.77478086772369936</v>
      </c>
      <c r="SH13" s="363">
        <f t="shared" ca="1" si="134"/>
        <v>0.83296876046672197</v>
      </c>
      <c r="SI13" s="363">
        <f t="shared" ca="1" si="134"/>
        <v>0.80758051442191336</v>
      </c>
      <c r="SJ13" s="363">
        <f t="shared" ca="1" si="134"/>
        <v>0.81454442175088604</v>
      </c>
      <c r="SK13" s="363">
        <f t="shared" ca="1" si="134"/>
        <v>0.83136854918958347</v>
      </c>
      <c r="SL13" s="363">
        <f t="shared" ca="1" si="134"/>
        <v>0.87555848499323907</v>
      </c>
      <c r="SM13" s="363">
        <f t="shared" ca="1" si="134"/>
        <v>0.89303287724297864</v>
      </c>
      <c r="SN13" s="363">
        <f t="shared" ca="1" si="134"/>
        <v>0.84194501275003919</v>
      </c>
      <c r="SO13" s="363">
        <f t="shared" ca="1" si="134"/>
        <v>0.82788895430147058</v>
      </c>
      <c r="SP13" s="363">
        <f t="shared" ca="1" si="134"/>
        <v>0.74628222727606053</v>
      </c>
      <c r="SQ13" s="363">
        <f t="shared" ca="1" si="134"/>
        <v>0.83507316210701643</v>
      </c>
      <c r="SR13" s="363">
        <f t="shared" ca="1" si="134"/>
        <v>0.82979432736418568</v>
      </c>
      <c r="SS13" s="363">
        <f ca="1">_xlfn.BETA.INV(RAND(),$I$13,$J$13)</f>
        <v>0.86571684478013489</v>
      </c>
      <c r="ST13" s="363">
        <f t="shared" ref="ST13:VE13" ca="1" si="135">_xlfn.BETA.INV(RAND(),$I$13,$J$13)</f>
        <v>0.89557628621395491</v>
      </c>
      <c r="SU13" s="363">
        <f t="shared" ca="1" si="135"/>
        <v>0.81386626639973758</v>
      </c>
      <c r="SV13" s="363">
        <f t="shared" ca="1" si="135"/>
        <v>0.79347362073183558</v>
      </c>
      <c r="SW13" s="363">
        <f t="shared" ca="1" si="135"/>
        <v>0.79969150887279838</v>
      </c>
      <c r="SX13" s="363">
        <f t="shared" ca="1" si="135"/>
        <v>0.84339414616529695</v>
      </c>
      <c r="SY13" s="363">
        <f t="shared" ca="1" si="135"/>
        <v>0.8307543778347688</v>
      </c>
      <c r="SZ13" s="363">
        <f t="shared" ca="1" si="135"/>
        <v>0.81795784409472871</v>
      </c>
      <c r="TA13" s="363">
        <f t="shared" ca="1" si="135"/>
        <v>0.87917313660514218</v>
      </c>
      <c r="TB13" s="363">
        <f t="shared" ca="1" si="135"/>
        <v>0.78845299481205966</v>
      </c>
      <c r="TC13" s="363">
        <f t="shared" ca="1" si="135"/>
        <v>0.7666545729265335</v>
      </c>
      <c r="TD13" s="363">
        <f t="shared" ca="1" si="135"/>
        <v>0.84922204981633997</v>
      </c>
      <c r="TE13" s="363">
        <f t="shared" ca="1" si="135"/>
        <v>0.80842278708914561</v>
      </c>
      <c r="TF13" s="363">
        <f t="shared" ca="1" si="135"/>
        <v>0.8904077299533294</v>
      </c>
      <c r="TG13" s="363">
        <f t="shared" ca="1" si="135"/>
        <v>0.85188544238286634</v>
      </c>
      <c r="TH13" s="363">
        <f t="shared" ca="1" si="135"/>
        <v>0.74426891116454696</v>
      </c>
      <c r="TI13" s="363">
        <f t="shared" ca="1" si="135"/>
        <v>0.7748896818192218</v>
      </c>
      <c r="TJ13" s="363">
        <f t="shared" ca="1" si="135"/>
        <v>0.85055999663609527</v>
      </c>
      <c r="TK13" s="363">
        <f t="shared" ca="1" si="135"/>
        <v>0.81842617708699661</v>
      </c>
      <c r="TL13" s="363">
        <f t="shared" ca="1" si="135"/>
        <v>0.79669741167401087</v>
      </c>
      <c r="TM13" s="363">
        <f t="shared" ca="1" si="135"/>
        <v>0.78352108759772798</v>
      </c>
      <c r="TN13" s="363">
        <f t="shared" ca="1" si="135"/>
        <v>0.84342397220507603</v>
      </c>
      <c r="TO13" s="363">
        <f t="shared" ca="1" si="135"/>
        <v>0.83111856367798487</v>
      </c>
      <c r="TP13" s="363">
        <f t="shared" ca="1" si="135"/>
        <v>0.8282522208705192</v>
      </c>
      <c r="TQ13" s="363">
        <f t="shared" ca="1" si="135"/>
        <v>0.76756083668573716</v>
      </c>
      <c r="TR13" s="363">
        <f t="shared" ca="1" si="135"/>
        <v>0.78822121466470596</v>
      </c>
      <c r="TS13" s="363">
        <f t="shared" ca="1" si="135"/>
        <v>0.7399930825704667</v>
      </c>
      <c r="TT13" s="363">
        <f t="shared" ca="1" si="135"/>
        <v>0.83110614462355081</v>
      </c>
      <c r="TU13" s="363">
        <f t="shared" ca="1" si="135"/>
        <v>0.82623768503298978</v>
      </c>
      <c r="TV13" s="363">
        <f t="shared" ca="1" si="135"/>
        <v>0.88815266760666578</v>
      </c>
      <c r="TW13" s="363">
        <f t="shared" ca="1" si="135"/>
        <v>0.73407714662891022</v>
      </c>
      <c r="TX13" s="363">
        <f t="shared" ca="1" si="135"/>
        <v>0.86777690486669645</v>
      </c>
      <c r="TY13" s="363">
        <f t="shared" ca="1" si="135"/>
        <v>0.79099782024409271</v>
      </c>
      <c r="TZ13" s="363">
        <f t="shared" ca="1" si="135"/>
        <v>0.83453073466882888</v>
      </c>
      <c r="UA13" s="363">
        <f t="shared" ca="1" si="135"/>
        <v>0.79315313520934938</v>
      </c>
      <c r="UB13" s="363">
        <f t="shared" ca="1" si="135"/>
        <v>0.86837810155223394</v>
      </c>
      <c r="UC13" s="363">
        <f t="shared" ca="1" si="135"/>
        <v>0.87991222321629026</v>
      </c>
      <c r="UD13" s="363">
        <f t="shared" ca="1" si="135"/>
        <v>0.87321519918381529</v>
      </c>
      <c r="UE13" s="363">
        <f t="shared" ca="1" si="135"/>
        <v>0.82641199138397248</v>
      </c>
      <c r="UF13" s="363">
        <f t="shared" ca="1" si="135"/>
        <v>0.850504222026784</v>
      </c>
      <c r="UG13" s="363">
        <f t="shared" ca="1" si="135"/>
        <v>0.80032746915725661</v>
      </c>
      <c r="UH13" s="363">
        <f t="shared" ca="1" si="135"/>
        <v>0.87793446740564507</v>
      </c>
      <c r="UI13" s="363">
        <f t="shared" ca="1" si="135"/>
        <v>0.83257642303929746</v>
      </c>
      <c r="UJ13" s="363">
        <f t="shared" ca="1" si="135"/>
        <v>0.87250829098313076</v>
      </c>
      <c r="UK13" s="363">
        <f t="shared" ca="1" si="135"/>
        <v>0.87017458470460607</v>
      </c>
      <c r="UL13" s="363">
        <f t="shared" ca="1" si="135"/>
        <v>0.82386850898589004</v>
      </c>
      <c r="UM13" s="363">
        <f t="shared" ca="1" si="135"/>
        <v>0.88554492147907704</v>
      </c>
      <c r="UN13" s="363">
        <f t="shared" ca="1" si="135"/>
        <v>0.80744110061738317</v>
      </c>
      <c r="UO13" s="363">
        <f t="shared" ca="1" si="135"/>
        <v>0.84542257044743796</v>
      </c>
      <c r="UP13" s="363">
        <f t="shared" ca="1" si="135"/>
        <v>0.76481055151936728</v>
      </c>
      <c r="UQ13" s="363">
        <f t="shared" ca="1" si="135"/>
        <v>0.80524419212328902</v>
      </c>
      <c r="UR13" s="363">
        <f t="shared" ca="1" si="135"/>
        <v>0.84895454494057965</v>
      </c>
      <c r="US13" s="363">
        <f t="shared" ca="1" si="135"/>
        <v>0.80254346512514874</v>
      </c>
      <c r="UT13" s="363">
        <f t="shared" ca="1" si="135"/>
        <v>0.76505187459256174</v>
      </c>
      <c r="UU13" s="363">
        <f t="shared" ca="1" si="135"/>
        <v>0.88175295497366257</v>
      </c>
      <c r="UV13" s="363">
        <f t="shared" ca="1" si="135"/>
        <v>0.80816795233827143</v>
      </c>
      <c r="UW13" s="363">
        <f t="shared" ca="1" si="135"/>
        <v>0.82001404729690264</v>
      </c>
      <c r="UX13" s="363">
        <f t="shared" ca="1" si="135"/>
        <v>0.83134736516508523</v>
      </c>
      <c r="UY13" s="363">
        <f t="shared" ca="1" si="135"/>
        <v>0.86926964617633051</v>
      </c>
      <c r="UZ13" s="363">
        <f t="shared" ca="1" si="135"/>
        <v>0.80538518551098415</v>
      </c>
      <c r="VA13" s="363">
        <f t="shared" ca="1" si="135"/>
        <v>0.82679027188410581</v>
      </c>
      <c r="VB13" s="363">
        <f t="shared" ca="1" si="135"/>
        <v>0.79535092285383902</v>
      </c>
      <c r="VC13" s="363">
        <f t="shared" ca="1" si="135"/>
        <v>0.83816000583591921</v>
      </c>
      <c r="VD13" s="363">
        <f t="shared" ca="1" si="135"/>
        <v>0.78837229748723647</v>
      </c>
      <c r="VE13" s="363">
        <f t="shared" ca="1" si="135"/>
        <v>0.82810541529454573</v>
      </c>
      <c r="VF13" s="363">
        <f t="shared" ref="VF13:WN13" ca="1" si="136">_xlfn.BETA.INV(RAND(),$I$13,$J$13)</f>
        <v>0.81043343938133772</v>
      </c>
      <c r="VG13" s="363">
        <f t="shared" ca="1" si="136"/>
        <v>0.82885013215557446</v>
      </c>
      <c r="VH13" s="363">
        <f t="shared" ca="1" si="136"/>
        <v>0.85783676895171068</v>
      </c>
      <c r="VI13" s="363">
        <f t="shared" ca="1" si="136"/>
        <v>0.83540966076685041</v>
      </c>
      <c r="VJ13" s="363">
        <f t="shared" ca="1" si="136"/>
        <v>0.86153800080992304</v>
      </c>
      <c r="VK13" s="363">
        <f t="shared" ca="1" si="136"/>
        <v>0.8214153836639817</v>
      </c>
      <c r="VL13" s="363">
        <f t="shared" ca="1" si="136"/>
        <v>0.85973836705190232</v>
      </c>
      <c r="VM13" s="363">
        <f t="shared" ca="1" si="136"/>
        <v>0.77116385006524757</v>
      </c>
      <c r="VN13" s="363">
        <f t="shared" ca="1" si="136"/>
        <v>0.90837818382100699</v>
      </c>
      <c r="VO13" s="363">
        <f t="shared" ca="1" si="136"/>
        <v>0.7997473644332429</v>
      </c>
      <c r="VP13" s="363">
        <f t="shared" ca="1" si="136"/>
        <v>0.84741199837260139</v>
      </c>
      <c r="VQ13" s="363">
        <f t="shared" ca="1" si="136"/>
        <v>0.81237033446885443</v>
      </c>
      <c r="VR13" s="363">
        <f t="shared" ca="1" si="136"/>
        <v>0.81076453589222419</v>
      </c>
      <c r="VS13" s="363">
        <f t="shared" ca="1" si="136"/>
        <v>0.79941844181319965</v>
      </c>
      <c r="VT13" s="363">
        <f t="shared" ca="1" si="136"/>
        <v>0.83550327655247147</v>
      </c>
      <c r="VU13" s="363">
        <f t="shared" ca="1" si="136"/>
        <v>0.84183255516804878</v>
      </c>
      <c r="VV13" s="363">
        <f t="shared" ca="1" si="136"/>
        <v>0.79768838351631999</v>
      </c>
      <c r="VW13" s="363">
        <f t="shared" ca="1" si="136"/>
        <v>0.7952814981749543</v>
      </c>
      <c r="VX13" s="363">
        <f t="shared" ca="1" si="136"/>
        <v>0.78315751626130292</v>
      </c>
      <c r="VY13" s="363">
        <f t="shared" ca="1" si="136"/>
        <v>0.77002578883679995</v>
      </c>
      <c r="VZ13" s="363">
        <f t="shared" ca="1" si="136"/>
        <v>0.7851174277006</v>
      </c>
      <c r="WA13" s="363">
        <f t="shared" ca="1" si="136"/>
        <v>0.85961962684431259</v>
      </c>
      <c r="WB13" s="363">
        <f t="shared" ca="1" si="136"/>
        <v>0.8085290555316581</v>
      </c>
      <c r="WC13" s="363">
        <f t="shared" ca="1" si="136"/>
        <v>0.88930126726111736</v>
      </c>
      <c r="WD13" s="363">
        <f t="shared" ca="1" si="136"/>
        <v>0.85190997466353346</v>
      </c>
      <c r="WE13" s="363">
        <f t="shared" ca="1" si="136"/>
        <v>0.81809541109063577</v>
      </c>
      <c r="WF13" s="363">
        <f t="shared" ca="1" si="136"/>
        <v>0.80486302752609551</v>
      </c>
      <c r="WG13" s="363">
        <f t="shared" ca="1" si="136"/>
        <v>0.82306481880394866</v>
      </c>
      <c r="WH13" s="363">
        <f t="shared" ca="1" si="136"/>
        <v>0.86935250661768637</v>
      </c>
      <c r="WI13" s="363">
        <f t="shared" ca="1" si="136"/>
        <v>0.76149319201691201</v>
      </c>
      <c r="WJ13" s="363">
        <f t="shared" ca="1" si="136"/>
        <v>0.82066417232597122</v>
      </c>
      <c r="WK13" s="363">
        <f t="shared" ca="1" si="136"/>
        <v>0.74303251577660334</v>
      </c>
      <c r="WL13" s="363">
        <f t="shared" ca="1" si="136"/>
        <v>0.78387786220625411</v>
      </c>
      <c r="WM13" s="363">
        <f t="shared" ca="1" si="136"/>
        <v>0.83781741555347056</v>
      </c>
      <c r="WN13" s="363">
        <f t="shared" ca="1" si="136"/>
        <v>0.81868454580285943</v>
      </c>
    </row>
    <row r="14" spans="2:612" x14ac:dyDescent="0.15">
      <c r="B14" s="470" t="s">
        <v>507</v>
      </c>
      <c r="D14" s="363">
        <f t="shared" si="0"/>
        <v>0.70299999999999996</v>
      </c>
      <c r="F14" s="367">
        <v>0.70299999999999996</v>
      </c>
      <c r="G14" s="367" t="s">
        <v>350</v>
      </c>
      <c r="H14" s="363">
        <v>0.01</v>
      </c>
      <c r="I14" s="438">
        <f t="shared" si="87"/>
        <v>1467.0977300000002</v>
      </c>
      <c r="J14" s="438">
        <f t="shared" si="88"/>
        <v>619.81227000000024</v>
      </c>
      <c r="K14" s="367" t="s">
        <v>1273</v>
      </c>
      <c r="M14" s="363">
        <f ca="1">_xlfn.BETA.INV(RAND(),$I$14,$J$14)</f>
        <v>0.72369160715809477</v>
      </c>
      <c r="N14" s="363">
        <f t="shared" ref="N14:BY14" ca="1" si="137">_xlfn.BETA.INV(RAND(),$I$14,$J$14)</f>
        <v>0.68746485324017892</v>
      </c>
      <c r="O14" s="363">
        <f t="shared" ca="1" si="137"/>
        <v>0.70236872534555095</v>
      </c>
      <c r="P14" s="363">
        <f t="shared" ca="1" si="137"/>
        <v>0.69985021032742789</v>
      </c>
      <c r="Q14" s="363">
        <f t="shared" ca="1" si="137"/>
        <v>0.71176134588994366</v>
      </c>
      <c r="R14" s="363">
        <f t="shared" ca="1" si="137"/>
        <v>0.69814894327827859</v>
      </c>
      <c r="S14" s="363">
        <f t="shared" ca="1" si="137"/>
        <v>0.71508759189614934</v>
      </c>
      <c r="T14" s="363">
        <f t="shared" ca="1" si="137"/>
        <v>0.70225625632963928</v>
      </c>
      <c r="U14" s="363">
        <f t="shared" ca="1" si="137"/>
        <v>0.70867185523328269</v>
      </c>
      <c r="V14" s="363">
        <f t="shared" ca="1" si="137"/>
        <v>0.69920843726772453</v>
      </c>
      <c r="W14" s="363">
        <f t="shared" ca="1" si="137"/>
        <v>0.69984699565145614</v>
      </c>
      <c r="X14" s="363">
        <f t="shared" ca="1" si="137"/>
        <v>0.69980788568817964</v>
      </c>
      <c r="Y14" s="363">
        <f t="shared" ca="1" si="137"/>
        <v>0.70643515527583722</v>
      </c>
      <c r="Z14" s="363">
        <f t="shared" ca="1" si="137"/>
        <v>0.71099063793105421</v>
      </c>
      <c r="AA14" s="363">
        <f t="shared" ca="1" si="137"/>
        <v>0.70061842411886577</v>
      </c>
      <c r="AB14" s="363">
        <f t="shared" ca="1" si="137"/>
        <v>0.70444271394787816</v>
      </c>
      <c r="AC14" s="363">
        <f t="shared" ca="1" si="137"/>
        <v>0.70053751338419556</v>
      </c>
      <c r="AD14" s="363">
        <f t="shared" ca="1" si="137"/>
        <v>0.71409580299984277</v>
      </c>
      <c r="AE14" s="363">
        <f t="shared" ca="1" si="137"/>
        <v>0.69028068494225081</v>
      </c>
      <c r="AF14" s="363">
        <f t="shared" ca="1" si="137"/>
        <v>0.72276363278992428</v>
      </c>
      <c r="AG14" s="363">
        <f t="shared" ca="1" si="137"/>
        <v>0.69822472169653405</v>
      </c>
      <c r="AH14" s="363">
        <f t="shared" ca="1" si="137"/>
        <v>0.71157150779876099</v>
      </c>
      <c r="AI14" s="363">
        <f t="shared" ca="1" si="137"/>
        <v>0.69321113362597586</v>
      </c>
      <c r="AJ14" s="363">
        <f t="shared" ca="1" si="137"/>
        <v>0.70110988936919183</v>
      </c>
      <c r="AK14" s="363">
        <f t="shared" ca="1" si="137"/>
        <v>0.70897386405230556</v>
      </c>
      <c r="AL14" s="363">
        <f t="shared" ca="1" si="137"/>
        <v>0.6969241814578111</v>
      </c>
      <c r="AM14" s="363">
        <f t="shared" ca="1" si="137"/>
        <v>0.71696803331642966</v>
      </c>
      <c r="AN14" s="363">
        <f t="shared" ca="1" si="137"/>
        <v>0.70473435596185219</v>
      </c>
      <c r="AO14" s="363">
        <f t="shared" ca="1" si="137"/>
        <v>0.70318447657657712</v>
      </c>
      <c r="AP14" s="363">
        <f t="shared" ca="1" si="137"/>
        <v>0.7147165263029811</v>
      </c>
      <c r="AQ14" s="363">
        <f t="shared" ca="1" si="137"/>
        <v>0.71858163306802258</v>
      </c>
      <c r="AR14" s="363">
        <f t="shared" ca="1" si="137"/>
        <v>0.68556479766002076</v>
      </c>
      <c r="AS14" s="363">
        <f t="shared" ca="1" si="137"/>
        <v>0.69721363915111367</v>
      </c>
      <c r="AT14" s="363">
        <f t="shared" ca="1" si="137"/>
        <v>0.71012568790755592</v>
      </c>
      <c r="AU14" s="363">
        <f t="shared" ca="1" si="137"/>
        <v>0.69998145450220839</v>
      </c>
      <c r="AV14" s="363">
        <f t="shared" ca="1" si="137"/>
        <v>0.7206090107291987</v>
      </c>
      <c r="AW14" s="363">
        <f t="shared" ca="1" si="137"/>
        <v>0.70425921623944054</v>
      </c>
      <c r="AX14" s="363">
        <f t="shared" ca="1" si="137"/>
        <v>0.70333079803898635</v>
      </c>
      <c r="AY14" s="363">
        <f t="shared" ca="1" si="137"/>
        <v>0.70794945556589561</v>
      </c>
      <c r="AZ14" s="363">
        <f t="shared" ca="1" si="137"/>
        <v>0.69519362703765364</v>
      </c>
      <c r="BA14" s="363">
        <f t="shared" ca="1" si="137"/>
        <v>0.69610598384075117</v>
      </c>
      <c r="BB14" s="363">
        <f t="shared" ca="1" si="137"/>
        <v>0.71851386570877218</v>
      </c>
      <c r="BC14" s="363">
        <f t="shared" ca="1" si="137"/>
        <v>0.70640576770830688</v>
      </c>
      <c r="BD14" s="363">
        <f t="shared" ca="1" si="137"/>
        <v>0.69360136673915751</v>
      </c>
      <c r="BE14" s="363">
        <f t="shared" ca="1" si="137"/>
        <v>0.70277628018196847</v>
      </c>
      <c r="BF14" s="363">
        <f t="shared" ca="1" si="137"/>
        <v>0.70320907538632715</v>
      </c>
      <c r="BG14" s="363">
        <f t="shared" ca="1" si="137"/>
        <v>0.70558604945472991</v>
      </c>
      <c r="BH14" s="363">
        <f t="shared" ca="1" si="137"/>
        <v>0.69147002328158136</v>
      </c>
      <c r="BI14" s="363">
        <f t="shared" ca="1" si="137"/>
        <v>0.69322484479565205</v>
      </c>
      <c r="BJ14" s="363">
        <f t="shared" ca="1" si="137"/>
        <v>0.70404390570386954</v>
      </c>
      <c r="BK14" s="363">
        <f t="shared" ca="1" si="137"/>
        <v>0.71880474827788399</v>
      </c>
      <c r="BL14" s="363">
        <f t="shared" ca="1" si="137"/>
        <v>0.6846383080816405</v>
      </c>
      <c r="BM14" s="363">
        <f t="shared" ca="1" si="137"/>
        <v>0.71356300225753211</v>
      </c>
      <c r="BN14" s="363">
        <f t="shared" ca="1" si="137"/>
        <v>0.69565593812631354</v>
      </c>
      <c r="BO14" s="363">
        <f t="shared" ca="1" si="137"/>
        <v>0.69780730115451517</v>
      </c>
      <c r="BP14" s="363">
        <f t="shared" ca="1" si="137"/>
        <v>0.70187958811012729</v>
      </c>
      <c r="BQ14" s="363">
        <f t="shared" ca="1" si="137"/>
        <v>0.71491735099593301</v>
      </c>
      <c r="BR14" s="363">
        <f t="shared" ca="1" si="137"/>
        <v>0.72813561849865105</v>
      </c>
      <c r="BS14" s="363">
        <f t="shared" ca="1" si="137"/>
        <v>0.68658318855123057</v>
      </c>
      <c r="BT14" s="363">
        <f t="shared" ca="1" si="137"/>
        <v>0.71780111242301259</v>
      </c>
      <c r="BU14" s="363">
        <f t="shared" ca="1" si="137"/>
        <v>0.71007855315835311</v>
      </c>
      <c r="BV14" s="363">
        <f t="shared" ca="1" si="137"/>
        <v>0.71042256555105454</v>
      </c>
      <c r="BW14" s="363">
        <f t="shared" ca="1" si="137"/>
        <v>0.69856263283551323</v>
      </c>
      <c r="BX14" s="363">
        <f t="shared" ca="1" si="137"/>
        <v>0.69391634087680298</v>
      </c>
      <c r="BY14" s="363">
        <f t="shared" ca="1" si="137"/>
        <v>0.70535927984371549</v>
      </c>
      <c r="BZ14" s="363">
        <f t="shared" ref="BZ14:DH14" ca="1" si="138">_xlfn.BETA.INV(RAND(),$I$14,$J$14)</f>
        <v>0.70390375055047838</v>
      </c>
      <c r="CA14" s="363">
        <f t="shared" ca="1" si="138"/>
        <v>0.68931875249447394</v>
      </c>
      <c r="CB14" s="363">
        <f t="shared" ca="1" si="138"/>
        <v>0.69400611102207421</v>
      </c>
      <c r="CC14" s="363">
        <f t="shared" ca="1" si="138"/>
        <v>0.71720002090150969</v>
      </c>
      <c r="CD14" s="363">
        <f t="shared" ca="1" si="138"/>
        <v>0.68184718919841036</v>
      </c>
      <c r="CE14" s="363">
        <f t="shared" ca="1" si="138"/>
        <v>0.69716434066115263</v>
      </c>
      <c r="CF14" s="363">
        <f t="shared" ca="1" si="138"/>
        <v>0.68803736376147895</v>
      </c>
      <c r="CG14" s="363">
        <f t="shared" ca="1" si="138"/>
        <v>0.6879534211425965</v>
      </c>
      <c r="CH14" s="363">
        <f t="shared" ca="1" si="138"/>
        <v>0.69926852589596333</v>
      </c>
      <c r="CI14" s="363">
        <f t="shared" ca="1" si="138"/>
        <v>0.67477770690039773</v>
      </c>
      <c r="CJ14" s="363">
        <f t="shared" ca="1" si="138"/>
        <v>0.71417847216744335</v>
      </c>
      <c r="CK14" s="363">
        <f t="shared" ca="1" si="138"/>
        <v>0.70240488949142277</v>
      </c>
      <c r="CL14" s="363">
        <f t="shared" ca="1" si="138"/>
        <v>0.70187214973920475</v>
      </c>
      <c r="CM14" s="363">
        <f t="shared" ca="1" si="138"/>
        <v>0.70703782617845023</v>
      </c>
      <c r="CN14" s="363">
        <f t="shared" ca="1" si="138"/>
        <v>0.70611051966846206</v>
      </c>
      <c r="CO14" s="363">
        <f t="shared" ca="1" si="138"/>
        <v>0.68047039501261641</v>
      </c>
      <c r="CP14" s="363">
        <f t="shared" ca="1" si="138"/>
        <v>0.69698060232935977</v>
      </c>
      <c r="CQ14" s="363">
        <f t="shared" ca="1" si="138"/>
        <v>0.7008883600535889</v>
      </c>
      <c r="CR14" s="363">
        <f t="shared" ca="1" si="138"/>
        <v>0.70226999997419859</v>
      </c>
      <c r="CS14" s="363">
        <f t="shared" ca="1" si="138"/>
        <v>0.68677439836789567</v>
      </c>
      <c r="CT14" s="363">
        <f t="shared" ca="1" si="138"/>
        <v>0.70812144960229761</v>
      </c>
      <c r="CU14" s="363">
        <f t="shared" ca="1" si="138"/>
        <v>0.70278762896801628</v>
      </c>
      <c r="CV14" s="363">
        <f t="shared" ca="1" si="138"/>
        <v>0.7007117825133371</v>
      </c>
      <c r="CW14" s="363">
        <f t="shared" ca="1" si="138"/>
        <v>0.69106694289668036</v>
      </c>
      <c r="CX14" s="363">
        <f t="shared" ca="1" si="138"/>
        <v>0.70814366927864014</v>
      </c>
      <c r="CY14" s="363">
        <f t="shared" ca="1" si="138"/>
        <v>0.70591241643296454</v>
      </c>
      <c r="CZ14" s="363">
        <f t="shared" ca="1" si="138"/>
        <v>0.71942724836229333</v>
      </c>
      <c r="DA14" s="363">
        <f t="shared" ca="1" si="138"/>
        <v>0.70135596204261719</v>
      </c>
      <c r="DB14" s="363">
        <f t="shared" ca="1" si="138"/>
        <v>0.70987193830640871</v>
      </c>
      <c r="DC14" s="363">
        <f t="shared" ca="1" si="138"/>
        <v>0.70674219722594245</v>
      </c>
      <c r="DD14" s="363">
        <f t="shared" ca="1" si="138"/>
        <v>0.69427895622543212</v>
      </c>
      <c r="DE14" s="363">
        <f t="shared" ca="1" si="138"/>
        <v>0.69008206470198208</v>
      </c>
      <c r="DF14" s="363">
        <f t="shared" ca="1" si="138"/>
        <v>0.70769391042351315</v>
      </c>
      <c r="DG14" s="363">
        <f t="shared" ca="1" si="138"/>
        <v>0.70614360864466341</v>
      </c>
      <c r="DH14" s="363">
        <f t="shared" ca="1" si="138"/>
        <v>0.68556935416587061</v>
      </c>
      <c r="DI14" s="363">
        <f ca="1">_xlfn.BETA.INV(RAND(),$I$14,$J$14)</f>
        <v>0.69844067315436187</v>
      </c>
      <c r="DJ14" s="363">
        <f t="shared" ref="DJ14:FU14" ca="1" si="139">_xlfn.BETA.INV(RAND(),$I$14,$J$14)</f>
        <v>0.69905785432159517</v>
      </c>
      <c r="DK14" s="363">
        <f t="shared" ca="1" si="139"/>
        <v>0.69295891461786641</v>
      </c>
      <c r="DL14" s="363">
        <f t="shared" ca="1" si="139"/>
        <v>0.68797018450300251</v>
      </c>
      <c r="DM14" s="363">
        <f t="shared" ca="1" si="139"/>
        <v>0.70753452500542136</v>
      </c>
      <c r="DN14" s="363">
        <f t="shared" ca="1" si="139"/>
        <v>0.6963088042703437</v>
      </c>
      <c r="DO14" s="363">
        <f t="shared" ca="1" si="139"/>
        <v>0.70763765655761901</v>
      </c>
      <c r="DP14" s="363">
        <f t="shared" ca="1" si="139"/>
        <v>0.70492006645922811</v>
      </c>
      <c r="DQ14" s="363">
        <f t="shared" ca="1" si="139"/>
        <v>0.68626896416854133</v>
      </c>
      <c r="DR14" s="363">
        <f t="shared" ca="1" si="139"/>
        <v>0.70154330565060974</v>
      </c>
      <c r="DS14" s="363">
        <f t="shared" ca="1" si="139"/>
        <v>0.69505769934069872</v>
      </c>
      <c r="DT14" s="363">
        <f t="shared" ca="1" si="139"/>
        <v>0.69807456130462231</v>
      </c>
      <c r="DU14" s="363">
        <f t="shared" ca="1" si="139"/>
        <v>0.7179513573385421</v>
      </c>
      <c r="DV14" s="363">
        <f t="shared" ca="1" si="139"/>
        <v>0.72068492414027918</v>
      </c>
      <c r="DW14" s="363">
        <f t="shared" ca="1" si="139"/>
        <v>0.69226271737190692</v>
      </c>
      <c r="DX14" s="363">
        <f t="shared" ca="1" si="139"/>
        <v>0.70954771746206247</v>
      </c>
      <c r="DY14" s="363">
        <f t="shared" ca="1" si="139"/>
        <v>0.70258470284343455</v>
      </c>
      <c r="DZ14" s="363">
        <f t="shared" ca="1" si="139"/>
        <v>0.71744321539033251</v>
      </c>
      <c r="EA14" s="363">
        <f t="shared" ca="1" si="139"/>
        <v>0.70495526225011407</v>
      </c>
      <c r="EB14" s="363">
        <f t="shared" ca="1" si="139"/>
        <v>0.70280991989879094</v>
      </c>
      <c r="EC14" s="363">
        <f t="shared" ca="1" si="139"/>
        <v>0.69891234103806499</v>
      </c>
      <c r="ED14" s="363">
        <f t="shared" ca="1" si="139"/>
        <v>0.67986214730219785</v>
      </c>
      <c r="EE14" s="363">
        <f t="shared" ca="1" si="139"/>
        <v>0.69058355320743903</v>
      </c>
      <c r="EF14" s="363">
        <f t="shared" ca="1" si="139"/>
        <v>0.70158176349667223</v>
      </c>
      <c r="EG14" s="363">
        <f t="shared" ca="1" si="139"/>
        <v>0.71516452809010733</v>
      </c>
      <c r="EH14" s="363">
        <f t="shared" ca="1" si="139"/>
        <v>0.70299437274050192</v>
      </c>
      <c r="EI14" s="363">
        <f t="shared" ca="1" si="139"/>
        <v>0.71061644912145638</v>
      </c>
      <c r="EJ14" s="363">
        <f t="shared" ca="1" si="139"/>
        <v>0.69409709148261234</v>
      </c>
      <c r="EK14" s="363">
        <f t="shared" ca="1" si="139"/>
        <v>0.69786164428492792</v>
      </c>
      <c r="EL14" s="363">
        <f t="shared" ca="1" si="139"/>
        <v>0.69413142983314557</v>
      </c>
      <c r="EM14" s="363">
        <f t="shared" ca="1" si="139"/>
        <v>0.69849349506551539</v>
      </c>
      <c r="EN14" s="363">
        <f t="shared" ca="1" si="139"/>
        <v>0.69473267736062772</v>
      </c>
      <c r="EO14" s="363">
        <f t="shared" ca="1" si="139"/>
        <v>0.69979419116348163</v>
      </c>
      <c r="EP14" s="363">
        <f t="shared" ca="1" si="139"/>
        <v>0.69971406912341938</v>
      </c>
      <c r="EQ14" s="363">
        <f t="shared" ca="1" si="139"/>
        <v>0.7108298431669573</v>
      </c>
      <c r="ER14" s="363">
        <f t="shared" ca="1" si="139"/>
        <v>0.72206932569856241</v>
      </c>
      <c r="ES14" s="363">
        <f t="shared" ca="1" si="139"/>
        <v>0.70642191879877214</v>
      </c>
      <c r="ET14" s="363">
        <f t="shared" ca="1" si="139"/>
        <v>0.69700015116374159</v>
      </c>
      <c r="EU14" s="363">
        <f t="shared" ca="1" si="139"/>
        <v>0.71112514544869876</v>
      </c>
      <c r="EV14" s="363">
        <f t="shared" ca="1" si="139"/>
        <v>0.68254990225568379</v>
      </c>
      <c r="EW14" s="363">
        <f t="shared" ca="1" si="139"/>
        <v>0.69709670226415055</v>
      </c>
      <c r="EX14" s="363">
        <f t="shared" ca="1" si="139"/>
        <v>0.69783003713245773</v>
      </c>
      <c r="EY14" s="363">
        <f t="shared" ca="1" si="139"/>
        <v>0.69911018479317011</v>
      </c>
      <c r="EZ14" s="363">
        <f t="shared" ca="1" si="139"/>
        <v>0.69652913116148996</v>
      </c>
      <c r="FA14" s="363">
        <f t="shared" ca="1" si="139"/>
        <v>0.69090889338908423</v>
      </c>
      <c r="FB14" s="363">
        <f t="shared" ca="1" si="139"/>
        <v>0.70466598456053142</v>
      </c>
      <c r="FC14" s="363">
        <f t="shared" ca="1" si="139"/>
        <v>0.72157858249245055</v>
      </c>
      <c r="FD14" s="363">
        <f t="shared" ca="1" si="139"/>
        <v>0.68279144068308817</v>
      </c>
      <c r="FE14" s="363">
        <f t="shared" ca="1" si="139"/>
        <v>0.68251656374209602</v>
      </c>
      <c r="FF14" s="363">
        <f t="shared" ca="1" si="139"/>
        <v>0.71011882255313163</v>
      </c>
      <c r="FG14" s="363">
        <f t="shared" ca="1" si="139"/>
        <v>0.69725694005810657</v>
      </c>
      <c r="FH14" s="363">
        <f t="shared" ca="1" si="139"/>
        <v>0.7172604943348877</v>
      </c>
      <c r="FI14" s="363">
        <f t="shared" ca="1" si="139"/>
        <v>0.71765379475280788</v>
      </c>
      <c r="FJ14" s="363">
        <f t="shared" ca="1" si="139"/>
        <v>0.69309425614886999</v>
      </c>
      <c r="FK14" s="363">
        <f t="shared" ca="1" si="139"/>
        <v>0.70625367935007599</v>
      </c>
      <c r="FL14" s="363">
        <f t="shared" ca="1" si="139"/>
        <v>0.7113585093813487</v>
      </c>
      <c r="FM14" s="363">
        <f t="shared" ca="1" si="139"/>
        <v>0.71685956522008332</v>
      </c>
      <c r="FN14" s="363">
        <f t="shared" ca="1" si="139"/>
        <v>0.71173205264094219</v>
      </c>
      <c r="FO14" s="363">
        <f t="shared" ca="1" si="139"/>
        <v>0.70078483811605197</v>
      </c>
      <c r="FP14" s="363">
        <f t="shared" ca="1" si="139"/>
        <v>0.71268208719464532</v>
      </c>
      <c r="FQ14" s="363">
        <f t="shared" ca="1" si="139"/>
        <v>0.70700601910473182</v>
      </c>
      <c r="FR14" s="363">
        <f t="shared" ca="1" si="139"/>
        <v>0.69880318068422531</v>
      </c>
      <c r="FS14" s="363">
        <f t="shared" ca="1" si="139"/>
        <v>0.70862416834830966</v>
      </c>
      <c r="FT14" s="363">
        <f t="shared" ca="1" si="139"/>
        <v>0.70590891940147915</v>
      </c>
      <c r="FU14" s="363">
        <f t="shared" ca="1" si="139"/>
        <v>0.72202976618249226</v>
      </c>
      <c r="FV14" s="363">
        <f t="shared" ref="FV14:HD14" ca="1" si="140">_xlfn.BETA.INV(RAND(),$I$14,$J$14)</f>
        <v>0.69850701436143048</v>
      </c>
      <c r="FW14" s="363">
        <f t="shared" ca="1" si="140"/>
        <v>0.70194691882147298</v>
      </c>
      <c r="FX14" s="363">
        <f t="shared" ca="1" si="140"/>
        <v>0.68977460121961354</v>
      </c>
      <c r="FY14" s="363">
        <f t="shared" ca="1" si="140"/>
        <v>0.69714846008452513</v>
      </c>
      <c r="FZ14" s="363">
        <f t="shared" ca="1" si="140"/>
        <v>0.69617333396493297</v>
      </c>
      <c r="GA14" s="363">
        <f t="shared" ca="1" si="140"/>
        <v>0.70547631978581549</v>
      </c>
      <c r="GB14" s="363">
        <f t="shared" ca="1" si="140"/>
        <v>0.70229244781798583</v>
      </c>
      <c r="GC14" s="363">
        <f t="shared" ca="1" si="140"/>
        <v>0.71669218009897095</v>
      </c>
      <c r="GD14" s="363">
        <f t="shared" ca="1" si="140"/>
        <v>0.69516042850081028</v>
      </c>
      <c r="GE14" s="363">
        <f t="shared" ca="1" si="140"/>
        <v>0.69943985914263118</v>
      </c>
      <c r="GF14" s="363">
        <f t="shared" ca="1" si="140"/>
        <v>0.68792478445718663</v>
      </c>
      <c r="GG14" s="363">
        <f t="shared" ca="1" si="140"/>
        <v>0.68486896268462938</v>
      </c>
      <c r="GH14" s="363">
        <f t="shared" ca="1" si="140"/>
        <v>0.7125431791671315</v>
      </c>
      <c r="GI14" s="363">
        <f t="shared" ca="1" si="140"/>
        <v>0.69892050941949679</v>
      </c>
      <c r="GJ14" s="363">
        <f t="shared" ca="1" si="140"/>
        <v>0.70249259288518917</v>
      </c>
      <c r="GK14" s="363">
        <f t="shared" ca="1" si="140"/>
        <v>0.6890697305549669</v>
      </c>
      <c r="GL14" s="363">
        <f t="shared" ca="1" si="140"/>
        <v>0.72503405482356842</v>
      </c>
      <c r="GM14" s="363">
        <f t="shared" ca="1" si="140"/>
        <v>0.70694212447236848</v>
      </c>
      <c r="GN14" s="363">
        <f t="shared" ca="1" si="140"/>
        <v>0.70032424636499679</v>
      </c>
      <c r="GO14" s="363">
        <f t="shared" ca="1" si="140"/>
        <v>0.70282761691938533</v>
      </c>
      <c r="GP14" s="363">
        <f t="shared" ca="1" si="140"/>
        <v>0.70855933968128393</v>
      </c>
      <c r="GQ14" s="363">
        <f t="shared" ca="1" si="140"/>
        <v>0.70525164142004093</v>
      </c>
      <c r="GR14" s="363">
        <f t="shared" ca="1" si="140"/>
        <v>0.69236572014892139</v>
      </c>
      <c r="GS14" s="363">
        <f t="shared" ca="1" si="140"/>
        <v>0.70843358987311578</v>
      </c>
      <c r="GT14" s="363">
        <f t="shared" ca="1" si="140"/>
        <v>0.70109595402465752</v>
      </c>
      <c r="GU14" s="363">
        <f t="shared" ca="1" si="140"/>
        <v>0.71114557906780951</v>
      </c>
      <c r="GV14" s="363">
        <f t="shared" ca="1" si="140"/>
        <v>0.70585987104138082</v>
      </c>
      <c r="GW14" s="363">
        <f t="shared" ca="1" si="140"/>
        <v>0.70128161869443972</v>
      </c>
      <c r="GX14" s="363">
        <f t="shared" ca="1" si="140"/>
        <v>0.69356431136139296</v>
      </c>
      <c r="GY14" s="363">
        <f t="shared" ca="1" si="140"/>
        <v>0.71421819351587801</v>
      </c>
      <c r="GZ14" s="363">
        <f t="shared" ca="1" si="140"/>
        <v>0.70027462654724781</v>
      </c>
      <c r="HA14" s="363">
        <f t="shared" ca="1" si="140"/>
        <v>0.69800873366996663</v>
      </c>
      <c r="HB14" s="363">
        <f t="shared" ca="1" si="140"/>
        <v>0.69388721765803307</v>
      </c>
      <c r="HC14" s="363">
        <f t="shared" ca="1" si="140"/>
        <v>0.70179707307558414</v>
      </c>
      <c r="HD14" s="363">
        <f t="shared" ca="1" si="140"/>
        <v>0.69762490296158808</v>
      </c>
      <c r="HE14" s="363">
        <f ca="1">_xlfn.BETA.INV(RAND(),$I$14,$J$14)</f>
        <v>0.71016611771907878</v>
      </c>
      <c r="HF14" s="363">
        <f t="shared" ref="HF14:JQ14" ca="1" si="141">_xlfn.BETA.INV(RAND(),$I$14,$J$14)</f>
        <v>0.70623319380765914</v>
      </c>
      <c r="HG14" s="363">
        <f t="shared" ca="1" si="141"/>
        <v>0.71445770412440002</v>
      </c>
      <c r="HH14" s="363">
        <f t="shared" ca="1" si="141"/>
        <v>0.71459803979520387</v>
      </c>
      <c r="HI14" s="363">
        <f t="shared" ca="1" si="141"/>
        <v>0.70849060984053847</v>
      </c>
      <c r="HJ14" s="363">
        <f t="shared" ca="1" si="141"/>
        <v>0.7080819782788732</v>
      </c>
      <c r="HK14" s="363">
        <f t="shared" ca="1" si="141"/>
        <v>0.6804583940715786</v>
      </c>
      <c r="HL14" s="363">
        <f t="shared" ca="1" si="141"/>
        <v>0.69629179742634772</v>
      </c>
      <c r="HM14" s="363">
        <f t="shared" ca="1" si="141"/>
        <v>0.69087303953074186</v>
      </c>
      <c r="HN14" s="363">
        <f t="shared" ca="1" si="141"/>
        <v>0.69492198925491167</v>
      </c>
      <c r="HO14" s="363">
        <f t="shared" ca="1" si="141"/>
        <v>0.7155446554000634</v>
      </c>
      <c r="HP14" s="363">
        <f t="shared" ca="1" si="141"/>
        <v>0.72053601097102582</v>
      </c>
      <c r="HQ14" s="363">
        <f t="shared" ca="1" si="141"/>
        <v>0.69875697078565124</v>
      </c>
      <c r="HR14" s="363">
        <f t="shared" ca="1" si="141"/>
        <v>0.70474186121414317</v>
      </c>
      <c r="HS14" s="363">
        <f t="shared" ca="1" si="141"/>
        <v>0.71001418105506597</v>
      </c>
      <c r="HT14" s="363">
        <f t="shared" ca="1" si="141"/>
        <v>0.71744182834968329</v>
      </c>
      <c r="HU14" s="363">
        <f t="shared" ca="1" si="141"/>
        <v>0.69582988095165077</v>
      </c>
      <c r="HV14" s="363">
        <f t="shared" ca="1" si="141"/>
        <v>0.68140971698669739</v>
      </c>
      <c r="HW14" s="363">
        <f t="shared" ca="1" si="141"/>
        <v>0.68723482780589573</v>
      </c>
      <c r="HX14" s="363">
        <f t="shared" ca="1" si="141"/>
        <v>0.69914887021228334</v>
      </c>
      <c r="HY14" s="363">
        <f t="shared" ca="1" si="141"/>
        <v>0.71279792776258</v>
      </c>
      <c r="HZ14" s="363">
        <f t="shared" ca="1" si="141"/>
        <v>0.69448114457152355</v>
      </c>
      <c r="IA14" s="363">
        <f t="shared" ca="1" si="141"/>
        <v>0.70917166827143019</v>
      </c>
      <c r="IB14" s="363">
        <f t="shared" ca="1" si="141"/>
        <v>0.69972290328046172</v>
      </c>
      <c r="IC14" s="363">
        <f t="shared" ca="1" si="141"/>
        <v>0.70827292241609163</v>
      </c>
      <c r="ID14" s="363">
        <f t="shared" ca="1" si="141"/>
        <v>0.69288949262026089</v>
      </c>
      <c r="IE14" s="363">
        <f t="shared" ca="1" si="141"/>
        <v>0.6878967294473386</v>
      </c>
      <c r="IF14" s="363">
        <f t="shared" ca="1" si="141"/>
        <v>0.7130240636483004</v>
      </c>
      <c r="IG14" s="363">
        <f t="shared" ca="1" si="141"/>
        <v>0.69872060566831173</v>
      </c>
      <c r="IH14" s="363">
        <f t="shared" ca="1" si="141"/>
        <v>0.69902637469642337</v>
      </c>
      <c r="II14" s="363">
        <f t="shared" ca="1" si="141"/>
        <v>0.70531459193657109</v>
      </c>
      <c r="IJ14" s="363">
        <f t="shared" ca="1" si="141"/>
        <v>0.70163101911241299</v>
      </c>
      <c r="IK14" s="363">
        <f t="shared" ca="1" si="141"/>
        <v>0.69278542770474039</v>
      </c>
      <c r="IL14" s="363">
        <f t="shared" ca="1" si="141"/>
        <v>0.68958576411751937</v>
      </c>
      <c r="IM14" s="363">
        <f t="shared" ca="1" si="141"/>
        <v>0.70823892261791499</v>
      </c>
      <c r="IN14" s="363">
        <f t="shared" ca="1" si="141"/>
        <v>0.69092550173301048</v>
      </c>
      <c r="IO14" s="363">
        <f t="shared" ca="1" si="141"/>
        <v>0.694220437060736</v>
      </c>
      <c r="IP14" s="363">
        <f t="shared" ca="1" si="141"/>
        <v>0.71643526171404837</v>
      </c>
      <c r="IQ14" s="363">
        <f t="shared" ca="1" si="141"/>
        <v>0.69497633119483404</v>
      </c>
      <c r="IR14" s="363">
        <f t="shared" ca="1" si="141"/>
        <v>0.68971331633610666</v>
      </c>
      <c r="IS14" s="363">
        <f t="shared" ca="1" si="141"/>
        <v>0.68745160480303125</v>
      </c>
      <c r="IT14" s="363">
        <f t="shared" ca="1" si="141"/>
        <v>0.70758224224782684</v>
      </c>
      <c r="IU14" s="363">
        <f t="shared" ca="1" si="141"/>
        <v>0.69506661095428657</v>
      </c>
      <c r="IV14" s="363">
        <f t="shared" ca="1" si="141"/>
        <v>0.72310122855406633</v>
      </c>
      <c r="IW14" s="363">
        <f t="shared" ca="1" si="141"/>
        <v>0.71260424405132716</v>
      </c>
      <c r="IX14" s="363">
        <f t="shared" ca="1" si="141"/>
        <v>0.70720675154474444</v>
      </c>
      <c r="IY14" s="363">
        <f t="shared" ca="1" si="141"/>
        <v>0.69806880656637593</v>
      </c>
      <c r="IZ14" s="363">
        <f t="shared" ca="1" si="141"/>
        <v>0.70841736434563352</v>
      </c>
      <c r="JA14" s="363">
        <f t="shared" ca="1" si="141"/>
        <v>0.72235301511388084</v>
      </c>
      <c r="JB14" s="363">
        <f t="shared" ca="1" si="141"/>
        <v>0.69882181966173829</v>
      </c>
      <c r="JC14" s="363">
        <f t="shared" ca="1" si="141"/>
        <v>0.69756338692023534</v>
      </c>
      <c r="JD14" s="363">
        <f t="shared" ca="1" si="141"/>
        <v>0.70496781568632283</v>
      </c>
      <c r="JE14" s="363">
        <f t="shared" ca="1" si="141"/>
        <v>0.71317888431712273</v>
      </c>
      <c r="JF14" s="363">
        <f t="shared" ca="1" si="141"/>
        <v>0.72187636138480471</v>
      </c>
      <c r="JG14" s="363">
        <f t="shared" ca="1" si="141"/>
        <v>0.71535663694288942</v>
      </c>
      <c r="JH14" s="363">
        <f t="shared" ca="1" si="141"/>
        <v>0.69028748500045334</v>
      </c>
      <c r="JI14" s="363">
        <f t="shared" ca="1" si="141"/>
        <v>0.69129104428406829</v>
      </c>
      <c r="JJ14" s="363">
        <f t="shared" ca="1" si="141"/>
        <v>0.72379166511092663</v>
      </c>
      <c r="JK14" s="363">
        <f t="shared" ca="1" si="141"/>
        <v>0.70064630525775107</v>
      </c>
      <c r="JL14" s="363">
        <f t="shared" ca="1" si="141"/>
        <v>0.70901780486972399</v>
      </c>
      <c r="JM14" s="363">
        <f t="shared" ca="1" si="141"/>
        <v>0.69397090757124213</v>
      </c>
      <c r="JN14" s="363">
        <f t="shared" ca="1" si="141"/>
        <v>0.6924426774603929</v>
      </c>
      <c r="JO14" s="363">
        <f t="shared" ca="1" si="141"/>
        <v>0.7085559641659871</v>
      </c>
      <c r="JP14" s="363">
        <f t="shared" ca="1" si="141"/>
        <v>0.71138200031495091</v>
      </c>
      <c r="JQ14" s="363">
        <f t="shared" ca="1" si="141"/>
        <v>0.6945782053315418</v>
      </c>
      <c r="JR14" s="363">
        <f t="shared" ref="JR14:KZ14" ca="1" si="142">_xlfn.BETA.INV(RAND(),$I$14,$J$14)</f>
        <v>0.69231850055705513</v>
      </c>
      <c r="JS14" s="363">
        <f t="shared" ca="1" si="142"/>
        <v>0.70568414819316239</v>
      </c>
      <c r="JT14" s="363">
        <f t="shared" ca="1" si="142"/>
        <v>0.69397573115100053</v>
      </c>
      <c r="JU14" s="363">
        <f t="shared" ca="1" si="142"/>
        <v>0.68766241481057711</v>
      </c>
      <c r="JV14" s="363">
        <f t="shared" ca="1" si="142"/>
        <v>0.69359020109559621</v>
      </c>
      <c r="JW14" s="363">
        <f t="shared" ca="1" si="142"/>
        <v>0.70079662675271104</v>
      </c>
      <c r="JX14" s="363">
        <f t="shared" ca="1" si="142"/>
        <v>0.68808399393876052</v>
      </c>
      <c r="JY14" s="363">
        <f t="shared" ca="1" si="142"/>
        <v>0.69675457038876321</v>
      </c>
      <c r="JZ14" s="363">
        <f t="shared" ca="1" si="142"/>
        <v>0.71980139927308995</v>
      </c>
      <c r="KA14" s="363">
        <f t="shared" ca="1" si="142"/>
        <v>0.70129799976389884</v>
      </c>
      <c r="KB14" s="363">
        <f t="shared" ca="1" si="142"/>
        <v>0.68802096455465811</v>
      </c>
      <c r="KC14" s="363">
        <f t="shared" ca="1" si="142"/>
        <v>0.69421180957988993</v>
      </c>
      <c r="KD14" s="363">
        <f t="shared" ca="1" si="142"/>
        <v>0.70058794010787317</v>
      </c>
      <c r="KE14" s="363">
        <f t="shared" ca="1" si="142"/>
        <v>0.71156816437975157</v>
      </c>
      <c r="KF14" s="363">
        <f t="shared" ca="1" si="142"/>
        <v>0.71228760257534207</v>
      </c>
      <c r="KG14" s="363">
        <f t="shared" ca="1" si="142"/>
        <v>0.70086883348072948</v>
      </c>
      <c r="KH14" s="363">
        <f t="shared" ca="1" si="142"/>
        <v>0.71504409263455748</v>
      </c>
      <c r="KI14" s="363">
        <f t="shared" ca="1" si="142"/>
        <v>0.69616569598925337</v>
      </c>
      <c r="KJ14" s="363">
        <f t="shared" ca="1" si="142"/>
        <v>0.69454174179499384</v>
      </c>
      <c r="KK14" s="363">
        <f t="shared" ca="1" si="142"/>
        <v>0.6867267721093947</v>
      </c>
      <c r="KL14" s="363">
        <f t="shared" ca="1" si="142"/>
        <v>0.69100185746949316</v>
      </c>
      <c r="KM14" s="363">
        <f t="shared" ca="1" si="142"/>
        <v>0.70213063083041971</v>
      </c>
      <c r="KN14" s="363">
        <f t="shared" ca="1" si="142"/>
        <v>0.70306308493141556</v>
      </c>
      <c r="KO14" s="363">
        <f t="shared" ca="1" si="142"/>
        <v>0.69010368415350098</v>
      </c>
      <c r="KP14" s="363">
        <f t="shared" ca="1" si="142"/>
        <v>0.70207852464011233</v>
      </c>
      <c r="KQ14" s="363">
        <f t="shared" ca="1" si="142"/>
        <v>0.70175687353525351</v>
      </c>
      <c r="KR14" s="363">
        <f t="shared" ca="1" si="142"/>
        <v>0.69776802893848766</v>
      </c>
      <c r="KS14" s="363">
        <f t="shared" ca="1" si="142"/>
        <v>0.6865762426566705</v>
      </c>
      <c r="KT14" s="363">
        <f t="shared" ca="1" si="142"/>
        <v>0.69233366072808045</v>
      </c>
      <c r="KU14" s="363">
        <f t="shared" ca="1" si="142"/>
        <v>0.70480524483219031</v>
      </c>
      <c r="KV14" s="363">
        <f t="shared" ca="1" si="142"/>
        <v>0.71287239816737258</v>
      </c>
      <c r="KW14" s="363">
        <f t="shared" ca="1" si="142"/>
        <v>0.69483978260807555</v>
      </c>
      <c r="KX14" s="363">
        <f t="shared" ca="1" si="142"/>
        <v>0.7129737319522691</v>
      </c>
      <c r="KY14" s="363">
        <f t="shared" ca="1" si="142"/>
        <v>0.69298906364065849</v>
      </c>
      <c r="KZ14" s="363">
        <f t="shared" ca="1" si="142"/>
        <v>0.70796611607045223</v>
      </c>
      <c r="LA14" s="363">
        <f ca="1">_xlfn.BETA.INV(RAND(),$I$14,$J$14)</f>
        <v>0.69885842831354394</v>
      </c>
      <c r="LB14" s="363">
        <f t="shared" ref="LB14:NM14" ca="1" si="143">_xlfn.BETA.INV(RAND(),$I$14,$J$14)</f>
        <v>0.70545523393325382</v>
      </c>
      <c r="LC14" s="363">
        <f t="shared" ca="1" si="143"/>
        <v>0.70008203896129151</v>
      </c>
      <c r="LD14" s="363">
        <f t="shared" ca="1" si="143"/>
        <v>0.70372946025575855</v>
      </c>
      <c r="LE14" s="363">
        <f t="shared" ca="1" si="143"/>
        <v>0.6830511053578372</v>
      </c>
      <c r="LF14" s="363">
        <f t="shared" ca="1" si="143"/>
        <v>0.69226335271841888</v>
      </c>
      <c r="LG14" s="363">
        <f t="shared" ca="1" si="143"/>
        <v>0.70460700989768088</v>
      </c>
      <c r="LH14" s="363">
        <f t="shared" ca="1" si="143"/>
        <v>0.70926462483045838</v>
      </c>
      <c r="LI14" s="363">
        <f t="shared" ca="1" si="143"/>
        <v>0.69807006991720433</v>
      </c>
      <c r="LJ14" s="363">
        <f t="shared" ca="1" si="143"/>
        <v>0.69128693589696011</v>
      </c>
      <c r="LK14" s="363">
        <f t="shared" ca="1" si="143"/>
        <v>0.72476377003306791</v>
      </c>
      <c r="LL14" s="363">
        <f t="shared" ca="1" si="143"/>
        <v>0.70938194876765404</v>
      </c>
      <c r="LM14" s="363">
        <f t="shared" ca="1" si="143"/>
        <v>0.69988955957102017</v>
      </c>
      <c r="LN14" s="363">
        <f t="shared" ca="1" si="143"/>
        <v>0.71663217728061901</v>
      </c>
      <c r="LO14" s="363">
        <f t="shared" ca="1" si="143"/>
        <v>0.7065887709766141</v>
      </c>
      <c r="LP14" s="363">
        <f t="shared" ca="1" si="143"/>
        <v>0.69361717064919914</v>
      </c>
      <c r="LQ14" s="363">
        <f t="shared" ca="1" si="143"/>
        <v>0.70416420074109964</v>
      </c>
      <c r="LR14" s="363">
        <f t="shared" ca="1" si="143"/>
        <v>0.71193393081494349</v>
      </c>
      <c r="LS14" s="363">
        <f t="shared" ca="1" si="143"/>
        <v>0.67867425263148673</v>
      </c>
      <c r="LT14" s="363">
        <f t="shared" ca="1" si="143"/>
        <v>0.70000043550777868</v>
      </c>
      <c r="LU14" s="363">
        <f t="shared" ca="1" si="143"/>
        <v>0.71549151309330805</v>
      </c>
      <c r="LV14" s="363">
        <f t="shared" ca="1" si="143"/>
        <v>0.68699546073861695</v>
      </c>
      <c r="LW14" s="363">
        <f t="shared" ca="1" si="143"/>
        <v>0.69758752333269003</v>
      </c>
      <c r="LX14" s="363">
        <f t="shared" ca="1" si="143"/>
        <v>0.71925207648555878</v>
      </c>
      <c r="LY14" s="363">
        <f t="shared" ca="1" si="143"/>
        <v>0.69864037703000614</v>
      </c>
      <c r="LZ14" s="363">
        <f t="shared" ca="1" si="143"/>
        <v>0.71663391038628532</v>
      </c>
      <c r="MA14" s="363">
        <f t="shared" ca="1" si="143"/>
        <v>0.69553400647600605</v>
      </c>
      <c r="MB14" s="363">
        <f t="shared" ca="1" si="143"/>
        <v>0.69230208714012265</v>
      </c>
      <c r="MC14" s="363">
        <f t="shared" ca="1" si="143"/>
        <v>0.70460372864370169</v>
      </c>
      <c r="MD14" s="363">
        <f t="shared" ca="1" si="143"/>
        <v>0.70641367084124151</v>
      </c>
      <c r="ME14" s="363">
        <f t="shared" ca="1" si="143"/>
        <v>0.6922614871440933</v>
      </c>
      <c r="MF14" s="363">
        <f t="shared" ca="1" si="143"/>
        <v>0.71447773791903058</v>
      </c>
      <c r="MG14" s="363">
        <f t="shared" ca="1" si="143"/>
        <v>0.69896404406384416</v>
      </c>
      <c r="MH14" s="363">
        <f t="shared" ca="1" si="143"/>
        <v>0.71128854575482992</v>
      </c>
      <c r="MI14" s="363">
        <f t="shared" ca="1" si="143"/>
        <v>0.69877867099062263</v>
      </c>
      <c r="MJ14" s="363">
        <f t="shared" ca="1" si="143"/>
        <v>0.69847820742983613</v>
      </c>
      <c r="MK14" s="363">
        <f t="shared" ca="1" si="143"/>
        <v>0.71015415028205275</v>
      </c>
      <c r="ML14" s="363">
        <f t="shared" ca="1" si="143"/>
        <v>0.70118534747577677</v>
      </c>
      <c r="MM14" s="363">
        <f t="shared" ca="1" si="143"/>
        <v>0.7019528042812051</v>
      </c>
      <c r="MN14" s="363">
        <f t="shared" ca="1" si="143"/>
        <v>0.69839575661174835</v>
      </c>
      <c r="MO14" s="363">
        <f t="shared" ca="1" si="143"/>
        <v>0.68849818931841167</v>
      </c>
      <c r="MP14" s="363">
        <f t="shared" ca="1" si="143"/>
        <v>0.71980277082383082</v>
      </c>
      <c r="MQ14" s="363">
        <f t="shared" ca="1" si="143"/>
        <v>0.71558311188520118</v>
      </c>
      <c r="MR14" s="363">
        <f t="shared" ca="1" si="143"/>
        <v>0.69320597780360893</v>
      </c>
      <c r="MS14" s="363">
        <f t="shared" ca="1" si="143"/>
        <v>0.69474236198066497</v>
      </c>
      <c r="MT14" s="363">
        <f t="shared" ca="1" si="143"/>
        <v>0.70770074333177835</v>
      </c>
      <c r="MU14" s="363">
        <f t="shared" ca="1" si="143"/>
        <v>0.70734168582203649</v>
      </c>
      <c r="MV14" s="363">
        <f t="shared" ca="1" si="143"/>
        <v>0.7027438624454424</v>
      </c>
      <c r="MW14" s="363">
        <f t="shared" ca="1" si="143"/>
        <v>0.7216149050079218</v>
      </c>
      <c r="MX14" s="363">
        <f t="shared" ca="1" si="143"/>
        <v>0.72153026078427662</v>
      </c>
      <c r="MY14" s="363">
        <f t="shared" ca="1" si="143"/>
        <v>0.71367540902566962</v>
      </c>
      <c r="MZ14" s="363">
        <f t="shared" ca="1" si="143"/>
        <v>0.70235354339792244</v>
      </c>
      <c r="NA14" s="363">
        <f t="shared" ca="1" si="143"/>
        <v>0.70078342531936755</v>
      </c>
      <c r="NB14" s="363">
        <f t="shared" ca="1" si="143"/>
        <v>0.71009972329064086</v>
      </c>
      <c r="NC14" s="363">
        <f t="shared" ca="1" si="143"/>
        <v>0.69946004060728306</v>
      </c>
      <c r="ND14" s="363">
        <f t="shared" ca="1" si="143"/>
        <v>0.70258297797202407</v>
      </c>
      <c r="NE14" s="363">
        <f t="shared" ca="1" si="143"/>
        <v>0.69371926773964088</v>
      </c>
      <c r="NF14" s="363">
        <f t="shared" ca="1" si="143"/>
        <v>0.69098162001500751</v>
      </c>
      <c r="NG14" s="363">
        <f t="shared" ca="1" si="143"/>
        <v>0.71369523424273684</v>
      </c>
      <c r="NH14" s="363">
        <f t="shared" ca="1" si="143"/>
        <v>0.7016029703871246</v>
      </c>
      <c r="NI14" s="363">
        <f t="shared" ca="1" si="143"/>
        <v>0.70072521430894807</v>
      </c>
      <c r="NJ14" s="363">
        <f t="shared" ca="1" si="143"/>
        <v>0.69794048912458284</v>
      </c>
      <c r="NK14" s="363">
        <f t="shared" ca="1" si="143"/>
        <v>0.70578736928361763</v>
      </c>
      <c r="NL14" s="363">
        <f t="shared" ca="1" si="143"/>
        <v>0.71453421239856152</v>
      </c>
      <c r="NM14" s="363">
        <f t="shared" ca="1" si="143"/>
        <v>0.68655452007826767</v>
      </c>
      <c r="NN14" s="363">
        <f t="shared" ref="NN14:OV14" ca="1" si="144">_xlfn.BETA.INV(RAND(),$I$14,$J$14)</f>
        <v>0.68425028432240698</v>
      </c>
      <c r="NO14" s="363">
        <f t="shared" ca="1" si="144"/>
        <v>0.70333178241300143</v>
      </c>
      <c r="NP14" s="363">
        <f t="shared" ca="1" si="144"/>
        <v>0.68441490645831382</v>
      </c>
      <c r="NQ14" s="363">
        <f t="shared" ca="1" si="144"/>
        <v>0.71336717997789933</v>
      </c>
      <c r="NR14" s="363">
        <f t="shared" ca="1" si="144"/>
        <v>0.69815380478883604</v>
      </c>
      <c r="NS14" s="363">
        <f t="shared" ca="1" si="144"/>
        <v>0.69983436332817495</v>
      </c>
      <c r="NT14" s="363">
        <f t="shared" ca="1" si="144"/>
        <v>0.71014783997679098</v>
      </c>
      <c r="NU14" s="363">
        <f t="shared" ca="1" si="144"/>
        <v>0.71301859040792204</v>
      </c>
      <c r="NV14" s="363">
        <f t="shared" ca="1" si="144"/>
        <v>0.71014855375581398</v>
      </c>
      <c r="NW14" s="363">
        <f t="shared" ca="1" si="144"/>
        <v>0.71419153787711309</v>
      </c>
      <c r="NX14" s="363">
        <f t="shared" ca="1" si="144"/>
        <v>0.70799580477562984</v>
      </c>
      <c r="NY14" s="363">
        <f t="shared" ca="1" si="144"/>
        <v>0.68748527936182469</v>
      </c>
      <c r="NZ14" s="363">
        <f t="shared" ca="1" si="144"/>
        <v>0.68457885425330078</v>
      </c>
      <c r="OA14" s="363">
        <f t="shared" ca="1" si="144"/>
        <v>0.71180583368852424</v>
      </c>
      <c r="OB14" s="363">
        <f t="shared" ca="1" si="144"/>
        <v>0.69519822473217729</v>
      </c>
      <c r="OC14" s="363">
        <f t="shared" ca="1" si="144"/>
        <v>0.70924538169535967</v>
      </c>
      <c r="OD14" s="363">
        <f t="shared" ca="1" si="144"/>
        <v>0.69682568065025408</v>
      </c>
      <c r="OE14" s="363">
        <f t="shared" ca="1" si="144"/>
        <v>0.71251042869150916</v>
      </c>
      <c r="OF14" s="363">
        <f t="shared" ca="1" si="144"/>
        <v>0.71446105650667091</v>
      </c>
      <c r="OG14" s="363">
        <f t="shared" ca="1" si="144"/>
        <v>0.70194197331173735</v>
      </c>
      <c r="OH14" s="363">
        <f t="shared" ca="1" si="144"/>
        <v>0.70159504367225223</v>
      </c>
      <c r="OI14" s="363">
        <f t="shared" ca="1" si="144"/>
        <v>0.70560246776668767</v>
      </c>
      <c r="OJ14" s="363">
        <f t="shared" ca="1" si="144"/>
        <v>0.70290460872491667</v>
      </c>
      <c r="OK14" s="363">
        <f t="shared" ca="1" si="144"/>
        <v>0.7040030445839417</v>
      </c>
      <c r="OL14" s="363">
        <f t="shared" ca="1" si="144"/>
        <v>0.69736294719000391</v>
      </c>
      <c r="OM14" s="363">
        <f t="shared" ca="1" si="144"/>
        <v>0.70318191960333909</v>
      </c>
      <c r="ON14" s="363">
        <f t="shared" ca="1" si="144"/>
        <v>0.71124748892360068</v>
      </c>
      <c r="OO14" s="363">
        <f t="shared" ca="1" si="144"/>
        <v>0.6844884351256677</v>
      </c>
      <c r="OP14" s="363">
        <f t="shared" ca="1" si="144"/>
        <v>0.70768210172991575</v>
      </c>
      <c r="OQ14" s="363">
        <f t="shared" ca="1" si="144"/>
        <v>0.70897860637014531</v>
      </c>
      <c r="OR14" s="363">
        <f t="shared" ca="1" si="144"/>
        <v>0.69850907938580553</v>
      </c>
      <c r="OS14" s="363">
        <f t="shared" ca="1" si="144"/>
        <v>0.70364152823436787</v>
      </c>
      <c r="OT14" s="363">
        <f t="shared" ca="1" si="144"/>
        <v>0.69315557724955845</v>
      </c>
      <c r="OU14" s="363">
        <f t="shared" ca="1" si="144"/>
        <v>0.71420098712316016</v>
      </c>
      <c r="OV14" s="363">
        <f t="shared" ca="1" si="144"/>
        <v>0.71314017588111756</v>
      </c>
      <c r="OW14" s="363">
        <f ca="1">_xlfn.BETA.INV(RAND(),$I$14,$J$14)</f>
        <v>0.69255024355362926</v>
      </c>
      <c r="OX14" s="363">
        <f t="shared" ref="OX14:RI14" ca="1" si="145">_xlfn.BETA.INV(RAND(),$I$14,$J$14)</f>
        <v>0.69525934407479228</v>
      </c>
      <c r="OY14" s="363">
        <f t="shared" ca="1" si="145"/>
        <v>0.72752925572315885</v>
      </c>
      <c r="OZ14" s="363">
        <f t="shared" ca="1" si="145"/>
        <v>0.71179526770065349</v>
      </c>
      <c r="PA14" s="363">
        <f t="shared" ca="1" si="145"/>
        <v>0.70224801386535973</v>
      </c>
      <c r="PB14" s="363">
        <f t="shared" ca="1" si="145"/>
        <v>0.70420342927671498</v>
      </c>
      <c r="PC14" s="363">
        <f t="shared" ca="1" si="145"/>
        <v>0.69847611218069816</v>
      </c>
      <c r="PD14" s="363">
        <f t="shared" ca="1" si="145"/>
        <v>0.68799446936919528</v>
      </c>
      <c r="PE14" s="363">
        <f t="shared" ca="1" si="145"/>
        <v>0.70137590759732882</v>
      </c>
      <c r="PF14" s="363">
        <f t="shared" ca="1" si="145"/>
        <v>0.70263414056059958</v>
      </c>
      <c r="PG14" s="363">
        <f t="shared" ca="1" si="145"/>
        <v>0.70406985747308015</v>
      </c>
      <c r="PH14" s="363">
        <f t="shared" ca="1" si="145"/>
        <v>0.71776717170027626</v>
      </c>
      <c r="PI14" s="363">
        <f t="shared" ca="1" si="145"/>
        <v>0.70493400066984235</v>
      </c>
      <c r="PJ14" s="363">
        <f t="shared" ca="1" si="145"/>
        <v>0.69289603494571528</v>
      </c>
      <c r="PK14" s="363">
        <f t="shared" ca="1" si="145"/>
        <v>0.70274984030205578</v>
      </c>
      <c r="PL14" s="363">
        <f t="shared" ca="1" si="145"/>
        <v>0.7004680478759</v>
      </c>
      <c r="PM14" s="363">
        <f t="shared" ca="1" si="145"/>
        <v>0.67660418213540652</v>
      </c>
      <c r="PN14" s="363">
        <f t="shared" ca="1" si="145"/>
        <v>0.72663753170380496</v>
      </c>
      <c r="PO14" s="363">
        <f t="shared" ca="1" si="145"/>
        <v>0.69522086186107201</v>
      </c>
      <c r="PP14" s="363">
        <f t="shared" ca="1" si="145"/>
        <v>0.7020295422278845</v>
      </c>
      <c r="PQ14" s="363">
        <f t="shared" ca="1" si="145"/>
        <v>0.69768925495638079</v>
      </c>
      <c r="PR14" s="363">
        <f t="shared" ca="1" si="145"/>
        <v>0.69773293451941609</v>
      </c>
      <c r="PS14" s="363">
        <f t="shared" ca="1" si="145"/>
        <v>0.69882425073244303</v>
      </c>
      <c r="PT14" s="363">
        <f t="shared" ca="1" si="145"/>
        <v>0.70298038547645181</v>
      </c>
      <c r="PU14" s="363">
        <f t="shared" ca="1" si="145"/>
        <v>0.69962324463502179</v>
      </c>
      <c r="PV14" s="363">
        <f t="shared" ca="1" si="145"/>
        <v>0.69853540341750675</v>
      </c>
      <c r="PW14" s="363">
        <f t="shared" ca="1" si="145"/>
        <v>0.71463144981677185</v>
      </c>
      <c r="PX14" s="363">
        <f t="shared" ca="1" si="145"/>
        <v>0.71936542202108433</v>
      </c>
      <c r="PY14" s="363">
        <f t="shared" ca="1" si="145"/>
        <v>0.6944687347953814</v>
      </c>
      <c r="PZ14" s="363">
        <f t="shared" ca="1" si="145"/>
        <v>0.70459434003476695</v>
      </c>
      <c r="QA14" s="363">
        <f t="shared" ca="1" si="145"/>
        <v>0.70239274542006025</v>
      </c>
      <c r="QB14" s="363">
        <f t="shared" ca="1" si="145"/>
        <v>0.69736508742561565</v>
      </c>
      <c r="QC14" s="363">
        <f t="shared" ca="1" si="145"/>
        <v>0.6925328264694689</v>
      </c>
      <c r="QD14" s="363">
        <f t="shared" ca="1" si="145"/>
        <v>0.71267911032442677</v>
      </c>
      <c r="QE14" s="363">
        <f t="shared" ca="1" si="145"/>
        <v>0.70268824209449732</v>
      </c>
      <c r="QF14" s="363">
        <f t="shared" ca="1" si="145"/>
        <v>0.71449001202811346</v>
      </c>
      <c r="QG14" s="363">
        <f t="shared" ca="1" si="145"/>
        <v>0.71897990447620819</v>
      </c>
      <c r="QH14" s="363">
        <f t="shared" ca="1" si="145"/>
        <v>0.69840793736175832</v>
      </c>
      <c r="QI14" s="363">
        <f t="shared" ca="1" si="145"/>
        <v>0.69010545160924963</v>
      </c>
      <c r="QJ14" s="363">
        <f t="shared" ca="1" si="145"/>
        <v>0.70259568955767004</v>
      </c>
      <c r="QK14" s="363">
        <f t="shared" ca="1" si="145"/>
        <v>0.7083415713304706</v>
      </c>
      <c r="QL14" s="363">
        <f t="shared" ca="1" si="145"/>
        <v>0.71083952744843781</v>
      </c>
      <c r="QM14" s="363">
        <f t="shared" ca="1" si="145"/>
        <v>0.71083756320041525</v>
      </c>
      <c r="QN14" s="363">
        <f t="shared" ca="1" si="145"/>
        <v>0.69391215475728474</v>
      </c>
      <c r="QO14" s="363">
        <f t="shared" ca="1" si="145"/>
        <v>0.70057919187823348</v>
      </c>
      <c r="QP14" s="363">
        <f t="shared" ca="1" si="145"/>
        <v>0.69968420627023376</v>
      </c>
      <c r="QQ14" s="363">
        <f t="shared" ca="1" si="145"/>
        <v>0.70024170830781285</v>
      </c>
      <c r="QR14" s="363">
        <f t="shared" ca="1" si="145"/>
        <v>0.69898759561185475</v>
      </c>
      <c r="QS14" s="363">
        <f t="shared" ca="1" si="145"/>
        <v>0.71708388350764607</v>
      </c>
      <c r="QT14" s="363">
        <f t="shared" ca="1" si="145"/>
        <v>0.72177065989266054</v>
      </c>
      <c r="QU14" s="363">
        <f t="shared" ca="1" si="145"/>
        <v>0.69927186365021765</v>
      </c>
      <c r="QV14" s="363">
        <f t="shared" ca="1" si="145"/>
        <v>0.69724688917566646</v>
      </c>
      <c r="QW14" s="363">
        <f t="shared" ca="1" si="145"/>
        <v>0.69835206684296713</v>
      </c>
      <c r="QX14" s="363">
        <f t="shared" ca="1" si="145"/>
        <v>0.7104749029107108</v>
      </c>
      <c r="QY14" s="363">
        <f t="shared" ca="1" si="145"/>
        <v>0.69895718737133539</v>
      </c>
      <c r="QZ14" s="363">
        <f t="shared" ca="1" si="145"/>
        <v>0.70564845413641719</v>
      </c>
      <c r="RA14" s="363">
        <f t="shared" ca="1" si="145"/>
        <v>0.71511458863256472</v>
      </c>
      <c r="RB14" s="363">
        <f t="shared" ca="1" si="145"/>
        <v>0.70533140404834715</v>
      </c>
      <c r="RC14" s="363">
        <f t="shared" ca="1" si="145"/>
        <v>0.708546308215114</v>
      </c>
      <c r="RD14" s="363">
        <f t="shared" ca="1" si="145"/>
        <v>0.69427663291784092</v>
      </c>
      <c r="RE14" s="363">
        <f t="shared" ca="1" si="145"/>
        <v>0.70306737039201406</v>
      </c>
      <c r="RF14" s="363">
        <f t="shared" ca="1" si="145"/>
        <v>0.70638420872339203</v>
      </c>
      <c r="RG14" s="363">
        <f t="shared" ca="1" si="145"/>
        <v>0.68078511061526059</v>
      </c>
      <c r="RH14" s="363">
        <f t="shared" ca="1" si="145"/>
        <v>0.69562580106939798</v>
      </c>
      <c r="RI14" s="363">
        <f t="shared" ca="1" si="145"/>
        <v>0.69473896599288709</v>
      </c>
      <c r="RJ14" s="363">
        <f t="shared" ref="RJ14:SR14" ca="1" si="146">_xlfn.BETA.INV(RAND(),$I$14,$J$14)</f>
        <v>0.69945949200211099</v>
      </c>
      <c r="RK14" s="363">
        <f t="shared" ca="1" si="146"/>
        <v>0.70722225558044483</v>
      </c>
      <c r="RL14" s="363">
        <f t="shared" ca="1" si="146"/>
        <v>0.69276344488815744</v>
      </c>
      <c r="RM14" s="363">
        <f t="shared" ca="1" si="146"/>
        <v>0.69764916108242603</v>
      </c>
      <c r="RN14" s="363">
        <f t="shared" ca="1" si="146"/>
        <v>0.70365367343823793</v>
      </c>
      <c r="RO14" s="363">
        <f t="shared" ca="1" si="146"/>
        <v>0.70437284746070639</v>
      </c>
      <c r="RP14" s="363">
        <f t="shared" ca="1" si="146"/>
        <v>0.68977579262577726</v>
      </c>
      <c r="RQ14" s="363">
        <f t="shared" ca="1" si="146"/>
        <v>0.71036670074647978</v>
      </c>
      <c r="RR14" s="363">
        <f t="shared" ca="1" si="146"/>
        <v>0.70797752237215605</v>
      </c>
      <c r="RS14" s="363">
        <f t="shared" ca="1" si="146"/>
        <v>0.68179426313898728</v>
      </c>
      <c r="RT14" s="363">
        <f t="shared" ca="1" si="146"/>
        <v>0.70494835858949489</v>
      </c>
      <c r="RU14" s="363">
        <f t="shared" ca="1" si="146"/>
        <v>0.69529229516898905</v>
      </c>
      <c r="RV14" s="363">
        <f t="shared" ca="1" si="146"/>
        <v>0.69285673907436329</v>
      </c>
      <c r="RW14" s="363">
        <f t="shared" ca="1" si="146"/>
        <v>0.70841103068000411</v>
      </c>
      <c r="RX14" s="363">
        <f t="shared" ca="1" si="146"/>
        <v>0.70306684272557296</v>
      </c>
      <c r="RY14" s="363">
        <f t="shared" ca="1" si="146"/>
        <v>0.70195647721075172</v>
      </c>
      <c r="RZ14" s="363">
        <f t="shared" ca="1" si="146"/>
        <v>0.71227658256251836</v>
      </c>
      <c r="SA14" s="363">
        <f t="shared" ca="1" si="146"/>
        <v>0.70145533868327403</v>
      </c>
      <c r="SB14" s="363">
        <f t="shared" ca="1" si="146"/>
        <v>0.7136798840261197</v>
      </c>
      <c r="SC14" s="363">
        <f t="shared" ca="1" si="146"/>
        <v>0.69912228307535562</v>
      </c>
      <c r="SD14" s="363">
        <f t="shared" ca="1" si="146"/>
        <v>0.70660204024928375</v>
      </c>
      <c r="SE14" s="363">
        <f t="shared" ca="1" si="146"/>
        <v>0.71715747696306908</v>
      </c>
      <c r="SF14" s="363">
        <f t="shared" ca="1" si="146"/>
        <v>0.71536930958537481</v>
      </c>
      <c r="SG14" s="363">
        <f t="shared" ca="1" si="146"/>
        <v>0.68257625289557822</v>
      </c>
      <c r="SH14" s="363">
        <f t="shared" ca="1" si="146"/>
        <v>0.70968440000119137</v>
      </c>
      <c r="SI14" s="363">
        <f t="shared" ca="1" si="146"/>
        <v>0.70722082165547984</v>
      </c>
      <c r="SJ14" s="363">
        <f t="shared" ca="1" si="146"/>
        <v>0.70495996382224724</v>
      </c>
      <c r="SK14" s="363">
        <f t="shared" ca="1" si="146"/>
        <v>0.70650877844274906</v>
      </c>
      <c r="SL14" s="363">
        <f t="shared" ca="1" si="146"/>
        <v>0.69628622307967813</v>
      </c>
      <c r="SM14" s="363">
        <f t="shared" ca="1" si="146"/>
        <v>0.68027289144700454</v>
      </c>
      <c r="SN14" s="363">
        <f t="shared" ca="1" si="146"/>
        <v>0.695453154221506</v>
      </c>
      <c r="SO14" s="363">
        <f t="shared" ca="1" si="146"/>
        <v>0.69183343216247595</v>
      </c>
      <c r="SP14" s="363">
        <f t="shared" ca="1" si="146"/>
        <v>0.73091445945264866</v>
      </c>
      <c r="SQ14" s="363">
        <f t="shared" ca="1" si="146"/>
        <v>0.70501588791448522</v>
      </c>
      <c r="SR14" s="363">
        <f t="shared" ca="1" si="146"/>
        <v>0.70474653857010627</v>
      </c>
      <c r="SS14" s="363">
        <f ca="1">_xlfn.BETA.INV(RAND(),$I$14,$J$14)</f>
        <v>0.70387619717838457</v>
      </c>
      <c r="ST14" s="363">
        <f t="shared" ref="ST14:VE14" ca="1" si="147">_xlfn.BETA.INV(RAND(),$I$14,$J$14)</f>
        <v>0.71146515153099521</v>
      </c>
      <c r="SU14" s="363">
        <f t="shared" ca="1" si="147"/>
        <v>0.70319161785662565</v>
      </c>
      <c r="SV14" s="363">
        <f t="shared" ca="1" si="147"/>
        <v>0.71586671150869807</v>
      </c>
      <c r="SW14" s="363">
        <f t="shared" ca="1" si="147"/>
        <v>0.67030669354129535</v>
      </c>
      <c r="SX14" s="363">
        <f t="shared" ca="1" si="147"/>
        <v>0.71451767109237563</v>
      </c>
      <c r="SY14" s="363">
        <f t="shared" ca="1" si="147"/>
        <v>0.70234127457576545</v>
      </c>
      <c r="SZ14" s="363">
        <f t="shared" ca="1" si="147"/>
        <v>0.6865046347984971</v>
      </c>
      <c r="TA14" s="363">
        <f t="shared" ca="1" si="147"/>
        <v>0.70410052477339446</v>
      </c>
      <c r="TB14" s="363">
        <f t="shared" ca="1" si="147"/>
        <v>0.71205361174233306</v>
      </c>
      <c r="TC14" s="363">
        <f t="shared" ca="1" si="147"/>
        <v>0.70727589959843074</v>
      </c>
      <c r="TD14" s="363">
        <f t="shared" ca="1" si="147"/>
        <v>0.69212577212501658</v>
      </c>
      <c r="TE14" s="363">
        <f t="shared" ca="1" si="147"/>
        <v>0.71535197919765059</v>
      </c>
      <c r="TF14" s="363">
        <f t="shared" ca="1" si="147"/>
        <v>0.70258611608712784</v>
      </c>
      <c r="TG14" s="363">
        <f t="shared" ca="1" si="147"/>
        <v>0.70607700509966909</v>
      </c>
      <c r="TH14" s="363">
        <f t="shared" ca="1" si="147"/>
        <v>0.68927600506354025</v>
      </c>
      <c r="TI14" s="363">
        <f t="shared" ca="1" si="147"/>
        <v>0.70942869405715059</v>
      </c>
      <c r="TJ14" s="363">
        <f t="shared" ca="1" si="147"/>
        <v>0.69605652301486498</v>
      </c>
      <c r="TK14" s="363">
        <f t="shared" ca="1" si="147"/>
        <v>0.70528278327550287</v>
      </c>
      <c r="TL14" s="363">
        <f t="shared" ca="1" si="147"/>
        <v>0.69008340643546773</v>
      </c>
      <c r="TM14" s="363">
        <f t="shared" ca="1" si="147"/>
        <v>0.69420146886552991</v>
      </c>
      <c r="TN14" s="363">
        <f t="shared" ca="1" si="147"/>
        <v>0.70633223594120398</v>
      </c>
      <c r="TO14" s="363">
        <f t="shared" ca="1" si="147"/>
        <v>0.70021138667796434</v>
      </c>
      <c r="TP14" s="363">
        <f t="shared" ca="1" si="147"/>
        <v>0.70629304392551973</v>
      </c>
      <c r="TQ14" s="363">
        <f t="shared" ca="1" si="147"/>
        <v>0.69553616350028258</v>
      </c>
      <c r="TR14" s="363">
        <f t="shared" ca="1" si="147"/>
        <v>0.70676599339641699</v>
      </c>
      <c r="TS14" s="363">
        <f t="shared" ca="1" si="147"/>
        <v>0.68445625773656971</v>
      </c>
      <c r="TT14" s="363">
        <f t="shared" ca="1" si="147"/>
        <v>0.70341080046046356</v>
      </c>
      <c r="TU14" s="363">
        <f t="shared" ca="1" si="147"/>
        <v>0.7178113480247359</v>
      </c>
      <c r="TV14" s="363">
        <f t="shared" ca="1" si="147"/>
        <v>0.71423540192271695</v>
      </c>
      <c r="TW14" s="363">
        <f t="shared" ca="1" si="147"/>
        <v>0.70848088962864586</v>
      </c>
      <c r="TX14" s="363">
        <f t="shared" ca="1" si="147"/>
        <v>0.6899561264174221</v>
      </c>
      <c r="TY14" s="363">
        <f t="shared" ca="1" si="147"/>
        <v>0.7141051570424064</v>
      </c>
      <c r="TZ14" s="363">
        <f t="shared" ca="1" si="147"/>
        <v>0.68802109429904668</v>
      </c>
      <c r="UA14" s="363">
        <f t="shared" ca="1" si="147"/>
        <v>0.68867303183715822</v>
      </c>
      <c r="UB14" s="363">
        <f t="shared" ca="1" si="147"/>
        <v>0.71970519270279432</v>
      </c>
      <c r="UC14" s="363">
        <f t="shared" ca="1" si="147"/>
        <v>0.70090690982962434</v>
      </c>
      <c r="UD14" s="363">
        <f t="shared" ca="1" si="147"/>
        <v>0.68158093130325581</v>
      </c>
      <c r="UE14" s="363">
        <f t="shared" ca="1" si="147"/>
        <v>0.69981394151440068</v>
      </c>
      <c r="UF14" s="363">
        <f t="shared" ca="1" si="147"/>
        <v>0.70245289745499206</v>
      </c>
      <c r="UG14" s="363">
        <f t="shared" ca="1" si="147"/>
        <v>0.69140693439077705</v>
      </c>
      <c r="UH14" s="363">
        <f t="shared" ca="1" si="147"/>
        <v>0.69003538564890132</v>
      </c>
      <c r="UI14" s="363">
        <f t="shared" ca="1" si="147"/>
        <v>0.69583393585182474</v>
      </c>
      <c r="UJ14" s="363">
        <f t="shared" ca="1" si="147"/>
        <v>0.70133824271870726</v>
      </c>
      <c r="UK14" s="363">
        <f t="shared" ca="1" si="147"/>
        <v>0.71340302663373201</v>
      </c>
      <c r="UL14" s="363">
        <f t="shared" ca="1" si="147"/>
        <v>0.71244459057273135</v>
      </c>
      <c r="UM14" s="363">
        <f t="shared" ca="1" si="147"/>
        <v>0.69695970993596112</v>
      </c>
      <c r="UN14" s="363">
        <f t="shared" ca="1" si="147"/>
        <v>0.69686444181756169</v>
      </c>
      <c r="UO14" s="363">
        <f t="shared" ca="1" si="147"/>
        <v>0.69585425916682198</v>
      </c>
      <c r="UP14" s="363">
        <f t="shared" ca="1" si="147"/>
        <v>0.69175625401105945</v>
      </c>
      <c r="UQ14" s="363">
        <f t="shared" ca="1" si="147"/>
        <v>0.70465108208563798</v>
      </c>
      <c r="UR14" s="363">
        <f t="shared" ca="1" si="147"/>
        <v>0.70833764831662727</v>
      </c>
      <c r="US14" s="363">
        <f t="shared" ca="1" si="147"/>
        <v>0.69909834689189776</v>
      </c>
      <c r="UT14" s="363">
        <f t="shared" ca="1" si="147"/>
        <v>0.70640317995794133</v>
      </c>
      <c r="UU14" s="363">
        <f t="shared" ca="1" si="147"/>
        <v>0.68919346046162711</v>
      </c>
      <c r="UV14" s="363">
        <f t="shared" ca="1" si="147"/>
        <v>0.69622594630360402</v>
      </c>
      <c r="UW14" s="363">
        <f t="shared" ca="1" si="147"/>
        <v>0.70071507931807908</v>
      </c>
      <c r="UX14" s="363">
        <f t="shared" ca="1" si="147"/>
        <v>0.71018332824406283</v>
      </c>
      <c r="UY14" s="363">
        <f t="shared" ca="1" si="147"/>
        <v>0.7199552129505471</v>
      </c>
      <c r="UZ14" s="363">
        <f t="shared" ca="1" si="147"/>
        <v>0.71237195532817488</v>
      </c>
      <c r="VA14" s="363">
        <f t="shared" ca="1" si="147"/>
        <v>0.69877072747347713</v>
      </c>
      <c r="VB14" s="363">
        <f t="shared" ca="1" si="147"/>
        <v>0.71979341769347704</v>
      </c>
      <c r="VC14" s="363">
        <f t="shared" ca="1" si="147"/>
        <v>0.68430245139587242</v>
      </c>
      <c r="VD14" s="363">
        <f t="shared" ca="1" si="147"/>
        <v>0.704910215732372</v>
      </c>
      <c r="VE14" s="363">
        <f t="shared" ca="1" si="147"/>
        <v>0.70845460012533434</v>
      </c>
      <c r="VF14" s="363">
        <f t="shared" ref="VF14:WN14" ca="1" si="148">_xlfn.BETA.INV(RAND(),$I$14,$J$14)</f>
        <v>0.71326424629458884</v>
      </c>
      <c r="VG14" s="363">
        <f t="shared" ca="1" si="148"/>
        <v>0.69109653269301663</v>
      </c>
      <c r="VH14" s="363">
        <f t="shared" ca="1" si="148"/>
        <v>0.69786218930887611</v>
      </c>
      <c r="VI14" s="363">
        <f t="shared" ca="1" si="148"/>
        <v>0.7073283974871607</v>
      </c>
      <c r="VJ14" s="363">
        <f t="shared" ca="1" si="148"/>
        <v>0.70111212093202413</v>
      </c>
      <c r="VK14" s="363">
        <f t="shared" ca="1" si="148"/>
        <v>0.70190167204648379</v>
      </c>
      <c r="VL14" s="363">
        <f t="shared" ca="1" si="148"/>
        <v>0.70711867576542287</v>
      </c>
      <c r="VM14" s="363">
        <f t="shared" ca="1" si="148"/>
        <v>0.70009915751441065</v>
      </c>
      <c r="VN14" s="363">
        <f t="shared" ca="1" si="148"/>
        <v>0.70622969510852474</v>
      </c>
      <c r="VO14" s="363">
        <f t="shared" ca="1" si="148"/>
        <v>0.69636135851333314</v>
      </c>
      <c r="VP14" s="363">
        <f t="shared" ca="1" si="148"/>
        <v>0.69839178739026042</v>
      </c>
      <c r="VQ14" s="363">
        <f t="shared" ca="1" si="148"/>
        <v>0.70350419519171647</v>
      </c>
      <c r="VR14" s="363">
        <f t="shared" ca="1" si="148"/>
        <v>0.70528770564247334</v>
      </c>
      <c r="VS14" s="363">
        <f t="shared" ca="1" si="148"/>
        <v>0.69118737488902782</v>
      </c>
      <c r="VT14" s="363">
        <f t="shared" ca="1" si="148"/>
        <v>0.70348296521281339</v>
      </c>
      <c r="VU14" s="363">
        <f t="shared" ca="1" si="148"/>
        <v>0.71655328499361959</v>
      </c>
      <c r="VV14" s="363">
        <f t="shared" ca="1" si="148"/>
        <v>0.68529205899472712</v>
      </c>
      <c r="VW14" s="363">
        <f t="shared" ca="1" si="148"/>
        <v>0.69505049080498182</v>
      </c>
      <c r="VX14" s="363">
        <f t="shared" ca="1" si="148"/>
        <v>0.70244181245824233</v>
      </c>
      <c r="VY14" s="363">
        <f t="shared" ca="1" si="148"/>
        <v>0.70099127071658884</v>
      </c>
      <c r="VZ14" s="363">
        <f t="shared" ca="1" si="148"/>
        <v>0.70941287487328386</v>
      </c>
      <c r="WA14" s="363">
        <f t="shared" ca="1" si="148"/>
        <v>0.71039096996073536</v>
      </c>
      <c r="WB14" s="363">
        <f t="shared" ca="1" si="148"/>
        <v>0.70772671987499725</v>
      </c>
      <c r="WC14" s="363">
        <f t="shared" ca="1" si="148"/>
        <v>0.68964415774762289</v>
      </c>
      <c r="WD14" s="363">
        <f t="shared" ca="1" si="148"/>
        <v>0.69972109235129953</v>
      </c>
      <c r="WE14" s="363">
        <f t="shared" ca="1" si="148"/>
        <v>0.69856012244869758</v>
      </c>
      <c r="WF14" s="363">
        <f t="shared" ca="1" si="148"/>
        <v>0.71084442171926265</v>
      </c>
      <c r="WG14" s="363">
        <f t="shared" ca="1" si="148"/>
        <v>0.70191839190637728</v>
      </c>
      <c r="WH14" s="363">
        <f t="shared" ca="1" si="148"/>
        <v>0.71934443244536272</v>
      </c>
      <c r="WI14" s="363">
        <f t="shared" ca="1" si="148"/>
        <v>0.71667131381486215</v>
      </c>
      <c r="WJ14" s="363">
        <f t="shared" ca="1" si="148"/>
        <v>0.70348854644712722</v>
      </c>
      <c r="WK14" s="363">
        <f t="shared" ca="1" si="148"/>
        <v>0.69711059461611835</v>
      </c>
      <c r="WL14" s="363">
        <f t="shared" ca="1" si="148"/>
        <v>0.70978517290313548</v>
      </c>
      <c r="WM14" s="363">
        <f t="shared" ca="1" si="148"/>
        <v>0.70926988386745826</v>
      </c>
      <c r="WN14" s="363">
        <f t="shared" ca="1" si="148"/>
        <v>0.72399492250312147</v>
      </c>
    </row>
    <row r="15" spans="2:612" x14ac:dyDescent="0.15">
      <c r="B15" s="470" t="s">
        <v>508</v>
      </c>
      <c r="D15" s="363">
        <f t="shared" si="0"/>
        <v>0.70299999999999996</v>
      </c>
      <c r="F15" s="367">
        <v>0.70299999999999996</v>
      </c>
      <c r="G15" s="367" t="s">
        <v>350</v>
      </c>
      <c r="H15" s="363">
        <v>3.7999999999999999E-2</v>
      </c>
      <c r="I15" s="438">
        <f t="shared" si="87"/>
        <v>100.94525</v>
      </c>
      <c r="J15" s="438">
        <f t="shared" si="88"/>
        <v>42.646855263157903</v>
      </c>
      <c r="K15" s="367" t="s">
        <v>1273</v>
      </c>
      <c r="M15" s="363">
        <f ca="1">_xlfn.BETA.INV(RAND(),$I$15,$J$15)</f>
        <v>0.6505925437361052</v>
      </c>
      <c r="N15" s="363">
        <f t="shared" ref="N15:BY15" ca="1" si="149">_xlfn.BETA.INV(RAND(),$I$15,$J$15)</f>
        <v>0.77301590640583395</v>
      </c>
      <c r="O15" s="363">
        <f t="shared" ca="1" si="149"/>
        <v>0.7302703983246206</v>
      </c>
      <c r="P15" s="363">
        <f t="shared" ca="1" si="149"/>
        <v>0.67140540265439741</v>
      </c>
      <c r="Q15" s="363">
        <f t="shared" ca="1" si="149"/>
        <v>0.68013723439861429</v>
      </c>
      <c r="R15" s="363">
        <f t="shared" ca="1" si="149"/>
        <v>0.7164188355576625</v>
      </c>
      <c r="S15" s="363">
        <f t="shared" ca="1" si="149"/>
        <v>0.64645951177752614</v>
      </c>
      <c r="T15" s="363">
        <f t="shared" ca="1" si="149"/>
        <v>0.7053079048180888</v>
      </c>
      <c r="U15" s="363">
        <f t="shared" ca="1" si="149"/>
        <v>0.64955735823167726</v>
      </c>
      <c r="V15" s="363">
        <f t="shared" ca="1" si="149"/>
        <v>0.65539123652414077</v>
      </c>
      <c r="W15" s="363">
        <f t="shared" ca="1" si="149"/>
        <v>0.64789916479176834</v>
      </c>
      <c r="X15" s="363">
        <f t="shared" ca="1" si="149"/>
        <v>0.75532077313782742</v>
      </c>
      <c r="Y15" s="363">
        <f t="shared" ca="1" si="149"/>
        <v>0.69768757135545967</v>
      </c>
      <c r="Z15" s="363">
        <f t="shared" ca="1" si="149"/>
        <v>0.71359800959406239</v>
      </c>
      <c r="AA15" s="363">
        <f t="shared" ca="1" si="149"/>
        <v>0.69579818622963341</v>
      </c>
      <c r="AB15" s="363">
        <f t="shared" ca="1" si="149"/>
        <v>0.67788741389339879</v>
      </c>
      <c r="AC15" s="363">
        <f t="shared" ca="1" si="149"/>
        <v>0.72791244871146343</v>
      </c>
      <c r="AD15" s="363">
        <f t="shared" ca="1" si="149"/>
        <v>0.73530134359773314</v>
      </c>
      <c r="AE15" s="363">
        <f t="shared" ca="1" si="149"/>
        <v>0.65368474616041194</v>
      </c>
      <c r="AF15" s="363">
        <f t="shared" ca="1" si="149"/>
        <v>0.7634800165258242</v>
      </c>
      <c r="AG15" s="363">
        <f t="shared" ca="1" si="149"/>
        <v>0.72122956437489227</v>
      </c>
      <c r="AH15" s="363">
        <f t="shared" ca="1" si="149"/>
        <v>0.65557615835549787</v>
      </c>
      <c r="AI15" s="363">
        <f t="shared" ca="1" si="149"/>
        <v>0.63448397012372715</v>
      </c>
      <c r="AJ15" s="363">
        <f t="shared" ca="1" si="149"/>
        <v>0.70974126583738029</v>
      </c>
      <c r="AK15" s="363">
        <f t="shared" ca="1" si="149"/>
        <v>0.72761048457092348</v>
      </c>
      <c r="AL15" s="363">
        <f t="shared" ca="1" si="149"/>
        <v>0.63435598660762693</v>
      </c>
      <c r="AM15" s="363">
        <f t="shared" ca="1" si="149"/>
        <v>0.62800019547630159</v>
      </c>
      <c r="AN15" s="363">
        <f t="shared" ca="1" si="149"/>
        <v>0.64814326684082668</v>
      </c>
      <c r="AO15" s="363">
        <f t="shared" ca="1" si="149"/>
        <v>0.72499841723552827</v>
      </c>
      <c r="AP15" s="363">
        <f t="shared" ca="1" si="149"/>
        <v>0.69119025746980089</v>
      </c>
      <c r="AQ15" s="363">
        <f t="shared" ca="1" si="149"/>
        <v>0.71587654670223211</v>
      </c>
      <c r="AR15" s="363">
        <f t="shared" ca="1" si="149"/>
        <v>0.71192095745273076</v>
      </c>
      <c r="AS15" s="363">
        <f t="shared" ca="1" si="149"/>
        <v>0.71327109075931572</v>
      </c>
      <c r="AT15" s="363">
        <f t="shared" ca="1" si="149"/>
        <v>0.78159691256953545</v>
      </c>
      <c r="AU15" s="363">
        <f t="shared" ca="1" si="149"/>
        <v>0.67961865146722822</v>
      </c>
      <c r="AV15" s="363">
        <f t="shared" ca="1" si="149"/>
        <v>0.66181664709392474</v>
      </c>
      <c r="AW15" s="363">
        <f t="shared" ca="1" si="149"/>
        <v>0.66786910118469678</v>
      </c>
      <c r="AX15" s="363">
        <f t="shared" ca="1" si="149"/>
        <v>0.73295187429079256</v>
      </c>
      <c r="AY15" s="363">
        <f t="shared" ca="1" si="149"/>
        <v>0.66114818508272988</v>
      </c>
      <c r="AZ15" s="363">
        <f t="shared" ca="1" si="149"/>
        <v>0.6787179854584422</v>
      </c>
      <c r="BA15" s="363">
        <f t="shared" ca="1" si="149"/>
        <v>0.70539407298886481</v>
      </c>
      <c r="BB15" s="363">
        <f t="shared" ca="1" si="149"/>
        <v>0.68760623150667166</v>
      </c>
      <c r="BC15" s="363">
        <f t="shared" ca="1" si="149"/>
        <v>0.71520730684087352</v>
      </c>
      <c r="BD15" s="363">
        <f t="shared" ca="1" si="149"/>
        <v>0.67108162199610844</v>
      </c>
      <c r="BE15" s="363">
        <f t="shared" ca="1" si="149"/>
        <v>0.66479061042233145</v>
      </c>
      <c r="BF15" s="363">
        <f t="shared" ca="1" si="149"/>
        <v>0.69581774209630065</v>
      </c>
      <c r="BG15" s="363">
        <f t="shared" ca="1" si="149"/>
        <v>0.68038602906220946</v>
      </c>
      <c r="BH15" s="363">
        <f t="shared" ca="1" si="149"/>
        <v>0.74655134974747239</v>
      </c>
      <c r="BI15" s="363">
        <f t="shared" ca="1" si="149"/>
        <v>0.67242808999271586</v>
      </c>
      <c r="BJ15" s="363">
        <f t="shared" ca="1" si="149"/>
        <v>0.73815256214836511</v>
      </c>
      <c r="BK15" s="363">
        <f t="shared" ca="1" si="149"/>
        <v>0.68900664006381507</v>
      </c>
      <c r="BL15" s="363">
        <f t="shared" ca="1" si="149"/>
        <v>0.733602424763238</v>
      </c>
      <c r="BM15" s="363">
        <f t="shared" ca="1" si="149"/>
        <v>0.74036987970916868</v>
      </c>
      <c r="BN15" s="363">
        <f t="shared" ca="1" si="149"/>
        <v>0.74469529520965638</v>
      </c>
      <c r="BO15" s="363">
        <f t="shared" ca="1" si="149"/>
        <v>0.66495344730832495</v>
      </c>
      <c r="BP15" s="363">
        <f t="shared" ca="1" si="149"/>
        <v>0.69498792046982316</v>
      </c>
      <c r="BQ15" s="363">
        <f t="shared" ca="1" si="149"/>
        <v>0.6772815467088974</v>
      </c>
      <c r="BR15" s="363">
        <f t="shared" ca="1" si="149"/>
        <v>0.69875604202593811</v>
      </c>
      <c r="BS15" s="363">
        <f t="shared" ca="1" si="149"/>
        <v>0.74473333216889315</v>
      </c>
      <c r="BT15" s="363">
        <f t="shared" ca="1" si="149"/>
        <v>0.73003620029828631</v>
      </c>
      <c r="BU15" s="363">
        <f t="shared" ca="1" si="149"/>
        <v>0.67140586826351278</v>
      </c>
      <c r="BV15" s="363">
        <f t="shared" ca="1" si="149"/>
        <v>0.70424204990775352</v>
      </c>
      <c r="BW15" s="363">
        <f t="shared" ca="1" si="149"/>
        <v>0.73988030871428201</v>
      </c>
      <c r="BX15" s="363">
        <f t="shared" ca="1" si="149"/>
        <v>0.63617081232234451</v>
      </c>
      <c r="BY15" s="363">
        <f t="shared" ca="1" si="149"/>
        <v>0.67238976603279654</v>
      </c>
      <c r="BZ15" s="363">
        <f t="shared" ref="BZ15:DH15" ca="1" si="150">_xlfn.BETA.INV(RAND(),$I$15,$J$15)</f>
        <v>0.72651179144433919</v>
      </c>
      <c r="CA15" s="363">
        <f t="shared" ca="1" si="150"/>
        <v>0.72446347084851492</v>
      </c>
      <c r="CB15" s="363">
        <f t="shared" ca="1" si="150"/>
        <v>0.72911115319231024</v>
      </c>
      <c r="CC15" s="363">
        <f t="shared" ca="1" si="150"/>
        <v>0.68148589330252296</v>
      </c>
      <c r="CD15" s="363">
        <f t="shared" ca="1" si="150"/>
        <v>0.70264061925651622</v>
      </c>
      <c r="CE15" s="363">
        <f t="shared" ca="1" si="150"/>
        <v>0.70101765477492639</v>
      </c>
      <c r="CF15" s="363">
        <f t="shared" ca="1" si="150"/>
        <v>0.75523327646144756</v>
      </c>
      <c r="CG15" s="363">
        <f t="shared" ca="1" si="150"/>
        <v>0.69206322495845185</v>
      </c>
      <c r="CH15" s="363">
        <f t="shared" ca="1" si="150"/>
        <v>0.76638560091414143</v>
      </c>
      <c r="CI15" s="363">
        <f t="shared" ca="1" si="150"/>
        <v>0.6908743858809453</v>
      </c>
      <c r="CJ15" s="363">
        <f t="shared" ca="1" si="150"/>
        <v>0.7302741096577281</v>
      </c>
      <c r="CK15" s="363">
        <f t="shared" ca="1" si="150"/>
        <v>0.6902666491555739</v>
      </c>
      <c r="CL15" s="363">
        <f t="shared" ca="1" si="150"/>
        <v>0.6653416705552796</v>
      </c>
      <c r="CM15" s="363">
        <f t="shared" ca="1" si="150"/>
        <v>0.68923729084624108</v>
      </c>
      <c r="CN15" s="363">
        <f t="shared" ca="1" si="150"/>
        <v>0.76935986599290906</v>
      </c>
      <c r="CO15" s="363">
        <f t="shared" ca="1" si="150"/>
        <v>0.71403698013132777</v>
      </c>
      <c r="CP15" s="363">
        <f t="shared" ca="1" si="150"/>
        <v>0.66090053562156503</v>
      </c>
      <c r="CQ15" s="363">
        <f t="shared" ca="1" si="150"/>
        <v>0.73198982561506487</v>
      </c>
      <c r="CR15" s="363">
        <f t="shared" ca="1" si="150"/>
        <v>0.64916574691963558</v>
      </c>
      <c r="CS15" s="363">
        <f t="shared" ca="1" si="150"/>
        <v>0.78771453325735608</v>
      </c>
      <c r="CT15" s="363">
        <f t="shared" ca="1" si="150"/>
        <v>0.75383926603689366</v>
      </c>
      <c r="CU15" s="363">
        <f t="shared" ca="1" si="150"/>
        <v>0.73976602471565844</v>
      </c>
      <c r="CV15" s="363">
        <f t="shared" ca="1" si="150"/>
        <v>0.66836356407104314</v>
      </c>
      <c r="CW15" s="363">
        <f t="shared" ca="1" si="150"/>
        <v>0.68712484589392253</v>
      </c>
      <c r="CX15" s="363">
        <f t="shared" ca="1" si="150"/>
        <v>0.70387257672723913</v>
      </c>
      <c r="CY15" s="363">
        <f t="shared" ca="1" si="150"/>
        <v>0.7323292825543164</v>
      </c>
      <c r="CZ15" s="363">
        <f t="shared" ca="1" si="150"/>
        <v>0.65819856098588048</v>
      </c>
      <c r="DA15" s="363">
        <f t="shared" ca="1" si="150"/>
        <v>0.66833014089568177</v>
      </c>
      <c r="DB15" s="363">
        <f t="shared" ca="1" si="150"/>
        <v>0.75097803541793406</v>
      </c>
      <c r="DC15" s="363">
        <f t="shared" ca="1" si="150"/>
        <v>0.68004854757967403</v>
      </c>
      <c r="DD15" s="363">
        <f t="shared" ca="1" si="150"/>
        <v>0.67747459991418879</v>
      </c>
      <c r="DE15" s="363">
        <f t="shared" ca="1" si="150"/>
        <v>0.64579508502936356</v>
      </c>
      <c r="DF15" s="363">
        <f t="shared" ca="1" si="150"/>
        <v>0.67749506193413089</v>
      </c>
      <c r="DG15" s="363">
        <f t="shared" ca="1" si="150"/>
        <v>0.70593014151930911</v>
      </c>
      <c r="DH15" s="363">
        <f t="shared" ca="1" si="150"/>
        <v>0.68899037904396332</v>
      </c>
      <c r="DI15" s="363">
        <f ca="1">_xlfn.BETA.INV(RAND(),$I$15,$J$15)</f>
        <v>0.70654211660719857</v>
      </c>
      <c r="DJ15" s="363">
        <f t="shared" ref="DJ15:FU15" ca="1" si="151">_xlfn.BETA.INV(RAND(),$I$15,$J$15)</f>
        <v>0.70990371337912117</v>
      </c>
      <c r="DK15" s="363">
        <f t="shared" ca="1" si="151"/>
        <v>0.73673024570745849</v>
      </c>
      <c r="DL15" s="363">
        <f t="shared" ca="1" si="151"/>
        <v>0.65358057092653699</v>
      </c>
      <c r="DM15" s="363">
        <f t="shared" ca="1" si="151"/>
        <v>0.7187698693574418</v>
      </c>
      <c r="DN15" s="363">
        <f t="shared" ca="1" si="151"/>
        <v>0.66940511669689085</v>
      </c>
      <c r="DO15" s="363">
        <f t="shared" ca="1" si="151"/>
        <v>0.717479811619957</v>
      </c>
      <c r="DP15" s="363">
        <f t="shared" ca="1" si="151"/>
        <v>0.71339518471748464</v>
      </c>
      <c r="DQ15" s="363">
        <f t="shared" ca="1" si="151"/>
        <v>0.74701298850619202</v>
      </c>
      <c r="DR15" s="363">
        <f t="shared" ca="1" si="151"/>
        <v>0.71875832379242777</v>
      </c>
      <c r="DS15" s="363">
        <f t="shared" ca="1" si="151"/>
        <v>0.67968852496280641</v>
      </c>
      <c r="DT15" s="363">
        <f t="shared" ca="1" si="151"/>
        <v>0.68631659100446163</v>
      </c>
      <c r="DU15" s="363">
        <f t="shared" ca="1" si="151"/>
        <v>0.67354501286973456</v>
      </c>
      <c r="DV15" s="363">
        <f t="shared" ca="1" si="151"/>
        <v>0.71194243149260528</v>
      </c>
      <c r="DW15" s="363">
        <f t="shared" ca="1" si="151"/>
        <v>0.70570191257662274</v>
      </c>
      <c r="DX15" s="363">
        <f t="shared" ca="1" si="151"/>
        <v>0.68182297669872083</v>
      </c>
      <c r="DY15" s="363">
        <f t="shared" ca="1" si="151"/>
        <v>0.65059399888503766</v>
      </c>
      <c r="DZ15" s="363">
        <f t="shared" ca="1" si="151"/>
        <v>0.67579937449485772</v>
      </c>
      <c r="EA15" s="363">
        <f t="shared" ca="1" si="151"/>
        <v>0.75749434540006622</v>
      </c>
      <c r="EB15" s="363">
        <f t="shared" ca="1" si="151"/>
        <v>0.65877880890381812</v>
      </c>
      <c r="EC15" s="363">
        <f t="shared" ca="1" si="151"/>
        <v>0.71983411987725421</v>
      </c>
      <c r="ED15" s="363">
        <f t="shared" ca="1" si="151"/>
        <v>0.74847465700972637</v>
      </c>
      <c r="EE15" s="363">
        <f t="shared" ca="1" si="151"/>
        <v>0.67567730246582991</v>
      </c>
      <c r="EF15" s="363">
        <f t="shared" ca="1" si="151"/>
        <v>0.62163740244417032</v>
      </c>
      <c r="EG15" s="363">
        <f t="shared" ca="1" si="151"/>
        <v>0.67293257347304902</v>
      </c>
      <c r="EH15" s="363">
        <f t="shared" ca="1" si="151"/>
        <v>0.65350597924865506</v>
      </c>
      <c r="EI15" s="363">
        <f t="shared" ca="1" si="151"/>
        <v>0.6847787010944808</v>
      </c>
      <c r="EJ15" s="363">
        <f t="shared" ca="1" si="151"/>
        <v>0.75298515153387824</v>
      </c>
      <c r="EK15" s="363">
        <f t="shared" ca="1" si="151"/>
        <v>0.65433018816881139</v>
      </c>
      <c r="EL15" s="363">
        <f t="shared" ca="1" si="151"/>
        <v>0.72260903573323376</v>
      </c>
      <c r="EM15" s="363">
        <f t="shared" ca="1" si="151"/>
        <v>0.61896564841702673</v>
      </c>
      <c r="EN15" s="363">
        <f t="shared" ca="1" si="151"/>
        <v>0.77343975766635675</v>
      </c>
      <c r="EO15" s="363">
        <f t="shared" ca="1" si="151"/>
        <v>0.65656731848893013</v>
      </c>
      <c r="EP15" s="363">
        <f t="shared" ca="1" si="151"/>
        <v>0.68708751167927107</v>
      </c>
      <c r="EQ15" s="363">
        <f t="shared" ca="1" si="151"/>
        <v>0.68785908340449498</v>
      </c>
      <c r="ER15" s="363">
        <f t="shared" ca="1" si="151"/>
        <v>0.73542676438181931</v>
      </c>
      <c r="ES15" s="363">
        <f t="shared" ca="1" si="151"/>
        <v>0.67094444781292917</v>
      </c>
      <c r="ET15" s="363">
        <f t="shared" ca="1" si="151"/>
        <v>0.67711650092223907</v>
      </c>
      <c r="EU15" s="363">
        <f t="shared" ca="1" si="151"/>
        <v>0.72927913904495223</v>
      </c>
      <c r="EV15" s="363">
        <f t="shared" ca="1" si="151"/>
        <v>0.70046495966912203</v>
      </c>
      <c r="EW15" s="363">
        <f t="shared" ca="1" si="151"/>
        <v>0.73554650437991465</v>
      </c>
      <c r="EX15" s="363">
        <f t="shared" ca="1" si="151"/>
        <v>0.75875466547859838</v>
      </c>
      <c r="EY15" s="363">
        <f t="shared" ca="1" si="151"/>
        <v>0.68561333633752897</v>
      </c>
      <c r="EZ15" s="363">
        <f t="shared" ca="1" si="151"/>
        <v>0.69055666919104963</v>
      </c>
      <c r="FA15" s="363">
        <f t="shared" ca="1" si="151"/>
        <v>0.73043249705855251</v>
      </c>
      <c r="FB15" s="363">
        <f t="shared" ca="1" si="151"/>
        <v>0.70821122191665942</v>
      </c>
      <c r="FC15" s="363">
        <f t="shared" ca="1" si="151"/>
        <v>0.68059455576506556</v>
      </c>
      <c r="FD15" s="363">
        <f t="shared" ca="1" si="151"/>
        <v>0.64700200721387013</v>
      </c>
      <c r="FE15" s="363">
        <f t="shared" ca="1" si="151"/>
        <v>0.64165671733651297</v>
      </c>
      <c r="FF15" s="363">
        <f t="shared" ca="1" si="151"/>
        <v>0.74562746774031408</v>
      </c>
      <c r="FG15" s="363">
        <f t="shared" ca="1" si="151"/>
        <v>0.69636765227861064</v>
      </c>
      <c r="FH15" s="363">
        <f t="shared" ca="1" si="151"/>
        <v>0.69579623050953399</v>
      </c>
      <c r="FI15" s="363">
        <f t="shared" ca="1" si="151"/>
        <v>0.68359403446908551</v>
      </c>
      <c r="FJ15" s="363">
        <f t="shared" ca="1" si="151"/>
        <v>0.73223373422217408</v>
      </c>
      <c r="FK15" s="363">
        <f t="shared" ca="1" si="151"/>
        <v>0.63968638644652764</v>
      </c>
      <c r="FL15" s="363">
        <f t="shared" ca="1" si="151"/>
        <v>0.67291693832260613</v>
      </c>
      <c r="FM15" s="363">
        <f t="shared" ca="1" si="151"/>
        <v>0.6715556451212471</v>
      </c>
      <c r="FN15" s="363">
        <f t="shared" ca="1" si="151"/>
        <v>0.6974258578776027</v>
      </c>
      <c r="FO15" s="363">
        <f t="shared" ca="1" si="151"/>
        <v>0.72896812968437774</v>
      </c>
      <c r="FP15" s="363">
        <f t="shared" ca="1" si="151"/>
        <v>0.73961997451999062</v>
      </c>
      <c r="FQ15" s="363">
        <f t="shared" ca="1" si="151"/>
        <v>0.76014547613349392</v>
      </c>
      <c r="FR15" s="363">
        <f t="shared" ca="1" si="151"/>
        <v>0.67954559412037041</v>
      </c>
      <c r="FS15" s="363">
        <f t="shared" ca="1" si="151"/>
        <v>0.65896645538181142</v>
      </c>
      <c r="FT15" s="363">
        <f t="shared" ca="1" si="151"/>
        <v>0.68468697273932932</v>
      </c>
      <c r="FU15" s="363">
        <f t="shared" ca="1" si="151"/>
        <v>0.71748453478632646</v>
      </c>
      <c r="FV15" s="363">
        <f t="shared" ref="FV15:HD15" ca="1" si="152">_xlfn.BETA.INV(RAND(),$I$15,$J$15)</f>
        <v>0.67426359250532453</v>
      </c>
      <c r="FW15" s="363">
        <f t="shared" ca="1" si="152"/>
        <v>0.70481129397940734</v>
      </c>
      <c r="FX15" s="363">
        <f t="shared" ca="1" si="152"/>
        <v>0.64121453930508387</v>
      </c>
      <c r="FY15" s="363">
        <f t="shared" ca="1" si="152"/>
        <v>0.73942688347410856</v>
      </c>
      <c r="FZ15" s="363">
        <f t="shared" ca="1" si="152"/>
        <v>0.62046256157409518</v>
      </c>
      <c r="GA15" s="363">
        <f t="shared" ca="1" si="152"/>
        <v>0.6608604785851796</v>
      </c>
      <c r="GB15" s="363">
        <f t="shared" ca="1" si="152"/>
        <v>0.77997774452994717</v>
      </c>
      <c r="GC15" s="363">
        <f t="shared" ca="1" si="152"/>
        <v>0.69829867316747796</v>
      </c>
      <c r="GD15" s="363">
        <f t="shared" ca="1" si="152"/>
        <v>0.69416787135175972</v>
      </c>
      <c r="GE15" s="363">
        <f t="shared" ca="1" si="152"/>
        <v>0.72004285663281054</v>
      </c>
      <c r="GF15" s="363">
        <f t="shared" ca="1" si="152"/>
        <v>0.76496342390901928</v>
      </c>
      <c r="GG15" s="363">
        <f t="shared" ca="1" si="152"/>
        <v>0.72685166144463054</v>
      </c>
      <c r="GH15" s="363">
        <f t="shared" ca="1" si="152"/>
        <v>0.72159259344954663</v>
      </c>
      <c r="GI15" s="363">
        <f t="shared" ca="1" si="152"/>
        <v>0.67563957442933986</v>
      </c>
      <c r="GJ15" s="363">
        <f t="shared" ca="1" si="152"/>
        <v>0.70105596802328263</v>
      </c>
      <c r="GK15" s="363">
        <f t="shared" ca="1" si="152"/>
        <v>0.72119179558582425</v>
      </c>
      <c r="GL15" s="363">
        <f t="shared" ca="1" si="152"/>
        <v>0.65249187245399498</v>
      </c>
      <c r="GM15" s="363">
        <f t="shared" ca="1" si="152"/>
        <v>0.68260533130231738</v>
      </c>
      <c r="GN15" s="363">
        <f t="shared" ca="1" si="152"/>
        <v>0.68979303725643837</v>
      </c>
      <c r="GO15" s="363">
        <f t="shared" ca="1" si="152"/>
        <v>0.66593217741948019</v>
      </c>
      <c r="GP15" s="363">
        <f t="shared" ca="1" si="152"/>
        <v>0.66036461811041458</v>
      </c>
      <c r="GQ15" s="363">
        <f t="shared" ca="1" si="152"/>
        <v>0.73315995909443621</v>
      </c>
      <c r="GR15" s="363">
        <f t="shared" ca="1" si="152"/>
        <v>0.7370702051376703</v>
      </c>
      <c r="GS15" s="363">
        <f t="shared" ca="1" si="152"/>
        <v>0.75386862094824048</v>
      </c>
      <c r="GT15" s="363">
        <f t="shared" ca="1" si="152"/>
        <v>0.7308370877122311</v>
      </c>
      <c r="GU15" s="363">
        <f t="shared" ca="1" si="152"/>
        <v>0.72838662810430732</v>
      </c>
      <c r="GV15" s="363">
        <f t="shared" ca="1" si="152"/>
        <v>0.71003651204496254</v>
      </c>
      <c r="GW15" s="363">
        <f t="shared" ca="1" si="152"/>
        <v>0.71162402601926367</v>
      </c>
      <c r="GX15" s="363">
        <f t="shared" ca="1" si="152"/>
        <v>0.72553001093030556</v>
      </c>
      <c r="GY15" s="363">
        <f t="shared" ca="1" si="152"/>
        <v>0.62385856332623568</v>
      </c>
      <c r="GZ15" s="363">
        <f t="shared" ca="1" si="152"/>
        <v>0.77121998438750894</v>
      </c>
      <c r="HA15" s="363">
        <f t="shared" ca="1" si="152"/>
        <v>0.61909720426756765</v>
      </c>
      <c r="HB15" s="363">
        <f t="shared" ca="1" si="152"/>
        <v>0.71696594713066752</v>
      </c>
      <c r="HC15" s="363">
        <f t="shared" ca="1" si="152"/>
        <v>0.69052396599935983</v>
      </c>
      <c r="HD15" s="363">
        <f t="shared" ca="1" si="152"/>
        <v>0.65572367728360959</v>
      </c>
      <c r="HE15" s="363">
        <f ca="1">_xlfn.BETA.INV(RAND(),$I$15,$J$15)</f>
        <v>0.71550682247491948</v>
      </c>
      <c r="HF15" s="363">
        <f t="shared" ref="HF15:JQ15" ca="1" si="153">_xlfn.BETA.INV(RAND(),$I$15,$J$15)</f>
        <v>0.69290178206379804</v>
      </c>
      <c r="HG15" s="363">
        <f t="shared" ca="1" si="153"/>
        <v>0.78052255439938323</v>
      </c>
      <c r="HH15" s="363">
        <f t="shared" ca="1" si="153"/>
        <v>0.744678435504463</v>
      </c>
      <c r="HI15" s="363">
        <f t="shared" ca="1" si="153"/>
        <v>0.76354109689214866</v>
      </c>
      <c r="HJ15" s="363">
        <f t="shared" ca="1" si="153"/>
        <v>0.73595652839307601</v>
      </c>
      <c r="HK15" s="363">
        <f t="shared" ca="1" si="153"/>
        <v>0.70034758308712586</v>
      </c>
      <c r="HL15" s="363">
        <f t="shared" ca="1" si="153"/>
        <v>0.63751904322351938</v>
      </c>
      <c r="HM15" s="363">
        <f t="shared" ca="1" si="153"/>
        <v>0.66749740947578096</v>
      </c>
      <c r="HN15" s="363">
        <f t="shared" ca="1" si="153"/>
        <v>0.75304691841103388</v>
      </c>
      <c r="HO15" s="363">
        <f t="shared" ca="1" si="153"/>
        <v>0.71701632208027744</v>
      </c>
      <c r="HP15" s="363">
        <f t="shared" ca="1" si="153"/>
        <v>0.58801585488982433</v>
      </c>
      <c r="HQ15" s="363">
        <f t="shared" ca="1" si="153"/>
        <v>0.65983461002703003</v>
      </c>
      <c r="HR15" s="363">
        <f t="shared" ca="1" si="153"/>
        <v>0.69870284788789017</v>
      </c>
      <c r="HS15" s="363">
        <f t="shared" ca="1" si="153"/>
        <v>0.74185051599745888</v>
      </c>
      <c r="HT15" s="363">
        <f t="shared" ca="1" si="153"/>
        <v>0.66920333643323415</v>
      </c>
      <c r="HU15" s="363">
        <f t="shared" ca="1" si="153"/>
        <v>0.67888937424571782</v>
      </c>
      <c r="HV15" s="363">
        <f t="shared" ca="1" si="153"/>
        <v>0.71605885497170907</v>
      </c>
      <c r="HW15" s="363">
        <f t="shared" ca="1" si="153"/>
        <v>0.68505627598904906</v>
      </c>
      <c r="HX15" s="363">
        <f t="shared" ca="1" si="153"/>
        <v>0.74430659158685075</v>
      </c>
      <c r="HY15" s="363">
        <f t="shared" ca="1" si="153"/>
        <v>0.65803401074770906</v>
      </c>
      <c r="HZ15" s="363">
        <f t="shared" ca="1" si="153"/>
        <v>0.70735760625417976</v>
      </c>
      <c r="IA15" s="363">
        <f t="shared" ca="1" si="153"/>
        <v>0.68712697664767031</v>
      </c>
      <c r="IB15" s="363">
        <f t="shared" ca="1" si="153"/>
        <v>0.65651441186618831</v>
      </c>
      <c r="IC15" s="363">
        <f t="shared" ca="1" si="153"/>
        <v>0.647440580870837</v>
      </c>
      <c r="ID15" s="363">
        <f t="shared" ca="1" si="153"/>
        <v>0.66732752698775899</v>
      </c>
      <c r="IE15" s="363">
        <f t="shared" ca="1" si="153"/>
        <v>0.7058832839080238</v>
      </c>
      <c r="IF15" s="363">
        <f t="shared" ca="1" si="153"/>
        <v>0.71854706726680551</v>
      </c>
      <c r="IG15" s="363">
        <f t="shared" ca="1" si="153"/>
        <v>0.71338195074298461</v>
      </c>
      <c r="IH15" s="363">
        <f t="shared" ca="1" si="153"/>
        <v>0.65450387058874393</v>
      </c>
      <c r="II15" s="363">
        <f t="shared" ca="1" si="153"/>
        <v>0.73396245591653675</v>
      </c>
      <c r="IJ15" s="363">
        <f t="shared" ca="1" si="153"/>
        <v>0.75162954871459664</v>
      </c>
      <c r="IK15" s="363">
        <f t="shared" ca="1" si="153"/>
        <v>0.71294193161376229</v>
      </c>
      <c r="IL15" s="363">
        <f t="shared" ca="1" si="153"/>
        <v>0.70417777498605405</v>
      </c>
      <c r="IM15" s="363">
        <f t="shared" ca="1" si="153"/>
        <v>0.79571018357937706</v>
      </c>
      <c r="IN15" s="363">
        <f t="shared" ca="1" si="153"/>
        <v>0.74453773670797263</v>
      </c>
      <c r="IO15" s="363">
        <f t="shared" ca="1" si="153"/>
        <v>0.71202253199081855</v>
      </c>
      <c r="IP15" s="363">
        <f t="shared" ca="1" si="153"/>
        <v>0.64980020820724305</v>
      </c>
      <c r="IQ15" s="363">
        <f t="shared" ca="1" si="153"/>
        <v>0.7175788321540062</v>
      </c>
      <c r="IR15" s="363">
        <f t="shared" ca="1" si="153"/>
        <v>0.68721884168952141</v>
      </c>
      <c r="IS15" s="363">
        <f t="shared" ca="1" si="153"/>
        <v>0.66417660902701237</v>
      </c>
      <c r="IT15" s="363">
        <f t="shared" ca="1" si="153"/>
        <v>0.6958559744625703</v>
      </c>
      <c r="IU15" s="363">
        <f t="shared" ca="1" si="153"/>
        <v>0.68613340802814404</v>
      </c>
      <c r="IV15" s="363">
        <f t="shared" ca="1" si="153"/>
        <v>0.74111294241801118</v>
      </c>
      <c r="IW15" s="363">
        <f t="shared" ca="1" si="153"/>
        <v>0.68926475874284421</v>
      </c>
      <c r="IX15" s="363">
        <f t="shared" ca="1" si="153"/>
        <v>0.74769272426312905</v>
      </c>
      <c r="IY15" s="363">
        <f t="shared" ca="1" si="153"/>
        <v>0.7210086667838026</v>
      </c>
      <c r="IZ15" s="363">
        <f t="shared" ca="1" si="153"/>
        <v>0.758090562071421</v>
      </c>
      <c r="JA15" s="363">
        <f t="shared" ca="1" si="153"/>
        <v>0.75039305133311573</v>
      </c>
      <c r="JB15" s="363">
        <f t="shared" ca="1" si="153"/>
        <v>0.73300826852420764</v>
      </c>
      <c r="JC15" s="363">
        <f t="shared" ca="1" si="153"/>
        <v>0.66007839006853486</v>
      </c>
      <c r="JD15" s="363">
        <f t="shared" ca="1" si="153"/>
        <v>0.67706667018914346</v>
      </c>
      <c r="JE15" s="363">
        <f t="shared" ca="1" si="153"/>
        <v>0.73002054772265446</v>
      </c>
      <c r="JF15" s="363">
        <f t="shared" ca="1" si="153"/>
        <v>0.67277123055407506</v>
      </c>
      <c r="JG15" s="363">
        <f t="shared" ca="1" si="153"/>
        <v>0.74048097878968155</v>
      </c>
      <c r="JH15" s="363">
        <f t="shared" ca="1" si="153"/>
        <v>0.63587033247008218</v>
      </c>
      <c r="JI15" s="363">
        <f t="shared" ca="1" si="153"/>
        <v>0.70263102816996181</v>
      </c>
      <c r="JJ15" s="363">
        <f t="shared" ca="1" si="153"/>
        <v>0.71784823754669591</v>
      </c>
      <c r="JK15" s="363">
        <f t="shared" ca="1" si="153"/>
        <v>0.72929722301967459</v>
      </c>
      <c r="JL15" s="363">
        <f t="shared" ca="1" si="153"/>
        <v>0.75440911852302384</v>
      </c>
      <c r="JM15" s="363">
        <f t="shared" ca="1" si="153"/>
        <v>0.71750802149854842</v>
      </c>
      <c r="JN15" s="363">
        <f t="shared" ca="1" si="153"/>
        <v>0.7062122985729038</v>
      </c>
      <c r="JO15" s="363">
        <f t="shared" ca="1" si="153"/>
        <v>0.7314770221525182</v>
      </c>
      <c r="JP15" s="363">
        <f t="shared" ca="1" si="153"/>
        <v>0.70883292299980249</v>
      </c>
      <c r="JQ15" s="363">
        <f t="shared" ca="1" si="153"/>
        <v>0.70498365151643827</v>
      </c>
      <c r="JR15" s="363">
        <f t="shared" ref="JR15:KZ15" ca="1" si="154">_xlfn.BETA.INV(RAND(),$I$15,$J$15)</f>
        <v>0.70353519434583645</v>
      </c>
      <c r="JS15" s="363">
        <f t="shared" ca="1" si="154"/>
        <v>0.71922342820970087</v>
      </c>
      <c r="JT15" s="363">
        <f t="shared" ca="1" si="154"/>
        <v>0.70372592760902797</v>
      </c>
      <c r="JU15" s="363">
        <f t="shared" ca="1" si="154"/>
        <v>0.63319368123109976</v>
      </c>
      <c r="JV15" s="363">
        <f t="shared" ca="1" si="154"/>
        <v>0.68972689505855145</v>
      </c>
      <c r="JW15" s="363">
        <f t="shared" ca="1" si="154"/>
        <v>0.72702181296746382</v>
      </c>
      <c r="JX15" s="363">
        <f t="shared" ca="1" si="154"/>
        <v>0.66991371569778491</v>
      </c>
      <c r="JY15" s="363">
        <f t="shared" ca="1" si="154"/>
        <v>0.63763780472256848</v>
      </c>
      <c r="JZ15" s="363">
        <f t="shared" ca="1" si="154"/>
        <v>0.68535673077040427</v>
      </c>
      <c r="KA15" s="363">
        <f t="shared" ca="1" si="154"/>
        <v>0.66447701582482455</v>
      </c>
      <c r="KB15" s="363">
        <f t="shared" ca="1" si="154"/>
        <v>0.66181764670125243</v>
      </c>
      <c r="KC15" s="363">
        <f t="shared" ca="1" si="154"/>
        <v>0.71130752091500793</v>
      </c>
      <c r="KD15" s="363">
        <f t="shared" ca="1" si="154"/>
        <v>0.69351051623783766</v>
      </c>
      <c r="KE15" s="363">
        <f t="shared" ca="1" si="154"/>
        <v>0.74238501935180568</v>
      </c>
      <c r="KF15" s="363">
        <f t="shared" ca="1" si="154"/>
        <v>0.68137444212282539</v>
      </c>
      <c r="KG15" s="363">
        <f t="shared" ca="1" si="154"/>
        <v>0.67115658920813825</v>
      </c>
      <c r="KH15" s="363">
        <f t="shared" ca="1" si="154"/>
        <v>0.65818285687443656</v>
      </c>
      <c r="KI15" s="363">
        <f t="shared" ca="1" si="154"/>
        <v>0.77125740169178092</v>
      </c>
      <c r="KJ15" s="363">
        <f t="shared" ca="1" si="154"/>
        <v>0.73247666899042929</v>
      </c>
      <c r="KK15" s="363">
        <f t="shared" ca="1" si="154"/>
        <v>0.65875709638706326</v>
      </c>
      <c r="KL15" s="363">
        <f t="shared" ca="1" si="154"/>
        <v>0.73731630602718412</v>
      </c>
      <c r="KM15" s="363">
        <f t="shared" ca="1" si="154"/>
        <v>0.68372037254121243</v>
      </c>
      <c r="KN15" s="363">
        <f t="shared" ca="1" si="154"/>
        <v>0.69595470120820169</v>
      </c>
      <c r="KO15" s="363">
        <f t="shared" ca="1" si="154"/>
        <v>0.73422012799137082</v>
      </c>
      <c r="KP15" s="363">
        <f t="shared" ca="1" si="154"/>
        <v>0.73792759137487751</v>
      </c>
      <c r="KQ15" s="363">
        <f t="shared" ca="1" si="154"/>
        <v>0.68378593828348699</v>
      </c>
      <c r="KR15" s="363">
        <f t="shared" ca="1" si="154"/>
        <v>0.70127340305127839</v>
      </c>
      <c r="KS15" s="363">
        <f t="shared" ca="1" si="154"/>
        <v>0.74695654036396586</v>
      </c>
      <c r="KT15" s="363">
        <f t="shared" ca="1" si="154"/>
        <v>0.68800244058039817</v>
      </c>
      <c r="KU15" s="363">
        <f t="shared" ca="1" si="154"/>
        <v>0.68522835251031589</v>
      </c>
      <c r="KV15" s="363">
        <f t="shared" ca="1" si="154"/>
        <v>0.77219808047390703</v>
      </c>
      <c r="KW15" s="363">
        <f t="shared" ca="1" si="154"/>
        <v>0.64837467011099403</v>
      </c>
      <c r="KX15" s="363">
        <f t="shared" ca="1" si="154"/>
        <v>0.70047213348638715</v>
      </c>
      <c r="KY15" s="363">
        <f t="shared" ca="1" si="154"/>
        <v>0.69526985412236531</v>
      </c>
      <c r="KZ15" s="363">
        <f t="shared" ca="1" si="154"/>
        <v>0.68164117283179115</v>
      </c>
      <c r="LA15" s="363">
        <f ca="1">_xlfn.BETA.INV(RAND(),$I$15,$J$15)</f>
        <v>0.63157613934714929</v>
      </c>
      <c r="LB15" s="363">
        <f t="shared" ref="LB15:NM15" ca="1" si="155">_xlfn.BETA.INV(RAND(),$I$15,$J$15)</f>
        <v>0.76781262125097804</v>
      </c>
      <c r="LC15" s="363">
        <f t="shared" ca="1" si="155"/>
        <v>0.68873283693438159</v>
      </c>
      <c r="LD15" s="363">
        <f t="shared" ca="1" si="155"/>
        <v>0.69722327194227618</v>
      </c>
      <c r="LE15" s="363">
        <f t="shared" ca="1" si="155"/>
        <v>0.70354075385848347</v>
      </c>
      <c r="LF15" s="363">
        <f t="shared" ca="1" si="155"/>
        <v>0.73336613884091828</v>
      </c>
      <c r="LG15" s="363">
        <f t="shared" ca="1" si="155"/>
        <v>0.6590570137328452</v>
      </c>
      <c r="LH15" s="363">
        <f t="shared" ca="1" si="155"/>
        <v>0.65909679003084387</v>
      </c>
      <c r="LI15" s="363">
        <f t="shared" ca="1" si="155"/>
        <v>0.67348079569518826</v>
      </c>
      <c r="LJ15" s="363">
        <f t="shared" ca="1" si="155"/>
        <v>0.66637875638587885</v>
      </c>
      <c r="LK15" s="363">
        <f t="shared" ca="1" si="155"/>
        <v>0.7040413893174533</v>
      </c>
      <c r="LL15" s="363">
        <f t="shared" ca="1" si="155"/>
        <v>0.71327513641532181</v>
      </c>
      <c r="LM15" s="363">
        <f t="shared" ca="1" si="155"/>
        <v>0.6971066515931118</v>
      </c>
      <c r="LN15" s="363">
        <f t="shared" ca="1" si="155"/>
        <v>0.69129504020874644</v>
      </c>
      <c r="LO15" s="363">
        <f t="shared" ca="1" si="155"/>
        <v>0.7325014415180251</v>
      </c>
      <c r="LP15" s="363">
        <f t="shared" ca="1" si="155"/>
        <v>0.67549175434509867</v>
      </c>
      <c r="LQ15" s="363">
        <f t="shared" ca="1" si="155"/>
        <v>0.71417465023874827</v>
      </c>
      <c r="LR15" s="363">
        <f t="shared" ca="1" si="155"/>
        <v>0.71021456796781246</v>
      </c>
      <c r="LS15" s="363">
        <f t="shared" ca="1" si="155"/>
        <v>0.7477381236040701</v>
      </c>
      <c r="LT15" s="363">
        <f t="shared" ca="1" si="155"/>
        <v>0.72045362876694008</v>
      </c>
      <c r="LU15" s="363">
        <f t="shared" ca="1" si="155"/>
        <v>0.62121478148130793</v>
      </c>
      <c r="LV15" s="363">
        <f t="shared" ca="1" si="155"/>
        <v>0.60221831123079983</v>
      </c>
      <c r="LW15" s="363">
        <f t="shared" ca="1" si="155"/>
        <v>0.71285742847370659</v>
      </c>
      <c r="LX15" s="363">
        <f t="shared" ca="1" si="155"/>
        <v>0.69870910928567287</v>
      </c>
      <c r="LY15" s="363">
        <f t="shared" ca="1" si="155"/>
        <v>0.7139243096989607</v>
      </c>
      <c r="LZ15" s="363">
        <f t="shared" ca="1" si="155"/>
        <v>0.66564680868123172</v>
      </c>
      <c r="MA15" s="363">
        <f t="shared" ca="1" si="155"/>
        <v>0.73977693823161594</v>
      </c>
      <c r="MB15" s="363">
        <f t="shared" ca="1" si="155"/>
        <v>0.73989263573699837</v>
      </c>
      <c r="MC15" s="363">
        <f t="shared" ca="1" si="155"/>
        <v>0.78537058111608182</v>
      </c>
      <c r="MD15" s="363">
        <f t="shared" ca="1" si="155"/>
        <v>0.74130396989228897</v>
      </c>
      <c r="ME15" s="363">
        <f t="shared" ca="1" si="155"/>
        <v>0.70151081401812987</v>
      </c>
      <c r="MF15" s="363">
        <f t="shared" ca="1" si="155"/>
        <v>0.72473207356778369</v>
      </c>
      <c r="MG15" s="363">
        <f t="shared" ca="1" si="155"/>
        <v>0.61706243906187808</v>
      </c>
      <c r="MH15" s="363">
        <f t="shared" ca="1" si="155"/>
        <v>0.75067004465797471</v>
      </c>
      <c r="MI15" s="363">
        <f t="shared" ca="1" si="155"/>
        <v>0.67335321465520104</v>
      </c>
      <c r="MJ15" s="363">
        <f t="shared" ca="1" si="155"/>
        <v>0.67234476700825629</v>
      </c>
      <c r="MK15" s="363">
        <f t="shared" ca="1" si="155"/>
        <v>0.76913456127445357</v>
      </c>
      <c r="ML15" s="363">
        <f t="shared" ca="1" si="155"/>
        <v>0.77785767122704419</v>
      </c>
      <c r="MM15" s="363">
        <f t="shared" ca="1" si="155"/>
        <v>0.70702840679499668</v>
      </c>
      <c r="MN15" s="363">
        <f t="shared" ca="1" si="155"/>
        <v>0.68687328601900022</v>
      </c>
      <c r="MO15" s="363">
        <f t="shared" ca="1" si="155"/>
        <v>0.73338326302577661</v>
      </c>
      <c r="MP15" s="363">
        <f t="shared" ca="1" si="155"/>
        <v>0.70026614801475795</v>
      </c>
      <c r="MQ15" s="363">
        <f t="shared" ca="1" si="155"/>
        <v>0.73530224367756791</v>
      </c>
      <c r="MR15" s="363">
        <f t="shared" ca="1" si="155"/>
        <v>0.72697366522350482</v>
      </c>
      <c r="MS15" s="363">
        <f t="shared" ca="1" si="155"/>
        <v>0.71970073533057266</v>
      </c>
      <c r="MT15" s="363">
        <f t="shared" ca="1" si="155"/>
        <v>0.74924068753107287</v>
      </c>
      <c r="MU15" s="363">
        <f t="shared" ca="1" si="155"/>
        <v>0.71985906462407567</v>
      </c>
      <c r="MV15" s="363">
        <f t="shared" ca="1" si="155"/>
        <v>0.66617487388647645</v>
      </c>
      <c r="MW15" s="363">
        <f t="shared" ca="1" si="155"/>
        <v>0.69628875424617831</v>
      </c>
      <c r="MX15" s="363">
        <f t="shared" ca="1" si="155"/>
        <v>0.67955237374387567</v>
      </c>
      <c r="MY15" s="363">
        <f t="shared" ca="1" si="155"/>
        <v>0.69072679150413996</v>
      </c>
      <c r="MZ15" s="363">
        <f t="shared" ca="1" si="155"/>
        <v>0.72321479537577638</v>
      </c>
      <c r="NA15" s="363">
        <f t="shared" ca="1" si="155"/>
        <v>0.71168426422901665</v>
      </c>
      <c r="NB15" s="363">
        <f t="shared" ca="1" si="155"/>
        <v>0.68176569787077523</v>
      </c>
      <c r="NC15" s="363">
        <f t="shared" ca="1" si="155"/>
        <v>0.63977862686031661</v>
      </c>
      <c r="ND15" s="363">
        <f t="shared" ca="1" si="155"/>
        <v>0.72396362421508753</v>
      </c>
      <c r="NE15" s="363">
        <f t="shared" ca="1" si="155"/>
        <v>0.72985213047866992</v>
      </c>
      <c r="NF15" s="363">
        <f t="shared" ca="1" si="155"/>
        <v>0.70014934042372035</v>
      </c>
      <c r="NG15" s="363">
        <f t="shared" ca="1" si="155"/>
        <v>0.70127776600008873</v>
      </c>
      <c r="NH15" s="363">
        <f t="shared" ca="1" si="155"/>
        <v>0.70732928411697837</v>
      </c>
      <c r="NI15" s="363">
        <f t="shared" ca="1" si="155"/>
        <v>0.6634628370087392</v>
      </c>
      <c r="NJ15" s="363">
        <f t="shared" ca="1" si="155"/>
        <v>0.64757766739867995</v>
      </c>
      <c r="NK15" s="363">
        <f t="shared" ca="1" si="155"/>
        <v>0.73304802458591056</v>
      </c>
      <c r="NL15" s="363">
        <f t="shared" ca="1" si="155"/>
        <v>0.74483220673368433</v>
      </c>
      <c r="NM15" s="363">
        <f t="shared" ca="1" si="155"/>
        <v>0.73302137000923995</v>
      </c>
      <c r="NN15" s="363">
        <f t="shared" ref="NN15:OV15" ca="1" si="156">_xlfn.BETA.INV(RAND(),$I$15,$J$15)</f>
        <v>0.73234579475116046</v>
      </c>
      <c r="NO15" s="363">
        <f t="shared" ca="1" si="156"/>
        <v>0.70481526427449959</v>
      </c>
      <c r="NP15" s="363">
        <f t="shared" ca="1" si="156"/>
        <v>0.74689885277399726</v>
      </c>
      <c r="NQ15" s="363">
        <f t="shared" ca="1" si="156"/>
        <v>0.67687931192861817</v>
      </c>
      <c r="NR15" s="363">
        <f t="shared" ca="1" si="156"/>
        <v>0.69427521591204566</v>
      </c>
      <c r="NS15" s="363">
        <f t="shared" ca="1" si="156"/>
        <v>0.71836374278333026</v>
      </c>
      <c r="NT15" s="363">
        <f t="shared" ca="1" si="156"/>
        <v>0.68769591531604246</v>
      </c>
      <c r="NU15" s="363">
        <f t="shared" ca="1" si="156"/>
        <v>0.68911552929503095</v>
      </c>
      <c r="NV15" s="363">
        <f t="shared" ca="1" si="156"/>
        <v>0.69375657242827637</v>
      </c>
      <c r="NW15" s="363">
        <f t="shared" ca="1" si="156"/>
        <v>0.68064592319996176</v>
      </c>
      <c r="NX15" s="363">
        <f t="shared" ca="1" si="156"/>
        <v>0.69161187460837092</v>
      </c>
      <c r="NY15" s="363">
        <f t="shared" ca="1" si="156"/>
        <v>0.62308570898116111</v>
      </c>
      <c r="NZ15" s="363">
        <f t="shared" ca="1" si="156"/>
        <v>0.65143761290169322</v>
      </c>
      <c r="OA15" s="363">
        <f t="shared" ca="1" si="156"/>
        <v>0.70761587794964309</v>
      </c>
      <c r="OB15" s="363">
        <f t="shared" ca="1" si="156"/>
        <v>0.68927241825066798</v>
      </c>
      <c r="OC15" s="363">
        <f t="shared" ca="1" si="156"/>
        <v>0.71178533425723955</v>
      </c>
      <c r="OD15" s="363">
        <f t="shared" ca="1" si="156"/>
        <v>0.68373247667994319</v>
      </c>
      <c r="OE15" s="363">
        <f t="shared" ca="1" si="156"/>
        <v>0.66999601655235919</v>
      </c>
      <c r="OF15" s="363">
        <f t="shared" ca="1" si="156"/>
        <v>0.61480693725949931</v>
      </c>
      <c r="OG15" s="363">
        <f t="shared" ca="1" si="156"/>
        <v>0.7114983995922779</v>
      </c>
      <c r="OH15" s="363">
        <f t="shared" ca="1" si="156"/>
        <v>0.71522771028592858</v>
      </c>
      <c r="OI15" s="363">
        <f t="shared" ca="1" si="156"/>
        <v>0.67149184410425033</v>
      </c>
      <c r="OJ15" s="363">
        <f t="shared" ca="1" si="156"/>
        <v>0.62503280781789661</v>
      </c>
      <c r="OK15" s="363">
        <f t="shared" ca="1" si="156"/>
        <v>0.70432908904858493</v>
      </c>
      <c r="OL15" s="363">
        <f t="shared" ca="1" si="156"/>
        <v>0.68585170039713994</v>
      </c>
      <c r="OM15" s="363">
        <f t="shared" ca="1" si="156"/>
        <v>0.64301773189645861</v>
      </c>
      <c r="ON15" s="363">
        <f t="shared" ca="1" si="156"/>
        <v>0.67510002246957479</v>
      </c>
      <c r="OO15" s="363">
        <f t="shared" ca="1" si="156"/>
        <v>0.69570861245812987</v>
      </c>
      <c r="OP15" s="363">
        <f t="shared" ca="1" si="156"/>
        <v>0.71107735998604094</v>
      </c>
      <c r="OQ15" s="363">
        <f t="shared" ca="1" si="156"/>
        <v>0.65373341653672479</v>
      </c>
      <c r="OR15" s="363">
        <f t="shared" ca="1" si="156"/>
        <v>0.6964789177990649</v>
      </c>
      <c r="OS15" s="363">
        <f t="shared" ca="1" si="156"/>
        <v>0.68800489337442461</v>
      </c>
      <c r="OT15" s="363">
        <f t="shared" ca="1" si="156"/>
        <v>0.70425396429191156</v>
      </c>
      <c r="OU15" s="363">
        <f t="shared" ca="1" si="156"/>
        <v>0.70263010159336559</v>
      </c>
      <c r="OV15" s="363">
        <f t="shared" ca="1" si="156"/>
        <v>0.69749389368789572</v>
      </c>
      <c r="OW15" s="363">
        <f ca="1">_xlfn.BETA.INV(RAND(),$I$15,$J$15)</f>
        <v>0.63822212077220486</v>
      </c>
      <c r="OX15" s="363">
        <f t="shared" ref="OX15:RI15" ca="1" si="157">_xlfn.BETA.INV(RAND(),$I$15,$J$15)</f>
        <v>0.6846270185851755</v>
      </c>
      <c r="OY15" s="363">
        <f t="shared" ca="1" si="157"/>
        <v>0.78637242222133008</v>
      </c>
      <c r="OZ15" s="363">
        <f t="shared" ca="1" si="157"/>
        <v>0.69709577678163104</v>
      </c>
      <c r="PA15" s="363">
        <f t="shared" ca="1" si="157"/>
        <v>0.68374945026761069</v>
      </c>
      <c r="PB15" s="363">
        <f t="shared" ca="1" si="157"/>
        <v>0.73483082721007853</v>
      </c>
      <c r="PC15" s="363">
        <f t="shared" ca="1" si="157"/>
        <v>0.70649584140888688</v>
      </c>
      <c r="PD15" s="363">
        <f t="shared" ca="1" si="157"/>
        <v>0.68492908764699023</v>
      </c>
      <c r="PE15" s="363">
        <f t="shared" ca="1" si="157"/>
        <v>0.74502455624862196</v>
      </c>
      <c r="PF15" s="363">
        <f t="shared" ca="1" si="157"/>
        <v>0.6586734221814553</v>
      </c>
      <c r="PG15" s="363">
        <f t="shared" ca="1" si="157"/>
        <v>0.64774403165641248</v>
      </c>
      <c r="PH15" s="363">
        <f t="shared" ca="1" si="157"/>
        <v>0.71629208690873958</v>
      </c>
      <c r="PI15" s="363">
        <f t="shared" ca="1" si="157"/>
        <v>0.69879339941391838</v>
      </c>
      <c r="PJ15" s="363">
        <f t="shared" ca="1" si="157"/>
        <v>0.6919069093754906</v>
      </c>
      <c r="PK15" s="363">
        <f t="shared" ca="1" si="157"/>
        <v>0.73751274050195015</v>
      </c>
      <c r="PL15" s="363">
        <f t="shared" ca="1" si="157"/>
        <v>0.63426403661639275</v>
      </c>
      <c r="PM15" s="363">
        <f t="shared" ca="1" si="157"/>
        <v>0.71355595883205392</v>
      </c>
      <c r="PN15" s="363">
        <f t="shared" ca="1" si="157"/>
        <v>0.62422515915390342</v>
      </c>
      <c r="PO15" s="363">
        <f t="shared" ca="1" si="157"/>
        <v>0.7383991824181626</v>
      </c>
      <c r="PP15" s="363">
        <f t="shared" ca="1" si="157"/>
        <v>0.71595490389577809</v>
      </c>
      <c r="PQ15" s="363">
        <f t="shared" ca="1" si="157"/>
        <v>0.70617576139668392</v>
      </c>
      <c r="PR15" s="363">
        <f t="shared" ca="1" si="157"/>
        <v>0.65054632580488969</v>
      </c>
      <c r="PS15" s="363">
        <f t="shared" ca="1" si="157"/>
        <v>0.70188060073399472</v>
      </c>
      <c r="PT15" s="363">
        <f t="shared" ca="1" si="157"/>
        <v>0.70253591532156978</v>
      </c>
      <c r="PU15" s="363">
        <f t="shared" ca="1" si="157"/>
        <v>0.72793093386925911</v>
      </c>
      <c r="PV15" s="363">
        <f t="shared" ca="1" si="157"/>
        <v>0.73108027308089718</v>
      </c>
      <c r="PW15" s="363">
        <f t="shared" ca="1" si="157"/>
        <v>0.7525126031243754</v>
      </c>
      <c r="PX15" s="363">
        <f t="shared" ca="1" si="157"/>
        <v>0.69881347796559923</v>
      </c>
      <c r="PY15" s="363">
        <f t="shared" ca="1" si="157"/>
        <v>0.72424451735099304</v>
      </c>
      <c r="PZ15" s="363">
        <f t="shared" ca="1" si="157"/>
        <v>0.70694720066168748</v>
      </c>
      <c r="QA15" s="363">
        <f t="shared" ca="1" si="157"/>
        <v>0.62343382547020776</v>
      </c>
      <c r="QB15" s="363">
        <f t="shared" ca="1" si="157"/>
        <v>0.73445998290311998</v>
      </c>
      <c r="QC15" s="363">
        <f t="shared" ca="1" si="157"/>
        <v>0.72755962323675494</v>
      </c>
      <c r="QD15" s="363">
        <f t="shared" ca="1" si="157"/>
        <v>0.78835806906279737</v>
      </c>
      <c r="QE15" s="363">
        <f t="shared" ca="1" si="157"/>
        <v>0.75934018704583961</v>
      </c>
      <c r="QF15" s="363">
        <f t="shared" ca="1" si="157"/>
        <v>0.68299648057539242</v>
      </c>
      <c r="QG15" s="363">
        <f t="shared" ca="1" si="157"/>
        <v>0.74549538138226223</v>
      </c>
      <c r="QH15" s="363">
        <f t="shared" ca="1" si="157"/>
        <v>0.68507006792664804</v>
      </c>
      <c r="QI15" s="363">
        <f t="shared" ca="1" si="157"/>
        <v>0.64761826271496747</v>
      </c>
      <c r="QJ15" s="363">
        <f t="shared" ca="1" si="157"/>
        <v>0.66226808547309035</v>
      </c>
      <c r="QK15" s="363">
        <f t="shared" ca="1" si="157"/>
        <v>0.6956556843680991</v>
      </c>
      <c r="QL15" s="363">
        <f t="shared" ca="1" si="157"/>
        <v>0.68586655009106201</v>
      </c>
      <c r="QM15" s="363">
        <f t="shared" ca="1" si="157"/>
        <v>0.68633722176523515</v>
      </c>
      <c r="QN15" s="363">
        <f t="shared" ca="1" si="157"/>
        <v>0.71739575702473202</v>
      </c>
      <c r="QO15" s="363">
        <f t="shared" ca="1" si="157"/>
        <v>0.72651982179410846</v>
      </c>
      <c r="QP15" s="363">
        <f t="shared" ca="1" si="157"/>
        <v>0.71212006645704684</v>
      </c>
      <c r="QQ15" s="363">
        <f t="shared" ca="1" si="157"/>
        <v>0.69994157457160611</v>
      </c>
      <c r="QR15" s="363">
        <f t="shared" ca="1" si="157"/>
        <v>0.70141790879362764</v>
      </c>
      <c r="QS15" s="363">
        <f t="shared" ca="1" si="157"/>
        <v>0.66589073168858925</v>
      </c>
      <c r="QT15" s="363">
        <f t="shared" ca="1" si="157"/>
        <v>0.70044105821192348</v>
      </c>
      <c r="QU15" s="363">
        <f t="shared" ca="1" si="157"/>
        <v>0.72731250770144451</v>
      </c>
      <c r="QV15" s="363">
        <f t="shared" ca="1" si="157"/>
        <v>0.69623793700345415</v>
      </c>
      <c r="QW15" s="363">
        <f t="shared" ca="1" si="157"/>
        <v>0.74110863944389394</v>
      </c>
      <c r="QX15" s="363">
        <f t="shared" ca="1" si="157"/>
        <v>0.68470873853116043</v>
      </c>
      <c r="QY15" s="363">
        <f t="shared" ca="1" si="157"/>
        <v>0.76126289853890072</v>
      </c>
      <c r="QZ15" s="363">
        <f t="shared" ca="1" si="157"/>
        <v>0.77671232150062164</v>
      </c>
      <c r="RA15" s="363">
        <f t="shared" ca="1" si="157"/>
        <v>0.75207705497373245</v>
      </c>
      <c r="RB15" s="363">
        <f t="shared" ca="1" si="157"/>
        <v>0.71490586675066359</v>
      </c>
      <c r="RC15" s="363">
        <f t="shared" ca="1" si="157"/>
        <v>0.66505808154153156</v>
      </c>
      <c r="RD15" s="363">
        <f t="shared" ca="1" si="157"/>
        <v>0.70931177828418068</v>
      </c>
      <c r="RE15" s="363">
        <f t="shared" ca="1" si="157"/>
        <v>0.6964174441774803</v>
      </c>
      <c r="RF15" s="363">
        <f t="shared" ca="1" si="157"/>
        <v>0.70541661249099907</v>
      </c>
      <c r="RG15" s="363">
        <f t="shared" ca="1" si="157"/>
        <v>0.72423388589974036</v>
      </c>
      <c r="RH15" s="363">
        <f t="shared" ca="1" si="157"/>
        <v>0.75460497182912933</v>
      </c>
      <c r="RI15" s="363">
        <f t="shared" ca="1" si="157"/>
        <v>0.70538826525175635</v>
      </c>
      <c r="RJ15" s="363">
        <f t="shared" ref="RJ15:SR15" ca="1" si="158">_xlfn.BETA.INV(RAND(),$I$15,$J$15)</f>
        <v>0.68901800304650385</v>
      </c>
      <c r="RK15" s="363">
        <f t="shared" ca="1" si="158"/>
        <v>0.72148017873170356</v>
      </c>
      <c r="RL15" s="363">
        <f t="shared" ca="1" si="158"/>
        <v>0.74843112808962597</v>
      </c>
      <c r="RM15" s="363">
        <f t="shared" ca="1" si="158"/>
        <v>0.73230645798188798</v>
      </c>
      <c r="RN15" s="363">
        <f t="shared" ca="1" si="158"/>
        <v>0.65790794528152596</v>
      </c>
      <c r="RO15" s="363">
        <f t="shared" ca="1" si="158"/>
        <v>0.68665627702325982</v>
      </c>
      <c r="RP15" s="363">
        <f t="shared" ca="1" si="158"/>
        <v>0.72521335771726791</v>
      </c>
      <c r="RQ15" s="363">
        <f t="shared" ca="1" si="158"/>
        <v>0.70768293850366026</v>
      </c>
      <c r="RR15" s="363">
        <f t="shared" ca="1" si="158"/>
        <v>0.70622217454091163</v>
      </c>
      <c r="RS15" s="363">
        <f t="shared" ca="1" si="158"/>
        <v>0.72165113341625142</v>
      </c>
      <c r="RT15" s="363">
        <f t="shared" ca="1" si="158"/>
        <v>0.77862921966418297</v>
      </c>
      <c r="RU15" s="363">
        <f t="shared" ca="1" si="158"/>
        <v>0.72251408537822681</v>
      </c>
      <c r="RV15" s="363">
        <f t="shared" ca="1" si="158"/>
        <v>0.68273384280430882</v>
      </c>
      <c r="RW15" s="363">
        <f t="shared" ca="1" si="158"/>
        <v>0.74051892370301631</v>
      </c>
      <c r="RX15" s="363">
        <f t="shared" ca="1" si="158"/>
        <v>0.66495225140351777</v>
      </c>
      <c r="RY15" s="363">
        <f t="shared" ca="1" si="158"/>
        <v>0.70620603781478886</v>
      </c>
      <c r="RZ15" s="363">
        <f t="shared" ca="1" si="158"/>
        <v>0.75269692864979487</v>
      </c>
      <c r="SA15" s="363">
        <f t="shared" ca="1" si="158"/>
        <v>0.67904261772291741</v>
      </c>
      <c r="SB15" s="363">
        <f t="shared" ca="1" si="158"/>
        <v>0.75138435844063001</v>
      </c>
      <c r="SC15" s="363">
        <f t="shared" ca="1" si="158"/>
        <v>0.67973732825668265</v>
      </c>
      <c r="SD15" s="363">
        <f t="shared" ca="1" si="158"/>
        <v>0.68254921933677315</v>
      </c>
      <c r="SE15" s="363">
        <f t="shared" ca="1" si="158"/>
        <v>0.68212159725671673</v>
      </c>
      <c r="SF15" s="363">
        <f t="shared" ca="1" si="158"/>
        <v>0.61869275670930657</v>
      </c>
      <c r="SG15" s="363">
        <f t="shared" ca="1" si="158"/>
        <v>0.72524596557711751</v>
      </c>
      <c r="SH15" s="363">
        <f t="shared" ca="1" si="158"/>
        <v>0.70410239484510184</v>
      </c>
      <c r="SI15" s="363">
        <f t="shared" ca="1" si="158"/>
        <v>0.74316918077636507</v>
      </c>
      <c r="SJ15" s="363">
        <f t="shared" ca="1" si="158"/>
        <v>0.65284010421553318</v>
      </c>
      <c r="SK15" s="363">
        <f t="shared" ca="1" si="158"/>
        <v>0.65381197874622043</v>
      </c>
      <c r="SL15" s="363">
        <f t="shared" ca="1" si="158"/>
        <v>0.69775698027232669</v>
      </c>
      <c r="SM15" s="363">
        <f t="shared" ca="1" si="158"/>
        <v>0.73130492296199989</v>
      </c>
      <c r="SN15" s="363">
        <f t="shared" ca="1" si="158"/>
        <v>0.60991012792412802</v>
      </c>
      <c r="SO15" s="363">
        <f t="shared" ca="1" si="158"/>
        <v>0.74375148237551536</v>
      </c>
      <c r="SP15" s="363">
        <f t="shared" ca="1" si="158"/>
        <v>0.73748701514976034</v>
      </c>
      <c r="SQ15" s="363">
        <f t="shared" ca="1" si="158"/>
        <v>0.7020558151017311</v>
      </c>
      <c r="SR15" s="363">
        <f t="shared" ca="1" si="158"/>
        <v>0.69923376086178313</v>
      </c>
      <c r="SS15" s="363">
        <f ca="1">_xlfn.BETA.INV(RAND(),$I$15,$J$15)</f>
        <v>0.68063630201319869</v>
      </c>
      <c r="ST15" s="363">
        <f t="shared" ref="ST15:VE15" ca="1" si="159">_xlfn.BETA.INV(RAND(),$I$15,$J$15)</f>
        <v>0.6894878983232049</v>
      </c>
      <c r="SU15" s="363">
        <f t="shared" ca="1" si="159"/>
        <v>0.70274902585996446</v>
      </c>
      <c r="SV15" s="363">
        <f t="shared" ca="1" si="159"/>
        <v>0.77994674564618749</v>
      </c>
      <c r="SW15" s="363">
        <f t="shared" ca="1" si="159"/>
        <v>0.67291677660406279</v>
      </c>
      <c r="SX15" s="363">
        <f t="shared" ca="1" si="159"/>
        <v>0.5882538367113036</v>
      </c>
      <c r="SY15" s="363">
        <f t="shared" ca="1" si="159"/>
        <v>0.72133368547217747</v>
      </c>
      <c r="SZ15" s="363">
        <f t="shared" ca="1" si="159"/>
        <v>0.73015455752091962</v>
      </c>
      <c r="TA15" s="363">
        <f t="shared" ca="1" si="159"/>
        <v>0.77950330933532763</v>
      </c>
      <c r="TB15" s="363">
        <f t="shared" ca="1" si="159"/>
        <v>0.71052791083542477</v>
      </c>
      <c r="TC15" s="363">
        <f t="shared" ca="1" si="159"/>
        <v>0.6621001408620627</v>
      </c>
      <c r="TD15" s="363">
        <f t="shared" ca="1" si="159"/>
        <v>0.67565053750374338</v>
      </c>
      <c r="TE15" s="363">
        <f t="shared" ca="1" si="159"/>
        <v>0.73223026127147528</v>
      </c>
      <c r="TF15" s="363">
        <f t="shared" ca="1" si="159"/>
        <v>0.71869616627703703</v>
      </c>
      <c r="TG15" s="363">
        <f t="shared" ca="1" si="159"/>
        <v>0.67483890340855435</v>
      </c>
      <c r="TH15" s="363">
        <f t="shared" ca="1" si="159"/>
        <v>0.6724434459168197</v>
      </c>
      <c r="TI15" s="363">
        <f t="shared" ca="1" si="159"/>
        <v>0.71457348654447594</v>
      </c>
      <c r="TJ15" s="363">
        <f t="shared" ca="1" si="159"/>
        <v>0.69336628830978375</v>
      </c>
      <c r="TK15" s="363">
        <f t="shared" ca="1" si="159"/>
        <v>0.66403241010924219</v>
      </c>
      <c r="TL15" s="363">
        <f t="shared" ca="1" si="159"/>
        <v>0.7228380041646959</v>
      </c>
      <c r="TM15" s="363">
        <f t="shared" ca="1" si="159"/>
        <v>0.73725070941464943</v>
      </c>
      <c r="TN15" s="363">
        <f t="shared" ca="1" si="159"/>
        <v>0.75170262885120209</v>
      </c>
      <c r="TO15" s="363">
        <f t="shared" ca="1" si="159"/>
        <v>0.65444962519687766</v>
      </c>
      <c r="TP15" s="363">
        <f t="shared" ca="1" si="159"/>
        <v>0.60033185790279919</v>
      </c>
      <c r="TQ15" s="363">
        <f t="shared" ca="1" si="159"/>
        <v>0.71246239269362732</v>
      </c>
      <c r="TR15" s="363">
        <f t="shared" ca="1" si="159"/>
        <v>0.73549571604285702</v>
      </c>
      <c r="TS15" s="363">
        <f t="shared" ca="1" si="159"/>
        <v>0.68048863022289297</v>
      </c>
      <c r="TT15" s="363">
        <f t="shared" ca="1" si="159"/>
        <v>0.72535011693756157</v>
      </c>
      <c r="TU15" s="363">
        <f t="shared" ca="1" si="159"/>
        <v>0.73048264992454648</v>
      </c>
      <c r="TV15" s="363">
        <f t="shared" ca="1" si="159"/>
        <v>0.74713169175961736</v>
      </c>
      <c r="TW15" s="363">
        <f t="shared" ca="1" si="159"/>
        <v>0.63281091813464208</v>
      </c>
      <c r="TX15" s="363">
        <f t="shared" ca="1" si="159"/>
        <v>0.72402357694211172</v>
      </c>
      <c r="TY15" s="363">
        <f t="shared" ca="1" si="159"/>
        <v>0.75295800848190997</v>
      </c>
      <c r="TZ15" s="363">
        <f t="shared" ca="1" si="159"/>
        <v>0.60865136327493174</v>
      </c>
      <c r="UA15" s="363">
        <f t="shared" ca="1" si="159"/>
        <v>0.71990964992905804</v>
      </c>
      <c r="UB15" s="363">
        <f t="shared" ca="1" si="159"/>
        <v>0.74308293629310895</v>
      </c>
      <c r="UC15" s="363">
        <f t="shared" ca="1" si="159"/>
        <v>0.69367855007349466</v>
      </c>
      <c r="UD15" s="363">
        <f t="shared" ca="1" si="159"/>
        <v>0.69906651224573857</v>
      </c>
      <c r="UE15" s="363">
        <f t="shared" ca="1" si="159"/>
        <v>0.67044227789375188</v>
      </c>
      <c r="UF15" s="363">
        <f t="shared" ca="1" si="159"/>
        <v>0.76188073512057797</v>
      </c>
      <c r="UG15" s="363">
        <f t="shared" ca="1" si="159"/>
        <v>0.71332049440688827</v>
      </c>
      <c r="UH15" s="363">
        <f t="shared" ca="1" si="159"/>
        <v>0.66735629056731471</v>
      </c>
      <c r="UI15" s="363">
        <f t="shared" ca="1" si="159"/>
        <v>0.65906218844560838</v>
      </c>
      <c r="UJ15" s="363">
        <f t="shared" ca="1" si="159"/>
        <v>0.69469166737477561</v>
      </c>
      <c r="UK15" s="363">
        <f t="shared" ca="1" si="159"/>
        <v>0.75235688888922758</v>
      </c>
      <c r="UL15" s="363">
        <f t="shared" ca="1" si="159"/>
        <v>0.66551448147904779</v>
      </c>
      <c r="UM15" s="363">
        <f t="shared" ca="1" si="159"/>
        <v>0.78815029468605102</v>
      </c>
      <c r="UN15" s="363">
        <f t="shared" ca="1" si="159"/>
        <v>0.68660976808948226</v>
      </c>
      <c r="UO15" s="363">
        <f t="shared" ca="1" si="159"/>
        <v>0.76159795466549118</v>
      </c>
      <c r="UP15" s="363">
        <f t="shared" ca="1" si="159"/>
        <v>0.70225399347286466</v>
      </c>
      <c r="UQ15" s="363">
        <f t="shared" ca="1" si="159"/>
        <v>0.68398972599234686</v>
      </c>
      <c r="UR15" s="363">
        <f t="shared" ca="1" si="159"/>
        <v>0.71068071375236852</v>
      </c>
      <c r="US15" s="363">
        <f t="shared" ca="1" si="159"/>
        <v>0.72887900254399862</v>
      </c>
      <c r="UT15" s="363">
        <f t="shared" ca="1" si="159"/>
        <v>0.7051581476554637</v>
      </c>
      <c r="UU15" s="363">
        <f t="shared" ca="1" si="159"/>
        <v>0.73388253257407143</v>
      </c>
      <c r="UV15" s="363">
        <f t="shared" ca="1" si="159"/>
        <v>0.71792832471004697</v>
      </c>
      <c r="UW15" s="363">
        <f t="shared" ca="1" si="159"/>
        <v>0.70313450636236197</v>
      </c>
      <c r="UX15" s="363">
        <f t="shared" ca="1" si="159"/>
        <v>0.71120669524387092</v>
      </c>
      <c r="UY15" s="363">
        <f t="shared" ca="1" si="159"/>
        <v>0.71091135932579919</v>
      </c>
      <c r="UZ15" s="363">
        <f t="shared" ca="1" si="159"/>
        <v>0.68327204681588749</v>
      </c>
      <c r="VA15" s="363">
        <f t="shared" ca="1" si="159"/>
        <v>0.71031177237028253</v>
      </c>
      <c r="VB15" s="363">
        <f t="shared" ca="1" si="159"/>
        <v>0.75766799869906987</v>
      </c>
      <c r="VC15" s="363">
        <f t="shared" ca="1" si="159"/>
        <v>0.73737913731253846</v>
      </c>
      <c r="VD15" s="363">
        <f t="shared" ca="1" si="159"/>
        <v>0.6944176200148825</v>
      </c>
      <c r="VE15" s="363">
        <f t="shared" ca="1" si="159"/>
        <v>0.63578802856571281</v>
      </c>
      <c r="VF15" s="363">
        <f t="shared" ref="VF15:WN15" ca="1" si="160">_xlfn.BETA.INV(RAND(),$I$15,$J$15)</f>
        <v>0.74049251439197539</v>
      </c>
      <c r="VG15" s="363">
        <f t="shared" ca="1" si="160"/>
        <v>0.70166644216301888</v>
      </c>
      <c r="VH15" s="363">
        <f t="shared" ca="1" si="160"/>
        <v>0.71418628054770028</v>
      </c>
      <c r="VI15" s="363">
        <f t="shared" ca="1" si="160"/>
        <v>0.7570117653847257</v>
      </c>
      <c r="VJ15" s="363">
        <f t="shared" ca="1" si="160"/>
        <v>0.67753164995279769</v>
      </c>
      <c r="VK15" s="363">
        <f t="shared" ca="1" si="160"/>
        <v>0.75562633625503417</v>
      </c>
      <c r="VL15" s="363">
        <f t="shared" ca="1" si="160"/>
        <v>0.64401768141195592</v>
      </c>
      <c r="VM15" s="363">
        <f t="shared" ca="1" si="160"/>
        <v>0.74392468102394971</v>
      </c>
      <c r="VN15" s="363">
        <f t="shared" ca="1" si="160"/>
        <v>0.71634271611518407</v>
      </c>
      <c r="VO15" s="363">
        <f t="shared" ca="1" si="160"/>
        <v>0.73032635016482106</v>
      </c>
      <c r="VP15" s="363">
        <f t="shared" ca="1" si="160"/>
        <v>0.70095352898808561</v>
      </c>
      <c r="VQ15" s="363">
        <f t="shared" ca="1" si="160"/>
        <v>0.71481937361322123</v>
      </c>
      <c r="VR15" s="363">
        <f t="shared" ca="1" si="160"/>
        <v>0.750436918252265</v>
      </c>
      <c r="VS15" s="363">
        <f t="shared" ca="1" si="160"/>
        <v>0.74356576740047053</v>
      </c>
      <c r="VT15" s="363">
        <f t="shared" ca="1" si="160"/>
        <v>0.68973159549315299</v>
      </c>
      <c r="VU15" s="363">
        <f t="shared" ca="1" si="160"/>
        <v>0.65511439983497421</v>
      </c>
      <c r="VV15" s="363">
        <f t="shared" ca="1" si="160"/>
        <v>0.65015193072239941</v>
      </c>
      <c r="VW15" s="363">
        <f t="shared" ca="1" si="160"/>
        <v>0.70754062805228402</v>
      </c>
      <c r="VX15" s="363">
        <f t="shared" ca="1" si="160"/>
        <v>0.70251371350935909</v>
      </c>
      <c r="VY15" s="363">
        <f t="shared" ca="1" si="160"/>
        <v>0.67506461977915566</v>
      </c>
      <c r="VZ15" s="363">
        <f t="shared" ca="1" si="160"/>
        <v>0.68174053853782157</v>
      </c>
      <c r="WA15" s="363">
        <f t="shared" ca="1" si="160"/>
        <v>0.73514709929752631</v>
      </c>
      <c r="WB15" s="363">
        <f t="shared" ca="1" si="160"/>
        <v>0.69206330249467007</v>
      </c>
      <c r="WC15" s="363">
        <f t="shared" ca="1" si="160"/>
        <v>0.67329420081518609</v>
      </c>
      <c r="WD15" s="363">
        <f t="shared" ca="1" si="160"/>
        <v>0.73660969820277411</v>
      </c>
      <c r="WE15" s="363">
        <f t="shared" ca="1" si="160"/>
        <v>0.67025857280754553</v>
      </c>
      <c r="WF15" s="363">
        <f t="shared" ca="1" si="160"/>
        <v>0.74527150633072037</v>
      </c>
      <c r="WG15" s="363">
        <f t="shared" ca="1" si="160"/>
        <v>0.70503031741791722</v>
      </c>
      <c r="WH15" s="363">
        <f t="shared" ca="1" si="160"/>
        <v>0.64254115252088939</v>
      </c>
      <c r="WI15" s="363">
        <f t="shared" ca="1" si="160"/>
        <v>0.67031783397454425</v>
      </c>
      <c r="WJ15" s="363">
        <f t="shared" ca="1" si="160"/>
        <v>0.69704372677853588</v>
      </c>
      <c r="WK15" s="363">
        <f t="shared" ca="1" si="160"/>
        <v>0.70463311774513904</v>
      </c>
      <c r="WL15" s="363">
        <f t="shared" ca="1" si="160"/>
        <v>0.780927481040122</v>
      </c>
      <c r="WM15" s="363">
        <f t="shared" ca="1" si="160"/>
        <v>0.70274291567884883</v>
      </c>
      <c r="WN15" s="363">
        <f t="shared" ca="1" si="160"/>
        <v>0.73418253053419602</v>
      </c>
    </row>
    <row r="16" spans="2:612" x14ac:dyDescent="0.15">
      <c r="B16" s="467" t="s">
        <v>1294</v>
      </c>
      <c r="D16" s="363">
        <f t="shared" si="0"/>
        <v>2.5999999999999999E-2</v>
      </c>
      <c r="F16" s="367">
        <v>2.5999999999999999E-2</v>
      </c>
      <c r="G16" s="367" t="s">
        <v>350</v>
      </c>
      <c r="H16" s="363">
        <v>5.0000000000000001E-3</v>
      </c>
      <c r="I16" s="438">
        <f>(F16/H16)^2</f>
        <v>27.039999999999992</v>
      </c>
      <c r="J16" s="367">
        <f>(H16^2)/F16</f>
        <v>9.6153846153846159E-4</v>
      </c>
      <c r="K16" s="367" t="s">
        <v>720</v>
      </c>
      <c r="M16" s="363">
        <f ca="1">_xlfn.GAMMA.INV(RAND(),$I$16,$J$16)</f>
        <v>2.1294099793750403E-2</v>
      </c>
      <c r="N16" s="363">
        <f t="shared" ref="N16:BY16" ca="1" si="161">_xlfn.GAMMA.INV(RAND(),$I$16,$J$16)</f>
        <v>3.480302931788945E-2</v>
      </c>
      <c r="O16" s="363">
        <f t="shared" ca="1" si="161"/>
        <v>3.3285509224093443E-2</v>
      </c>
      <c r="P16" s="363">
        <f t="shared" ca="1" si="161"/>
        <v>1.2432304612527237E-2</v>
      </c>
      <c r="Q16" s="363">
        <f t="shared" ca="1" si="161"/>
        <v>3.3210445932423741E-2</v>
      </c>
      <c r="R16" s="363">
        <f t="shared" ca="1" si="161"/>
        <v>2.2203653936470259E-2</v>
      </c>
      <c r="S16" s="363">
        <f t="shared" ca="1" si="161"/>
        <v>2.1473867054621495E-2</v>
      </c>
      <c r="T16" s="363">
        <f t="shared" ca="1" si="161"/>
        <v>1.3681851082817206E-2</v>
      </c>
      <c r="U16" s="363">
        <f t="shared" ca="1" si="161"/>
        <v>2.3568339562343252E-2</v>
      </c>
      <c r="V16" s="363">
        <f t="shared" ca="1" si="161"/>
        <v>2.2826012094459256E-2</v>
      </c>
      <c r="W16" s="363">
        <f t="shared" ca="1" si="161"/>
        <v>1.9052059978241425E-2</v>
      </c>
      <c r="X16" s="363">
        <f t="shared" ca="1" si="161"/>
        <v>3.8630889897204534E-2</v>
      </c>
      <c r="Y16" s="363">
        <f t="shared" ca="1" si="161"/>
        <v>2.4677531826219123E-2</v>
      </c>
      <c r="Z16" s="363">
        <f t="shared" ca="1" si="161"/>
        <v>2.4577848492826199E-2</v>
      </c>
      <c r="AA16" s="363">
        <f t="shared" ca="1" si="161"/>
        <v>2.7063579976032384E-2</v>
      </c>
      <c r="AB16" s="363">
        <f t="shared" ca="1" si="161"/>
        <v>3.1251089061045158E-2</v>
      </c>
      <c r="AC16" s="363">
        <f t="shared" ca="1" si="161"/>
        <v>1.9884005748512627E-2</v>
      </c>
      <c r="AD16" s="363">
        <f t="shared" ca="1" si="161"/>
        <v>1.7757655151317112E-2</v>
      </c>
      <c r="AE16" s="363">
        <f t="shared" ca="1" si="161"/>
        <v>2.6020660123673132E-2</v>
      </c>
      <c r="AF16" s="363">
        <f t="shared" ca="1" si="161"/>
        <v>1.7982645767244995E-2</v>
      </c>
      <c r="AG16" s="363">
        <f t="shared" ca="1" si="161"/>
        <v>2.739318216024959E-2</v>
      </c>
      <c r="AH16" s="363">
        <f t="shared" ca="1" si="161"/>
        <v>3.3750790391062088E-2</v>
      </c>
      <c r="AI16" s="363">
        <f t="shared" ca="1" si="161"/>
        <v>2.5959633694221905E-2</v>
      </c>
      <c r="AJ16" s="363">
        <f t="shared" ca="1" si="161"/>
        <v>2.3456469503701716E-2</v>
      </c>
      <c r="AK16" s="363">
        <f t="shared" ca="1" si="161"/>
        <v>1.9662330237132011E-2</v>
      </c>
      <c r="AL16" s="363">
        <f t="shared" ca="1" si="161"/>
        <v>2.3860502487157181E-2</v>
      </c>
      <c r="AM16" s="363">
        <f t="shared" ca="1" si="161"/>
        <v>2.7886912288528964E-2</v>
      </c>
      <c r="AN16" s="363">
        <f t="shared" ca="1" si="161"/>
        <v>1.7392701704670097E-2</v>
      </c>
      <c r="AO16" s="363">
        <f t="shared" ca="1" si="161"/>
        <v>2.7569975557965115E-2</v>
      </c>
      <c r="AP16" s="363">
        <f t="shared" ca="1" si="161"/>
        <v>2.8105922404154209E-2</v>
      </c>
      <c r="AQ16" s="363">
        <f t="shared" ca="1" si="161"/>
        <v>2.3862582378278003E-2</v>
      </c>
      <c r="AR16" s="363">
        <f t="shared" ca="1" si="161"/>
        <v>2.5525251773304416E-2</v>
      </c>
      <c r="AS16" s="363">
        <f t="shared" ca="1" si="161"/>
        <v>2.8104437743092153E-2</v>
      </c>
      <c r="AT16" s="363">
        <f t="shared" ca="1" si="161"/>
        <v>2.8141181578789962E-2</v>
      </c>
      <c r="AU16" s="363">
        <f t="shared" ca="1" si="161"/>
        <v>3.2467198916111793E-2</v>
      </c>
      <c r="AV16" s="363">
        <f t="shared" ca="1" si="161"/>
        <v>2.793031271189745E-2</v>
      </c>
      <c r="AW16" s="363">
        <f t="shared" ca="1" si="161"/>
        <v>2.2496916042290906E-2</v>
      </c>
      <c r="AX16" s="363">
        <f t="shared" ca="1" si="161"/>
        <v>2.9321727191120549E-2</v>
      </c>
      <c r="AY16" s="363">
        <f t="shared" ca="1" si="161"/>
        <v>2.6660192972866328E-2</v>
      </c>
      <c r="AZ16" s="363">
        <f t="shared" ca="1" si="161"/>
        <v>2.9673240252770634E-2</v>
      </c>
      <c r="BA16" s="363">
        <f t="shared" ca="1" si="161"/>
        <v>2.6111412969601299E-2</v>
      </c>
      <c r="BB16" s="363">
        <f t="shared" ca="1" si="161"/>
        <v>2.7250775063378252E-2</v>
      </c>
      <c r="BC16" s="363">
        <f t="shared" ca="1" si="161"/>
        <v>2.4605946774717145E-2</v>
      </c>
      <c r="BD16" s="363">
        <f t="shared" ca="1" si="161"/>
        <v>1.9889320499951714E-2</v>
      </c>
      <c r="BE16" s="363">
        <f t="shared" ca="1" si="161"/>
        <v>2.3563941825110686E-2</v>
      </c>
      <c r="BF16" s="363">
        <f t="shared" ca="1" si="161"/>
        <v>2.3727545629606005E-2</v>
      </c>
      <c r="BG16" s="363">
        <f t="shared" ca="1" si="161"/>
        <v>4.3561614523161249E-2</v>
      </c>
      <c r="BH16" s="363">
        <f t="shared" ca="1" si="161"/>
        <v>3.0935628740335813E-2</v>
      </c>
      <c r="BI16" s="363">
        <f t="shared" ca="1" si="161"/>
        <v>2.1779373005272204E-2</v>
      </c>
      <c r="BJ16" s="363">
        <f t="shared" ca="1" si="161"/>
        <v>2.6986239348779056E-2</v>
      </c>
      <c r="BK16" s="363">
        <f t="shared" ca="1" si="161"/>
        <v>2.5639198016248255E-2</v>
      </c>
      <c r="BL16" s="363">
        <f t="shared" ca="1" si="161"/>
        <v>2.6530249655926225E-2</v>
      </c>
      <c r="BM16" s="363">
        <f t="shared" ca="1" si="161"/>
        <v>2.8042583130875393E-2</v>
      </c>
      <c r="BN16" s="363">
        <f t="shared" ca="1" si="161"/>
        <v>3.0521932656551412E-2</v>
      </c>
      <c r="BO16" s="363">
        <f t="shared" ca="1" si="161"/>
        <v>1.9474830715612752E-2</v>
      </c>
      <c r="BP16" s="363">
        <f t="shared" ca="1" si="161"/>
        <v>2.6885422441077857E-2</v>
      </c>
      <c r="BQ16" s="363">
        <f t="shared" ca="1" si="161"/>
        <v>2.3291969674019874E-2</v>
      </c>
      <c r="BR16" s="363">
        <f t="shared" ca="1" si="161"/>
        <v>2.0954868441153001E-2</v>
      </c>
      <c r="BS16" s="363">
        <f t="shared" ca="1" si="161"/>
        <v>2.2991527046117552E-2</v>
      </c>
      <c r="BT16" s="363">
        <f t="shared" ca="1" si="161"/>
        <v>3.1117511812525141E-2</v>
      </c>
      <c r="BU16" s="363">
        <f t="shared" ca="1" si="161"/>
        <v>2.566394088877284E-2</v>
      </c>
      <c r="BV16" s="363">
        <f t="shared" ca="1" si="161"/>
        <v>1.9058126198343142E-2</v>
      </c>
      <c r="BW16" s="363">
        <f t="shared" ca="1" si="161"/>
        <v>2.7681570837851541E-2</v>
      </c>
      <c r="BX16" s="363">
        <f t="shared" ca="1" si="161"/>
        <v>2.9357507784026869E-2</v>
      </c>
      <c r="BY16" s="363">
        <f t="shared" ca="1" si="161"/>
        <v>2.569181236992181E-2</v>
      </c>
      <c r="BZ16" s="363">
        <f t="shared" ref="BZ16:DH16" ca="1" si="162">_xlfn.GAMMA.INV(RAND(),$I$16,$J$16)</f>
        <v>2.6504257038590412E-2</v>
      </c>
      <c r="CA16" s="363">
        <f t="shared" ca="1" si="162"/>
        <v>3.3986576059733278E-2</v>
      </c>
      <c r="CB16" s="363">
        <f t="shared" ca="1" si="162"/>
        <v>2.6491261591484308E-2</v>
      </c>
      <c r="CC16" s="363">
        <f t="shared" ca="1" si="162"/>
        <v>2.7737840259412977E-2</v>
      </c>
      <c r="CD16" s="363">
        <f t="shared" ca="1" si="162"/>
        <v>1.6251846138887676E-2</v>
      </c>
      <c r="CE16" s="363">
        <f t="shared" ca="1" si="162"/>
        <v>2.4945937624488039E-2</v>
      </c>
      <c r="CF16" s="363">
        <f t="shared" ca="1" si="162"/>
        <v>1.9023355064190808E-2</v>
      </c>
      <c r="CG16" s="363">
        <f t="shared" ca="1" si="162"/>
        <v>2.3420963467584113E-2</v>
      </c>
      <c r="CH16" s="363">
        <f t="shared" ca="1" si="162"/>
        <v>2.9737464141847202E-2</v>
      </c>
      <c r="CI16" s="363">
        <f t="shared" ca="1" si="162"/>
        <v>2.3312320928875075E-2</v>
      </c>
      <c r="CJ16" s="363">
        <f t="shared" ca="1" si="162"/>
        <v>1.7682344169143823E-2</v>
      </c>
      <c r="CK16" s="363">
        <f t="shared" ca="1" si="162"/>
        <v>2.8223589877211897E-2</v>
      </c>
      <c r="CL16" s="363">
        <f t="shared" ca="1" si="162"/>
        <v>2.3171628384132309E-2</v>
      </c>
      <c r="CM16" s="363">
        <f t="shared" ca="1" si="162"/>
        <v>2.6896431770454848E-2</v>
      </c>
      <c r="CN16" s="363">
        <f t="shared" ca="1" si="162"/>
        <v>2.4669768993426267E-2</v>
      </c>
      <c r="CO16" s="363">
        <f t="shared" ca="1" si="162"/>
        <v>3.5124699190137179E-2</v>
      </c>
      <c r="CP16" s="363">
        <f t="shared" ca="1" si="162"/>
        <v>3.3146668200095909E-2</v>
      </c>
      <c r="CQ16" s="363">
        <f t="shared" ca="1" si="162"/>
        <v>3.0255645173058E-2</v>
      </c>
      <c r="CR16" s="363">
        <f t="shared" ca="1" si="162"/>
        <v>1.8013172751777107E-2</v>
      </c>
      <c r="CS16" s="363">
        <f t="shared" ca="1" si="162"/>
        <v>3.6084872183998598E-2</v>
      </c>
      <c r="CT16" s="363">
        <f t="shared" ca="1" si="162"/>
        <v>3.104757270715806E-2</v>
      </c>
      <c r="CU16" s="363">
        <f t="shared" ca="1" si="162"/>
        <v>3.2619805278164118E-2</v>
      </c>
      <c r="CV16" s="363">
        <f t="shared" ca="1" si="162"/>
        <v>1.9007727854436589E-2</v>
      </c>
      <c r="CW16" s="363">
        <f t="shared" ca="1" si="162"/>
        <v>3.5184744021527978E-2</v>
      </c>
      <c r="CX16" s="363">
        <f t="shared" ca="1" si="162"/>
        <v>2.8448586367785401E-2</v>
      </c>
      <c r="CY16" s="363">
        <f t="shared" ca="1" si="162"/>
        <v>2.3694348025698676E-2</v>
      </c>
      <c r="CZ16" s="363">
        <f t="shared" ca="1" si="162"/>
        <v>2.84274733034195E-2</v>
      </c>
      <c r="DA16" s="363">
        <f t="shared" ca="1" si="162"/>
        <v>1.6953361194220796E-2</v>
      </c>
      <c r="DB16" s="363">
        <f t="shared" ca="1" si="162"/>
        <v>2.4641512650715527E-2</v>
      </c>
      <c r="DC16" s="363">
        <f t="shared" ca="1" si="162"/>
        <v>2.9458863060467761E-2</v>
      </c>
      <c r="DD16" s="363">
        <f t="shared" ca="1" si="162"/>
        <v>2.1705214739726621E-2</v>
      </c>
      <c r="DE16" s="363">
        <f t="shared" ca="1" si="162"/>
        <v>2.4145035998252948E-2</v>
      </c>
      <c r="DF16" s="363">
        <f t="shared" ca="1" si="162"/>
        <v>2.580146039985581E-2</v>
      </c>
      <c r="DG16" s="363">
        <f t="shared" ca="1" si="162"/>
        <v>1.9830423024000756E-2</v>
      </c>
      <c r="DH16" s="363">
        <f t="shared" ca="1" si="162"/>
        <v>2.3260443902882857E-2</v>
      </c>
      <c r="DI16" s="363">
        <f ca="1">_xlfn.GAMMA.INV(RAND(),$I$16,$J$16)</f>
        <v>3.1570904054389448E-2</v>
      </c>
      <c r="DJ16" s="363">
        <f t="shared" ref="DJ16:FU16" ca="1" si="163">_xlfn.GAMMA.INV(RAND(),$I$16,$J$16)</f>
        <v>2.3760641709951826E-2</v>
      </c>
      <c r="DK16" s="363">
        <f t="shared" ca="1" si="163"/>
        <v>2.3991754294540799E-2</v>
      </c>
      <c r="DL16" s="363">
        <f t="shared" ca="1" si="163"/>
        <v>2.0451020873461626E-2</v>
      </c>
      <c r="DM16" s="363">
        <f t="shared" ca="1" si="163"/>
        <v>1.3010095741047624E-2</v>
      </c>
      <c r="DN16" s="363">
        <f t="shared" ca="1" si="163"/>
        <v>2.353923356059694E-2</v>
      </c>
      <c r="DO16" s="363">
        <f t="shared" ca="1" si="163"/>
        <v>1.5642499495549741E-2</v>
      </c>
      <c r="DP16" s="363">
        <f t="shared" ca="1" si="163"/>
        <v>3.0352867442979162E-2</v>
      </c>
      <c r="DQ16" s="363">
        <f t="shared" ca="1" si="163"/>
        <v>2.1239632921068972E-2</v>
      </c>
      <c r="DR16" s="363">
        <f t="shared" ca="1" si="163"/>
        <v>2.2914968540949314E-2</v>
      </c>
      <c r="DS16" s="363">
        <f t="shared" ca="1" si="163"/>
        <v>2.204805380449289E-2</v>
      </c>
      <c r="DT16" s="363">
        <f t="shared" ca="1" si="163"/>
        <v>3.1671923076868898E-2</v>
      </c>
      <c r="DU16" s="363">
        <f t="shared" ca="1" si="163"/>
        <v>3.6550015208482438E-2</v>
      </c>
      <c r="DV16" s="363">
        <f t="shared" ca="1" si="163"/>
        <v>2.3793213547314621E-2</v>
      </c>
      <c r="DW16" s="363">
        <f t="shared" ca="1" si="163"/>
        <v>2.2116566219585194E-2</v>
      </c>
      <c r="DX16" s="363">
        <f t="shared" ca="1" si="163"/>
        <v>1.8016896334314216E-2</v>
      </c>
      <c r="DY16" s="363">
        <f t="shared" ca="1" si="163"/>
        <v>3.0601517644262072E-2</v>
      </c>
      <c r="DZ16" s="363">
        <f t="shared" ca="1" si="163"/>
        <v>2.6912001589997094E-2</v>
      </c>
      <c r="EA16" s="363">
        <f t="shared" ca="1" si="163"/>
        <v>3.0878886610222228E-2</v>
      </c>
      <c r="EB16" s="363">
        <f t="shared" ca="1" si="163"/>
        <v>2.0429372322082497E-2</v>
      </c>
      <c r="EC16" s="363">
        <f t="shared" ca="1" si="163"/>
        <v>3.0859230507693746E-2</v>
      </c>
      <c r="ED16" s="363">
        <f t="shared" ca="1" si="163"/>
        <v>3.2137611206683674E-2</v>
      </c>
      <c r="EE16" s="363">
        <f t="shared" ca="1" si="163"/>
        <v>2.7202819624913291E-2</v>
      </c>
      <c r="EF16" s="363">
        <f t="shared" ca="1" si="163"/>
        <v>2.6662445034407053E-2</v>
      </c>
      <c r="EG16" s="363">
        <f t="shared" ca="1" si="163"/>
        <v>1.9331946104105224E-2</v>
      </c>
      <c r="EH16" s="363">
        <f t="shared" ca="1" si="163"/>
        <v>2.4473132612835784E-2</v>
      </c>
      <c r="EI16" s="363">
        <f t="shared" ca="1" si="163"/>
        <v>2.1472758973828974E-2</v>
      </c>
      <c r="EJ16" s="363">
        <f t="shared" ca="1" si="163"/>
        <v>1.9385340092991726E-2</v>
      </c>
      <c r="EK16" s="363">
        <f t="shared" ca="1" si="163"/>
        <v>2.7098931238822847E-2</v>
      </c>
      <c r="EL16" s="363">
        <f t="shared" ca="1" si="163"/>
        <v>2.6344356239022683E-2</v>
      </c>
      <c r="EM16" s="363">
        <f t="shared" ca="1" si="163"/>
        <v>3.4167078311652561E-2</v>
      </c>
      <c r="EN16" s="363">
        <f t="shared" ca="1" si="163"/>
        <v>1.6006778156250324E-2</v>
      </c>
      <c r="EO16" s="363">
        <f t="shared" ca="1" si="163"/>
        <v>2.0972552868304694E-2</v>
      </c>
      <c r="EP16" s="363">
        <f t="shared" ca="1" si="163"/>
        <v>2.8438138092973731E-2</v>
      </c>
      <c r="EQ16" s="363">
        <f t="shared" ca="1" si="163"/>
        <v>1.9392646561754046E-2</v>
      </c>
      <c r="ER16" s="363">
        <f t="shared" ca="1" si="163"/>
        <v>2.5168824020045964E-2</v>
      </c>
      <c r="ES16" s="363">
        <f t="shared" ca="1" si="163"/>
        <v>2.7869417457382792E-2</v>
      </c>
      <c r="ET16" s="363">
        <f t="shared" ca="1" si="163"/>
        <v>1.4402685814479562E-2</v>
      </c>
      <c r="EU16" s="363">
        <f t="shared" ca="1" si="163"/>
        <v>2.1078768552781423E-2</v>
      </c>
      <c r="EV16" s="363">
        <f t="shared" ca="1" si="163"/>
        <v>2.4849151591666809E-2</v>
      </c>
      <c r="EW16" s="363">
        <f t="shared" ca="1" si="163"/>
        <v>2.6703339383437986E-2</v>
      </c>
      <c r="EX16" s="363">
        <f t="shared" ca="1" si="163"/>
        <v>1.9230323701942401E-2</v>
      </c>
      <c r="EY16" s="363">
        <f t="shared" ca="1" si="163"/>
        <v>1.98348754702872E-2</v>
      </c>
      <c r="EZ16" s="363">
        <f t="shared" ca="1" si="163"/>
        <v>2.261542888889332E-2</v>
      </c>
      <c r="FA16" s="363">
        <f t="shared" ca="1" si="163"/>
        <v>2.3589456253334595E-2</v>
      </c>
      <c r="FB16" s="363">
        <f t="shared" ca="1" si="163"/>
        <v>2.7283849758857982E-2</v>
      </c>
      <c r="FC16" s="363">
        <f t="shared" ca="1" si="163"/>
        <v>2.5980024258153121E-2</v>
      </c>
      <c r="FD16" s="363">
        <f t="shared" ca="1" si="163"/>
        <v>2.6224329884236824E-2</v>
      </c>
      <c r="FE16" s="363">
        <f t="shared" ca="1" si="163"/>
        <v>3.2710498608960886E-2</v>
      </c>
      <c r="FF16" s="363">
        <f t="shared" ca="1" si="163"/>
        <v>3.29519989855281E-2</v>
      </c>
      <c r="FG16" s="363">
        <f t="shared" ca="1" si="163"/>
        <v>2.0185253820420131E-2</v>
      </c>
      <c r="FH16" s="363">
        <f t="shared" ca="1" si="163"/>
        <v>2.2596500623188628E-2</v>
      </c>
      <c r="FI16" s="363">
        <f t="shared" ca="1" si="163"/>
        <v>1.9995165659914285E-2</v>
      </c>
      <c r="FJ16" s="363">
        <f t="shared" ca="1" si="163"/>
        <v>2.4387777509813587E-2</v>
      </c>
      <c r="FK16" s="363">
        <f t="shared" ca="1" si="163"/>
        <v>3.0246617750718713E-2</v>
      </c>
      <c r="FL16" s="363">
        <f t="shared" ca="1" si="163"/>
        <v>3.4948439927609966E-2</v>
      </c>
      <c r="FM16" s="363">
        <f t="shared" ca="1" si="163"/>
        <v>2.741575329806898E-2</v>
      </c>
      <c r="FN16" s="363">
        <f t="shared" ca="1" si="163"/>
        <v>2.7697575660270535E-2</v>
      </c>
      <c r="FO16" s="363">
        <f t="shared" ca="1" si="163"/>
        <v>2.7188464367904099E-2</v>
      </c>
      <c r="FP16" s="363">
        <f t="shared" ca="1" si="163"/>
        <v>2.270775986781114E-2</v>
      </c>
      <c r="FQ16" s="363">
        <f t="shared" ca="1" si="163"/>
        <v>2.7818249368982639E-2</v>
      </c>
      <c r="FR16" s="363">
        <f t="shared" ca="1" si="163"/>
        <v>2.3732917956437262E-2</v>
      </c>
      <c r="FS16" s="363">
        <f t="shared" ca="1" si="163"/>
        <v>2.0289541461544689E-2</v>
      </c>
      <c r="FT16" s="363">
        <f t="shared" ca="1" si="163"/>
        <v>2.963418266154506E-2</v>
      </c>
      <c r="FU16" s="363">
        <f t="shared" ca="1" si="163"/>
        <v>2.3084874173231233E-2</v>
      </c>
      <c r="FV16" s="363">
        <f t="shared" ref="FV16:HD16" ca="1" si="164">_xlfn.GAMMA.INV(RAND(),$I$16,$J$16)</f>
        <v>2.1127928656290654E-2</v>
      </c>
      <c r="FW16" s="363">
        <f t="shared" ca="1" si="164"/>
        <v>2.2000342674075208E-2</v>
      </c>
      <c r="FX16" s="363">
        <f t="shared" ca="1" si="164"/>
        <v>2.2234701591326601E-2</v>
      </c>
      <c r="FY16" s="363">
        <f t="shared" ca="1" si="164"/>
        <v>2.5189529662020614E-2</v>
      </c>
      <c r="FZ16" s="363">
        <f t="shared" ca="1" si="164"/>
        <v>3.3823881646195431E-2</v>
      </c>
      <c r="GA16" s="363">
        <f t="shared" ca="1" si="164"/>
        <v>2.6068756075441603E-2</v>
      </c>
      <c r="GB16" s="363">
        <f t="shared" ca="1" si="164"/>
        <v>2.1911001852506891E-2</v>
      </c>
      <c r="GC16" s="363">
        <f t="shared" ca="1" si="164"/>
        <v>1.9703752619886796E-2</v>
      </c>
      <c r="GD16" s="363">
        <f t="shared" ca="1" si="164"/>
        <v>2.1347190117329738E-2</v>
      </c>
      <c r="GE16" s="363">
        <f t="shared" ca="1" si="164"/>
        <v>3.0133875047605885E-2</v>
      </c>
      <c r="GF16" s="363">
        <f t="shared" ca="1" si="164"/>
        <v>2.6492809998273869E-2</v>
      </c>
      <c r="GG16" s="363">
        <f t="shared" ca="1" si="164"/>
        <v>2.6980203064678143E-2</v>
      </c>
      <c r="GH16" s="363">
        <f t="shared" ca="1" si="164"/>
        <v>2.8704095934117387E-2</v>
      </c>
      <c r="GI16" s="363">
        <f t="shared" ca="1" si="164"/>
        <v>2.9470041191668617E-2</v>
      </c>
      <c r="GJ16" s="363">
        <f t="shared" ca="1" si="164"/>
        <v>2.3715693144425058E-2</v>
      </c>
      <c r="GK16" s="363">
        <f t="shared" ca="1" si="164"/>
        <v>1.9914154050842188E-2</v>
      </c>
      <c r="GL16" s="363">
        <f t="shared" ca="1" si="164"/>
        <v>2.5097574925380436E-2</v>
      </c>
      <c r="GM16" s="363">
        <f t="shared" ca="1" si="164"/>
        <v>2.8511939216880926E-2</v>
      </c>
      <c r="GN16" s="363">
        <f t="shared" ca="1" si="164"/>
        <v>2.1332448570528711E-2</v>
      </c>
      <c r="GO16" s="363">
        <f t="shared" ca="1" si="164"/>
        <v>3.3399509289551266E-2</v>
      </c>
      <c r="GP16" s="363">
        <f t="shared" ca="1" si="164"/>
        <v>3.4587315950607649E-2</v>
      </c>
      <c r="GQ16" s="363">
        <f t="shared" ca="1" si="164"/>
        <v>2.1539938564217997E-2</v>
      </c>
      <c r="GR16" s="363">
        <f t="shared" ca="1" si="164"/>
        <v>1.9685944533993919E-2</v>
      </c>
      <c r="GS16" s="363">
        <f t="shared" ca="1" si="164"/>
        <v>2.3278651388628002E-2</v>
      </c>
      <c r="GT16" s="363">
        <f t="shared" ca="1" si="164"/>
        <v>3.016325365634457E-2</v>
      </c>
      <c r="GU16" s="363">
        <f t="shared" ca="1" si="164"/>
        <v>2.9417769411378532E-2</v>
      </c>
      <c r="GV16" s="363">
        <f t="shared" ca="1" si="164"/>
        <v>2.1682212592253138E-2</v>
      </c>
      <c r="GW16" s="363">
        <f t="shared" ca="1" si="164"/>
        <v>3.1878624815937631E-2</v>
      </c>
      <c r="GX16" s="363">
        <f t="shared" ca="1" si="164"/>
        <v>2.2848041816911115E-2</v>
      </c>
      <c r="GY16" s="363">
        <f t="shared" ca="1" si="164"/>
        <v>3.0311792046925894E-2</v>
      </c>
      <c r="GZ16" s="363">
        <f t="shared" ca="1" si="164"/>
        <v>2.7001813907304571E-2</v>
      </c>
      <c r="HA16" s="363">
        <f t="shared" ca="1" si="164"/>
        <v>2.4209038131423062E-2</v>
      </c>
      <c r="HB16" s="363">
        <f t="shared" ca="1" si="164"/>
        <v>2.2750663052912689E-2</v>
      </c>
      <c r="HC16" s="363">
        <f t="shared" ca="1" si="164"/>
        <v>3.5962532145471154E-2</v>
      </c>
      <c r="HD16" s="363">
        <f t="shared" ca="1" si="164"/>
        <v>2.5057237793303183E-2</v>
      </c>
      <c r="HE16" s="363">
        <f ca="1">_xlfn.GAMMA.INV(RAND(),$I$16,$J$16)</f>
        <v>2.1394489339838455E-2</v>
      </c>
      <c r="HF16" s="363">
        <f t="shared" ref="HF16:JQ16" ca="1" si="165">_xlfn.GAMMA.INV(RAND(),$I$16,$J$16)</f>
        <v>2.7021073373549392E-2</v>
      </c>
      <c r="HG16" s="363">
        <f t="shared" ca="1" si="165"/>
        <v>1.8891331992672435E-2</v>
      </c>
      <c r="HH16" s="363">
        <f t="shared" ca="1" si="165"/>
        <v>3.1392831898641935E-2</v>
      </c>
      <c r="HI16" s="363">
        <f t="shared" ca="1" si="165"/>
        <v>2.0254904033362272E-2</v>
      </c>
      <c r="HJ16" s="363">
        <f t="shared" ca="1" si="165"/>
        <v>2.799541878136624E-2</v>
      </c>
      <c r="HK16" s="363">
        <f t="shared" ca="1" si="165"/>
        <v>2.9674236644674921E-2</v>
      </c>
      <c r="HL16" s="363">
        <f t="shared" ca="1" si="165"/>
        <v>3.1987125568541268E-2</v>
      </c>
      <c r="HM16" s="363">
        <f t="shared" ca="1" si="165"/>
        <v>3.2148576642500294E-2</v>
      </c>
      <c r="HN16" s="363">
        <f t="shared" ca="1" si="165"/>
        <v>1.7706536807579779E-2</v>
      </c>
      <c r="HO16" s="363">
        <f t="shared" ca="1" si="165"/>
        <v>2.8284093552978777E-2</v>
      </c>
      <c r="HP16" s="363">
        <f t="shared" ca="1" si="165"/>
        <v>1.962068850069169E-2</v>
      </c>
      <c r="HQ16" s="363">
        <f t="shared" ca="1" si="165"/>
        <v>1.9648415932176325E-2</v>
      </c>
      <c r="HR16" s="363">
        <f t="shared" ca="1" si="165"/>
        <v>3.2928014429477244E-2</v>
      </c>
      <c r="HS16" s="363">
        <f t="shared" ca="1" si="165"/>
        <v>2.5305892792283055E-2</v>
      </c>
      <c r="HT16" s="363">
        <f t="shared" ca="1" si="165"/>
        <v>2.4984762135268002E-2</v>
      </c>
      <c r="HU16" s="363">
        <f t="shared" ca="1" si="165"/>
        <v>2.4075196128799277E-2</v>
      </c>
      <c r="HV16" s="363">
        <f t="shared" ca="1" si="165"/>
        <v>2.5740665321448641E-2</v>
      </c>
      <c r="HW16" s="363">
        <f t="shared" ca="1" si="165"/>
        <v>2.0399166024390476E-2</v>
      </c>
      <c r="HX16" s="363">
        <f t="shared" ca="1" si="165"/>
        <v>2.5166226592300611E-2</v>
      </c>
      <c r="HY16" s="363">
        <f t="shared" ca="1" si="165"/>
        <v>3.1307472549763717E-2</v>
      </c>
      <c r="HZ16" s="363">
        <f t="shared" ca="1" si="165"/>
        <v>3.0230686067208558E-2</v>
      </c>
      <c r="IA16" s="363">
        <f t="shared" ca="1" si="165"/>
        <v>3.0235630703102152E-2</v>
      </c>
      <c r="IB16" s="363">
        <f t="shared" ca="1" si="165"/>
        <v>3.0563682198377934E-2</v>
      </c>
      <c r="IC16" s="363">
        <f t="shared" ca="1" si="165"/>
        <v>3.1481997641808118E-2</v>
      </c>
      <c r="ID16" s="363">
        <f t="shared" ca="1" si="165"/>
        <v>2.1793925495099346E-2</v>
      </c>
      <c r="IE16" s="363">
        <f t="shared" ca="1" si="165"/>
        <v>2.5838212431049792E-2</v>
      </c>
      <c r="IF16" s="363">
        <f t="shared" ca="1" si="165"/>
        <v>2.4985941224065635E-2</v>
      </c>
      <c r="IG16" s="363">
        <f t="shared" ca="1" si="165"/>
        <v>2.7162775702335613E-2</v>
      </c>
      <c r="IH16" s="363">
        <f t="shared" ca="1" si="165"/>
        <v>2.3174273242722511E-2</v>
      </c>
      <c r="II16" s="363">
        <f t="shared" ca="1" si="165"/>
        <v>2.0226453670489121E-2</v>
      </c>
      <c r="IJ16" s="363">
        <f t="shared" ca="1" si="165"/>
        <v>2.9117345622721186E-2</v>
      </c>
      <c r="IK16" s="363">
        <f t="shared" ca="1" si="165"/>
        <v>1.9494399470673732E-2</v>
      </c>
      <c r="IL16" s="363">
        <f t="shared" ca="1" si="165"/>
        <v>2.7823202149194454E-2</v>
      </c>
      <c r="IM16" s="363">
        <f t="shared" ca="1" si="165"/>
        <v>3.1792651722011629E-2</v>
      </c>
      <c r="IN16" s="363">
        <f t="shared" ca="1" si="165"/>
        <v>2.7975039845395462E-2</v>
      </c>
      <c r="IO16" s="363">
        <f t="shared" ca="1" si="165"/>
        <v>2.1965157249001232E-2</v>
      </c>
      <c r="IP16" s="363">
        <f t="shared" ca="1" si="165"/>
        <v>2.1526650764371255E-2</v>
      </c>
      <c r="IQ16" s="363">
        <f t="shared" ca="1" si="165"/>
        <v>2.5814904530260956E-2</v>
      </c>
      <c r="IR16" s="363">
        <f t="shared" ca="1" si="165"/>
        <v>2.5759490836068107E-2</v>
      </c>
      <c r="IS16" s="363">
        <f t="shared" ca="1" si="165"/>
        <v>2.2807298649704006E-2</v>
      </c>
      <c r="IT16" s="363">
        <f t="shared" ca="1" si="165"/>
        <v>3.0544647344203008E-2</v>
      </c>
      <c r="IU16" s="363">
        <f t="shared" ca="1" si="165"/>
        <v>3.1315097433787312E-2</v>
      </c>
      <c r="IV16" s="363">
        <f t="shared" ca="1" si="165"/>
        <v>2.5064846892667018E-2</v>
      </c>
      <c r="IW16" s="363">
        <f t="shared" ca="1" si="165"/>
        <v>1.8344231125239877E-2</v>
      </c>
      <c r="IX16" s="363">
        <f t="shared" ca="1" si="165"/>
        <v>2.4948249113400128E-2</v>
      </c>
      <c r="IY16" s="363">
        <f t="shared" ca="1" si="165"/>
        <v>2.5920096852247377E-2</v>
      </c>
      <c r="IZ16" s="363">
        <f t="shared" ca="1" si="165"/>
        <v>2.775470312204258E-2</v>
      </c>
      <c r="JA16" s="363">
        <f t="shared" ca="1" si="165"/>
        <v>2.3346844972813495E-2</v>
      </c>
      <c r="JB16" s="363">
        <f t="shared" ca="1" si="165"/>
        <v>2.6523334449323335E-2</v>
      </c>
      <c r="JC16" s="363">
        <f t="shared" ca="1" si="165"/>
        <v>2.3810174668202923E-2</v>
      </c>
      <c r="JD16" s="363">
        <f t="shared" ca="1" si="165"/>
        <v>1.9230091256353863E-2</v>
      </c>
      <c r="JE16" s="363">
        <f t="shared" ca="1" si="165"/>
        <v>3.0850592415845122E-2</v>
      </c>
      <c r="JF16" s="363">
        <f t="shared" ca="1" si="165"/>
        <v>2.3174471059129995E-2</v>
      </c>
      <c r="JG16" s="363">
        <f t="shared" ca="1" si="165"/>
        <v>2.308881757441213E-2</v>
      </c>
      <c r="JH16" s="363">
        <f t="shared" ca="1" si="165"/>
        <v>2.9996449547101959E-2</v>
      </c>
      <c r="JI16" s="363">
        <f t="shared" ca="1" si="165"/>
        <v>2.7294096498384365E-2</v>
      </c>
      <c r="JJ16" s="363">
        <f t="shared" ca="1" si="165"/>
        <v>2.8937040803145745E-2</v>
      </c>
      <c r="JK16" s="363">
        <f t="shared" ca="1" si="165"/>
        <v>2.5449069374032407E-2</v>
      </c>
      <c r="JL16" s="363">
        <f t="shared" ca="1" si="165"/>
        <v>3.054355530882891E-2</v>
      </c>
      <c r="JM16" s="363">
        <f t="shared" ca="1" si="165"/>
        <v>2.9653279703242958E-2</v>
      </c>
      <c r="JN16" s="363">
        <f t="shared" ca="1" si="165"/>
        <v>1.5426238075385497E-2</v>
      </c>
      <c r="JO16" s="363">
        <f t="shared" ca="1" si="165"/>
        <v>2.6463037306058517E-2</v>
      </c>
      <c r="JP16" s="363">
        <f t="shared" ca="1" si="165"/>
        <v>2.8650558718248037E-2</v>
      </c>
      <c r="JQ16" s="363">
        <f t="shared" ca="1" si="165"/>
        <v>2.637862404114865E-2</v>
      </c>
      <c r="JR16" s="363">
        <f t="shared" ref="JR16:KZ16" ca="1" si="166">_xlfn.GAMMA.INV(RAND(),$I$16,$J$16)</f>
        <v>1.7236907021215449E-2</v>
      </c>
      <c r="JS16" s="363">
        <f t="shared" ca="1" si="166"/>
        <v>1.9694101344614839E-2</v>
      </c>
      <c r="JT16" s="363">
        <f t="shared" ca="1" si="166"/>
        <v>3.7813787488987192E-2</v>
      </c>
      <c r="JU16" s="363">
        <f t="shared" ca="1" si="166"/>
        <v>3.5644676324735718E-2</v>
      </c>
      <c r="JV16" s="363">
        <f t="shared" ca="1" si="166"/>
        <v>2.0103071802712855E-2</v>
      </c>
      <c r="JW16" s="363">
        <f t="shared" ca="1" si="166"/>
        <v>2.1136915521016784E-2</v>
      </c>
      <c r="JX16" s="363">
        <f t="shared" ca="1" si="166"/>
        <v>2.4372304471033054E-2</v>
      </c>
      <c r="JY16" s="363">
        <f t="shared" ca="1" si="166"/>
        <v>3.7399389170467229E-2</v>
      </c>
      <c r="JZ16" s="363">
        <f t="shared" ca="1" si="166"/>
        <v>2.6998769713418476E-2</v>
      </c>
      <c r="KA16" s="363">
        <f t="shared" ca="1" si="166"/>
        <v>3.9113796618597221E-2</v>
      </c>
      <c r="KB16" s="363">
        <f t="shared" ca="1" si="166"/>
        <v>1.8174713297683633E-2</v>
      </c>
      <c r="KC16" s="363">
        <f t="shared" ca="1" si="166"/>
        <v>2.9137213783911146E-2</v>
      </c>
      <c r="KD16" s="363">
        <f t="shared" ca="1" si="166"/>
        <v>2.3878684818489336E-2</v>
      </c>
      <c r="KE16" s="363">
        <f t="shared" ca="1" si="166"/>
        <v>2.767298729831192E-2</v>
      </c>
      <c r="KF16" s="363">
        <f t="shared" ca="1" si="166"/>
        <v>2.477579533859741E-2</v>
      </c>
      <c r="KG16" s="363">
        <f t="shared" ca="1" si="166"/>
        <v>1.5835631482739063E-2</v>
      </c>
      <c r="KH16" s="363">
        <f t="shared" ca="1" si="166"/>
        <v>2.3078836118341477E-2</v>
      </c>
      <c r="KI16" s="363">
        <f t="shared" ca="1" si="166"/>
        <v>3.4610525378781898E-2</v>
      </c>
      <c r="KJ16" s="363">
        <f t="shared" ca="1" si="166"/>
        <v>2.6857578645356449E-2</v>
      </c>
      <c r="KK16" s="363">
        <f t="shared" ca="1" si="166"/>
        <v>2.9618876175120688E-2</v>
      </c>
      <c r="KL16" s="363">
        <f t="shared" ca="1" si="166"/>
        <v>2.1441947821373753E-2</v>
      </c>
      <c r="KM16" s="363">
        <f t="shared" ca="1" si="166"/>
        <v>2.8494460535358E-2</v>
      </c>
      <c r="KN16" s="363">
        <f t="shared" ca="1" si="166"/>
        <v>3.0770480829412184E-2</v>
      </c>
      <c r="KO16" s="363">
        <f t="shared" ca="1" si="166"/>
        <v>2.6596322935657706E-2</v>
      </c>
      <c r="KP16" s="363">
        <f t="shared" ca="1" si="166"/>
        <v>2.110091505328255E-2</v>
      </c>
      <c r="KQ16" s="363">
        <f t="shared" ca="1" si="166"/>
        <v>3.1389158011397196E-2</v>
      </c>
      <c r="KR16" s="363">
        <f t="shared" ca="1" si="166"/>
        <v>2.6825829749846375E-2</v>
      </c>
      <c r="KS16" s="363">
        <f t="shared" ca="1" si="166"/>
        <v>3.019645460579792E-2</v>
      </c>
      <c r="KT16" s="363">
        <f t="shared" ca="1" si="166"/>
        <v>2.4482195732993258E-2</v>
      </c>
      <c r="KU16" s="363">
        <f t="shared" ca="1" si="166"/>
        <v>2.6084869975632887E-2</v>
      </c>
      <c r="KV16" s="363">
        <f t="shared" ca="1" si="166"/>
        <v>2.0772609216892737E-2</v>
      </c>
      <c r="KW16" s="363">
        <f t="shared" ca="1" si="166"/>
        <v>1.9919620117689798E-2</v>
      </c>
      <c r="KX16" s="363">
        <f t="shared" ca="1" si="166"/>
        <v>2.5758665606037283E-2</v>
      </c>
      <c r="KY16" s="363">
        <f t="shared" ca="1" si="166"/>
        <v>2.6168359322123837E-2</v>
      </c>
      <c r="KZ16" s="363">
        <f t="shared" ca="1" si="166"/>
        <v>2.0426231435234924E-2</v>
      </c>
      <c r="LA16" s="363">
        <f ca="1">_xlfn.GAMMA.INV(RAND(),$I$16,$J$16)</f>
        <v>2.0584320562684142E-2</v>
      </c>
      <c r="LB16" s="363">
        <f t="shared" ref="LB16:NM16" ca="1" si="167">_xlfn.GAMMA.INV(RAND(),$I$16,$J$16)</f>
        <v>3.0084326961625104E-2</v>
      </c>
      <c r="LC16" s="363">
        <f t="shared" ca="1" si="167"/>
        <v>1.8685665854776025E-2</v>
      </c>
      <c r="LD16" s="363">
        <f t="shared" ca="1" si="167"/>
        <v>2.7461531585324116E-2</v>
      </c>
      <c r="LE16" s="363">
        <f t="shared" ca="1" si="167"/>
        <v>2.8064367297043025E-2</v>
      </c>
      <c r="LF16" s="363">
        <f t="shared" ca="1" si="167"/>
        <v>2.0161578299127219E-2</v>
      </c>
      <c r="LG16" s="363">
        <f t="shared" ca="1" si="167"/>
        <v>3.0471510355838834E-2</v>
      </c>
      <c r="LH16" s="363">
        <f t="shared" ca="1" si="167"/>
        <v>2.0171046091136006E-2</v>
      </c>
      <c r="LI16" s="363">
        <f t="shared" ca="1" si="167"/>
        <v>2.3208995593482086E-2</v>
      </c>
      <c r="LJ16" s="363">
        <f t="shared" ca="1" si="167"/>
        <v>2.2834596177630489E-2</v>
      </c>
      <c r="LK16" s="363">
        <f t="shared" ca="1" si="167"/>
        <v>2.8318805319701514E-2</v>
      </c>
      <c r="LL16" s="363">
        <f t="shared" ca="1" si="167"/>
        <v>2.9531216526443027E-2</v>
      </c>
      <c r="LM16" s="363">
        <f t="shared" ca="1" si="167"/>
        <v>2.5043464962893107E-2</v>
      </c>
      <c r="LN16" s="363">
        <f t="shared" ca="1" si="167"/>
        <v>2.5314918243400816E-2</v>
      </c>
      <c r="LO16" s="363">
        <f t="shared" ca="1" si="167"/>
        <v>2.4646713807779996E-2</v>
      </c>
      <c r="LP16" s="363">
        <f t="shared" ca="1" si="167"/>
        <v>3.1092393355469844E-2</v>
      </c>
      <c r="LQ16" s="363">
        <f t="shared" ca="1" si="167"/>
        <v>2.2948583566863516E-2</v>
      </c>
      <c r="LR16" s="363">
        <f t="shared" ca="1" si="167"/>
        <v>2.4780874588559099E-2</v>
      </c>
      <c r="LS16" s="363">
        <f t="shared" ca="1" si="167"/>
        <v>2.7941242827747861E-2</v>
      </c>
      <c r="LT16" s="363">
        <f t="shared" ca="1" si="167"/>
        <v>2.3043374378763845E-2</v>
      </c>
      <c r="LU16" s="363">
        <f t="shared" ca="1" si="167"/>
        <v>2.1123474252677951E-2</v>
      </c>
      <c r="LV16" s="363">
        <f t="shared" ca="1" si="167"/>
        <v>2.8230810179389287E-2</v>
      </c>
      <c r="LW16" s="363">
        <f t="shared" ca="1" si="167"/>
        <v>1.6686450232856836E-2</v>
      </c>
      <c r="LX16" s="363">
        <f t="shared" ca="1" si="167"/>
        <v>2.7192722675813862E-2</v>
      </c>
      <c r="LY16" s="363">
        <f t="shared" ca="1" si="167"/>
        <v>3.1502034871695103E-2</v>
      </c>
      <c r="LZ16" s="363">
        <f t="shared" ca="1" si="167"/>
        <v>3.381134004576998E-2</v>
      </c>
      <c r="MA16" s="363">
        <f t="shared" ca="1" si="167"/>
        <v>2.2210744256500766E-2</v>
      </c>
      <c r="MB16" s="363">
        <f t="shared" ca="1" si="167"/>
        <v>3.3000131789178114E-2</v>
      </c>
      <c r="MC16" s="363">
        <f t="shared" ca="1" si="167"/>
        <v>1.8164843177710523E-2</v>
      </c>
      <c r="MD16" s="363">
        <f t="shared" ca="1" si="167"/>
        <v>2.0920784642479283E-2</v>
      </c>
      <c r="ME16" s="363">
        <f t="shared" ca="1" si="167"/>
        <v>3.3094856978999179E-2</v>
      </c>
      <c r="MF16" s="363">
        <f t="shared" ca="1" si="167"/>
        <v>1.7542060552155916E-2</v>
      </c>
      <c r="MG16" s="363">
        <f t="shared" ca="1" si="167"/>
        <v>4.1401556006879524E-2</v>
      </c>
      <c r="MH16" s="363">
        <f t="shared" ca="1" si="167"/>
        <v>2.7723420674824185E-2</v>
      </c>
      <c r="MI16" s="363">
        <f t="shared" ca="1" si="167"/>
        <v>3.1972089800008506E-2</v>
      </c>
      <c r="MJ16" s="363">
        <f t="shared" ca="1" si="167"/>
        <v>2.5740744908836783E-2</v>
      </c>
      <c r="MK16" s="363">
        <f t="shared" ca="1" si="167"/>
        <v>2.4843753010109378E-2</v>
      </c>
      <c r="ML16" s="363">
        <f t="shared" ca="1" si="167"/>
        <v>2.5762846150902408E-2</v>
      </c>
      <c r="MM16" s="363">
        <f t="shared" ca="1" si="167"/>
        <v>2.5384104573257273E-2</v>
      </c>
      <c r="MN16" s="363">
        <f t="shared" ca="1" si="167"/>
        <v>2.1508484972286333E-2</v>
      </c>
      <c r="MO16" s="363">
        <f t="shared" ca="1" si="167"/>
        <v>1.9776826670816764E-2</v>
      </c>
      <c r="MP16" s="363">
        <f t="shared" ca="1" si="167"/>
        <v>3.0112986256887266E-2</v>
      </c>
      <c r="MQ16" s="363">
        <f t="shared" ca="1" si="167"/>
        <v>3.0226703057179873E-2</v>
      </c>
      <c r="MR16" s="363">
        <f t="shared" ca="1" si="167"/>
        <v>2.7202641365446908E-2</v>
      </c>
      <c r="MS16" s="363">
        <f t="shared" ca="1" si="167"/>
        <v>2.2808892219218429E-2</v>
      </c>
      <c r="MT16" s="363">
        <f t="shared" ca="1" si="167"/>
        <v>1.8299085289181918E-2</v>
      </c>
      <c r="MU16" s="363">
        <f t="shared" ca="1" si="167"/>
        <v>1.893798773000753E-2</v>
      </c>
      <c r="MV16" s="363">
        <f t="shared" ca="1" si="167"/>
        <v>2.2684300371131606E-2</v>
      </c>
      <c r="MW16" s="363">
        <f t="shared" ca="1" si="167"/>
        <v>2.3857925167866813E-2</v>
      </c>
      <c r="MX16" s="363">
        <f t="shared" ca="1" si="167"/>
        <v>1.856985724854282E-2</v>
      </c>
      <c r="MY16" s="363">
        <f t="shared" ca="1" si="167"/>
        <v>3.1929771709618561E-2</v>
      </c>
      <c r="MZ16" s="363">
        <f t="shared" ca="1" si="167"/>
        <v>2.2719132903588936E-2</v>
      </c>
      <c r="NA16" s="363">
        <f t="shared" ca="1" si="167"/>
        <v>1.9027124169049385E-2</v>
      </c>
      <c r="NB16" s="363">
        <f t="shared" ca="1" si="167"/>
        <v>2.631621964945759E-2</v>
      </c>
      <c r="NC16" s="363">
        <f t="shared" ca="1" si="167"/>
        <v>2.1291262600757442E-2</v>
      </c>
      <c r="ND16" s="363">
        <f t="shared" ca="1" si="167"/>
        <v>2.7510464980244523E-2</v>
      </c>
      <c r="NE16" s="363">
        <f t="shared" ca="1" si="167"/>
        <v>2.5658036885204419E-2</v>
      </c>
      <c r="NF16" s="363">
        <f t="shared" ca="1" si="167"/>
        <v>2.7010918932992872E-2</v>
      </c>
      <c r="NG16" s="363">
        <f t="shared" ca="1" si="167"/>
        <v>2.6352676730465239E-2</v>
      </c>
      <c r="NH16" s="363">
        <f t="shared" ca="1" si="167"/>
        <v>1.8678957215548412E-2</v>
      </c>
      <c r="NI16" s="363">
        <f t="shared" ca="1" si="167"/>
        <v>2.584362284162697E-2</v>
      </c>
      <c r="NJ16" s="363">
        <f t="shared" ca="1" si="167"/>
        <v>2.4655369207967296E-2</v>
      </c>
      <c r="NK16" s="363">
        <f t="shared" ca="1" si="167"/>
        <v>2.1934084236018E-2</v>
      </c>
      <c r="NL16" s="363">
        <f t="shared" ca="1" si="167"/>
        <v>2.7207506245091554E-2</v>
      </c>
      <c r="NM16" s="363">
        <f t="shared" ca="1" si="167"/>
        <v>3.5622098211339118E-2</v>
      </c>
      <c r="NN16" s="363">
        <f t="shared" ref="NN16:OV16" ca="1" si="168">_xlfn.GAMMA.INV(RAND(),$I$16,$J$16)</f>
        <v>1.9218795371479736E-2</v>
      </c>
      <c r="NO16" s="363">
        <f t="shared" ca="1" si="168"/>
        <v>2.8954348127404359E-2</v>
      </c>
      <c r="NP16" s="363">
        <f t="shared" ca="1" si="168"/>
        <v>1.7606893476204186E-2</v>
      </c>
      <c r="NQ16" s="363">
        <f t="shared" ca="1" si="168"/>
        <v>1.887787814952719E-2</v>
      </c>
      <c r="NR16" s="363">
        <f t="shared" ca="1" si="168"/>
        <v>2.6913278112314178E-2</v>
      </c>
      <c r="NS16" s="363">
        <f t="shared" ca="1" si="168"/>
        <v>3.1218376979791809E-2</v>
      </c>
      <c r="NT16" s="363">
        <f t="shared" ca="1" si="168"/>
        <v>2.7795971414261916E-2</v>
      </c>
      <c r="NU16" s="363">
        <f t="shared" ca="1" si="168"/>
        <v>2.598265717303817E-2</v>
      </c>
      <c r="NV16" s="363">
        <f t="shared" ca="1" si="168"/>
        <v>3.34790326800894E-2</v>
      </c>
      <c r="NW16" s="363">
        <f t="shared" ca="1" si="168"/>
        <v>2.6418579269208507E-2</v>
      </c>
      <c r="NX16" s="363">
        <f t="shared" ca="1" si="168"/>
        <v>4.4398109866440764E-2</v>
      </c>
      <c r="NY16" s="363">
        <f t="shared" ca="1" si="168"/>
        <v>2.9312034962665465E-2</v>
      </c>
      <c r="NZ16" s="363">
        <f t="shared" ca="1" si="168"/>
        <v>2.5727812814450659E-2</v>
      </c>
      <c r="OA16" s="363">
        <f t="shared" ca="1" si="168"/>
        <v>2.2467878411603786E-2</v>
      </c>
      <c r="OB16" s="363">
        <f t="shared" ca="1" si="168"/>
        <v>1.7375830393927046E-2</v>
      </c>
      <c r="OC16" s="363">
        <f t="shared" ca="1" si="168"/>
        <v>2.3243693173051781E-2</v>
      </c>
      <c r="OD16" s="363">
        <f t="shared" ca="1" si="168"/>
        <v>2.8332299748644273E-2</v>
      </c>
      <c r="OE16" s="363">
        <f t="shared" ca="1" si="168"/>
        <v>3.1854609456142317E-2</v>
      </c>
      <c r="OF16" s="363">
        <f t="shared" ca="1" si="168"/>
        <v>2.7938250545018809E-2</v>
      </c>
      <c r="OG16" s="363">
        <f t="shared" ca="1" si="168"/>
        <v>2.3681374237561632E-2</v>
      </c>
      <c r="OH16" s="363">
        <f t="shared" ca="1" si="168"/>
        <v>2.0733124688497442E-2</v>
      </c>
      <c r="OI16" s="363">
        <f t="shared" ca="1" si="168"/>
        <v>2.5427533620896333E-2</v>
      </c>
      <c r="OJ16" s="363">
        <f t="shared" ca="1" si="168"/>
        <v>2.7605051176241725E-2</v>
      </c>
      <c r="OK16" s="363">
        <f t="shared" ca="1" si="168"/>
        <v>2.5937074435056679E-2</v>
      </c>
      <c r="OL16" s="363">
        <f t="shared" ca="1" si="168"/>
        <v>2.726298363166571E-2</v>
      </c>
      <c r="OM16" s="363">
        <f t="shared" ca="1" si="168"/>
        <v>2.7384396941425346E-2</v>
      </c>
      <c r="ON16" s="363">
        <f t="shared" ca="1" si="168"/>
        <v>2.8122880260513506E-2</v>
      </c>
      <c r="OO16" s="363">
        <f t="shared" ca="1" si="168"/>
        <v>2.8088576142632573E-2</v>
      </c>
      <c r="OP16" s="363">
        <f t="shared" ca="1" si="168"/>
        <v>2.9138680084006701E-2</v>
      </c>
      <c r="OQ16" s="363">
        <f t="shared" ca="1" si="168"/>
        <v>2.7477348482485276E-2</v>
      </c>
      <c r="OR16" s="363">
        <f t="shared" ca="1" si="168"/>
        <v>2.254331685335181E-2</v>
      </c>
      <c r="OS16" s="363">
        <f t="shared" ca="1" si="168"/>
        <v>1.6295889584496289E-2</v>
      </c>
      <c r="OT16" s="363">
        <f t="shared" ca="1" si="168"/>
        <v>1.8805299065142722E-2</v>
      </c>
      <c r="OU16" s="363">
        <f t="shared" ca="1" si="168"/>
        <v>2.6305407053780223E-2</v>
      </c>
      <c r="OV16" s="363">
        <f t="shared" ca="1" si="168"/>
        <v>2.4014953073271134E-2</v>
      </c>
      <c r="OW16" s="363">
        <f ca="1">_xlfn.GAMMA.INV(RAND(),$I$16,$J$16)</f>
        <v>2.2412136792627015E-2</v>
      </c>
      <c r="OX16" s="363">
        <f t="shared" ref="OX16:RI16" ca="1" si="169">_xlfn.GAMMA.INV(RAND(),$I$16,$J$16)</f>
        <v>3.0824780347863043E-2</v>
      </c>
      <c r="OY16" s="363">
        <f t="shared" ca="1" si="169"/>
        <v>1.9122148265361016E-2</v>
      </c>
      <c r="OZ16" s="363">
        <f t="shared" ca="1" si="169"/>
        <v>2.4014088526584994E-2</v>
      </c>
      <c r="PA16" s="363">
        <f t="shared" ca="1" si="169"/>
        <v>3.4316579529729913E-2</v>
      </c>
      <c r="PB16" s="363">
        <f t="shared" ca="1" si="169"/>
        <v>2.5796681088034932E-2</v>
      </c>
      <c r="PC16" s="363">
        <f t="shared" ca="1" si="169"/>
        <v>1.9289310669104512E-2</v>
      </c>
      <c r="PD16" s="363">
        <f t="shared" ca="1" si="169"/>
        <v>2.7059019161911356E-2</v>
      </c>
      <c r="PE16" s="363">
        <f t="shared" ca="1" si="169"/>
        <v>2.7597437297247267E-2</v>
      </c>
      <c r="PF16" s="363">
        <f t="shared" ca="1" si="169"/>
        <v>2.2513384968817416E-2</v>
      </c>
      <c r="PG16" s="363">
        <f t="shared" ca="1" si="169"/>
        <v>2.4310477563586799E-2</v>
      </c>
      <c r="PH16" s="363">
        <f t="shared" ca="1" si="169"/>
        <v>2.5855248738369523E-2</v>
      </c>
      <c r="PI16" s="363">
        <f t="shared" ca="1" si="169"/>
        <v>3.0861235217695775E-2</v>
      </c>
      <c r="PJ16" s="363">
        <f t="shared" ca="1" si="169"/>
        <v>3.0943671273802216E-2</v>
      </c>
      <c r="PK16" s="363">
        <f t="shared" ca="1" si="169"/>
        <v>2.3153302308360366E-2</v>
      </c>
      <c r="PL16" s="363">
        <f t="shared" ca="1" si="169"/>
        <v>2.2497436747017832E-2</v>
      </c>
      <c r="PM16" s="363">
        <f t="shared" ca="1" si="169"/>
        <v>2.5201650335738675E-2</v>
      </c>
      <c r="PN16" s="363">
        <f t="shared" ca="1" si="169"/>
        <v>2.8175102217996153E-2</v>
      </c>
      <c r="PO16" s="363">
        <f t="shared" ca="1" si="169"/>
        <v>2.6771518138385537E-2</v>
      </c>
      <c r="PP16" s="363">
        <f t="shared" ca="1" si="169"/>
        <v>2.1731571828991672E-2</v>
      </c>
      <c r="PQ16" s="363">
        <f t="shared" ca="1" si="169"/>
        <v>1.9310476232672989E-2</v>
      </c>
      <c r="PR16" s="363">
        <f t="shared" ca="1" si="169"/>
        <v>1.6201716555165255E-2</v>
      </c>
      <c r="PS16" s="363">
        <f t="shared" ca="1" si="169"/>
        <v>2.9365702685587303E-2</v>
      </c>
      <c r="PT16" s="363">
        <f t="shared" ca="1" si="169"/>
        <v>2.6643811796316471E-2</v>
      </c>
      <c r="PU16" s="363">
        <f t="shared" ca="1" si="169"/>
        <v>2.5561581566374229E-2</v>
      </c>
      <c r="PV16" s="363">
        <f t="shared" ca="1" si="169"/>
        <v>2.3341206720887183E-2</v>
      </c>
      <c r="PW16" s="363">
        <f t="shared" ca="1" si="169"/>
        <v>2.6755953162349359E-2</v>
      </c>
      <c r="PX16" s="363">
        <f t="shared" ca="1" si="169"/>
        <v>2.2666027585812498E-2</v>
      </c>
      <c r="PY16" s="363">
        <f t="shared" ca="1" si="169"/>
        <v>2.7582159117789388E-2</v>
      </c>
      <c r="PZ16" s="363">
        <f t="shared" ca="1" si="169"/>
        <v>2.8248050152699995E-2</v>
      </c>
      <c r="QA16" s="363">
        <f t="shared" ca="1" si="169"/>
        <v>3.0417447625190341E-2</v>
      </c>
      <c r="QB16" s="363">
        <f t="shared" ca="1" si="169"/>
        <v>3.330491010607297E-2</v>
      </c>
      <c r="QC16" s="363">
        <f t="shared" ca="1" si="169"/>
        <v>1.9034686659943408E-2</v>
      </c>
      <c r="QD16" s="363">
        <f t="shared" ca="1" si="169"/>
        <v>2.1860220223562307E-2</v>
      </c>
      <c r="QE16" s="363">
        <f t="shared" ca="1" si="169"/>
        <v>2.7703048998753494E-2</v>
      </c>
      <c r="QF16" s="363">
        <f t="shared" ca="1" si="169"/>
        <v>2.4006344818116504E-2</v>
      </c>
      <c r="QG16" s="363">
        <f t="shared" ca="1" si="169"/>
        <v>3.5079231682929944E-2</v>
      </c>
      <c r="QH16" s="363">
        <f t="shared" ca="1" si="169"/>
        <v>1.9800255388029524E-2</v>
      </c>
      <c r="QI16" s="363">
        <f t="shared" ca="1" si="169"/>
        <v>3.0365280748661915E-2</v>
      </c>
      <c r="QJ16" s="363">
        <f t="shared" ca="1" si="169"/>
        <v>3.1293357847171965E-2</v>
      </c>
      <c r="QK16" s="363">
        <f t="shared" ca="1" si="169"/>
        <v>1.8436928479842338E-2</v>
      </c>
      <c r="QL16" s="363">
        <f t="shared" ca="1" si="169"/>
        <v>2.7024484044498979E-2</v>
      </c>
      <c r="QM16" s="363">
        <f t="shared" ca="1" si="169"/>
        <v>2.4022365646713915E-2</v>
      </c>
      <c r="QN16" s="363">
        <f t="shared" ca="1" si="169"/>
        <v>3.6268895330737919E-2</v>
      </c>
      <c r="QO16" s="363">
        <f t="shared" ca="1" si="169"/>
        <v>2.9173092943883868E-2</v>
      </c>
      <c r="QP16" s="363">
        <f t="shared" ca="1" si="169"/>
        <v>2.2274030175416831E-2</v>
      </c>
      <c r="QQ16" s="363">
        <f t="shared" ca="1" si="169"/>
        <v>2.3380444916308557E-2</v>
      </c>
      <c r="QR16" s="363">
        <f t="shared" ca="1" si="169"/>
        <v>2.5038780784500211E-2</v>
      </c>
      <c r="QS16" s="363">
        <f t="shared" ca="1" si="169"/>
        <v>1.9507513717204935E-2</v>
      </c>
      <c r="QT16" s="363">
        <f t="shared" ca="1" si="169"/>
        <v>3.7115301463417662E-2</v>
      </c>
      <c r="QU16" s="363">
        <f t="shared" ca="1" si="169"/>
        <v>3.1701136106276652E-2</v>
      </c>
      <c r="QV16" s="363">
        <f t="shared" ca="1" si="169"/>
        <v>2.646105706746928E-2</v>
      </c>
      <c r="QW16" s="363">
        <f t="shared" ca="1" si="169"/>
        <v>1.9413901328787262E-2</v>
      </c>
      <c r="QX16" s="363">
        <f t="shared" ca="1" si="169"/>
        <v>2.7682248743018452E-2</v>
      </c>
      <c r="QY16" s="363">
        <f t="shared" ca="1" si="169"/>
        <v>2.9013809284551464E-2</v>
      </c>
      <c r="QZ16" s="363">
        <f t="shared" ca="1" si="169"/>
        <v>2.6460240821247011E-2</v>
      </c>
      <c r="RA16" s="363">
        <f t="shared" ca="1" si="169"/>
        <v>2.1470287187581424E-2</v>
      </c>
      <c r="RB16" s="363">
        <f t="shared" ca="1" si="169"/>
        <v>3.7046222992412073E-2</v>
      </c>
      <c r="RC16" s="363">
        <f t="shared" ca="1" si="169"/>
        <v>1.912355297449957E-2</v>
      </c>
      <c r="RD16" s="363">
        <f t="shared" ca="1" si="169"/>
        <v>2.7514467894473905E-2</v>
      </c>
      <c r="RE16" s="363">
        <f t="shared" ca="1" si="169"/>
        <v>2.3318333875983279E-2</v>
      </c>
      <c r="RF16" s="363">
        <f t="shared" ca="1" si="169"/>
        <v>2.9058983843095472E-2</v>
      </c>
      <c r="RG16" s="363">
        <f t="shared" ca="1" si="169"/>
        <v>2.7781679494943385E-2</v>
      </c>
      <c r="RH16" s="363">
        <f t="shared" ca="1" si="169"/>
        <v>2.418926510998208E-2</v>
      </c>
      <c r="RI16" s="363">
        <f t="shared" ca="1" si="169"/>
        <v>2.4707413235559954E-2</v>
      </c>
      <c r="RJ16" s="363">
        <f t="shared" ref="RJ16:SR16" ca="1" si="170">_xlfn.GAMMA.INV(RAND(),$I$16,$J$16)</f>
        <v>2.8277687844499005E-2</v>
      </c>
      <c r="RK16" s="363">
        <f t="shared" ca="1" si="170"/>
        <v>2.5035424961069402E-2</v>
      </c>
      <c r="RL16" s="363">
        <f t="shared" ca="1" si="170"/>
        <v>2.340187892639178E-2</v>
      </c>
      <c r="RM16" s="363">
        <f t="shared" ca="1" si="170"/>
        <v>3.6961597323094175E-2</v>
      </c>
      <c r="RN16" s="363">
        <f t="shared" ca="1" si="170"/>
        <v>2.9472053145402986E-2</v>
      </c>
      <c r="RO16" s="363">
        <f t="shared" ca="1" si="170"/>
        <v>3.2015574213456167E-2</v>
      </c>
      <c r="RP16" s="363">
        <f t="shared" ca="1" si="170"/>
        <v>3.125020844166089E-2</v>
      </c>
      <c r="RQ16" s="363">
        <f t="shared" ca="1" si="170"/>
        <v>3.5920902005290169E-2</v>
      </c>
      <c r="RR16" s="363">
        <f t="shared" ca="1" si="170"/>
        <v>2.3366411522990817E-2</v>
      </c>
      <c r="RS16" s="363">
        <f t="shared" ca="1" si="170"/>
        <v>1.8714646466664778E-2</v>
      </c>
      <c r="RT16" s="363">
        <f t="shared" ca="1" si="170"/>
        <v>2.1657595426239962E-2</v>
      </c>
      <c r="RU16" s="363">
        <f t="shared" ca="1" si="170"/>
        <v>2.6203908416906872E-2</v>
      </c>
      <c r="RV16" s="363">
        <f t="shared" ca="1" si="170"/>
        <v>2.3698894281548078E-2</v>
      </c>
      <c r="RW16" s="363">
        <f t="shared" ca="1" si="170"/>
        <v>2.4045827130215251E-2</v>
      </c>
      <c r="RX16" s="363">
        <f t="shared" ca="1" si="170"/>
        <v>2.7661726241748417E-2</v>
      </c>
      <c r="RY16" s="363">
        <f t="shared" ca="1" si="170"/>
        <v>2.8107772157492213E-2</v>
      </c>
      <c r="RZ16" s="363">
        <f t="shared" ca="1" si="170"/>
        <v>2.822964422503451E-2</v>
      </c>
      <c r="SA16" s="363">
        <f t="shared" ca="1" si="170"/>
        <v>1.8389537925777875E-2</v>
      </c>
      <c r="SB16" s="363">
        <f t="shared" ca="1" si="170"/>
        <v>3.3519955100274786E-2</v>
      </c>
      <c r="SC16" s="363">
        <f t="shared" ca="1" si="170"/>
        <v>2.3385494959471592E-2</v>
      </c>
      <c r="SD16" s="363">
        <f t="shared" ca="1" si="170"/>
        <v>2.8089698393516684E-2</v>
      </c>
      <c r="SE16" s="363">
        <f t="shared" ca="1" si="170"/>
        <v>2.9792453783549895E-2</v>
      </c>
      <c r="SF16" s="363">
        <f t="shared" ca="1" si="170"/>
        <v>2.3875953814777497E-2</v>
      </c>
      <c r="SG16" s="363">
        <f t="shared" ca="1" si="170"/>
        <v>2.7707768305514448E-2</v>
      </c>
      <c r="SH16" s="363">
        <f t="shared" ca="1" si="170"/>
        <v>2.5459080530466718E-2</v>
      </c>
      <c r="SI16" s="363">
        <f t="shared" ca="1" si="170"/>
        <v>1.8942458478820246E-2</v>
      </c>
      <c r="SJ16" s="363">
        <f t="shared" ca="1" si="170"/>
        <v>2.5037105932481409E-2</v>
      </c>
      <c r="SK16" s="363">
        <f t="shared" ca="1" si="170"/>
        <v>2.6304450582357898E-2</v>
      </c>
      <c r="SL16" s="363">
        <f t="shared" ca="1" si="170"/>
        <v>2.6143735242667755E-2</v>
      </c>
      <c r="SM16" s="363">
        <f t="shared" ca="1" si="170"/>
        <v>3.7739556132251988E-2</v>
      </c>
      <c r="SN16" s="363">
        <f t="shared" ca="1" si="170"/>
        <v>2.399707890334692E-2</v>
      </c>
      <c r="SO16" s="363">
        <f t="shared" ca="1" si="170"/>
        <v>3.1804009927625936E-2</v>
      </c>
      <c r="SP16" s="363">
        <f t="shared" ca="1" si="170"/>
        <v>3.6391782835017615E-2</v>
      </c>
      <c r="SQ16" s="363">
        <f t="shared" ca="1" si="170"/>
        <v>2.1756493011054361E-2</v>
      </c>
      <c r="SR16" s="363">
        <f t="shared" ca="1" si="170"/>
        <v>3.6035286451283829E-2</v>
      </c>
      <c r="SS16" s="363">
        <f ca="1">_xlfn.GAMMA.INV(RAND(),$I$16,$J$16)</f>
        <v>2.4667420100607466E-2</v>
      </c>
      <c r="ST16" s="363">
        <f t="shared" ref="ST16:VE16" ca="1" si="171">_xlfn.GAMMA.INV(RAND(),$I$16,$J$16)</f>
        <v>3.0184840083235815E-2</v>
      </c>
      <c r="SU16" s="363">
        <f t="shared" ca="1" si="171"/>
        <v>2.6791216282254518E-2</v>
      </c>
      <c r="SV16" s="363">
        <f t="shared" ca="1" si="171"/>
        <v>2.6163272952831142E-2</v>
      </c>
      <c r="SW16" s="363">
        <f t="shared" ca="1" si="171"/>
        <v>3.1935262413826618E-2</v>
      </c>
      <c r="SX16" s="363">
        <f t="shared" ca="1" si="171"/>
        <v>3.1294790237556415E-2</v>
      </c>
      <c r="SY16" s="363">
        <f t="shared" ca="1" si="171"/>
        <v>1.7513083924466179E-2</v>
      </c>
      <c r="SZ16" s="363">
        <f t="shared" ca="1" si="171"/>
        <v>2.9209387424752094E-2</v>
      </c>
      <c r="TA16" s="363">
        <f t="shared" ca="1" si="171"/>
        <v>2.0139435952861565E-2</v>
      </c>
      <c r="TB16" s="363">
        <f t="shared" ca="1" si="171"/>
        <v>3.0034038716574698E-2</v>
      </c>
      <c r="TC16" s="363">
        <f t="shared" ca="1" si="171"/>
        <v>3.9265303795567384E-2</v>
      </c>
      <c r="TD16" s="363">
        <f t="shared" ca="1" si="171"/>
        <v>2.1507565845891221E-2</v>
      </c>
      <c r="TE16" s="363">
        <f t="shared" ca="1" si="171"/>
        <v>2.7141847599976104E-2</v>
      </c>
      <c r="TF16" s="363">
        <f t="shared" ca="1" si="171"/>
        <v>2.819033308466715E-2</v>
      </c>
      <c r="TG16" s="363">
        <f t="shared" ca="1" si="171"/>
        <v>2.6874665069019664E-2</v>
      </c>
      <c r="TH16" s="363">
        <f t="shared" ca="1" si="171"/>
        <v>2.8350881375177734E-2</v>
      </c>
      <c r="TI16" s="363">
        <f t="shared" ca="1" si="171"/>
        <v>2.4532659105887179E-2</v>
      </c>
      <c r="TJ16" s="363">
        <f t="shared" ca="1" si="171"/>
        <v>3.0299754828270482E-2</v>
      </c>
      <c r="TK16" s="363">
        <f t="shared" ca="1" si="171"/>
        <v>2.6461618076539427E-2</v>
      </c>
      <c r="TL16" s="363">
        <f t="shared" ca="1" si="171"/>
        <v>2.6794311136640346E-2</v>
      </c>
      <c r="TM16" s="363">
        <f t="shared" ca="1" si="171"/>
        <v>2.1157504850369033E-2</v>
      </c>
      <c r="TN16" s="363">
        <f t="shared" ca="1" si="171"/>
        <v>3.5537383548615298E-2</v>
      </c>
      <c r="TO16" s="363">
        <f t="shared" ca="1" si="171"/>
        <v>2.8037826605035024E-2</v>
      </c>
      <c r="TP16" s="363">
        <f t="shared" ca="1" si="171"/>
        <v>1.7310149467769795E-2</v>
      </c>
      <c r="TQ16" s="363">
        <f t="shared" ca="1" si="171"/>
        <v>2.5958690400394061E-2</v>
      </c>
      <c r="TR16" s="363">
        <f t="shared" ca="1" si="171"/>
        <v>2.5016743777751871E-2</v>
      </c>
      <c r="TS16" s="363">
        <f t="shared" ca="1" si="171"/>
        <v>2.7977362704443447E-2</v>
      </c>
      <c r="TT16" s="363">
        <f t="shared" ca="1" si="171"/>
        <v>2.646452601872986E-2</v>
      </c>
      <c r="TU16" s="363">
        <f t="shared" ca="1" si="171"/>
        <v>3.3511581416849193E-2</v>
      </c>
      <c r="TV16" s="363">
        <f t="shared" ca="1" si="171"/>
        <v>2.4008264148802624E-2</v>
      </c>
      <c r="TW16" s="363">
        <f t="shared" ca="1" si="171"/>
        <v>3.2153290606490824E-2</v>
      </c>
      <c r="TX16" s="363">
        <f t="shared" ca="1" si="171"/>
        <v>2.4005447088735254E-2</v>
      </c>
      <c r="TY16" s="363">
        <f t="shared" ca="1" si="171"/>
        <v>1.9933938925272045E-2</v>
      </c>
      <c r="TZ16" s="363">
        <f t="shared" ca="1" si="171"/>
        <v>2.8974167082005186E-2</v>
      </c>
      <c r="UA16" s="363">
        <f t="shared" ca="1" si="171"/>
        <v>1.7658680557265442E-2</v>
      </c>
      <c r="UB16" s="363">
        <f t="shared" ca="1" si="171"/>
        <v>3.0191135212370927E-2</v>
      </c>
      <c r="UC16" s="363">
        <f t="shared" ca="1" si="171"/>
        <v>2.4616564335449505E-2</v>
      </c>
      <c r="UD16" s="363">
        <f t="shared" ca="1" si="171"/>
        <v>2.9707981762423126E-2</v>
      </c>
      <c r="UE16" s="363">
        <f t="shared" ca="1" si="171"/>
        <v>2.4164570504304286E-2</v>
      </c>
      <c r="UF16" s="363">
        <f t="shared" ca="1" si="171"/>
        <v>2.0226302998977885E-2</v>
      </c>
      <c r="UG16" s="363">
        <f t="shared" ca="1" si="171"/>
        <v>2.2402667648445451E-2</v>
      </c>
      <c r="UH16" s="363">
        <f t="shared" ca="1" si="171"/>
        <v>3.1713681319658418E-2</v>
      </c>
      <c r="UI16" s="363">
        <f t="shared" ca="1" si="171"/>
        <v>2.0234567119517034E-2</v>
      </c>
      <c r="UJ16" s="363">
        <f t="shared" ca="1" si="171"/>
        <v>2.7399163864300632E-2</v>
      </c>
      <c r="UK16" s="363">
        <f t="shared" ca="1" si="171"/>
        <v>2.9867499177904589E-2</v>
      </c>
      <c r="UL16" s="363">
        <f t="shared" ca="1" si="171"/>
        <v>1.9052211153673917E-2</v>
      </c>
      <c r="UM16" s="363">
        <f t="shared" ca="1" si="171"/>
        <v>2.7789866929797333E-2</v>
      </c>
      <c r="UN16" s="363">
        <f t="shared" ca="1" si="171"/>
        <v>2.296762324851816E-2</v>
      </c>
      <c r="UO16" s="363">
        <f t="shared" ca="1" si="171"/>
        <v>1.7464656586092562E-2</v>
      </c>
      <c r="UP16" s="363">
        <f t="shared" ca="1" si="171"/>
        <v>2.6765035745197271E-2</v>
      </c>
      <c r="UQ16" s="363">
        <f t="shared" ca="1" si="171"/>
        <v>2.5864581387516131E-2</v>
      </c>
      <c r="UR16" s="363">
        <f t="shared" ca="1" si="171"/>
        <v>1.9604667229462303E-2</v>
      </c>
      <c r="US16" s="363">
        <f t="shared" ca="1" si="171"/>
        <v>3.8481223115557121E-2</v>
      </c>
      <c r="UT16" s="363">
        <f t="shared" ca="1" si="171"/>
        <v>1.8484431702598635E-2</v>
      </c>
      <c r="UU16" s="363">
        <f t="shared" ca="1" si="171"/>
        <v>2.4554433213822554E-2</v>
      </c>
      <c r="UV16" s="363">
        <f t="shared" ca="1" si="171"/>
        <v>2.929772567289499E-2</v>
      </c>
      <c r="UW16" s="363">
        <f t="shared" ca="1" si="171"/>
        <v>2.0676525675293086E-2</v>
      </c>
      <c r="UX16" s="363">
        <f t="shared" ca="1" si="171"/>
        <v>2.9339219557822118E-2</v>
      </c>
      <c r="UY16" s="363">
        <f t="shared" ca="1" si="171"/>
        <v>3.559756679879577E-2</v>
      </c>
      <c r="UZ16" s="363">
        <f t="shared" ca="1" si="171"/>
        <v>2.7149055754724837E-2</v>
      </c>
      <c r="VA16" s="363">
        <f t="shared" ca="1" si="171"/>
        <v>2.4201697574191355E-2</v>
      </c>
      <c r="VB16" s="363">
        <f t="shared" ca="1" si="171"/>
        <v>2.9638403406781869E-2</v>
      </c>
      <c r="VC16" s="363">
        <f t="shared" ca="1" si="171"/>
        <v>2.4580896892608041E-2</v>
      </c>
      <c r="VD16" s="363">
        <f t="shared" ca="1" si="171"/>
        <v>2.4535251917801974E-2</v>
      </c>
      <c r="VE16" s="363">
        <f t="shared" ca="1" si="171"/>
        <v>3.0948894524963889E-2</v>
      </c>
      <c r="VF16" s="363">
        <f t="shared" ref="VF16:WN16" ca="1" si="172">_xlfn.GAMMA.INV(RAND(),$I$16,$J$16)</f>
        <v>3.1888304087229896E-2</v>
      </c>
      <c r="VG16" s="363">
        <f t="shared" ca="1" si="172"/>
        <v>2.6699160428807361E-2</v>
      </c>
      <c r="VH16" s="363">
        <f t="shared" ca="1" si="172"/>
        <v>2.4893525395734556E-2</v>
      </c>
      <c r="VI16" s="363">
        <f t="shared" ca="1" si="172"/>
        <v>2.6826518608843743E-2</v>
      </c>
      <c r="VJ16" s="363">
        <f t="shared" ca="1" si="172"/>
        <v>2.2348779907765109E-2</v>
      </c>
      <c r="VK16" s="363">
        <f t="shared" ca="1" si="172"/>
        <v>2.2691590644295004E-2</v>
      </c>
      <c r="VL16" s="363">
        <f t="shared" ca="1" si="172"/>
        <v>2.3247429977997648E-2</v>
      </c>
      <c r="VM16" s="363">
        <f t="shared" ca="1" si="172"/>
        <v>2.6513279487801213E-2</v>
      </c>
      <c r="VN16" s="363">
        <f t="shared" ca="1" si="172"/>
        <v>2.2526054832984376E-2</v>
      </c>
      <c r="VO16" s="363">
        <f t="shared" ca="1" si="172"/>
        <v>2.4593656380591248E-2</v>
      </c>
      <c r="VP16" s="363">
        <f t="shared" ca="1" si="172"/>
        <v>3.1416940390260259E-2</v>
      </c>
      <c r="VQ16" s="363">
        <f t="shared" ca="1" si="172"/>
        <v>1.9790388890970564E-2</v>
      </c>
      <c r="VR16" s="363">
        <f t="shared" ca="1" si="172"/>
        <v>1.9362530481704082E-2</v>
      </c>
      <c r="VS16" s="363">
        <f t="shared" ca="1" si="172"/>
        <v>2.2148104554485362E-2</v>
      </c>
      <c r="VT16" s="363">
        <f t="shared" ca="1" si="172"/>
        <v>2.7076207314899289E-2</v>
      </c>
      <c r="VU16" s="363">
        <f t="shared" ca="1" si="172"/>
        <v>3.1763721867791521E-2</v>
      </c>
      <c r="VV16" s="363">
        <f t="shared" ca="1" si="172"/>
        <v>3.4298460276501165E-2</v>
      </c>
      <c r="VW16" s="363">
        <f t="shared" ca="1" si="172"/>
        <v>2.3636406777012762E-2</v>
      </c>
      <c r="VX16" s="363">
        <f t="shared" ca="1" si="172"/>
        <v>2.2440155827370578E-2</v>
      </c>
      <c r="VY16" s="363">
        <f t="shared" ca="1" si="172"/>
        <v>1.9934378382312122E-2</v>
      </c>
      <c r="VZ16" s="363">
        <f t="shared" ca="1" si="172"/>
        <v>2.5006263549610927E-2</v>
      </c>
      <c r="WA16" s="363">
        <f t="shared" ca="1" si="172"/>
        <v>2.1277740393747562E-2</v>
      </c>
      <c r="WB16" s="363">
        <f t="shared" ca="1" si="172"/>
        <v>1.2620759120297484E-2</v>
      </c>
      <c r="WC16" s="363">
        <f t="shared" ca="1" si="172"/>
        <v>2.4187779800206182E-2</v>
      </c>
      <c r="WD16" s="363">
        <f t="shared" ca="1" si="172"/>
        <v>2.4488996052727037E-2</v>
      </c>
      <c r="WE16" s="363">
        <f t="shared" ca="1" si="172"/>
        <v>2.8282633295647924E-2</v>
      </c>
      <c r="WF16" s="363">
        <f t="shared" ca="1" si="172"/>
        <v>2.7716672348027906E-2</v>
      </c>
      <c r="WG16" s="363">
        <f t="shared" ca="1" si="172"/>
        <v>2.1068409976088026E-2</v>
      </c>
      <c r="WH16" s="363">
        <f t="shared" ca="1" si="172"/>
        <v>2.3924685795025546E-2</v>
      </c>
      <c r="WI16" s="363">
        <f t="shared" ca="1" si="172"/>
        <v>2.1272591046695679E-2</v>
      </c>
      <c r="WJ16" s="363">
        <f t="shared" ca="1" si="172"/>
        <v>2.7886992052955896E-2</v>
      </c>
      <c r="WK16" s="363">
        <f t="shared" ca="1" si="172"/>
        <v>2.6113129431450902E-2</v>
      </c>
      <c r="WL16" s="363">
        <f t="shared" ca="1" si="172"/>
        <v>2.528512587371692E-2</v>
      </c>
      <c r="WM16" s="363">
        <f t="shared" ca="1" si="172"/>
        <v>2.013698738131052E-2</v>
      </c>
      <c r="WN16" s="363">
        <f t="shared" ca="1" si="172"/>
        <v>2.8063712398074193E-2</v>
      </c>
    </row>
    <row r="17" spans="2:612" x14ac:dyDescent="0.15">
      <c r="B17" s="467" t="s">
        <v>1295</v>
      </c>
      <c r="D17" s="363">
        <f t="shared" si="0"/>
        <v>3.7999999999999999E-2</v>
      </c>
      <c r="F17" s="367">
        <v>3.7999999999999999E-2</v>
      </c>
      <c r="G17" s="367" t="s">
        <v>350</v>
      </c>
      <c r="H17" s="363">
        <v>6.0000000000000001E-3</v>
      </c>
      <c r="I17" s="438">
        <f>(F17/H17)^2</f>
        <v>40.111111111111107</v>
      </c>
      <c r="J17" s="367">
        <f>(H17^2)/F17</f>
        <v>9.4736842105263164E-4</v>
      </c>
      <c r="K17" s="367" t="s">
        <v>720</v>
      </c>
      <c r="M17" s="363">
        <f ca="1">_xlfn.GAMMA.INV(RAND(),$I$17,$J$17)</f>
        <v>4.1356754340403118E-2</v>
      </c>
      <c r="N17" s="363">
        <f t="shared" ref="N17:BY17" ca="1" si="173">_xlfn.GAMMA.INV(RAND(),$I$17,$J$17)</f>
        <v>3.7534221165326585E-2</v>
      </c>
      <c r="O17" s="363">
        <f t="shared" ca="1" si="173"/>
        <v>3.7707488023787615E-2</v>
      </c>
      <c r="P17" s="363">
        <f t="shared" ca="1" si="173"/>
        <v>3.7888152381931481E-2</v>
      </c>
      <c r="Q17" s="363">
        <f t="shared" ca="1" si="173"/>
        <v>3.6090790852438784E-2</v>
      </c>
      <c r="R17" s="363">
        <f t="shared" ca="1" si="173"/>
        <v>5.3951106617916605E-2</v>
      </c>
      <c r="S17" s="363">
        <f t="shared" ca="1" si="173"/>
        <v>2.6455241539289215E-2</v>
      </c>
      <c r="T17" s="363">
        <f t="shared" ca="1" si="173"/>
        <v>5.2510616278052889E-2</v>
      </c>
      <c r="U17" s="363">
        <f t="shared" ca="1" si="173"/>
        <v>4.1600356594514186E-2</v>
      </c>
      <c r="V17" s="363">
        <f t="shared" ca="1" si="173"/>
        <v>2.8807435375621068E-2</v>
      </c>
      <c r="W17" s="363">
        <f t="shared" ca="1" si="173"/>
        <v>2.6843313701151804E-2</v>
      </c>
      <c r="X17" s="363">
        <f t="shared" ca="1" si="173"/>
        <v>3.0461908514917077E-2</v>
      </c>
      <c r="Y17" s="363">
        <f t="shared" ca="1" si="173"/>
        <v>5.0629354614022508E-2</v>
      </c>
      <c r="Z17" s="363">
        <f t="shared" ca="1" si="173"/>
        <v>4.5190147495750455E-2</v>
      </c>
      <c r="AA17" s="363">
        <f t="shared" ca="1" si="173"/>
        <v>3.969946729928004E-2</v>
      </c>
      <c r="AB17" s="363">
        <f t="shared" ca="1" si="173"/>
        <v>3.3893335212355942E-2</v>
      </c>
      <c r="AC17" s="363">
        <f t="shared" ca="1" si="173"/>
        <v>4.5813834640566639E-2</v>
      </c>
      <c r="AD17" s="363">
        <f t="shared" ca="1" si="173"/>
        <v>4.2111358414295724E-2</v>
      </c>
      <c r="AE17" s="363">
        <f t="shared" ca="1" si="173"/>
        <v>4.0466476264174753E-2</v>
      </c>
      <c r="AF17" s="363">
        <f t="shared" ca="1" si="173"/>
        <v>3.6516008997372666E-2</v>
      </c>
      <c r="AG17" s="363">
        <f t="shared" ca="1" si="173"/>
        <v>3.2476496664507241E-2</v>
      </c>
      <c r="AH17" s="363">
        <f t="shared" ca="1" si="173"/>
        <v>3.7011977630343036E-2</v>
      </c>
      <c r="AI17" s="363">
        <f t="shared" ca="1" si="173"/>
        <v>3.3526784623534506E-2</v>
      </c>
      <c r="AJ17" s="363">
        <f t="shared" ca="1" si="173"/>
        <v>3.4408536284500323E-2</v>
      </c>
      <c r="AK17" s="363">
        <f t="shared" ca="1" si="173"/>
        <v>3.5382859499456847E-2</v>
      </c>
      <c r="AL17" s="363">
        <f t="shared" ca="1" si="173"/>
        <v>3.5221784122128563E-2</v>
      </c>
      <c r="AM17" s="363">
        <f t="shared" ca="1" si="173"/>
        <v>4.2346184741700314E-2</v>
      </c>
      <c r="AN17" s="363">
        <f t="shared" ca="1" si="173"/>
        <v>3.0000402758638672E-2</v>
      </c>
      <c r="AO17" s="363">
        <f t="shared" ca="1" si="173"/>
        <v>3.7279810401869798E-2</v>
      </c>
      <c r="AP17" s="363">
        <f t="shared" ca="1" si="173"/>
        <v>3.0469377351896348E-2</v>
      </c>
      <c r="AQ17" s="363">
        <f t="shared" ca="1" si="173"/>
        <v>3.1350596578777354E-2</v>
      </c>
      <c r="AR17" s="363">
        <f t="shared" ca="1" si="173"/>
        <v>4.2103131255482852E-2</v>
      </c>
      <c r="AS17" s="363">
        <f t="shared" ca="1" si="173"/>
        <v>2.612897797755372E-2</v>
      </c>
      <c r="AT17" s="363">
        <f t="shared" ca="1" si="173"/>
        <v>3.9481860168325084E-2</v>
      </c>
      <c r="AU17" s="363">
        <f t="shared" ca="1" si="173"/>
        <v>3.3749355567592315E-2</v>
      </c>
      <c r="AV17" s="363">
        <f t="shared" ca="1" si="173"/>
        <v>3.5284872509582323E-2</v>
      </c>
      <c r="AW17" s="363">
        <f t="shared" ca="1" si="173"/>
        <v>4.3885737545442977E-2</v>
      </c>
      <c r="AX17" s="363">
        <f t="shared" ca="1" si="173"/>
        <v>3.9032053308356178E-2</v>
      </c>
      <c r="AY17" s="363">
        <f t="shared" ca="1" si="173"/>
        <v>3.9921164517944016E-2</v>
      </c>
      <c r="AZ17" s="363">
        <f t="shared" ca="1" si="173"/>
        <v>3.6852819320989105E-2</v>
      </c>
      <c r="BA17" s="363">
        <f t="shared" ca="1" si="173"/>
        <v>4.3805220594517698E-2</v>
      </c>
      <c r="BB17" s="363">
        <f t="shared" ca="1" si="173"/>
        <v>3.4915354987205612E-2</v>
      </c>
      <c r="BC17" s="363">
        <f t="shared" ca="1" si="173"/>
        <v>3.7468042886179269E-2</v>
      </c>
      <c r="BD17" s="363">
        <f t="shared" ca="1" si="173"/>
        <v>3.8484569402266106E-2</v>
      </c>
      <c r="BE17" s="363">
        <f t="shared" ca="1" si="173"/>
        <v>4.2162271930180378E-2</v>
      </c>
      <c r="BF17" s="363">
        <f t="shared" ca="1" si="173"/>
        <v>4.0559156169925503E-2</v>
      </c>
      <c r="BG17" s="363">
        <f t="shared" ca="1" si="173"/>
        <v>3.6763283115983487E-2</v>
      </c>
      <c r="BH17" s="363">
        <f t="shared" ca="1" si="173"/>
        <v>3.9879872672930423E-2</v>
      </c>
      <c r="BI17" s="363">
        <f t="shared" ca="1" si="173"/>
        <v>3.5567600740316521E-2</v>
      </c>
      <c r="BJ17" s="363">
        <f t="shared" ca="1" si="173"/>
        <v>3.8708381555316515E-2</v>
      </c>
      <c r="BK17" s="363">
        <f t="shared" ca="1" si="173"/>
        <v>2.6195828337537683E-2</v>
      </c>
      <c r="BL17" s="363">
        <f t="shared" ca="1" si="173"/>
        <v>3.0455702905457172E-2</v>
      </c>
      <c r="BM17" s="363">
        <f t="shared" ca="1" si="173"/>
        <v>3.147278420366173E-2</v>
      </c>
      <c r="BN17" s="363">
        <f t="shared" ca="1" si="173"/>
        <v>3.3917401852357192E-2</v>
      </c>
      <c r="BO17" s="363">
        <f t="shared" ca="1" si="173"/>
        <v>3.8753724444481559E-2</v>
      </c>
      <c r="BP17" s="363">
        <f t="shared" ca="1" si="173"/>
        <v>4.4477002188152794E-2</v>
      </c>
      <c r="BQ17" s="363">
        <f t="shared" ca="1" si="173"/>
        <v>4.0008848387933768E-2</v>
      </c>
      <c r="BR17" s="363">
        <f t="shared" ca="1" si="173"/>
        <v>3.5758177516958853E-2</v>
      </c>
      <c r="BS17" s="363">
        <f t="shared" ca="1" si="173"/>
        <v>3.6845732536492239E-2</v>
      </c>
      <c r="BT17" s="363">
        <f t="shared" ca="1" si="173"/>
        <v>2.7861688775504156E-2</v>
      </c>
      <c r="BU17" s="363">
        <f t="shared" ca="1" si="173"/>
        <v>4.2975802708864377E-2</v>
      </c>
      <c r="BV17" s="363">
        <f t="shared" ca="1" si="173"/>
        <v>3.38738277827072E-2</v>
      </c>
      <c r="BW17" s="363">
        <f t="shared" ca="1" si="173"/>
        <v>3.4222174991207298E-2</v>
      </c>
      <c r="BX17" s="363">
        <f t="shared" ca="1" si="173"/>
        <v>4.9416208520834358E-2</v>
      </c>
      <c r="BY17" s="363">
        <f t="shared" ca="1" si="173"/>
        <v>4.8408818117975018E-2</v>
      </c>
      <c r="BZ17" s="363">
        <f t="shared" ref="BZ17:DH17" ca="1" si="174">_xlfn.GAMMA.INV(RAND(),$I$17,$J$17)</f>
        <v>3.5351164400521107E-2</v>
      </c>
      <c r="CA17" s="363">
        <f t="shared" ca="1" si="174"/>
        <v>3.8378195075973738E-2</v>
      </c>
      <c r="CB17" s="363">
        <f t="shared" ca="1" si="174"/>
        <v>3.2871194773652655E-2</v>
      </c>
      <c r="CC17" s="363">
        <f t="shared" ca="1" si="174"/>
        <v>3.6149262644754251E-2</v>
      </c>
      <c r="CD17" s="363">
        <f t="shared" ca="1" si="174"/>
        <v>4.7598475591179759E-2</v>
      </c>
      <c r="CE17" s="363">
        <f t="shared" ca="1" si="174"/>
        <v>3.6328919008299106E-2</v>
      </c>
      <c r="CF17" s="363">
        <f t="shared" ca="1" si="174"/>
        <v>4.2300035644845448E-2</v>
      </c>
      <c r="CG17" s="363">
        <f t="shared" ca="1" si="174"/>
        <v>3.3031555520418768E-2</v>
      </c>
      <c r="CH17" s="363">
        <f t="shared" ca="1" si="174"/>
        <v>3.0841163855427477E-2</v>
      </c>
      <c r="CI17" s="363">
        <f t="shared" ca="1" si="174"/>
        <v>5.0634679109257161E-2</v>
      </c>
      <c r="CJ17" s="363">
        <f t="shared" ca="1" si="174"/>
        <v>4.4698567485257856E-2</v>
      </c>
      <c r="CK17" s="363">
        <f t="shared" ca="1" si="174"/>
        <v>5.1042573969476403E-2</v>
      </c>
      <c r="CL17" s="363">
        <f t="shared" ca="1" si="174"/>
        <v>4.6527301803963389E-2</v>
      </c>
      <c r="CM17" s="363">
        <f t="shared" ca="1" si="174"/>
        <v>2.8127669060570615E-2</v>
      </c>
      <c r="CN17" s="363">
        <f t="shared" ca="1" si="174"/>
        <v>3.3985238756946062E-2</v>
      </c>
      <c r="CO17" s="363">
        <f t="shared" ca="1" si="174"/>
        <v>3.6245407578655797E-2</v>
      </c>
      <c r="CP17" s="363">
        <f t="shared" ca="1" si="174"/>
        <v>3.9995209875010963E-2</v>
      </c>
      <c r="CQ17" s="363">
        <f t="shared" ca="1" si="174"/>
        <v>4.4895548885703115E-2</v>
      </c>
      <c r="CR17" s="363">
        <f t="shared" ca="1" si="174"/>
        <v>3.6110187606894807E-2</v>
      </c>
      <c r="CS17" s="363">
        <f t="shared" ca="1" si="174"/>
        <v>3.5652226483481292E-2</v>
      </c>
      <c r="CT17" s="363">
        <f t="shared" ca="1" si="174"/>
        <v>3.2132481576261848E-2</v>
      </c>
      <c r="CU17" s="363">
        <f t="shared" ca="1" si="174"/>
        <v>5.5902810191090134E-2</v>
      </c>
      <c r="CV17" s="363">
        <f t="shared" ca="1" si="174"/>
        <v>3.4519310947946073E-2</v>
      </c>
      <c r="CW17" s="363">
        <f t="shared" ca="1" si="174"/>
        <v>4.2252516774109843E-2</v>
      </c>
      <c r="CX17" s="363">
        <f t="shared" ca="1" si="174"/>
        <v>3.3779446963763053E-2</v>
      </c>
      <c r="CY17" s="363">
        <f t="shared" ca="1" si="174"/>
        <v>4.0162017611473345E-2</v>
      </c>
      <c r="CZ17" s="363">
        <f t="shared" ca="1" si="174"/>
        <v>4.0910199658853036E-2</v>
      </c>
      <c r="DA17" s="363">
        <f t="shared" ca="1" si="174"/>
        <v>4.8300266221474472E-2</v>
      </c>
      <c r="DB17" s="363">
        <f t="shared" ca="1" si="174"/>
        <v>3.0065196065062545E-2</v>
      </c>
      <c r="DC17" s="363">
        <f t="shared" ca="1" si="174"/>
        <v>3.4344751776040794E-2</v>
      </c>
      <c r="DD17" s="363">
        <f t="shared" ca="1" si="174"/>
        <v>4.3170747707074082E-2</v>
      </c>
      <c r="DE17" s="363">
        <f t="shared" ca="1" si="174"/>
        <v>2.675771417102079E-2</v>
      </c>
      <c r="DF17" s="363">
        <f t="shared" ca="1" si="174"/>
        <v>3.1480607373837004E-2</v>
      </c>
      <c r="DG17" s="363">
        <f t="shared" ca="1" si="174"/>
        <v>3.5333352159929145E-2</v>
      </c>
      <c r="DH17" s="363">
        <f t="shared" ca="1" si="174"/>
        <v>4.5270357685035872E-2</v>
      </c>
      <c r="DI17" s="363">
        <f ca="1">_xlfn.GAMMA.INV(RAND(),$I$17,$J$17)</f>
        <v>4.0147700622131875E-2</v>
      </c>
      <c r="DJ17" s="363">
        <f t="shared" ref="DJ17:FU17" ca="1" si="175">_xlfn.GAMMA.INV(RAND(),$I$17,$J$17)</f>
        <v>3.2265139926485727E-2</v>
      </c>
      <c r="DK17" s="363">
        <f t="shared" ca="1" si="175"/>
        <v>4.0215237248855416E-2</v>
      </c>
      <c r="DL17" s="363">
        <f t="shared" ca="1" si="175"/>
        <v>3.5724404742630056E-2</v>
      </c>
      <c r="DM17" s="363">
        <f t="shared" ca="1" si="175"/>
        <v>4.2662319983860587E-2</v>
      </c>
      <c r="DN17" s="363">
        <f t="shared" ca="1" si="175"/>
        <v>3.1582352295609038E-2</v>
      </c>
      <c r="DO17" s="363">
        <f t="shared" ca="1" si="175"/>
        <v>4.1727877903613389E-2</v>
      </c>
      <c r="DP17" s="363">
        <f t="shared" ca="1" si="175"/>
        <v>3.3048379260987762E-2</v>
      </c>
      <c r="DQ17" s="363">
        <f t="shared" ca="1" si="175"/>
        <v>3.6432349591960449E-2</v>
      </c>
      <c r="DR17" s="363">
        <f t="shared" ca="1" si="175"/>
        <v>3.3455475398123435E-2</v>
      </c>
      <c r="DS17" s="363">
        <f t="shared" ca="1" si="175"/>
        <v>4.5541334276016039E-2</v>
      </c>
      <c r="DT17" s="363">
        <f t="shared" ca="1" si="175"/>
        <v>5.4697197093202546E-2</v>
      </c>
      <c r="DU17" s="363">
        <f t="shared" ca="1" si="175"/>
        <v>4.0571784924042918E-2</v>
      </c>
      <c r="DV17" s="363">
        <f t="shared" ca="1" si="175"/>
        <v>3.320711337215717E-2</v>
      </c>
      <c r="DW17" s="363">
        <f t="shared" ca="1" si="175"/>
        <v>3.6833264503144461E-2</v>
      </c>
      <c r="DX17" s="363">
        <f t="shared" ca="1" si="175"/>
        <v>2.9081280307836486E-2</v>
      </c>
      <c r="DY17" s="363">
        <f t="shared" ca="1" si="175"/>
        <v>4.2028453452193415E-2</v>
      </c>
      <c r="DZ17" s="363">
        <f t="shared" ca="1" si="175"/>
        <v>3.419051809713243E-2</v>
      </c>
      <c r="EA17" s="363">
        <f t="shared" ca="1" si="175"/>
        <v>3.3608943800956817E-2</v>
      </c>
      <c r="EB17" s="363">
        <f t="shared" ca="1" si="175"/>
        <v>3.7886712197603235E-2</v>
      </c>
      <c r="EC17" s="363">
        <f t="shared" ca="1" si="175"/>
        <v>3.8129769693645919E-2</v>
      </c>
      <c r="ED17" s="363">
        <f t="shared" ca="1" si="175"/>
        <v>4.1226806214573038E-2</v>
      </c>
      <c r="EE17" s="363">
        <f t="shared" ca="1" si="175"/>
        <v>4.2978994834238005E-2</v>
      </c>
      <c r="EF17" s="363">
        <f t="shared" ca="1" si="175"/>
        <v>4.0414175697520469E-2</v>
      </c>
      <c r="EG17" s="363">
        <f t="shared" ca="1" si="175"/>
        <v>4.1960201538151852E-2</v>
      </c>
      <c r="EH17" s="363">
        <f t="shared" ca="1" si="175"/>
        <v>3.796038839719388E-2</v>
      </c>
      <c r="EI17" s="363">
        <f t="shared" ca="1" si="175"/>
        <v>2.3025933308132282E-2</v>
      </c>
      <c r="EJ17" s="363">
        <f t="shared" ca="1" si="175"/>
        <v>4.3850901241493913E-2</v>
      </c>
      <c r="EK17" s="363">
        <f t="shared" ca="1" si="175"/>
        <v>4.6169001389142858E-2</v>
      </c>
      <c r="EL17" s="363">
        <f t="shared" ca="1" si="175"/>
        <v>3.268040546484316E-2</v>
      </c>
      <c r="EM17" s="363">
        <f t="shared" ca="1" si="175"/>
        <v>2.8083983065964369E-2</v>
      </c>
      <c r="EN17" s="363">
        <f t="shared" ca="1" si="175"/>
        <v>3.7156697656590069E-2</v>
      </c>
      <c r="EO17" s="363">
        <f t="shared" ca="1" si="175"/>
        <v>3.9252552507938798E-2</v>
      </c>
      <c r="EP17" s="363">
        <f t="shared" ca="1" si="175"/>
        <v>3.3807798348576515E-2</v>
      </c>
      <c r="EQ17" s="363">
        <f t="shared" ca="1" si="175"/>
        <v>3.4747260190819709E-2</v>
      </c>
      <c r="ER17" s="363">
        <f t="shared" ca="1" si="175"/>
        <v>2.7865455191243962E-2</v>
      </c>
      <c r="ES17" s="363">
        <f t="shared" ca="1" si="175"/>
        <v>3.5074592799466717E-2</v>
      </c>
      <c r="ET17" s="363">
        <f t="shared" ca="1" si="175"/>
        <v>4.8009066198579663E-2</v>
      </c>
      <c r="EU17" s="363">
        <f t="shared" ca="1" si="175"/>
        <v>4.9692416021922287E-2</v>
      </c>
      <c r="EV17" s="363">
        <f t="shared" ca="1" si="175"/>
        <v>3.9420141521361439E-2</v>
      </c>
      <c r="EW17" s="363">
        <f t="shared" ca="1" si="175"/>
        <v>2.9205854436674877E-2</v>
      </c>
      <c r="EX17" s="363">
        <f t="shared" ca="1" si="175"/>
        <v>4.0705047801221417E-2</v>
      </c>
      <c r="EY17" s="363">
        <f t="shared" ca="1" si="175"/>
        <v>2.3571527025990975E-2</v>
      </c>
      <c r="EZ17" s="363">
        <f t="shared" ca="1" si="175"/>
        <v>3.9590579003624275E-2</v>
      </c>
      <c r="FA17" s="363">
        <f t="shared" ca="1" si="175"/>
        <v>4.6744511946059962E-2</v>
      </c>
      <c r="FB17" s="363">
        <f t="shared" ca="1" si="175"/>
        <v>3.4041744233467716E-2</v>
      </c>
      <c r="FC17" s="363">
        <f t="shared" ca="1" si="175"/>
        <v>3.2182807707181717E-2</v>
      </c>
      <c r="FD17" s="363">
        <f t="shared" ca="1" si="175"/>
        <v>3.8272476495357172E-2</v>
      </c>
      <c r="FE17" s="363">
        <f t="shared" ca="1" si="175"/>
        <v>4.1364851562347475E-2</v>
      </c>
      <c r="FF17" s="363">
        <f t="shared" ca="1" si="175"/>
        <v>3.8761670028241477E-2</v>
      </c>
      <c r="FG17" s="363">
        <f t="shared" ca="1" si="175"/>
        <v>3.511267195136112E-2</v>
      </c>
      <c r="FH17" s="363">
        <f t="shared" ca="1" si="175"/>
        <v>4.4263737233002379E-2</v>
      </c>
      <c r="FI17" s="363">
        <f t="shared" ca="1" si="175"/>
        <v>4.3791283575895575E-2</v>
      </c>
      <c r="FJ17" s="363">
        <f t="shared" ca="1" si="175"/>
        <v>3.3757459729372691E-2</v>
      </c>
      <c r="FK17" s="363">
        <f t="shared" ca="1" si="175"/>
        <v>5.0332919778428575E-2</v>
      </c>
      <c r="FL17" s="363">
        <f t="shared" ca="1" si="175"/>
        <v>4.4554482057972529E-2</v>
      </c>
      <c r="FM17" s="363">
        <f t="shared" ca="1" si="175"/>
        <v>3.7243817065891291E-2</v>
      </c>
      <c r="FN17" s="363">
        <f t="shared" ca="1" si="175"/>
        <v>3.8269966460650638E-2</v>
      </c>
      <c r="FO17" s="363">
        <f t="shared" ca="1" si="175"/>
        <v>4.7825570295440829E-2</v>
      </c>
      <c r="FP17" s="363">
        <f t="shared" ca="1" si="175"/>
        <v>3.2865305680888683E-2</v>
      </c>
      <c r="FQ17" s="363">
        <f t="shared" ca="1" si="175"/>
        <v>3.6460290098678995E-2</v>
      </c>
      <c r="FR17" s="363">
        <f t="shared" ca="1" si="175"/>
        <v>3.748577480516186E-2</v>
      </c>
      <c r="FS17" s="363">
        <f t="shared" ca="1" si="175"/>
        <v>3.9996777481301461E-2</v>
      </c>
      <c r="FT17" s="363">
        <f t="shared" ca="1" si="175"/>
        <v>3.7733862898452583E-2</v>
      </c>
      <c r="FU17" s="363">
        <f t="shared" ca="1" si="175"/>
        <v>4.2263206514631842E-2</v>
      </c>
      <c r="FV17" s="363">
        <f t="shared" ref="FV17:HD17" ca="1" si="176">_xlfn.GAMMA.INV(RAND(),$I$17,$J$17)</f>
        <v>3.8201365568979878E-2</v>
      </c>
      <c r="FW17" s="363">
        <f t="shared" ca="1" si="176"/>
        <v>2.9035347315374448E-2</v>
      </c>
      <c r="FX17" s="363">
        <f t="shared" ca="1" si="176"/>
        <v>4.0922378994234364E-2</v>
      </c>
      <c r="FY17" s="363">
        <f t="shared" ca="1" si="176"/>
        <v>3.5928346930910307E-2</v>
      </c>
      <c r="FZ17" s="363">
        <f t="shared" ca="1" si="176"/>
        <v>4.1218069519147797E-2</v>
      </c>
      <c r="GA17" s="363">
        <f t="shared" ca="1" si="176"/>
        <v>4.1212526940743385E-2</v>
      </c>
      <c r="GB17" s="363">
        <f t="shared" ca="1" si="176"/>
        <v>4.4596101656898528E-2</v>
      </c>
      <c r="GC17" s="363">
        <f t="shared" ca="1" si="176"/>
        <v>3.919919095239912E-2</v>
      </c>
      <c r="GD17" s="363">
        <f t="shared" ca="1" si="176"/>
        <v>3.5753040903324033E-2</v>
      </c>
      <c r="GE17" s="363">
        <f t="shared" ca="1" si="176"/>
        <v>3.5539247114800734E-2</v>
      </c>
      <c r="GF17" s="363">
        <f t="shared" ca="1" si="176"/>
        <v>3.3004251399291216E-2</v>
      </c>
      <c r="GG17" s="363">
        <f t="shared" ca="1" si="176"/>
        <v>4.1762238288237143E-2</v>
      </c>
      <c r="GH17" s="363">
        <f t="shared" ca="1" si="176"/>
        <v>3.1135049954276264E-2</v>
      </c>
      <c r="GI17" s="363">
        <f t="shared" ca="1" si="176"/>
        <v>4.41370966067837E-2</v>
      </c>
      <c r="GJ17" s="363">
        <f t="shared" ca="1" si="176"/>
        <v>5.0641193292822517E-2</v>
      </c>
      <c r="GK17" s="363">
        <f t="shared" ca="1" si="176"/>
        <v>3.9955297408691713E-2</v>
      </c>
      <c r="GL17" s="363">
        <f t="shared" ca="1" si="176"/>
        <v>3.5752359065565724E-2</v>
      </c>
      <c r="GM17" s="363">
        <f t="shared" ca="1" si="176"/>
        <v>3.4701840985529149E-2</v>
      </c>
      <c r="GN17" s="363">
        <f t="shared" ca="1" si="176"/>
        <v>3.7861642655566956E-2</v>
      </c>
      <c r="GO17" s="363">
        <f t="shared" ca="1" si="176"/>
        <v>4.0272327616940377E-2</v>
      </c>
      <c r="GP17" s="363">
        <f t="shared" ca="1" si="176"/>
        <v>3.9250027655988284E-2</v>
      </c>
      <c r="GQ17" s="363">
        <f t="shared" ca="1" si="176"/>
        <v>4.7745717378404127E-2</v>
      </c>
      <c r="GR17" s="363">
        <f t="shared" ca="1" si="176"/>
        <v>3.8923783071948888E-2</v>
      </c>
      <c r="GS17" s="363">
        <f t="shared" ca="1" si="176"/>
        <v>2.9863117779673133E-2</v>
      </c>
      <c r="GT17" s="363">
        <f t="shared" ca="1" si="176"/>
        <v>2.8062439477523599E-2</v>
      </c>
      <c r="GU17" s="363">
        <f t="shared" ca="1" si="176"/>
        <v>3.3358290958882576E-2</v>
      </c>
      <c r="GV17" s="363">
        <f t="shared" ca="1" si="176"/>
        <v>3.6261783746462321E-2</v>
      </c>
      <c r="GW17" s="363">
        <f t="shared" ca="1" si="176"/>
        <v>3.8890260084027316E-2</v>
      </c>
      <c r="GX17" s="363">
        <f t="shared" ca="1" si="176"/>
        <v>3.7750672676374435E-2</v>
      </c>
      <c r="GY17" s="363">
        <f t="shared" ca="1" si="176"/>
        <v>3.9971365219408209E-2</v>
      </c>
      <c r="GZ17" s="363">
        <f t="shared" ca="1" si="176"/>
        <v>4.3306024850827622E-2</v>
      </c>
      <c r="HA17" s="363">
        <f t="shared" ca="1" si="176"/>
        <v>3.2142795729326344E-2</v>
      </c>
      <c r="HB17" s="363">
        <f t="shared" ca="1" si="176"/>
        <v>3.496849372835488E-2</v>
      </c>
      <c r="HC17" s="363">
        <f t="shared" ca="1" si="176"/>
        <v>3.402387483411505E-2</v>
      </c>
      <c r="HD17" s="363">
        <f t="shared" ca="1" si="176"/>
        <v>3.6571290236082202E-2</v>
      </c>
      <c r="HE17" s="363">
        <f ca="1">_xlfn.GAMMA.INV(RAND(),$I$17,$J$17)</f>
        <v>3.5348057278112056E-2</v>
      </c>
      <c r="HF17" s="363">
        <f t="shared" ref="HF17:JQ17" ca="1" si="177">_xlfn.GAMMA.INV(RAND(),$I$17,$J$17)</f>
        <v>2.8115906923710535E-2</v>
      </c>
      <c r="HG17" s="363">
        <f t="shared" ca="1" si="177"/>
        <v>5.1273421618418268E-2</v>
      </c>
      <c r="HH17" s="363">
        <f t="shared" ca="1" si="177"/>
        <v>4.1635387621511206E-2</v>
      </c>
      <c r="HI17" s="363">
        <f t="shared" ca="1" si="177"/>
        <v>3.3518062768602266E-2</v>
      </c>
      <c r="HJ17" s="363">
        <f t="shared" ca="1" si="177"/>
        <v>4.2440213163201859E-2</v>
      </c>
      <c r="HK17" s="363">
        <f t="shared" ca="1" si="177"/>
        <v>3.4963283099666356E-2</v>
      </c>
      <c r="HL17" s="363">
        <f t="shared" ca="1" si="177"/>
        <v>3.5938418384048751E-2</v>
      </c>
      <c r="HM17" s="363">
        <f t="shared" ca="1" si="177"/>
        <v>3.9417580945451974E-2</v>
      </c>
      <c r="HN17" s="363">
        <f t="shared" ca="1" si="177"/>
        <v>4.5657820675131314E-2</v>
      </c>
      <c r="HO17" s="363">
        <f t="shared" ca="1" si="177"/>
        <v>3.2466449991100425E-2</v>
      </c>
      <c r="HP17" s="363">
        <f t="shared" ca="1" si="177"/>
        <v>3.5438761158088208E-2</v>
      </c>
      <c r="HQ17" s="363">
        <f t="shared" ca="1" si="177"/>
        <v>3.8279499048585429E-2</v>
      </c>
      <c r="HR17" s="363">
        <f t="shared" ca="1" si="177"/>
        <v>4.5820972693985045E-2</v>
      </c>
      <c r="HS17" s="363">
        <f t="shared" ca="1" si="177"/>
        <v>3.763984660133475E-2</v>
      </c>
      <c r="HT17" s="363">
        <f t="shared" ca="1" si="177"/>
        <v>3.2490141154624091E-2</v>
      </c>
      <c r="HU17" s="363">
        <f t="shared" ca="1" si="177"/>
        <v>3.6624729625447751E-2</v>
      </c>
      <c r="HV17" s="363">
        <f t="shared" ca="1" si="177"/>
        <v>3.5232795654929434E-2</v>
      </c>
      <c r="HW17" s="363">
        <f t="shared" ca="1" si="177"/>
        <v>4.0150905392866421E-2</v>
      </c>
      <c r="HX17" s="363">
        <f t="shared" ca="1" si="177"/>
        <v>4.126934824894031E-2</v>
      </c>
      <c r="HY17" s="363">
        <f t="shared" ca="1" si="177"/>
        <v>2.9722572207547957E-2</v>
      </c>
      <c r="HZ17" s="363">
        <f t="shared" ca="1" si="177"/>
        <v>4.1229429761033672E-2</v>
      </c>
      <c r="IA17" s="363">
        <f t="shared" ca="1" si="177"/>
        <v>3.7603767185596423E-2</v>
      </c>
      <c r="IB17" s="363">
        <f t="shared" ca="1" si="177"/>
        <v>4.3585241743611239E-2</v>
      </c>
      <c r="IC17" s="363">
        <f t="shared" ca="1" si="177"/>
        <v>2.661509532062404E-2</v>
      </c>
      <c r="ID17" s="363">
        <f t="shared" ca="1" si="177"/>
        <v>3.8873647315737669E-2</v>
      </c>
      <c r="IE17" s="363">
        <f t="shared" ca="1" si="177"/>
        <v>4.3578132477035812E-2</v>
      </c>
      <c r="IF17" s="363">
        <f t="shared" ca="1" si="177"/>
        <v>4.1597604704481421E-2</v>
      </c>
      <c r="IG17" s="363">
        <f t="shared" ca="1" si="177"/>
        <v>3.3938197542359494E-2</v>
      </c>
      <c r="IH17" s="363">
        <f t="shared" ca="1" si="177"/>
        <v>2.502845550542163E-2</v>
      </c>
      <c r="II17" s="363">
        <f t="shared" ca="1" si="177"/>
        <v>4.8367937424543005E-2</v>
      </c>
      <c r="IJ17" s="363">
        <f t="shared" ca="1" si="177"/>
        <v>3.9565089463371068E-2</v>
      </c>
      <c r="IK17" s="363">
        <f t="shared" ca="1" si="177"/>
        <v>3.2917806366288063E-2</v>
      </c>
      <c r="IL17" s="363">
        <f t="shared" ca="1" si="177"/>
        <v>4.052417812174345E-2</v>
      </c>
      <c r="IM17" s="363">
        <f t="shared" ca="1" si="177"/>
        <v>4.0507046524414149E-2</v>
      </c>
      <c r="IN17" s="363">
        <f t="shared" ca="1" si="177"/>
        <v>4.1467375601051931E-2</v>
      </c>
      <c r="IO17" s="363">
        <f t="shared" ca="1" si="177"/>
        <v>3.3719271630733252E-2</v>
      </c>
      <c r="IP17" s="363">
        <f t="shared" ca="1" si="177"/>
        <v>4.9033446035087802E-2</v>
      </c>
      <c r="IQ17" s="363">
        <f t="shared" ca="1" si="177"/>
        <v>4.1074330456843652E-2</v>
      </c>
      <c r="IR17" s="363">
        <f t="shared" ca="1" si="177"/>
        <v>2.9511687091015624E-2</v>
      </c>
      <c r="IS17" s="363">
        <f t="shared" ca="1" si="177"/>
        <v>3.8986327756106692E-2</v>
      </c>
      <c r="IT17" s="363">
        <f t="shared" ca="1" si="177"/>
        <v>4.2407109185791464E-2</v>
      </c>
      <c r="IU17" s="363">
        <f t="shared" ca="1" si="177"/>
        <v>3.5298131342742407E-2</v>
      </c>
      <c r="IV17" s="363">
        <f t="shared" ca="1" si="177"/>
        <v>3.8961047769361559E-2</v>
      </c>
      <c r="IW17" s="363">
        <f t="shared" ca="1" si="177"/>
        <v>4.1034048478997699E-2</v>
      </c>
      <c r="IX17" s="363">
        <f t="shared" ca="1" si="177"/>
        <v>3.978659675360055E-2</v>
      </c>
      <c r="IY17" s="363">
        <f t="shared" ca="1" si="177"/>
        <v>4.2578059202673928E-2</v>
      </c>
      <c r="IZ17" s="363">
        <f t="shared" ca="1" si="177"/>
        <v>3.6513460571203166E-2</v>
      </c>
      <c r="JA17" s="363">
        <f t="shared" ca="1" si="177"/>
        <v>3.9105020219241879E-2</v>
      </c>
      <c r="JB17" s="363">
        <f t="shared" ca="1" si="177"/>
        <v>3.471927208492151E-2</v>
      </c>
      <c r="JC17" s="363">
        <f t="shared" ca="1" si="177"/>
        <v>3.2864323714373846E-2</v>
      </c>
      <c r="JD17" s="363">
        <f t="shared" ca="1" si="177"/>
        <v>4.4475859734614612E-2</v>
      </c>
      <c r="JE17" s="363">
        <f t="shared" ca="1" si="177"/>
        <v>4.8697845189049571E-2</v>
      </c>
      <c r="JF17" s="363">
        <f t="shared" ca="1" si="177"/>
        <v>4.6236530673954418E-2</v>
      </c>
      <c r="JG17" s="363">
        <f t="shared" ca="1" si="177"/>
        <v>4.5071762599381733E-2</v>
      </c>
      <c r="JH17" s="363">
        <f t="shared" ca="1" si="177"/>
        <v>3.2351299885255987E-2</v>
      </c>
      <c r="JI17" s="363">
        <f t="shared" ca="1" si="177"/>
        <v>4.3518614103746647E-2</v>
      </c>
      <c r="JJ17" s="363">
        <f t="shared" ca="1" si="177"/>
        <v>3.8176742547800506E-2</v>
      </c>
      <c r="JK17" s="363">
        <f t="shared" ca="1" si="177"/>
        <v>3.9078849488788668E-2</v>
      </c>
      <c r="JL17" s="363">
        <f t="shared" ca="1" si="177"/>
        <v>2.8745884454500811E-2</v>
      </c>
      <c r="JM17" s="363">
        <f t="shared" ca="1" si="177"/>
        <v>2.8225864243445239E-2</v>
      </c>
      <c r="JN17" s="363">
        <f t="shared" ca="1" si="177"/>
        <v>4.8742734287861349E-2</v>
      </c>
      <c r="JO17" s="363">
        <f t="shared" ca="1" si="177"/>
        <v>4.4381772185692191E-2</v>
      </c>
      <c r="JP17" s="363">
        <f t="shared" ca="1" si="177"/>
        <v>2.7275245918951717E-2</v>
      </c>
      <c r="JQ17" s="363">
        <f t="shared" ca="1" si="177"/>
        <v>3.5168768970762578E-2</v>
      </c>
      <c r="JR17" s="363">
        <f t="shared" ref="JR17:KZ17" ca="1" si="178">_xlfn.GAMMA.INV(RAND(),$I$17,$J$17)</f>
        <v>3.4668052937664687E-2</v>
      </c>
      <c r="JS17" s="363">
        <f t="shared" ca="1" si="178"/>
        <v>3.7858033536628623E-2</v>
      </c>
      <c r="JT17" s="363">
        <f t="shared" ca="1" si="178"/>
        <v>3.826791503557353E-2</v>
      </c>
      <c r="JU17" s="363">
        <f t="shared" ca="1" si="178"/>
        <v>3.438717965901962E-2</v>
      </c>
      <c r="JV17" s="363">
        <f t="shared" ca="1" si="178"/>
        <v>3.5864610752367666E-2</v>
      </c>
      <c r="JW17" s="363">
        <f t="shared" ca="1" si="178"/>
        <v>3.7152451966844982E-2</v>
      </c>
      <c r="JX17" s="363">
        <f t="shared" ca="1" si="178"/>
        <v>4.072479636570886E-2</v>
      </c>
      <c r="JY17" s="363">
        <f t="shared" ca="1" si="178"/>
        <v>4.1110319837693275E-2</v>
      </c>
      <c r="JZ17" s="363">
        <f t="shared" ca="1" si="178"/>
        <v>2.774064421017771E-2</v>
      </c>
      <c r="KA17" s="363">
        <f t="shared" ca="1" si="178"/>
        <v>3.8289335555548039E-2</v>
      </c>
      <c r="KB17" s="363">
        <f t="shared" ca="1" si="178"/>
        <v>3.715761586815302E-2</v>
      </c>
      <c r="KC17" s="363">
        <f t="shared" ca="1" si="178"/>
        <v>3.4782468190928735E-2</v>
      </c>
      <c r="KD17" s="363">
        <f t="shared" ca="1" si="178"/>
        <v>3.0665379798695342E-2</v>
      </c>
      <c r="KE17" s="363">
        <f t="shared" ca="1" si="178"/>
        <v>4.2609661513292305E-2</v>
      </c>
      <c r="KF17" s="363">
        <f t="shared" ca="1" si="178"/>
        <v>3.8515561879591029E-2</v>
      </c>
      <c r="KG17" s="363">
        <f t="shared" ca="1" si="178"/>
        <v>3.6995744558263988E-2</v>
      </c>
      <c r="KH17" s="363">
        <f t="shared" ca="1" si="178"/>
        <v>4.5883895035693768E-2</v>
      </c>
      <c r="KI17" s="363">
        <f t="shared" ca="1" si="178"/>
        <v>3.6189741384061731E-2</v>
      </c>
      <c r="KJ17" s="363">
        <f t="shared" ca="1" si="178"/>
        <v>4.5035538759180573E-2</v>
      </c>
      <c r="KK17" s="363">
        <f t="shared" ca="1" si="178"/>
        <v>3.5465353376369239E-2</v>
      </c>
      <c r="KL17" s="363">
        <f t="shared" ca="1" si="178"/>
        <v>3.7404590997880231E-2</v>
      </c>
      <c r="KM17" s="363">
        <f t="shared" ca="1" si="178"/>
        <v>4.3544583988146188E-2</v>
      </c>
      <c r="KN17" s="363">
        <f t="shared" ca="1" si="178"/>
        <v>3.4511637122038287E-2</v>
      </c>
      <c r="KO17" s="363">
        <f t="shared" ca="1" si="178"/>
        <v>3.0651646558626747E-2</v>
      </c>
      <c r="KP17" s="363">
        <f t="shared" ca="1" si="178"/>
        <v>4.0271208491722582E-2</v>
      </c>
      <c r="KQ17" s="363">
        <f t="shared" ca="1" si="178"/>
        <v>3.3859009809230747E-2</v>
      </c>
      <c r="KR17" s="363">
        <f t="shared" ca="1" si="178"/>
        <v>3.5131685510749223E-2</v>
      </c>
      <c r="KS17" s="363">
        <f t="shared" ca="1" si="178"/>
        <v>3.7734301910663098E-2</v>
      </c>
      <c r="KT17" s="363">
        <f t="shared" ca="1" si="178"/>
        <v>2.9566752303749187E-2</v>
      </c>
      <c r="KU17" s="363">
        <f t="shared" ca="1" si="178"/>
        <v>3.8846603913542756E-2</v>
      </c>
      <c r="KV17" s="363">
        <f t="shared" ca="1" si="178"/>
        <v>3.6173521135882548E-2</v>
      </c>
      <c r="KW17" s="363">
        <f t="shared" ca="1" si="178"/>
        <v>3.6111957798978793E-2</v>
      </c>
      <c r="KX17" s="363">
        <f t="shared" ca="1" si="178"/>
        <v>3.0726032048590767E-2</v>
      </c>
      <c r="KY17" s="363">
        <f t="shared" ca="1" si="178"/>
        <v>3.3592330245593938E-2</v>
      </c>
      <c r="KZ17" s="363">
        <f t="shared" ca="1" si="178"/>
        <v>4.3710878229276662E-2</v>
      </c>
      <c r="LA17" s="363">
        <f ca="1">_xlfn.GAMMA.INV(RAND(),$I$17,$J$17)</f>
        <v>2.9747560059684101E-2</v>
      </c>
      <c r="LB17" s="363">
        <f t="shared" ref="LB17:NM17" ca="1" si="179">_xlfn.GAMMA.INV(RAND(),$I$17,$J$17)</f>
        <v>2.9786839587454015E-2</v>
      </c>
      <c r="LC17" s="363">
        <f t="shared" ca="1" si="179"/>
        <v>4.2831433568726505E-2</v>
      </c>
      <c r="LD17" s="363">
        <f t="shared" ca="1" si="179"/>
        <v>3.9387802040756321E-2</v>
      </c>
      <c r="LE17" s="363">
        <f t="shared" ca="1" si="179"/>
        <v>4.0113977980719279E-2</v>
      </c>
      <c r="LF17" s="363">
        <f t="shared" ca="1" si="179"/>
        <v>4.3499226147056376E-2</v>
      </c>
      <c r="LG17" s="363">
        <f t="shared" ca="1" si="179"/>
        <v>3.4303428855875596E-2</v>
      </c>
      <c r="LH17" s="363">
        <f t="shared" ca="1" si="179"/>
        <v>3.9669110874611613E-2</v>
      </c>
      <c r="LI17" s="363">
        <f t="shared" ca="1" si="179"/>
        <v>3.1462335074637547E-2</v>
      </c>
      <c r="LJ17" s="363">
        <f t="shared" ca="1" si="179"/>
        <v>3.247774392365127E-2</v>
      </c>
      <c r="LK17" s="363">
        <f t="shared" ca="1" si="179"/>
        <v>4.0802501592134777E-2</v>
      </c>
      <c r="LL17" s="363">
        <f t="shared" ca="1" si="179"/>
        <v>3.5827802765167484E-2</v>
      </c>
      <c r="LM17" s="363">
        <f t="shared" ca="1" si="179"/>
        <v>3.7845200465059743E-2</v>
      </c>
      <c r="LN17" s="363">
        <f t="shared" ca="1" si="179"/>
        <v>3.5660038958473049E-2</v>
      </c>
      <c r="LO17" s="363">
        <f t="shared" ca="1" si="179"/>
        <v>3.3437681298764052E-2</v>
      </c>
      <c r="LP17" s="363">
        <f t="shared" ca="1" si="179"/>
        <v>4.182344732690866E-2</v>
      </c>
      <c r="LQ17" s="363">
        <f t="shared" ca="1" si="179"/>
        <v>3.8680260392293338E-2</v>
      </c>
      <c r="LR17" s="363">
        <f t="shared" ca="1" si="179"/>
        <v>4.1276905595230784E-2</v>
      </c>
      <c r="LS17" s="363">
        <f t="shared" ca="1" si="179"/>
        <v>4.071726642281772E-2</v>
      </c>
      <c r="LT17" s="363">
        <f t="shared" ca="1" si="179"/>
        <v>3.9089720350769311E-2</v>
      </c>
      <c r="LU17" s="363">
        <f t="shared" ca="1" si="179"/>
        <v>3.4011872764912847E-2</v>
      </c>
      <c r="LV17" s="363">
        <f t="shared" ca="1" si="179"/>
        <v>4.3421754298672413E-2</v>
      </c>
      <c r="LW17" s="363">
        <f t="shared" ca="1" si="179"/>
        <v>2.8096955438353083E-2</v>
      </c>
      <c r="LX17" s="363">
        <f t="shared" ca="1" si="179"/>
        <v>4.4406343865237029E-2</v>
      </c>
      <c r="LY17" s="363">
        <f t="shared" ca="1" si="179"/>
        <v>4.2343026638982546E-2</v>
      </c>
      <c r="LZ17" s="363">
        <f t="shared" ca="1" si="179"/>
        <v>4.7631779838924235E-2</v>
      </c>
      <c r="MA17" s="363">
        <f t="shared" ca="1" si="179"/>
        <v>3.792661020150169E-2</v>
      </c>
      <c r="MB17" s="363">
        <f t="shared" ca="1" si="179"/>
        <v>3.4695769259406241E-2</v>
      </c>
      <c r="MC17" s="363">
        <f t="shared" ca="1" si="179"/>
        <v>4.1251685263935044E-2</v>
      </c>
      <c r="MD17" s="363">
        <f t="shared" ca="1" si="179"/>
        <v>2.6549403615243713E-2</v>
      </c>
      <c r="ME17" s="363">
        <f t="shared" ca="1" si="179"/>
        <v>3.4506103780470122E-2</v>
      </c>
      <c r="MF17" s="363">
        <f t="shared" ca="1" si="179"/>
        <v>2.9122673583824255E-2</v>
      </c>
      <c r="MG17" s="363">
        <f t="shared" ca="1" si="179"/>
        <v>3.7099775731066903E-2</v>
      </c>
      <c r="MH17" s="363">
        <f t="shared" ca="1" si="179"/>
        <v>3.2179982431015795E-2</v>
      </c>
      <c r="MI17" s="363">
        <f t="shared" ca="1" si="179"/>
        <v>3.2065726712391975E-2</v>
      </c>
      <c r="MJ17" s="363">
        <f t="shared" ca="1" si="179"/>
        <v>4.0132142295451201E-2</v>
      </c>
      <c r="MK17" s="363">
        <f t="shared" ca="1" si="179"/>
        <v>2.5678616319897297E-2</v>
      </c>
      <c r="ML17" s="363">
        <f t="shared" ca="1" si="179"/>
        <v>3.7712166520401935E-2</v>
      </c>
      <c r="MM17" s="363">
        <f t="shared" ca="1" si="179"/>
        <v>3.6304507826401392E-2</v>
      </c>
      <c r="MN17" s="363">
        <f t="shared" ca="1" si="179"/>
        <v>4.3225202306387489E-2</v>
      </c>
      <c r="MO17" s="363">
        <f t="shared" ca="1" si="179"/>
        <v>3.7008540371730868E-2</v>
      </c>
      <c r="MP17" s="363">
        <f t="shared" ca="1" si="179"/>
        <v>4.3646227904813782E-2</v>
      </c>
      <c r="MQ17" s="363">
        <f t="shared" ca="1" si="179"/>
        <v>3.7141539963108774E-2</v>
      </c>
      <c r="MR17" s="363">
        <f t="shared" ca="1" si="179"/>
        <v>4.8239972576256299E-2</v>
      </c>
      <c r="MS17" s="363">
        <f t="shared" ca="1" si="179"/>
        <v>3.9823998151326659E-2</v>
      </c>
      <c r="MT17" s="363">
        <f t="shared" ca="1" si="179"/>
        <v>3.0716441655989687E-2</v>
      </c>
      <c r="MU17" s="363">
        <f t="shared" ca="1" si="179"/>
        <v>2.9886027251622593E-2</v>
      </c>
      <c r="MV17" s="363">
        <f t="shared" ca="1" si="179"/>
        <v>3.7653786997216276E-2</v>
      </c>
      <c r="MW17" s="363">
        <f t="shared" ca="1" si="179"/>
        <v>3.964872949711451E-2</v>
      </c>
      <c r="MX17" s="363">
        <f t="shared" ca="1" si="179"/>
        <v>3.1267961805877778E-2</v>
      </c>
      <c r="MY17" s="363">
        <f t="shared" ca="1" si="179"/>
        <v>4.185089533716721E-2</v>
      </c>
      <c r="MZ17" s="363">
        <f t="shared" ca="1" si="179"/>
        <v>3.1623307421198718E-2</v>
      </c>
      <c r="NA17" s="363">
        <f t="shared" ca="1" si="179"/>
        <v>3.309148285396684E-2</v>
      </c>
      <c r="NB17" s="363">
        <f t="shared" ca="1" si="179"/>
        <v>3.3802795427395116E-2</v>
      </c>
      <c r="NC17" s="363">
        <f t="shared" ca="1" si="179"/>
        <v>2.8334975282764276E-2</v>
      </c>
      <c r="ND17" s="363">
        <f t="shared" ca="1" si="179"/>
        <v>4.1124505446727425E-2</v>
      </c>
      <c r="NE17" s="363">
        <f t="shared" ca="1" si="179"/>
        <v>5.132071690210261E-2</v>
      </c>
      <c r="NF17" s="363">
        <f t="shared" ca="1" si="179"/>
        <v>4.1526294235677545E-2</v>
      </c>
      <c r="NG17" s="363">
        <f t="shared" ca="1" si="179"/>
        <v>3.9014019269036429E-2</v>
      </c>
      <c r="NH17" s="363">
        <f t="shared" ca="1" si="179"/>
        <v>3.3764007862923745E-2</v>
      </c>
      <c r="NI17" s="363">
        <f t="shared" ca="1" si="179"/>
        <v>3.9401770961414763E-2</v>
      </c>
      <c r="NJ17" s="363">
        <f t="shared" ca="1" si="179"/>
        <v>3.0778595150600763E-2</v>
      </c>
      <c r="NK17" s="363">
        <f t="shared" ca="1" si="179"/>
        <v>3.6859226557390122E-2</v>
      </c>
      <c r="NL17" s="363">
        <f t="shared" ca="1" si="179"/>
        <v>3.7194960318973777E-2</v>
      </c>
      <c r="NM17" s="363">
        <f t="shared" ca="1" si="179"/>
        <v>3.8397360201464885E-2</v>
      </c>
      <c r="NN17" s="363">
        <f t="shared" ref="NN17:OV17" ca="1" si="180">_xlfn.GAMMA.INV(RAND(),$I$17,$J$17)</f>
        <v>3.9485474683533139E-2</v>
      </c>
      <c r="NO17" s="363">
        <f t="shared" ca="1" si="180"/>
        <v>3.7843615016203071E-2</v>
      </c>
      <c r="NP17" s="363">
        <f t="shared" ca="1" si="180"/>
        <v>2.8765502638482637E-2</v>
      </c>
      <c r="NQ17" s="363">
        <f t="shared" ca="1" si="180"/>
        <v>4.662103086366419E-2</v>
      </c>
      <c r="NR17" s="363">
        <f t="shared" ca="1" si="180"/>
        <v>4.0933897677285391E-2</v>
      </c>
      <c r="NS17" s="363">
        <f t="shared" ca="1" si="180"/>
        <v>3.6681041497879555E-2</v>
      </c>
      <c r="NT17" s="363">
        <f t="shared" ca="1" si="180"/>
        <v>4.3750641791191813E-2</v>
      </c>
      <c r="NU17" s="363">
        <f t="shared" ca="1" si="180"/>
        <v>3.9428414811792288E-2</v>
      </c>
      <c r="NV17" s="363">
        <f t="shared" ca="1" si="180"/>
        <v>3.8430419349926317E-2</v>
      </c>
      <c r="NW17" s="363">
        <f t="shared" ca="1" si="180"/>
        <v>3.6906221806637975E-2</v>
      </c>
      <c r="NX17" s="363">
        <f t="shared" ca="1" si="180"/>
        <v>3.7978708053206883E-2</v>
      </c>
      <c r="NY17" s="363">
        <f t="shared" ca="1" si="180"/>
        <v>3.3907323443465719E-2</v>
      </c>
      <c r="NZ17" s="363">
        <f t="shared" ca="1" si="180"/>
        <v>2.1146528076655974E-2</v>
      </c>
      <c r="OA17" s="363">
        <f t="shared" ca="1" si="180"/>
        <v>2.7572079183051237E-2</v>
      </c>
      <c r="OB17" s="363">
        <f t="shared" ca="1" si="180"/>
        <v>4.1182421379885724E-2</v>
      </c>
      <c r="OC17" s="363">
        <f t="shared" ca="1" si="180"/>
        <v>3.1372007640586341E-2</v>
      </c>
      <c r="OD17" s="363">
        <f t="shared" ca="1" si="180"/>
        <v>4.0562341166773409E-2</v>
      </c>
      <c r="OE17" s="363">
        <f t="shared" ca="1" si="180"/>
        <v>4.7579354625994351E-2</v>
      </c>
      <c r="OF17" s="363">
        <f t="shared" ca="1" si="180"/>
        <v>3.8947782941241856E-2</v>
      </c>
      <c r="OG17" s="363">
        <f t="shared" ca="1" si="180"/>
        <v>4.5569205203049523E-2</v>
      </c>
      <c r="OH17" s="363">
        <f t="shared" ca="1" si="180"/>
        <v>4.2109993571575306E-2</v>
      </c>
      <c r="OI17" s="363">
        <f t="shared" ca="1" si="180"/>
        <v>3.5927437538811981E-2</v>
      </c>
      <c r="OJ17" s="363">
        <f t="shared" ca="1" si="180"/>
        <v>3.35277875885171E-2</v>
      </c>
      <c r="OK17" s="363">
        <f t="shared" ca="1" si="180"/>
        <v>2.8783104310455079E-2</v>
      </c>
      <c r="OL17" s="363">
        <f t="shared" ca="1" si="180"/>
        <v>4.001526228943985E-2</v>
      </c>
      <c r="OM17" s="363">
        <f t="shared" ca="1" si="180"/>
        <v>3.3854671657172708E-2</v>
      </c>
      <c r="ON17" s="363">
        <f t="shared" ca="1" si="180"/>
        <v>2.8677316057125528E-2</v>
      </c>
      <c r="OO17" s="363">
        <f t="shared" ca="1" si="180"/>
        <v>3.0660296662955083E-2</v>
      </c>
      <c r="OP17" s="363">
        <f t="shared" ca="1" si="180"/>
        <v>3.5731282191670391E-2</v>
      </c>
      <c r="OQ17" s="363">
        <f t="shared" ca="1" si="180"/>
        <v>3.3395240719992766E-2</v>
      </c>
      <c r="OR17" s="363">
        <f t="shared" ca="1" si="180"/>
        <v>5.0938724427354719E-2</v>
      </c>
      <c r="OS17" s="363">
        <f t="shared" ca="1" si="180"/>
        <v>3.6307061140655045E-2</v>
      </c>
      <c r="OT17" s="363">
        <f t="shared" ca="1" si="180"/>
        <v>4.0921358362773545E-2</v>
      </c>
      <c r="OU17" s="363">
        <f t="shared" ca="1" si="180"/>
        <v>3.3676378474026859E-2</v>
      </c>
      <c r="OV17" s="363">
        <f t="shared" ca="1" si="180"/>
        <v>3.7690740459491556E-2</v>
      </c>
      <c r="OW17" s="363">
        <f ca="1">_xlfn.GAMMA.INV(RAND(),$I$17,$J$17)</f>
        <v>3.4521574646355233E-2</v>
      </c>
      <c r="OX17" s="363">
        <f t="shared" ref="OX17:RI17" ca="1" si="181">_xlfn.GAMMA.INV(RAND(),$I$17,$J$17)</f>
        <v>5.1541624458105256E-2</v>
      </c>
      <c r="OY17" s="363">
        <f t="shared" ca="1" si="181"/>
        <v>4.3139159196936359E-2</v>
      </c>
      <c r="OZ17" s="363">
        <f t="shared" ca="1" si="181"/>
        <v>4.4825131570053148E-2</v>
      </c>
      <c r="PA17" s="363">
        <f t="shared" ca="1" si="181"/>
        <v>3.7463162140869748E-2</v>
      </c>
      <c r="PB17" s="363">
        <f t="shared" ca="1" si="181"/>
        <v>3.9238877207137375E-2</v>
      </c>
      <c r="PC17" s="363">
        <f t="shared" ca="1" si="181"/>
        <v>3.353102114979957E-2</v>
      </c>
      <c r="PD17" s="363">
        <f t="shared" ca="1" si="181"/>
        <v>3.9159991612764102E-2</v>
      </c>
      <c r="PE17" s="363">
        <f t="shared" ca="1" si="181"/>
        <v>3.4516881548812745E-2</v>
      </c>
      <c r="PF17" s="363">
        <f t="shared" ca="1" si="181"/>
        <v>5.2224801159744587E-2</v>
      </c>
      <c r="PG17" s="363">
        <f t="shared" ca="1" si="181"/>
        <v>4.4379384974848245E-2</v>
      </c>
      <c r="PH17" s="363">
        <f t="shared" ca="1" si="181"/>
        <v>3.4608037854178306E-2</v>
      </c>
      <c r="PI17" s="363">
        <f t="shared" ca="1" si="181"/>
        <v>2.7586873402296895E-2</v>
      </c>
      <c r="PJ17" s="363">
        <f t="shared" ca="1" si="181"/>
        <v>4.3604910623494253E-2</v>
      </c>
      <c r="PK17" s="363">
        <f t="shared" ca="1" si="181"/>
        <v>3.5336719957597018E-2</v>
      </c>
      <c r="PL17" s="363">
        <f t="shared" ca="1" si="181"/>
        <v>3.6239242227682288E-2</v>
      </c>
      <c r="PM17" s="363">
        <f t="shared" ca="1" si="181"/>
        <v>3.355445700090124E-2</v>
      </c>
      <c r="PN17" s="363">
        <f t="shared" ca="1" si="181"/>
        <v>4.1954638182306332E-2</v>
      </c>
      <c r="PO17" s="363">
        <f t="shared" ca="1" si="181"/>
        <v>3.7026051068843741E-2</v>
      </c>
      <c r="PP17" s="363">
        <f t="shared" ca="1" si="181"/>
        <v>3.2876003437546625E-2</v>
      </c>
      <c r="PQ17" s="363">
        <f t="shared" ca="1" si="181"/>
        <v>3.9218795796716201E-2</v>
      </c>
      <c r="PR17" s="363">
        <f t="shared" ca="1" si="181"/>
        <v>5.0076596818791029E-2</v>
      </c>
      <c r="PS17" s="363">
        <f t="shared" ca="1" si="181"/>
        <v>4.7653191939188641E-2</v>
      </c>
      <c r="PT17" s="363">
        <f t="shared" ca="1" si="181"/>
        <v>5.2197594355128003E-2</v>
      </c>
      <c r="PU17" s="363">
        <f t="shared" ca="1" si="181"/>
        <v>2.5955043244019579E-2</v>
      </c>
      <c r="PV17" s="363">
        <f t="shared" ca="1" si="181"/>
        <v>4.3868097245052008E-2</v>
      </c>
      <c r="PW17" s="363">
        <f t="shared" ca="1" si="181"/>
        <v>4.0571756698959217E-2</v>
      </c>
      <c r="PX17" s="363">
        <f t="shared" ca="1" si="181"/>
        <v>2.8505448678115327E-2</v>
      </c>
      <c r="PY17" s="363">
        <f t="shared" ca="1" si="181"/>
        <v>4.3913958121271017E-2</v>
      </c>
      <c r="PZ17" s="363">
        <f t="shared" ca="1" si="181"/>
        <v>2.8839034384815415E-2</v>
      </c>
      <c r="QA17" s="363">
        <f t="shared" ca="1" si="181"/>
        <v>4.2556958317687507E-2</v>
      </c>
      <c r="QB17" s="363">
        <f t="shared" ca="1" si="181"/>
        <v>3.8204909427824688E-2</v>
      </c>
      <c r="QC17" s="363">
        <f t="shared" ca="1" si="181"/>
        <v>3.2861074211516163E-2</v>
      </c>
      <c r="QD17" s="363">
        <f t="shared" ca="1" si="181"/>
        <v>3.2845149973817538E-2</v>
      </c>
      <c r="QE17" s="363">
        <f t="shared" ca="1" si="181"/>
        <v>3.3219439690860456E-2</v>
      </c>
      <c r="QF17" s="363">
        <f t="shared" ca="1" si="181"/>
        <v>3.5387863644053233E-2</v>
      </c>
      <c r="QG17" s="363">
        <f t="shared" ca="1" si="181"/>
        <v>2.2530304834239991E-2</v>
      </c>
      <c r="QH17" s="363">
        <f t="shared" ca="1" si="181"/>
        <v>4.0755521680515744E-2</v>
      </c>
      <c r="QI17" s="363">
        <f t="shared" ca="1" si="181"/>
        <v>4.1733542291420546E-2</v>
      </c>
      <c r="QJ17" s="363">
        <f t="shared" ca="1" si="181"/>
        <v>3.7724787571177421E-2</v>
      </c>
      <c r="QK17" s="363">
        <f t="shared" ca="1" si="181"/>
        <v>3.9816936191870524E-2</v>
      </c>
      <c r="QL17" s="363">
        <f t="shared" ca="1" si="181"/>
        <v>3.2619192191906454E-2</v>
      </c>
      <c r="QM17" s="363">
        <f t="shared" ca="1" si="181"/>
        <v>4.4034594063699903E-2</v>
      </c>
      <c r="QN17" s="363">
        <f t="shared" ca="1" si="181"/>
        <v>3.4685779322797899E-2</v>
      </c>
      <c r="QO17" s="363">
        <f t="shared" ca="1" si="181"/>
        <v>4.0748832695095709E-2</v>
      </c>
      <c r="QP17" s="363">
        <f t="shared" ca="1" si="181"/>
        <v>3.0672637535362299E-2</v>
      </c>
      <c r="QQ17" s="363">
        <f t="shared" ca="1" si="181"/>
        <v>3.3958263799567991E-2</v>
      </c>
      <c r="QR17" s="363">
        <f t="shared" ca="1" si="181"/>
        <v>3.9782853999697339E-2</v>
      </c>
      <c r="QS17" s="363">
        <f t="shared" ca="1" si="181"/>
        <v>3.8076718253986862E-2</v>
      </c>
      <c r="QT17" s="363">
        <f t="shared" ca="1" si="181"/>
        <v>3.3386553750587813E-2</v>
      </c>
      <c r="QU17" s="363">
        <f t="shared" ca="1" si="181"/>
        <v>4.38063459346568E-2</v>
      </c>
      <c r="QV17" s="363">
        <f t="shared" ca="1" si="181"/>
        <v>3.2005964461927931E-2</v>
      </c>
      <c r="QW17" s="363">
        <f t="shared" ca="1" si="181"/>
        <v>4.2395792407114177E-2</v>
      </c>
      <c r="QX17" s="363">
        <f t="shared" ca="1" si="181"/>
        <v>5.0463716471156446E-2</v>
      </c>
      <c r="QY17" s="363">
        <f t="shared" ca="1" si="181"/>
        <v>3.2771488441120433E-2</v>
      </c>
      <c r="QZ17" s="363">
        <f t="shared" ca="1" si="181"/>
        <v>2.6048369132225982E-2</v>
      </c>
      <c r="RA17" s="363">
        <f t="shared" ca="1" si="181"/>
        <v>3.6555652456171359E-2</v>
      </c>
      <c r="RB17" s="363">
        <f t="shared" ca="1" si="181"/>
        <v>3.8260694076240422E-2</v>
      </c>
      <c r="RC17" s="363">
        <f t="shared" ca="1" si="181"/>
        <v>3.3212842628436177E-2</v>
      </c>
      <c r="RD17" s="363">
        <f t="shared" ca="1" si="181"/>
        <v>3.974070043440326E-2</v>
      </c>
      <c r="RE17" s="363">
        <f t="shared" ca="1" si="181"/>
        <v>3.9667509454978191E-2</v>
      </c>
      <c r="RF17" s="363">
        <f t="shared" ca="1" si="181"/>
        <v>3.6490117689870427E-2</v>
      </c>
      <c r="RG17" s="363">
        <f t="shared" ca="1" si="181"/>
        <v>4.3594855116010418E-2</v>
      </c>
      <c r="RH17" s="363">
        <f t="shared" ca="1" si="181"/>
        <v>4.6720818852108999E-2</v>
      </c>
      <c r="RI17" s="363">
        <f t="shared" ca="1" si="181"/>
        <v>4.3121023061301812E-2</v>
      </c>
      <c r="RJ17" s="363">
        <f t="shared" ref="RJ17:SR17" ca="1" si="182">_xlfn.GAMMA.INV(RAND(),$I$17,$J$17)</f>
        <v>3.3957836704558889E-2</v>
      </c>
      <c r="RK17" s="363">
        <f t="shared" ca="1" si="182"/>
        <v>3.7803199628879514E-2</v>
      </c>
      <c r="RL17" s="363">
        <f t="shared" ca="1" si="182"/>
        <v>4.4428295751280864E-2</v>
      </c>
      <c r="RM17" s="363">
        <f t="shared" ca="1" si="182"/>
        <v>2.5813608559660785E-2</v>
      </c>
      <c r="RN17" s="363">
        <f t="shared" ca="1" si="182"/>
        <v>3.4078052956057724E-2</v>
      </c>
      <c r="RO17" s="363">
        <f t="shared" ca="1" si="182"/>
        <v>3.0262562968827705E-2</v>
      </c>
      <c r="RP17" s="363">
        <f t="shared" ca="1" si="182"/>
        <v>2.917834709590483E-2</v>
      </c>
      <c r="RQ17" s="363">
        <f t="shared" ca="1" si="182"/>
        <v>3.6028116479528478E-2</v>
      </c>
      <c r="RR17" s="363">
        <f t="shared" ca="1" si="182"/>
        <v>3.4518151543815948E-2</v>
      </c>
      <c r="RS17" s="363">
        <f t="shared" ca="1" si="182"/>
        <v>2.6622120153800288E-2</v>
      </c>
      <c r="RT17" s="363">
        <f t="shared" ca="1" si="182"/>
        <v>5.4626393262429213E-2</v>
      </c>
      <c r="RU17" s="363">
        <f t="shared" ca="1" si="182"/>
        <v>3.1639430478499576E-2</v>
      </c>
      <c r="RV17" s="363">
        <f t="shared" ca="1" si="182"/>
        <v>4.7670727645593228E-2</v>
      </c>
      <c r="RW17" s="363">
        <f t="shared" ca="1" si="182"/>
        <v>3.4131169217163443E-2</v>
      </c>
      <c r="RX17" s="363">
        <f t="shared" ca="1" si="182"/>
        <v>3.2080415961341133E-2</v>
      </c>
      <c r="RY17" s="363">
        <f t="shared" ca="1" si="182"/>
        <v>3.5055691061775723E-2</v>
      </c>
      <c r="RZ17" s="363">
        <f t="shared" ca="1" si="182"/>
        <v>4.2478558378609255E-2</v>
      </c>
      <c r="SA17" s="363">
        <f t="shared" ca="1" si="182"/>
        <v>4.0163912465558733E-2</v>
      </c>
      <c r="SB17" s="363">
        <f t="shared" ca="1" si="182"/>
        <v>4.0780661685011974E-2</v>
      </c>
      <c r="SC17" s="363">
        <f t="shared" ca="1" si="182"/>
        <v>4.1803993392630988E-2</v>
      </c>
      <c r="SD17" s="363">
        <f t="shared" ca="1" si="182"/>
        <v>4.5541011306602278E-2</v>
      </c>
      <c r="SE17" s="363">
        <f t="shared" ca="1" si="182"/>
        <v>3.7844796506406014E-2</v>
      </c>
      <c r="SF17" s="363">
        <f t="shared" ca="1" si="182"/>
        <v>3.8236541410250763E-2</v>
      </c>
      <c r="SG17" s="363">
        <f t="shared" ca="1" si="182"/>
        <v>5.0074126678841306E-2</v>
      </c>
      <c r="SH17" s="363">
        <f t="shared" ca="1" si="182"/>
        <v>3.8216335880254478E-2</v>
      </c>
      <c r="SI17" s="363">
        <f t="shared" ca="1" si="182"/>
        <v>3.6283296314365644E-2</v>
      </c>
      <c r="SJ17" s="363">
        <f t="shared" ca="1" si="182"/>
        <v>4.7749067850994545E-2</v>
      </c>
      <c r="SK17" s="363">
        <f t="shared" ca="1" si="182"/>
        <v>4.3983732978505261E-2</v>
      </c>
      <c r="SL17" s="363">
        <f t="shared" ca="1" si="182"/>
        <v>3.6080913885768166E-2</v>
      </c>
      <c r="SM17" s="363">
        <f t="shared" ca="1" si="182"/>
        <v>4.3968124497248649E-2</v>
      </c>
      <c r="SN17" s="363">
        <f t="shared" ca="1" si="182"/>
        <v>3.6986816513739626E-2</v>
      </c>
      <c r="SO17" s="363">
        <f t="shared" ca="1" si="182"/>
        <v>2.9110443771275907E-2</v>
      </c>
      <c r="SP17" s="363">
        <f t="shared" ca="1" si="182"/>
        <v>3.6789954564410796E-2</v>
      </c>
      <c r="SQ17" s="363">
        <f t="shared" ca="1" si="182"/>
        <v>3.5452528098137565E-2</v>
      </c>
      <c r="SR17" s="363">
        <f t="shared" ca="1" si="182"/>
        <v>3.9196334351780215E-2</v>
      </c>
      <c r="SS17" s="363">
        <f ca="1">_xlfn.GAMMA.INV(RAND(),$I$17,$J$17)</f>
        <v>3.8152873418913241E-2</v>
      </c>
      <c r="ST17" s="363">
        <f t="shared" ref="ST17:VE17" ca="1" si="183">_xlfn.GAMMA.INV(RAND(),$I$17,$J$17)</f>
        <v>3.4930636222904737E-2</v>
      </c>
      <c r="SU17" s="363">
        <f t="shared" ca="1" si="183"/>
        <v>4.1218546430964127E-2</v>
      </c>
      <c r="SV17" s="363">
        <f t="shared" ca="1" si="183"/>
        <v>3.3003957897058414E-2</v>
      </c>
      <c r="SW17" s="363">
        <f t="shared" ca="1" si="183"/>
        <v>3.0897906856690097E-2</v>
      </c>
      <c r="SX17" s="363">
        <f t="shared" ca="1" si="183"/>
        <v>2.8694231007065113E-2</v>
      </c>
      <c r="SY17" s="363">
        <f t="shared" ca="1" si="183"/>
        <v>4.9063573205973793E-2</v>
      </c>
      <c r="SZ17" s="363">
        <f t="shared" ca="1" si="183"/>
        <v>3.2689100932128061E-2</v>
      </c>
      <c r="TA17" s="363">
        <f t="shared" ca="1" si="183"/>
        <v>4.5438663683915859E-2</v>
      </c>
      <c r="TB17" s="363">
        <f t="shared" ca="1" si="183"/>
        <v>3.7564507295111842E-2</v>
      </c>
      <c r="TC17" s="363">
        <f t="shared" ca="1" si="183"/>
        <v>4.2851412352583336E-2</v>
      </c>
      <c r="TD17" s="363">
        <f t="shared" ca="1" si="183"/>
        <v>4.9817372328122597E-2</v>
      </c>
      <c r="TE17" s="363">
        <f t="shared" ca="1" si="183"/>
        <v>4.2613461652894015E-2</v>
      </c>
      <c r="TF17" s="363">
        <f t="shared" ca="1" si="183"/>
        <v>4.4145184180304206E-2</v>
      </c>
      <c r="TG17" s="363">
        <f t="shared" ca="1" si="183"/>
        <v>5.1856947053523145E-2</v>
      </c>
      <c r="TH17" s="363">
        <f t="shared" ca="1" si="183"/>
        <v>4.288894812672063E-2</v>
      </c>
      <c r="TI17" s="363">
        <f t="shared" ca="1" si="183"/>
        <v>4.1289091705307195E-2</v>
      </c>
      <c r="TJ17" s="363">
        <f t="shared" ca="1" si="183"/>
        <v>3.5314255331279638E-2</v>
      </c>
      <c r="TK17" s="363">
        <f t="shared" ca="1" si="183"/>
        <v>2.9406978987816374E-2</v>
      </c>
      <c r="TL17" s="363">
        <f t="shared" ca="1" si="183"/>
        <v>3.7149434074291734E-2</v>
      </c>
      <c r="TM17" s="363">
        <f t="shared" ca="1" si="183"/>
        <v>3.3996429512019935E-2</v>
      </c>
      <c r="TN17" s="363">
        <f t="shared" ca="1" si="183"/>
        <v>3.3314531097889712E-2</v>
      </c>
      <c r="TO17" s="363">
        <f t="shared" ca="1" si="183"/>
        <v>3.5634031534755042E-2</v>
      </c>
      <c r="TP17" s="363">
        <f t="shared" ca="1" si="183"/>
        <v>2.6274346947105665E-2</v>
      </c>
      <c r="TQ17" s="363">
        <f t="shared" ca="1" si="183"/>
        <v>4.3248856408244066E-2</v>
      </c>
      <c r="TR17" s="363">
        <f t="shared" ca="1" si="183"/>
        <v>3.2621818539265823E-2</v>
      </c>
      <c r="TS17" s="363">
        <f t="shared" ca="1" si="183"/>
        <v>3.7424808195738971E-2</v>
      </c>
      <c r="TT17" s="363">
        <f t="shared" ca="1" si="183"/>
        <v>3.4094851647555997E-2</v>
      </c>
      <c r="TU17" s="363">
        <f t="shared" ca="1" si="183"/>
        <v>5.0364433197408361E-2</v>
      </c>
      <c r="TV17" s="363">
        <f t="shared" ca="1" si="183"/>
        <v>4.3029194601913012E-2</v>
      </c>
      <c r="TW17" s="363">
        <f t="shared" ca="1" si="183"/>
        <v>4.4119628935312141E-2</v>
      </c>
      <c r="TX17" s="363">
        <f t="shared" ca="1" si="183"/>
        <v>3.9839793274515291E-2</v>
      </c>
      <c r="TY17" s="363">
        <f t="shared" ca="1" si="183"/>
        <v>4.27170815982853E-2</v>
      </c>
      <c r="TZ17" s="363">
        <f t="shared" ca="1" si="183"/>
        <v>3.2141009390130724E-2</v>
      </c>
      <c r="UA17" s="363">
        <f t="shared" ca="1" si="183"/>
        <v>4.2805386333356683E-2</v>
      </c>
      <c r="UB17" s="363">
        <f t="shared" ca="1" si="183"/>
        <v>4.2321185059934908E-2</v>
      </c>
      <c r="UC17" s="363">
        <f t="shared" ca="1" si="183"/>
        <v>3.7703268895447437E-2</v>
      </c>
      <c r="UD17" s="363">
        <f t="shared" ca="1" si="183"/>
        <v>3.6529685807262971E-2</v>
      </c>
      <c r="UE17" s="363">
        <f t="shared" ca="1" si="183"/>
        <v>2.6274505846268066E-2</v>
      </c>
      <c r="UF17" s="363">
        <f t="shared" ca="1" si="183"/>
        <v>3.3144785714628235E-2</v>
      </c>
      <c r="UG17" s="363">
        <f t="shared" ca="1" si="183"/>
        <v>2.9990629122273613E-2</v>
      </c>
      <c r="UH17" s="363">
        <f t="shared" ca="1" si="183"/>
        <v>3.2934241743902803E-2</v>
      </c>
      <c r="UI17" s="363">
        <f t="shared" ca="1" si="183"/>
        <v>3.1229365539407868E-2</v>
      </c>
      <c r="UJ17" s="363">
        <f t="shared" ca="1" si="183"/>
        <v>3.2907916501680068E-2</v>
      </c>
      <c r="UK17" s="363">
        <f t="shared" ca="1" si="183"/>
        <v>3.3914107568812114E-2</v>
      </c>
      <c r="UL17" s="363">
        <f t="shared" ca="1" si="183"/>
        <v>3.1514447959456474E-2</v>
      </c>
      <c r="UM17" s="363">
        <f t="shared" ca="1" si="183"/>
        <v>3.9888095905595167E-2</v>
      </c>
      <c r="UN17" s="363">
        <f t="shared" ca="1" si="183"/>
        <v>4.5140921938303179E-2</v>
      </c>
      <c r="UO17" s="363">
        <f t="shared" ca="1" si="183"/>
        <v>4.9204994383352588E-2</v>
      </c>
      <c r="UP17" s="363">
        <f t="shared" ca="1" si="183"/>
        <v>4.8605804603656447E-2</v>
      </c>
      <c r="UQ17" s="363">
        <f t="shared" ca="1" si="183"/>
        <v>3.9439773829925688E-2</v>
      </c>
      <c r="UR17" s="363">
        <f t="shared" ca="1" si="183"/>
        <v>3.6548983171811933E-2</v>
      </c>
      <c r="US17" s="363">
        <f t="shared" ca="1" si="183"/>
        <v>3.0146092592336388E-2</v>
      </c>
      <c r="UT17" s="363">
        <f t="shared" ca="1" si="183"/>
        <v>3.2836200628176077E-2</v>
      </c>
      <c r="UU17" s="363">
        <f t="shared" ca="1" si="183"/>
        <v>3.0470988040441165E-2</v>
      </c>
      <c r="UV17" s="363">
        <f t="shared" ca="1" si="183"/>
        <v>4.3323890872671793E-2</v>
      </c>
      <c r="UW17" s="363">
        <f t="shared" ca="1" si="183"/>
        <v>3.634738009717832E-2</v>
      </c>
      <c r="UX17" s="363">
        <f t="shared" ca="1" si="183"/>
        <v>3.9122819817700674E-2</v>
      </c>
      <c r="UY17" s="363">
        <f t="shared" ca="1" si="183"/>
        <v>3.9814785014005594E-2</v>
      </c>
      <c r="UZ17" s="363">
        <f t="shared" ca="1" si="183"/>
        <v>4.3465048300624323E-2</v>
      </c>
      <c r="VA17" s="363">
        <f t="shared" ca="1" si="183"/>
        <v>2.9854979141503431E-2</v>
      </c>
      <c r="VB17" s="363">
        <f t="shared" ca="1" si="183"/>
        <v>4.2712307465934379E-2</v>
      </c>
      <c r="VC17" s="363">
        <f t="shared" ca="1" si="183"/>
        <v>3.8457442619788583E-2</v>
      </c>
      <c r="VD17" s="363">
        <f t="shared" ca="1" si="183"/>
        <v>4.1819303484570011E-2</v>
      </c>
      <c r="VE17" s="363">
        <f t="shared" ca="1" si="183"/>
        <v>4.045224426040453E-2</v>
      </c>
      <c r="VF17" s="363">
        <f t="shared" ref="VF17:WN17" ca="1" si="184">_xlfn.GAMMA.INV(RAND(),$I$17,$J$17)</f>
        <v>4.2737568015585425E-2</v>
      </c>
      <c r="VG17" s="363">
        <f t="shared" ca="1" si="184"/>
        <v>4.4929537206725968E-2</v>
      </c>
      <c r="VH17" s="363">
        <f t="shared" ca="1" si="184"/>
        <v>4.1093508089778089E-2</v>
      </c>
      <c r="VI17" s="363">
        <f t="shared" ca="1" si="184"/>
        <v>3.9172415973565002E-2</v>
      </c>
      <c r="VJ17" s="363">
        <f t="shared" ca="1" si="184"/>
        <v>4.0287542169521483E-2</v>
      </c>
      <c r="VK17" s="363">
        <f t="shared" ca="1" si="184"/>
        <v>4.717536516109818E-2</v>
      </c>
      <c r="VL17" s="363">
        <f t="shared" ca="1" si="184"/>
        <v>3.6530703982578315E-2</v>
      </c>
      <c r="VM17" s="363">
        <f t="shared" ca="1" si="184"/>
        <v>3.4377632750745533E-2</v>
      </c>
      <c r="VN17" s="363">
        <f t="shared" ca="1" si="184"/>
        <v>4.4636971171544068E-2</v>
      </c>
      <c r="VO17" s="363">
        <f t="shared" ca="1" si="184"/>
        <v>3.5023696212512473E-2</v>
      </c>
      <c r="VP17" s="363">
        <f t="shared" ca="1" si="184"/>
        <v>4.2629573941652565E-2</v>
      </c>
      <c r="VQ17" s="363">
        <f t="shared" ca="1" si="184"/>
        <v>2.5317806482135757E-2</v>
      </c>
      <c r="VR17" s="363">
        <f t="shared" ca="1" si="184"/>
        <v>4.6200459239226409E-2</v>
      </c>
      <c r="VS17" s="363">
        <f t="shared" ca="1" si="184"/>
        <v>4.1840930799364615E-2</v>
      </c>
      <c r="VT17" s="363">
        <f t="shared" ca="1" si="184"/>
        <v>3.5293960667716076E-2</v>
      </c>
      <c r="VU17" s="363">
        <f t="shared" ca="1" si="184"/>
        <v>3.4840421528201312E-2</v>
      </c>
      <c r="VV17" s="363">
        <f t="shared" ca="1" si="184"/>
        <v>3.3776162249089269E-2</v>
      </c>
      <c r="VW17" s="363">
        <f t="shared" ca="1" si="184"/>
        <v>4.7234742075437104E-2</v>
      </c>
      <c r="VX17" s="363">
        <f t="shared" ca="1" si="184"/>
        <v>4.0089470382057048E-2</v>
      </c>
      <c r="VY17" s="363">
        <f t="shared" ca="1" si="184"/>
        <v>3.0530264426815272E-2</v>
      </c>
      <c r="VZ17" s="363">
        <f t="shared" ca="1" si="184"/>
        <v>3.7745571064066057E-2</v>
      </c>
      <c r="WA17" s="363">
        <f t="shared" ca="1" si="184"/>
        <v>3.6316337103624134E-2</v>
      </c>
      <c r="WB17" s="363">
        <f t="shared" ca="1" si="184"/>
        <v>3.4222015033349533E-2</v>
      </c>
      <c r="WC17" s="363">
        <f t="shared" ca="1" si="184"/>
        <v>2.8395124023989898E-2</v>
      </c>
      <c r="WD17" s="363">
        <f t="shared" ca="1" si="184"/>
        <v>3.0880476642628905E-2</v>
      </c>
      <c r="WE17" s="363">
        <f t="shared" ca="1" si="184"/>
        <v>4.4658101390801633E-2</v>
      </c>
      <c r="WF17" s="363">
        <f t="shared" ca="1" si="184"/>
        <v>4.368849404155345E-2</v>
      </c>
      <c r="WG17" s="363">
        <f t="shared" ca="1" si="184"/>
        <v>3.9612209807320421E-2</v>
      </c>
      <c r="WH17" s="363">
        <f t="shared" ca="1" si="184"/>
        <v>4.856238175731533E-2</v>
      </c>
      <c r="WI17" s="363">
        <f t="shared" ca="1" si="184"/>
        <v>3.7299206494053931E-2</v>
      </c>
      <c r="WJ17" s="363">
        <f t="shared" ca="1" si="184"/>
        <v>3.3315381446572666E-2</v>
      </c>
      <c r="WK17" s="363">
        <f t="shared" ca="1" si="184"/>
        <v>3.0512917573002098E-2</v>
      </c>
      <c r="WL17" s="363">
        <f t="shared" ca="1" si="184"/>
        <v>3.7331537827835E-2</v>
      </c>
      <c r="WM17" s="363">
        <f t="shared" ca="1" si="184"/>
        <v>4.1864045093028698E-2</v>
      </c>
      <c r="WN17" s="363">
        <f t="shared" ca="1" si="184"/>
        <v>4.0128415885851323E-2</v>
      </c>
    </row>
    <row r="18" spans="2:612" x14ac:dyDescent="0.15">
      <c r="B18" s="471" t="s">
        <v>567</v>
      </c>
      <c r="D18" s="380">
        <f t="shared" si="0"/>
        <v>3125</v>
      </c>
      <c r="F18" s="380">
        <v>3125</v>
      </c>
      <c r="G18" s="367" t="s">
        <v>350</v>
      </c>
      <c r="H18" s="380">
        <f>0.2*F18</f>
        <v>625</v>
      </c>
      <c r="I18" s="438">
        <f>(F18/H18)^2</f>
        <v>25</v>
      </c>
      <c r="J18" s="367">
        <f>(H18^2)/F18</f>
        <v>125</v>
      </c>
      <c r="K18" s="367" t="s">
        <v>720</v>
      </c>
      <c r="M18" s="380">
        <f ca="1">_xlfn.GAMMA.INV(RAND(),$I$18,$J$18)</f>
        <v>4332.6105054634427</v>
      </c>
      <c r="N18" s="380">
        <f t="shared" ref="N18:BY18" ca="1" si="185">_xlfn.GAMMA.INV(RAND(),$I$18,$J$18)</f>
        <v>2243.1765395138177</v>
      </c>
      <c r="O18" s="380">
        <f t="shared" ca="1" si="185"/>
        <v>3569.0248159225544</v>
      </c>
      <c r="P18" s="380">
        <f t="shared" ca="1" si="185"/>
        <v>2096.0783357372939</v>
      </c>
      <c r="Q18" s="380">
        <f t="shared" ca="1" si="185"/>
        <v>3208.9546227180863</v>
      </c>
      <c r="R18" s="380">
        <f t="shared" ca="1" si="185"/>
        <v>2963.9252839638693</v>
      </c>
      <c r="S18" s="380">
        <f t="shared" ca="1" si="185"/>
        <v>2708.5097889825629</v>
      </c>
      <c r="T18" s="380">
        <f t="shared" ca="1" si="185"/>
        <v>3774.6810588909184</v>
      </c>
      <c r="U18" s="380">
        <f t="shared" ca="1" si="185"/>
        <v>3670.2673287293519</v>
      </c>
      <c r="V18" s="380">
        <f t="shared" ca="1" si="185"/>
        <v>2877.2058992459652</v>
      </c>
      <c r="W18" s="380">
        <f t="shared" ca="1" si="185"/>
        <v>2893.1854795405061</v>
      </c>
      <c r="X18" s="380">
        <f t="shared" ca="1" si="185"/>
        <v>2666.3002859662606</v>
      </c>
      <c r="Y18" s="380">
        <f t="shared" ca="1" si="185"/>
        <v>3184.9194633200359</v>
      </c>
      <c r="Z18" s="380">
        <f t="shared" ca="1" si="185"/>
        <v>3703.358249043416</v>
      </c>
      <c r="AA18" s="380">
        <f t="shared" ca="1" si="185"/>
        <v>2334.7209102971415</v>
      </c>
      <c r="AB18" s="380">
        <f t="shared" ca="1" si="185"/>
        <v>2849.3779886381262</v>
      </c>
      <c r="AC18" s="380">
        <f t="shared" ca="1" si="185"/>
        <v>2344.6306190868618</v>
      </c>
      <c r="AD18" s="380">
        <f t="shared" ca="1" si="185"/>
        <v>3995.9254628564854</v>
      </c>
      <c r="AE18" s="380">
        <f t="shared" ca="1" si="185"/>
        <v>3343.1771144378226</v>
      </c>
      <c r="AF18" s="380">
        <f t="shared" ca="1" si="185"/>
        <v>2542.5087082986211</v>
      </c>
      <c r="AG18" s="380">
        <f t="shared" ca="1" si="185"/>
        <v>3042.6345086116935</v>
      </c>
      <c r="AH18" s="380">
        <f t="shared" ca="1" si="185"/>
        <v>3738.882855451935</v>
      </c>
      <c r="AI18" s="380">
        <f t="shared" ca="1" si="185"/>
        <v>5307.1661492682806</v>
      </c>
      <c r="AJ18" s="380">
        <f t="shared" ca="1" si="185"/>
        <v>3170.4911954045065</v>
      </c>
      <c r="AK18" s="380">
        <f t="shared" ca="1" si="185"/>
        <v>3493.8363639099161</v>
      </c>
      <c r="AL18" s="380">
        <f t="shared" ca="1" si="185"/>
        <v>3017.2039285053129</v>
      </c>
      <c r="AM18" s="380">
        <f t="shared" ca="1" si="185"/>
        <v>3126.4450470434131</v>
      </c>
      <c r="AN18" s="380">
        <f t="shared" ca="1" si="185"/>
        <v>3176.4171476429742</v>
      </c>
      <c r="AO18" s="380">
        <f t="shared" ca="1" si="185"/>
        <v>2802.9662748732558</v>
      </c>
      <c r="AP18" s="380">
        <f t="shared" ca="1" si="185"/>
        <v>3071.3868549517774</v>
      </c>
      <c r="AQ18" s="380">
        <f t="shared" ca="1" si="185"/>
        <v>3065.6561620054908</v>
      </c>
      <c r="AR18" s="380">
        <f t="shared" ca="1" si="185"/>
        <v>2360.2822254519947</v>
      </c>
      <c r="AS18" s="380">
        <f t="shared" ca="1" si="185"/>
        <v>3430.3235675218953</v>
      </c>
      <c r="AT18" s="380">
        <f t="shared" ca="1" si="185"/>
        <v>3537.4483811785053</v>
      </c>
      <c r="AU18" s="380">
        <f t="shared" ca="1" si="185"/>
        <v>2609.3375025183432</v>
      </c>
      <c r="AV18" s="380">
        <f t="shared" ca="1" si="185"/>
        <v>3432.069346843145</v>
      </c>
      <c r="AW18" s="380">
        <f t="shared" ca="1" si="185"/>
        <v>3969.1334904393334</v>
      </c>
      <c r="AX18" s="380">
        <f t="shared" ca="1" si="185"/>
        <v>3825.6053200627302</v>
      </c>
      <c r="AY18" s="380">
        <f t="shared" ca="1" si="185"/>
        <v>3812.9457983983502</v>
      </c>
      <c r="AZ18" s="380">
        <f t="shared" ca="1" si="185"/>
        <v>2572.2730418690503</v>
      </c>
      <c r="BA18" s="380">
        <f t="shared" ca="1" si="185"/>
        <v>2290.4846868341106</v>
      </c>
      <c r="BB18" s="380">
        <f t="shared" ca="1" si="185"/>
        <v>2897.7534431380391</v>
      </c>
      <c r="BC18" s="380">
        <f t="shared" ca="1" si="185"/>
        <v>2252.9555433057208</v>
      </c>
      <c r="BD18" s="380">
        <f t="shared" ca="1" si="185"/>
        <v>3309.8109241165625</v>
      </c>
      <c r="BE18" s="380">
        <f t="shared" ca="1" si="185"/>
        <v>2676.8152000312598</v>
      </c>
      <c r="BF18" s="380">
        <f t="shared" ca="1" si="185"/>
        <v>2664.8011653009967</v>
      </c>
      <c r="BG18" s="380">
        <f t="shared" ca="1" si="185"/>
        <v>2718.8312099690215</v>
      </c>
      <c r="BH18" s="380">
        <f t="shared" ca="1" si="185"/>
        <v>3078.5817649464866</v>
      </c>
      <c r="BI18" s="380">
        <f t="shared" ca="1" si="185"/>
        <v>3550.2929354142175</v>
      </c>
      <c r="BJ18" s="380">
        <f t="shared" ca="1" si="185"/>
        <v>3521.4204671484763</v>
      </c>
      <c r="BK18" s="380">
        <f t="shared" ca="1" si="185"/>
        <v>2983.5823703437395</v>
      </c>
      <c r="BL18" s="380">
        <f t="shared" ca="1" si="185"/>
        <v>4091.3808666475911</v>
      </c>
      <c r="BM18" s="380">
        <f t="shared" ca="1" si="185"/>
        <v>2571.7629763807472</v>
      </c>
      <c r="BN18" s="380">
        <f t="shared" ca="1" si="185"/>
        <v>2895.1198040323811</v>
      </c>
      <c r="BO18" s="380">
        <f t="shared" ca="1" si="185"/>
        <v>2265.6009063496394</v>
      </c>
      <c r="BP18" s="380">
        <f t="shared" ca="1" si="185"/>
        <v>2919.7520187359937</v>
      </c>
      <c r="BQ18" s="380">
        <f t="shared" ca="1" si="185"/>
        <v>3534.5859953947966</v>
      </c>
      <c r="BR18" s="380">
        <f t="shared" ca="1" si="185"/>
        <v>3580.9634502511622</v>
      </c>
      <c r="BS18" s="380">
        <f t="shared" ca="1" si="185"/>
        <v>2919.7071980942646</v>
      </c>
      <c r="BT18" s="380">
        <f t="shared" ca="1" si="185"/>
        <v>4007.8059029557476</v>
      </c>
      <c r="BU18" s="380">
        <f t="shared" ca="1" si="185"/>
        <v>2813.7324400135094</v>
      </c>
      <c r="BV18" s="380">
        <f t="shared" ca="1" si="185"/>
        <v>4353.7628061839596</v>
      </c>
      <c r="BW18" s="380">
        <f t="shared" ca="1" si="185"/>
        <v>3741.0045772835251</v>
      </c>
      <c r="BX18" s="380">
        <f t="shared" ca="1" si="185"/>
        <v>2621.0815908645504</v>
      </c>
      <c r="BY18" s="380">
        <f t="shared" ca="1" si="185"/>
        <v>3221.7219242414376</v>
      </c>
      <c r="BZ18" s="380">
        <f t="shared" ref="BZ18:DH18" ca="1" si="186">_xlfn.GAMMA.INV(RAND(),$I$18,$J$18)</f>
        <v>2259.4448999707352</v>
      </c>
      <c r="CA18" s="380">
        <f t="shared" ca="1" si="186"/>
        <v>3398.3574616502242</v>
      </c>
      <c r="CB18" s="380">
        <f t="shared" ca="1" si="186"/>
        <v>3696.2109531333363</v>
      </c>
      <c r="CC18" s="380">
        <f t="shared" ca="1" si="186"/>
        <v>3113.3487331837291</v>
      </c>
      <c r="CD18" s="380">
        <f t="shared" ca="1" si="186"/>
        <v>3380.0707234474066</v>
      </c>
      <c r="CE18" s="380">
        <f t="shared" ca="1" si="186"/>
        <v>2857.5523360405546</v>
      </c>
      <c r="CF18" s="380">
        <f t="shared" ca="1" si="186"/>
        <v>2653.874599057795</v>
      </c>
      <c r="CG18" s="380">
        <f t="shared" ca="1" si="186"/>
        <v>4562.0429898164994</v>
      </c>
      <c r="CH18" s="380">
        <f t="shared" ca="1" si="186"/>
        <v>3775.0959104893664</v>
      </c>
      <c r="CI18" s="380">
        <f t="shared" ca="1" si="186"/>
        <v>2937.7950946187152</v>
      </c>
      <c r="CJ18" s="380">
        <f t="shared" ca="1" si="186"/>
        <v>3710.3415076836945</v>
      </c>
      <c r="CK18" s="380">
        <f t="shared" ca="1" si="186"/>
        <v>1800.1524152342433</v>
      </c>
      <c r="CL18" s="380">
        <f t="shared" ca="1" si="186"/>
        <v>3347.8018921863295</v>
      </c>
      <c r="CM18" s="380">
        <f t="shared" ca="1" si="186"/>
        <v>3542.8728808798801</v>
      </c>
      <c r="CN18" s="380">
        <f t="shared" ca="1" si="186"/>
        <v>2393.6797774152192</v>
      </c>
      <c r="CO18" s="380">
        <f t="shared" ca="1" si="186"/>
        <v>3442.1742580742389</v>
      </c>
      <c r="CP18" s="380">
        <f t="shared" ca="1" si="186"/>
        <v>3686.7427644614372</v>
      </c>
      <c r="CQ18" s="380">
        <f t="shared" ca="1" si="186"/>
        <v>2860.5318602665307</v>
      </c>
      <c r="CR18" s="380">
        <f t="shared" ca="1" si="186"/>
        <v>2621.0665813001692</v>
      </c>
      <c r="CS18" s="380">
        <f t="shared" ca="1" si="186"/>
        <v>2766.8406852221196</v>
      </c>
      <c r="CT18" s="380">
        <f t="shared" ca="1" si="186"/>
        <v>2225.224728879231</v>
      </c>
      <c r="CU18" s="380">
        <f t="shared" ca="1" si="186"/>
        <v>2817.8371950098508</v>
      </c>
      <c r="CV18" s="380">
        <f t="shared" ca="1" si="186"/>
        <v>2778.7382037747825</v>
      </c>
      <c r="CW18" s="380">
        <f t="shared" ca="1" si="186"/>
        <v>2971.3500092475319</v>
      </c>
      <c r="CX18" s="380">
        <f t="shared" ca="1" si="186"/>
        <v>3241.6756953097834</v>
      </c>
      <c r="CY18" s="380">
        <f t="shared" ca="1" si="186"/>
        <v>2355.0533131872321</v>
      </c>
      <c r="CZ18" s="380">
        <f t="shared" ca="1" si="186"/>
        <v>3575.0091667408101</v>
      </c>
      <c r="DA18" s="380">
        <f t="shared" ca="1" si="186"/>
        <v>3728.0114738605726</v>
      </c>
      <c r="DB18" s="380">
        <f t="shared" ca="1" si="186"/>
        <v>2963.6905809102873</v>
      </c>
      <c r="DC18" s="380">
        <f t="shared" ca="1" si="186"/>
        <v>4773.4261835278703</v>
      </c>
      <c r="DD18" s="380">
        <f t="shared" ca="1" si="186"/>
        <v>2602.1191644666974</v>
      </c>
      <c r="DE18" s="380">
        <f t="shared" ca="1" si="186"/>
        <v>2648.9779098886179</v>
      </c>
      <c r="DF18" s="380">
        <f t="shared" ca="1" si="186"/>
        <v>2275.5980739214956</v>
      </c>
      <c r="DG18" s="380">
        <f t="shared" ca="1" si="186"/>
        <v>2475.3805460969479</v>
      </c>
      <c r="DH18" s="380">
        <f t="shared" ca="1" si="186"/>
        <v>2638.2086301788067</v>
      </c>
      <c r="DI18" s="380">
        <f ca="1">_xlfn.GAMMA.INV(RAND(),$I$18,$J$18)</f>
        <v>3486.0452015934652</v>
      </c>
      <c r="DJ18" s="380">
        <f t="shared" ref="DJ18:FU18" ca="1" si="187">_xlfn.GAMMA.INV(RAND(),$I$18,$J$18)</f>
        <v>3293.9468229994336</v>
      </c>
      <c r="DK18" s="380">
        <f t="shared" ca="1" si="187"/>
        <v>2867.8663514406817</v>
      </c>
      <c r="DL18" s="380">
        <f t="shared" ca="1" si="187"/>
        <v>2535.8285891978185</v>
      </c>
      <c r="DM18" s="380">
        <f t="shared" ca="1" si="187"/>
        <v>3301.2781506467318</v>
      </c>
      <c r="DN18" s="380">
        <f t="shared" ca="1" si="187"/>
        <v>3188.7108524215114</v>
      </c>
      <c r="DO18" s="380">
        <f t="shared" ca="1" si="187"/>
        <v>2263.2927093225258</v>
      </c>
      <c r="DP18" s="380">
        <f t="shared" ca="1" si="187"/>
        <v>2260.4772003437124</v>
      </c>
      <c r="DQ18" s="380">
        <f t="shared" ca="1" si="187"/>
        <v>3553.3243860548969</v>
      </c>
      <c r="DR18" s="380">
        <f t="shared" ca="1" si="187"/>
        <v>3362.6289169167835</v>
      </c>
      <c r="DS18" s="380">
        <f t="shared" ca="1" si="187"/>
        <v>2985.0194283397004</v>
      </c>
      <c r="DT18" s="380">
        <f t="shared" ca="1" si="187"/>
        <v>3511.177713641544</v>
      </c>
      <c r="DU18" s="380">
        <f t="shared" ca="1" si="187"/>
        <v>3075.6059057714801</v>
      </c>
      <c r="DV18" s="380">
        <f t="shared" ca="1" si="187"/>
        <v>2028.6882433552273</v>
      </c>
      <c r="DW18" s="380">
        <f t="shared" ca="1" si="187"/>
        <v>2393.0191632862561</v>
      </c>
      <c r="DX18" s="380">
        <f t="shared" ca="1" si="187"/>
        <v>2773.6054473946215</v>
      </c>
      <c r="DY18" s="380">
        <f t="shared" ca="1" si="187"/>
        <v>3183.1361585518121</v>
      </c>
      <c r="DZ18" s="380">
        <f t="shared" ca="1" si="187"/>
        <v>3809.7087196364232</v>
      </c>
      <c r="EA18" s="380">
        <f t="shared" ca="1" si="187"/>
        <v>3179.5368425033598</v>
      </c>
      <c r="EB18" s="380">
        <f t="shared" ca="1" si="187"/>
        <v>2871.5764090894904</v>
      </c>
      <c r="EC18" s="380">
        <f t="shared" ca="1" si="187"/>
        <v>4072.9082092991275</v>
      </c>
      <c r="ED18" s="380">
        <f t="shared" ca="1" si="187"/>
        <v>3068.5685706515546</v>
      </c>
      <c r="EE18" s="380">
        <f t="shared" ca="1" si="187"/>
        <v>2628.0860166573575</v>
      </c>
      <c r="EF18" s="380">
        <f t="shared" ca="1" si="187"/>
        <v>3181.7015387699253</v>
      </c>
      <c r="EG18" s="380">
        <f t="shared" ca="1" si="187"/>
        <v>3039.4266004206806</v>
      </c>
      <c r="EH18" s="380">
        <f t="shared" ca="1" si="187"/>
        <v>3306.1825562785461</v>
      </c>
      <c r="EI18" s="380">
        <f t="shared" ca="1" si="187"/>
        <v>4333.1396485158157</v>
      </c>
      <c r="EJ18" s="380">
        <f t="shared" ca="1" si="187"/>
        <v>3183.4192855712622</v>
      </c>
      <c r="EK18" s="380">
        <f t="shared" ca="1" si="187"/>
        <v>2366.4399935699075</v>
      </c>
      <c r="EL18" s="380">
        <f t="shared" ca="1" si="187"/>
        <v>3269.824820448353</v>
      </c>
      <c r="EM18" s="380">
        <f t="shared" ca="1" si="187"/>
        <v>3463.6572314980053</v>
      </c>
      <c r="EN18" s="380">
        <f t="shared" ca="1" si="187"/>
        <v>3680.3658769516346</v>
      </c>
      <c r="EO18" s="380">
        <f t="shared" ca="1" si="187"/>
        <v>3672.2796655829579</v>
      </c>
      <c r="EP18" s="380">
        <f t="shared" ca="1" si="187"/>
        <v>3438.9842178198842</v>
      </c>
      <c r="EQ18" s="380">
        <f t="shared" ca="1" si="187"/>
        <v>2365.0817862805593</v>
      </c>
      <c r="ER18" s="380">
        <f t="shared" ca="1" si="187"/>
        <v>4327.2490704101174</v>
      </c>
      <c r="ES18" s="380">
        <f t="shared" ca="1" si="187"/>
        <v>2254.1463372909434</v>
      </c>
      <c r="ET18" s="380">
        <f t="shared" ca="1" si="187"/>
        <v>2112.6630431149838</v>
      </c>
      <c r="EU18" s="380">
        <f t="shared" ca="1" si="187"/>
        <v>4271.5202084518369</v>
      </c>
      <c r="EV18" s="380">
        <f t="shared" ca="1" si="187"/>
        <v>2123.2353581293191</v>
      </c>
      <c r="EW18" s="380">
        <f t="shared" ca="1" si="187"/>
        <v>3941.5671929441269</v>
      </c>
      <c r="EX18" s="380">
        <f t="shared" ca="1" si="187"/>
        <v>2830.2306032929637</v>
      </c>
      <c r="EY18" s="380">
        <f t="shared" ca="1" si="187"/>
        <v>3010.0954601549124</v>
      </c>
      <c r="EZ18" s="380">
        <f t="shared" ca="1" si="187"/>
        <v>2752.7881179201645</v>
      </c>
      <c r="FA18" s="380">
        <f t="shared" ca="1" si="187"/>
        <v>2995.1464524607673</v>
      </c>
      <c r="FB18" s="380">
        <f t="shared" ca="1" si="187"/>
        <v>3347.6772245255083</v>
      </c>
      <c r="FC18" s="380">
        <f t="shared" ca="1" si="187"/>
        <v>2465.6217385522973</v>
      </c>
      <c r="FD18" s="380">
        <f t="shared" ca="1" si="187"/>
        <v>2808.9123590743379</v>
      </c>
      <c r="FE18" s="380">
        <f t="shared" ca="1" si="187"/>
        <v>3190.7094169643219</v>
      </c>
      <c r="FF18" s="380">
        <f t="shared" ca="1" si="187"/>
        <v>4555.584688584071</v>
      </c>
      <c r="FG18" s="380">
        <f t="shared" ca="1" si="187"/>
        <v>3469.4172943651297</v>
      </c>
      <c r="FH18" s="380">
        <f t="shared" ca="1" si="187"/>
        <v>3158.8702950896113</v>
      </c>
      <c r="FI18" s="380">
        <f t="shared" ca="1" si="187"/>
        <v>2568.1329032221224</v>
      </c>
      <c r="FJ18" s="380">
        <f t="shared" ca="1" si="187"/>
        <v>2488.1572884116963</v>
      </c>
      <c r="FK18" s="380">
        <f t="shared" ca="1" si="187"/>
        <v>2531.7542346332875</v>
      </c>
      <c r="FL18" s="380">
        <f t="shared" ca="1" si="187"/>
        <v>1887.2794558461967</v>
      </c>
      <c r="FM18" s="380">
        <f t="shared" ca="1" si="187"/>
        <v>3992.8241080558578</v>
      </c>
      <c r="FN18" s="380">
        <f t="shared" ca="1" si="187"/>
        <v>4246.0174476669754</v>
      </c>
      <c r="FO18" s="380">
        <f t="shared" ca="1" si="187"/>
        <v>2758.8503036154657</v>
      </c>
      <c r="FP18" s="380">
        <f t="shared" ca="1" si="187"/>
        <v>2454.6937706174594</v>
      </c>
      <c r="FQ18" s="380">
        <f t="shared" ca="1" si="187"/>
        <v>2465.5467560560692</v>
      </c>
      <c r="FR18" s="380">
        <f t="shared" ca="1" si="187"/>
        <v>3182.23152013647</v>
      </c>
      <c r="FS18" s="380">
        <f t="shared" ca="1" si="187"/>
        <v>3409.3114094772659</v>
      </c>
      <c r="FT18" s="380">
        <f t="shared" ca="1" si="187"/>
        <v>3098.1813915553562</v>
      </c>
      <c r="FU18" s="380">
        <f t="shared" ca="1" si="187"/>
        <v>3492.1011410390424</v>
      </c>
      <c r="FV18" s="380">
        <f t="shared" ref="FV18:HD18" ca="1" si="188">_xlfn.GAMMA.INV(RAND(),$I$18,$J$18)</f>
        <v>4031.7571670064208</v>
      </c>
      <c r="FW18" s="380">
        <f t="shared" ca="1" si="188"/>
        <v>3874.2618598429426</v>
      </c>
      <c r="FX18" s="380">
        <f t="shared" ca="1" si="188"/>
        <v>2291.7351052980666</v>
      </c>
      <c r="FY18" s="380">
        <f t="shared" ca="1" si="188"/>
        <v>2353.6718775177465</v>
      </c>
      <c r="FZ18" s="380">
        <f t="shared" ca="1" si="188"/>
        <v>2594.4284493872478</v>
      </c>
      <c r="GA18" s="380">
        <f t="shared" ca="1" si="188"/>
        <v>2138.564375492238</v>
      </c>
      <c r="GB18" s="380">
        <f t="shared" ca="1" si="188"/>
        <v>3584.5364322804926</v>
      </c>
      <c r="GC18" s="380">
        <f t="shared" ca="1" si="188"/>
        <v>2830.4629367034281</v>
      </c>
      <c r="GD18" s="380">
        <f t="shared" ca="1" si="188"/>
        <v>3743.4213459402454</v>
      </c>
      <c r="GE18" s="380">
        <f t="shared" ca="1" si="188"/>
        <v>3075.2672214474469</v>
      </c>
      <c r="GF18" s="380">
        <f t="shared" ca="1" si="188"/>
        <v>2065.3643393779253</v>
      </c>
      <c r="GG18" s="380">
        <f t="shared" ca="1" si="188"/>
        <v>4508.7065627847442</v>
      </c>
      <c r="GH18" s="380">
        <f t="shared" ca="1" si="188"/>
        <v>2894.4180318614103</v>
      </c>
      <c r="GI18" s="380">
        <f t="shared" ca="1" si="188"/>
        <v>3143.642687867175</v>
      </c>
      <c r="GJ18" s="380">
        <f t="shared" ca="1" si="188"/>
        <v>3271.8687444266902</v>
      </c>
      <c r="GK18" s="380">
        <f t="shared" ca="1" si="188"/>
        <v>2272.4538376951946</v>
      </c>
      <c r="GL18" s="380">
        <f t="shared" ca="1" si="188"/>
        <v>4594.6101033916293</v>
      </c>
      <c r="GM18" s="380">
        <f t="shared" ca="1" si="188"/>
        <v>3362.0958557960789</v>
      </c>
      <c r="GN18" s="380">
        <f t="shared" ca="1" si="188"/>
        <v>2999.8172025591784</v>
      </c>
      <c r="GO18" s="380">
        <f t="shared" ca="1" si="188"/>
        <v>3402.8941906302616</v>
      </c>
      <c r="GP18" s="380">
        <f t="shared" ca="1" si="188"/>
        <v>3313.2368890319176</v>
      </c>
      <c r="GQ18" s="380">
        <f t="shared" ca="1" si="188"/>
        <v>4047.8859813101681</v>
      </c>
      <c r="GR18" s="380">
        <f t="shared" ca="1" si="188"/>
        <v>2692.0800010350035</v>
      </c>
      <c r="GS18" s="380">
        <f t="shared" ca="1" si="188"/>
        <v>3693.3276161998288</v>
      </c>
      <c r="GT18" s="380">
        <f t="shared" ca="1" si="188"/>
        <v>2692.4598666447746</v>
      </c>
      <c r="GU18" s="380">
        <f t="shared" ca="1" si="188"/>
        <v>2070.8117621330166</v>
      </c>
      <c r="GV18" s="380">
        <f t="shared" ca="1" si="188"/>
        <v>2109.864400628051</v>
      </c>
      <c r="GW18" s="380">
        <f t="shared" ca="1" si="188"/>
        <v>2899.1723541676024</v>
      </c>
      <c r="GX18" s="380">
        <f t="shared" ca="1" si="188"/>
        <v>3504.2612238156871</v>
      </c>
      <c r="GY18" s="380">
        <f t="shared" ca="1" si="188"/>
        <v>2134.8818962361629</v>
      </c>
      <c r="GZ18" s="380">
        <f t="shared" ca="1" si="188"/>
        <v>3206.721591974233</v>
      </c>
      <c r="HA18" s="380">
        <f t="shared" ca="1" si="188"/>
        <v>3763.3797025974563</v>
      </c>
      <c r="HB18" s="380">
        <f t="shared" ca="1" si="188"/>
        <v>3302.2800762582174</v>
      </c>
      <c r="HC18" s="380">
        <f t="shared" ca="1" si="188"/>
        <v>2256.5200316478167</v>
      </c>
      <c r="HD18" s="380">
        <f t="shared" ca="1" si="188"/>
        <v>3354.1726574400077</v>
      </c>
      <c r="HE18" s="380">
        <f ca="1">_xlfn.GAMMA.INV(RAND(),$I$18,$J$18)</f>
        <v>3411.3123416761573</v>
      </c>
      <c r="HF18" s="380">
        <f t="shared" ref="HF18:JQ18" ca="1" si="189">_xlfn.GAMMA.INV(RAND(),$I$18,$J$18)</f>
        <v>3401.6499933645032</v>
      </c>
      <c r="HG18" s="380">
        <f t="shared" ca="1" si="189"/>
        <v>3156.4442394831322</v>
      </c>
      <c r="HH18" s="380">
        <f t="shared" ca="1" si="189"/>
        <v>3901.7904971425801</v>
      </c>
      <c r="HI18" s="380">
        <f t="shared" ca="1" si="189"/>
        <v>3422.2990296192725</v>
      </c>
      <c r="HJ18" s="380">
        <f t="shared" ca="1" si="189"/>
        <v>4281.9013979201191</v>
      </c>
      <c r="HK18" s="380">
        <f t="shared" ca="1" si="189"/>
        <v>3057.2001282221836</v>
      </c>
      <c r="HL18" s="380">
        <f t="shared" ca="1" si="189"/>
        <v>2992.0733160567656</v>
      </c>
      <c r="HM18" s="380">
        <f t="shared" ca="1" si="189"/>
        <v>3769.431046581095</v>
      </c>
      <c r="HN18" s="380">
        <f t="shared" ca="1" si="189"/>
        <v>2132.9801187138814</v>
      </c>
      <c r="HO18" s="380">
        <f t="shared" ca="1" si="189"/>
        <v>3535.6748418177176</v>
      </c>
      <c r="HP18" s="380">
        <f t="shared" ca="1" si="189"/>
        <v>3824.3530704680584</v>
      </c>
      <c r="HQ18" s="380">
        <f t="shared" ca="1" si="189"/>
        <v>2993.1395695415395</v>
      </c>
      <c r="HR18" s="380">
        <f t="shared" ca="1" si="189"/>
        <v>3143.448626251246</v>
      </c>
      <c r="HS18" s="380">
        <f t="shared" ca="1" si="189"/>
        <v>3183.4534467590493</v>
      </c>
      <c r="HT18" s="380">
        <f t="shared" ca="1" si="189"/>
        <v>3847.6362911901015</v>
      </c>
      <c r="HU18" s="380">
        <f t="shared" ca="1" si="189"/>
        <v>2776.6849309709642</v>
      </c>
      <c r="HV18" s="380">
        <f t="shared" ca="1" si="189"/>
        <v>3217.3638010883574</v>
      </c>
      <c r="HW18" s="380">
        <f t="shared" ca="1" si="189"/>
        <v>2718.0754571374428</v>
      </c>
      <c r="HX18" s="380">
        <f t="shared" ca="1" si="189"/>
        <v>3882.0738861867321</v>
      </c>
      <c r="HY18" s="380">
        <f t="shared" ca="1" si="189"/>
        <v>2733.1752518544508</v>
      </c>
      <c r="HZ18" s="380">
        <f t="shared" ca="1" si="189"/>
        <v>3263.5406049198305</v>
      </c>
      <c r="IA18" s="380">
        <f t="shared" ca="1" si="189"/>
        <v>2526.6801577933925</v>
      </c>
      <c r="IB18" s="380">
        <f t="shared" ca="1" si="189"/>
        <v>3599.9243296868381</v>
      </c>
      <c r="IC18" s="380">
        <f t="shared" ca="1" si="189"/>
        <v>2746.2907750764002</v>
      </c>
      <c r="ID18" s="380">
        <f t="shared" ca="1" si="189"/>
        <v>4023.6323087760761</v>
      </c>
      <c r="IE18" s="380">
        <f t="shared" ca="1" si="189"/>
        <v>3131.0580875836258</v>
      </c>
      <c r="IF18" s="380">
        <f t="shared" ca="1" si="189"/>
        <v>2952.1552294342268</v>
      </c>
      <c r="IG18" s="380">
        <f t="shared" ca="1" si="189"/>
        <v>4317.6681033490859</v>
      </c>
      <c r="IH18" s="380">
        <f t="shared" ca="1" si="189"/>
        <v>3111.1803578971585</v>
      </c>
      <c r="II18" s="380">
        <f t="shared" ca="1" si="189"/>
        <v>2624.2801862722736</v>
      </c>
      <c r="IJ18" s="380">
        <f t="shared" ca="1" si="189"/>
        <v>3122.8087483363429</v>
      </c>
      <c r="IK18" s="380">
        <f t="shared" ca="1" si="189"/>
        <v>1986.0629624736284</v>
      </c>
      <c r="IL18" s="380">
        <f t="shared" ca="1" si="189"/>
        <v>2728.9275757736764</v>
      </c>
      <c r="IM18" s="380">
        <f t="shared" ca="1" si="189"/>
        <v>4796.6507383745156</v>
      </c>
      <c r="IN18" s="380">
        <f t="shared" ca="1" si="189"/>
        <v>3007.1121761198915</v>
      </c>
      <c r="IO18" s="380">
        <f t="shared" ca="1" si="189"/>
        <v>3687.3883212383953</v>
      </c>
      <c r="IP18" s="380">
        <f t="shared" ca="1" si="189"/>
        <v>3386.4425648250271</v>
      </c>
      <c r="IQ18" s="380">
        <f t="shared" ca="1" si="189"/>
        <v>2654.0056941146618</v>
      </c>
      <c r="IR18" s="380">
        <f t="shared" ca="1" si="189"/>
        <v>3403.6869839904616</v>
      </c>
      <c r="IS18" s="380">
        <f t="shared" ca="1" si="189"/>
        <v>4716.1907523401223</v>
      </c>
      <c r="IT18" s="380">
        <f t="shared" ca="1" si="189"/>
        <v>4031.4761386781724</v>
      </c>
      <c r="IU18" s="380">
        <f t="shared" ca="1" si="189"/>
        <v>2637.723659296948</v>
      </c>
      <c r="IV18" s="380">
        <f t="shared" ca="1" si="189"/>
        <v>3707.6477007820149</v>
      </c>
      <c r="IW18" s="380">
        <f t="shared" ca="1" si="189"/>
        <v>2880.4675550991478</v>
      </c>
      <c r="IX18" s="380">
        <f t="shared" ca="1" si="189"/>
        <v>3451.2732011016446</v>
      </c>
      <c r="IY18" s="380">
        <f t="shared" ca="1" si="189"/>
        <v>3002.6307480105675</v>
      </c>
      <c r="IZ18" s="380">
        <f t="shared" ca="1" si="189"/>
        <v>3290.866781576573</v>
      </c>
      <c r="JA18" s="380">
        <f t="shared" ca="1" si="189"/>
        <v>4050.7286893938917</v>
      </c>
      <c r="JB18" s="380">
        <f t="shared" ca="1" si="189"/>
        <v>2053.8432359247195</v>
      </c>
      <c r="JC18" s="380">
        <f t="shared" ca="1" si="189"/>
        <v>2509.4280702129145</v>
      </c>
      <c r="JD18" s="380">
        <f t="shared" ca="1" si="189"/>
        <v>3556.3180132142497</v>
      </c>
      <c r="JE18" s="380">
        <f t="shared" ca="1" si="189"/>
        <v>2485.3814486021793</v>
      </c>
      <c r="JF18" s="380">
        <f t="shared" ca="1" si="189"/>
        <v>3801.8751856623267</v>
      </c>
      <c r="JG18" s="380">
        <f t="shared" ca="1" si="189"/>
        <v>2982.3464438425294</v>
      </c>
      <c r="JH18" s="380">
        <f t="shared" ca="1" si="189"/>
        <v>2581.5988070370681</v>
      </c>
      <c r="JI18" s="380">
        <f t="shared" ca="1" si="189"/>
        <v>3140.3166850839634</v>
      </c>
      <c r="JJ18" s="380">
        <f t="shared" ca="1" si="189"/>
        <v>2430.2588286927398</v>
      </c>
      <c r="JK18" s="380">
        <f t="shared" ca="1" si="189"/>
        <v>4264.6482250412701</v>
      </c>
      <c r="JL18" s="380">
        <f t="shared" ca="1" si="189"/>
        <v>3083.9357417968067</v>
      </c>
      <c r="JM18" s="380">
        <f t="shared" ca="1" si="189"/>
        <v>2951.2181376297794</v>
      </c>
      <c r="JN18" s="380">
        <f t="shared" ca="1" si="189"/>
        <v>2970.959847824367</v>
      </c>
      <c r="JO18" s="380">
        <f t="shared" ca="1" si="189"/>
        <v>3248.273956380764</v>
      </c>
      <c r="JP18" s="380">
        <f t="shared" ca="1" si="189"/>
        <v>3690.6805769996695</v>
      </c>
      <c r="JQ18" s="380">
        <f t="shared" ca="1" si="189"/>
        <v>3274.578535214926</v>
      </c>
      <c r="JR18" s="380">
        <f t="shared" ref="JR18:KZ18" ca="1" si="190">_xlfn.GAMMA.INV(RAND(),$I$18,$J$18)</f>
        <v>3337.1627801214331</v>
      </c>
      <c r="JS18" s="380">
        <f t="shared" ca="1" si="190"/>
        <v>3054.4515770552225</v>
      </c>
      <c r="JT18" s="380">
        <f t="shared" ca="1" si="190"/>
        <v>3922.1287095078446</v>
      </c>
      <c r="JU18" s="380">
        <f t="shared" ca="1" si="190"/>
        <v>3135.4982983059626</v>
      </c>
      <c r="JV18" s="380">
        <f t="shared" ca="1" si="190"/>
        <v>4277.8620838636134</v>
      </c>
      <c r="JW18" s="380">
        <f t="shared" ca="1" si="190"/>
        <v>2086.5039577226071</v>
      </c>
      <c r="JX18" s="380">
        <f t="shared" ca="1" si="190"/>
        <v>4142.3412929696942</v>
      </c>
      <c r="JY18" s="380">
        <f t="shared" ca="1" si="190"/>
        <v>1486.2813793505611</v>
      </c>
      <c r="JZ18" s="380">
        <f t="shared" ca="1" si="190"/>
        <v>2178.0434873900872</v>
      </c>
      <c r="KA18" s="380">
        <f t="shared" ca="1" si="190"/>
        <v>2446.3774988841033</v>
      </c>
      <c r="KB18" s="380">
        <f t="shared" ca="1" si="190"/>
        <v>3279.4660628236625</v>
      </c>
      <c r="KC18" s="380">
        <f t="shared" ca="1" si="190"/>
        <v>3274.4406650292426</v>
      </c>
      <c r="KD18" s="380">
        <f t="shared" ca="1" si="190"/>
        <v>3280.5940260394432</v>
      </c>
      <c r="KE18" s="380">
        <f t="shared" ca="1" si="190"/>
        <v>4451.5947109990602</v>
      </c>
      <c r="KF18" s="380">
        <f t="shared" ca="1" si="190"/>
        <v>3526.772666896431</v>
      </c>
      <c r="KG18" s="380">
        <f t="shared" ca="1" si="190"/>
        <v>2159.8850410880345</v>
      </c>
      <c r="KH18" s="380">
        <f t="shared" ca="1" si="190"/>
        <v>3575.047428777696</v>
      </c>
      <c r="KI18" s="380">
        <f t="shared" ca="1" si="190"/>
        <v>3411.9895236701068</v>
      </c>
      <c r="KJ18" s="380">
        <f t="shared" ca="1" si="190"/>
        <v>4557.8242537157303</v>
      </c>
      <c r="KK18" s="380">
        <f t="shared" ca="1" si="190"/>
        <v>2333.4390510230373</v>
      </c>
      <c r="KL18" s="380">
        <f t="shared" ca="1" si="190"/>
        <v>2247.098702566474</v>
      </c>
      <c r="KM18" s="380">
        <f t="shared" ca="1" si="190"/>
        <v>2504.4873887096892</v>
      </c>
      <c r="KN18" s="380">
        <f t="shared" ca="1" si="190"/>
        <v>4630.9749094247054</v>
      </c>
      <c r="KO18" s="380">
        <f t="shared" ca="1" si="190"/>
        <v>4351.3671256722128</v>
      </c>
      <c r="KP18" s="380">
        <f t="shared" ca="1" si="190"/>
        <v>3671.5697264234414</v>
      </c>
      <c r="KQ18" s="380">
        <f t="shared" ca="1" si="190"/>
        <v>4040.0113725132733</v>
      </c>
      <c r="KR18" s="380">
        <f t="shared" ca="1" si="190"/>
        <v>2832.5031452476437</v>
      </c>
      <c r="KS18" s="380">
        <f t="shared" ca="1" si="190"/>
        <v>3136.8041917663186</v>
      </c>
      <c r="KT18" s="380">
        <f t="shared" ca="1" si="190"/>
        <v>2469.5960644928032</v>
      </c>
      <c r="KU18" s="380">
        <f t="shared" ca="1" si="190"/>
        <v>3459.4587051484159</v>
      </c>
      <c r="KV18" s="380">
        <f t="shared" ca="1" si="190"/>
        <v>4003.202761493319</v>
      </c>
      <c r="KW18" s="380">
        <f t="shared" ca="1" si="190"/>
        <v>3310.2366722351253</v>
      </c>
      <c r="KX18" s="380">
        <f t="shared" ca="1" si="190"/>
        <v>3539.1576577006049</v>
      </c>
      <c r="KY18" s="380">
        <f t="shared" ca="1" si="190"/>
        <v>2479.8281623158036</v>
      </c>
      <c r="KZ18" s="380">
        <f t="shared" ca="1" si="190"/>
        <v>2969.0467291864916</v>
      </c>
      <c r="LA18" s="380">
        <f ca="1">_xlfn.GAMMA.INV(RAND(),$I$18,$J$18)</f>
        <v>3122.4012057373088</v>
      </c>
      <c r="LB18" s="380">
        <f t="shared" ref="LB18:NM18" ca="1" si="191">_xlfn.GAMMA.INV(RAND(),$I$18,$J$18)</f>
        <v>2813.9552953552516</v>
      </c>
      <c r="LC18" s="380">
        <f t="shared" ca="1" si="191"/>
        <v>3211.3767530131877</v>
      </c>
      <c r="LD18" s="380">
        <f t="shared" ca="1" si="191"/>
        <v>2710.3595694611695</v>
      </c>
      <c r="LE18" s="380">
        <f t="shared" ca="1" si="191"/>
        <v>2606.1283888718035</v>
      </c>
      <c r="LF18" s="380">
        <f t="shared" ca="1" si="191"/>
        <v>3186.5251380924719</v>
      </c>
      <c r="LG18" s="380">
        <f t="shared" ca="1" si="191"/>
        <v>2613.5026476965149</v>
      </c>
      <c r="LH18" s="380">
        <f t="shared" ca="1" si="191"/>
        <v>3222.7844687537026</v>
      </c>
      <c r="LI18" s="380">
        <f t="shared" ca="1" si="191"/>
        <v>3615.0013945286187</v>
      </c>
      <c r="LJ18" s="380">
        <f t="shared" ca="1" si="191"/>
        <v>2483.0799771693169</v>
      </c>
      <c r="LK18" s="380">
        <f t="shared" ca="1" si="191"/>
        <v>3611.7603516471454</v>
      </c>
      <c r="LL18" s="380">
        <f t="shared" ca="1" si="191"/>
        <v>2996.2575097585859</v>
      </c>
      <c r="LM18" s="380">
        <f t="shared" ca="1" si="191"/>
        <v>2615.7237797050566</v>
      </c>
      <c r="LN18" s="380">
        <f t="shared" ca="1" si="191"/>
        <v>3100.5726796719555</v>
      </c>
      <c r="LO18" s="380">
        <f t="shared" ca="1" si="191"/>
        <v>2648.8176078375577</v>
      </c>
      <c r="LP18" s="380">
        <f t="shared" ca="1" si="191"/>
        <v>2369.3941826321411</v>
      </c>
      <c r="LQ18" s="380">
        <f t="shared" ca="1" si="191"/>
        <v>3268.9042938999837</v>
      </c>
      <c r="LR18" s="380">
        <f t="shared" ca="1" si="191"/>
        <v>2155.9296713457202</v>
      </c>
      <c r="LS18" s="380">
        <f t="shared" ca="1" si="191"/>
        <v>3412.7614543469949</v>
      </c>
      <c r="LT18" s="380">
        <f t="shared" ca="1" si="191"/>
        <v>2866.6633113077714</v>
      </c>
      <c r="LU18" s="380">
        <f t="shared" ca="1" si="191"/>
        <v>2965.5881883665616</v>
      </c>
      <c r="LV18" s="380">
        <f t="shared" ca="1" si="191"/>
        <v>3015.0991158721426</v>
      </c>
      <c r="LW18" s="380">
        <f t="shared" ca="1" si="191"/>
        <v>2906.3716282037622</v>
      </c>
      <c r="LX18" s="380">
        <f t="shared" ca="1" si="191"/>
        <v>1613.8742595142303</v>
      </c>
      <c r="LY18" s="380">
        <f t="shared" ca="1" si="191"/>
        <v>2932.4006945529777</v>
      </c>
      <c r="LZ18" s="380">
        <f t="shared" ca="1" si="191"/>
        <v>4086.0280854243501</v>
      </c>
      <c r="MA18" s="380">
        <f t="shared" ca="1" si="191"/>
        <v>2850.5204414384507</v>
      </c>
      <c r="MB18" s="380">
        <f t="shared" ca="1" si="191"/>
        <v>3335.3335124959913</v>
      </c>
      <c r="MC18" s="380">
        <f t="shared" ca="1" si="191"/>
        <v>2461.9073478770115</v>
      </c>
      <c r="MD18" s="380">
        <f t="shared" ca="1" si="191"/>
        <v>2853.148838493084</v>
      </c>
      <c r="ME18" s="380">
        <f t="shared" ca="1" si="191"/>
        <v>2508.7287528699994</v>
      </c>
      <c r="MF18" s="380">
        <f t="shared" ca="1" si="191"/>
        <v>3439.8987683383843</v>
      </c>
      <c r="MG18" s="380">
        <f t="shared" ca="1" si="191"/>
        <v>4420.4744451645538</v>
      </c>
      <c r="MH18" s="380">
        <f t="shared" ca="1" si="191"/>
        <v>2345.1625258198183</v>
      </c>
      <c r="MI18" s="380">
        <f t="shared" ca="1" si="191"/>
        <v>3639.9248630705688</v>
      </c>
      <c r="MJ18" s="380">
        <f t="shared" ca="1" si="191"/>
        <v>2926.7298949004444</v>
      </c>
      <c r="MK18" s="380">
        <f t="shared" ca="1" si="191"/>
        <v>3547.5411114845228</v>
      </c>
      <c r="ML18" s="380">
        <f t="shared" ca="1" si="191"/>
        <v>3163.9385242690851</v>
      </c>
      <c r="MM18" s="380">
        <f t="shared" ca="1" si="191"/>
        <v>3730.8961362658474</v>
      </c>
      <c r="MN18" s="380">
        <f t="shared" ca="1" si="191"/>
        <v>2705.4936432451946</v>
      </c>
      <c r="MO18" s="380">
        <f t="shared" ca="1" si="191"/>
        <v>3143.5943550687894</v>
      </c>
      <c r="MP18" s="380">
        <f t="shared" ca="1" si="191"/>
        <v>3989.5265064797409</v>
      </c>
      <c r="MQ18" s="380">
        <f t="shared" ca="1" si="191"/>
        <v>3023.3942466662179</v>
      </c>
      <c r="MR18" s="380">
        <f t="shared" ca="1" si="191"/>
        <v>3588.5748699378455</v>
      </c>
      <c r="MS18" s="380">
        <f t="shared" ca="1" si="191"/>
        <v>3450.1138414138577</v>
      </c>
      <c r="MT18" s="380">
        <f t="shared" ca="1" si="191"/>
        <v>3245.3339433592168</v>
      </c>
      <c r="MU18" s="380">
        <f t="shared" ca="1" si="191"/>
        <v>3741.9953092705637</v>
      </c>
      <c r="MV18" s="380">
        <f t="shared" ca="1" si="191"/>
        <v>2945.2351833725293</v>
      </c>
      <c r="MW18" s="380">
        <f t="shared" ca="1" si="191"/>
        <v>3456.4061045638236</v>
      </c>
      <c r="MX18" s="380">
        <f t="shared" ca="1" si="191"/>
        <v>2881.5431065948396</v>
      </c>
      <c r="MY18" s="380">
        <f t="shared" ca="1" si="191"/>
        <v>2989.2588389690977</v>
      </c>
      <c r="MZ18" s="380">
        <f t="shared" ca="1" si="191"/>
        <v>4075.3424332204736</v>
      </c>
      <c r="NA18" s="380">
        <f t="shared" ca="1" si="191"/>
        <v>2436.3768531512392</v>
      </c>
      <c r="NB18" s="380">
        <f t="shared" ca="1" si="191"/>
        <v>2763.0210736009521</v>
      </c>
      <c r="NC18" s="380">
        <f t="shared" ca="1" si="191"/>
        <v>2130.2694225489536</v>
      </c>
      <c r="ND18" s="380">
        <f t="shared" ca="1" si="191"/>
        <v>3050.82140345162</v>
      </c>
      <c r="NE18" s="380">
        <f t="shared" ca="1" si="191"/>
        <v>2967.9654928969944</v>
      </c>
      <c r="NF18" s="380">
        <f t="shared" ca="1" si="191"/>
        <v>3241.6835733009943</v>
      </c>
      <c r="NG18" s="380">
        <f t="shared" ca="1" si="191"/>
        <v>2755.5246871934814</v>
      </c>
      <c r="NH18" s="380">
        <f t="shared" ca="1" si="191"/>
        <v>3027.2669922972177</v>
      </c>
      <c r="NI18" s="380">
        <f t="shared" ca="1" si="191"/>
        <v>3967.8404078108815</v>
      </c>
      <c r="NJ18" s="380">
        <f t="shared" ca="1" si="191"/>
        <v>3974.2308532019379</v>
      </c>
      <c r="NK18" s="380">
        <f t="shared" ca="1" si="191"/>
        <v>3349.9109892144324</v>
      </c>
      <c r="NL18" s="380">
        <f t="shared" ca="1" si="191"/>
        <v>2971.5640405069853</v>
      </c>
      <c r="NM18" s="380">
        <f t="shared" ca="1" si="191"/>
        <v>3669.5498337633489</v>
      </c>
      <c r="NN18" s="380">
        <f t="shared" ref="NN18:OV18" ca="1" si="192">_xlfn.GAMMA.INV(RAND(),$I$18,$J$18)</f>
        <v>2506.5064093859874</v>
      </c>
      <c r="NO18" s="380">
        <f t="shared" ca="1" si="192"/>
        <v>2430.5990793513215</v>
      </c>
      <c r="NP18" s="380">
        <f t="shared" ca="1" si="192"/>
        <v>2763.4527077878342</v>
      </c>
      <c r="NQ18" s="380">
        <f t="shared" ca="1" si="192"/>
        <v>2972.0493249975202</v>
      </c>
      <c r="NR18" s="380">
        <f t="shared" ca="1" si="192"/>
        <v>3293.1387520768394</v>
      </c>
      <c r="NS18" s="380">
        <f t="shared" ca="1" si="192"/>
        <v>3172.1006821693304</v>
      </c>
      <c r="NT18" s="380">
        <f t="shared" ca="1" si="192"/>
        <v>2814.5150986570129</v>
      </c>
      <c r="NU18" s="380">
        <f t="shared" ca="1" si="192"/>
        <v>3005.6256514790384</v>
      </c>
      <c r="NV18" s="380">
        <f t="shared" ca="1" si="192"/>
        <v>3568.642133832635</v>
      </c>
      <c r="NW18" s="380">
        <f t="shared" ca="1" si="192"/>
        <v>2725.4199682090812</v>
      </c>
      <c r="NX18" s="380">
        <f t="shared" ca="1" si="192"/>
        <v>1920.7719484078084</v>
      </c>
      <c r="NY18" s="380">
        <f t="shared" ca="1" si="192"/>
        <v>2668.7446029845796</v>
      </c>
      <c r="NZ18" s="380">
        <f t="shared" ca="1" si="192"/>
        <v>2111.3592082138398</v>
      </c>
      <c r="OA18" s="380">
        <f t="shared" ca="1" si="192"/>
        <v>3591.6467292749362</v>
      </c>
      <c r="OB18" s="380">
        <f t="shared" ca="1" si="192"/>
        <v>2126.5206080132948</v>
      </c>
      <c r="OC18" s="380">
        <f t="shared" ca="1" si="192"/>
        <v>3154.6432414917153</v>
      </c>
      <c r="OD18" s="380">
        <f t="shared" ca="1" si="192"/>
        <v>2730.7860481828261</v>
      </c>
      <c r="OE18" s="380">
        <f t="shared" ca="1" si="192"/>
        <v>3323.5220062323106</v>
      </c>
      <c r="OF18" s="380">
        <f t="shared" ca="1" si="192"/>
        <v>2970.7721534736093</v>
      </c>
      <c r="OG18" s="380">
        <f t="shared" ca="1" si="192"/>
        <v>3173.9763813718359</v>
      </c>
      <c r="OH18" s="380">
        <f t="shared" ca="1" si="192"/>
        <v>3705.3520855918832</v>
      </c>
      <c r="OI18" s="380">
        <f t="shared" ca="1" si="192"/>
        <v>3664.1424649536111</v>
      </c>
      <c r="OJ18" s="380">
        <f t="shared" ca="1" si="192"/>
        <v>2857.0033407579563</v>
      </c>
      <c r="OK18" s="380">
        <f t="shared" ca="1" si="192"/>
        <v>2878.7180479312169</v>
      </c>
      <c r="OL18" s="380">
        <f t="shared" ca="1" si="192"/>
        <v>2246.9132581661001</v>
      </c>
      <c r="OM18" s="380">
        <f t="shared" ca="1" si="192"/>
        <v>1671.2971743982951</v>
      </c>
      <c r="ON18" s="380">
        <f t="shared" ca="1" si="192"/>
        <v>3447.5746111129461</v>
      </c>
      <c r="OO18" s="380">
        <f t="shared" ca="1" si="192"/>
        <v>2934.6437941373174</v>
      </c>
      <c r="OP18" s="380">
        <f t="shared" ca="1" si="192"/>
        <v>2617.5436627046065</v>
      </c>
      <c r="OQ18" s="380">
        <f t="shared" ca="1" si="192"/>
        <v>2551.109769304323</v>
      </c>
      <c r="OR18" s="380">
        <f t="shared" ca="1" si="192"/>
        <v>2077.3216884586832</v>
      </c>
      <c r="OS18" s="380">
        <f t="shared" ca="1" si="192"/>
        <v>2891.4932278282936</v>
      </c>
      <c r="OT18" s="380">
        <f t="shared" ca="1" si="192"/>
        <v>2896.3696069975272</v>
      </c>
      <c r="OU18" s="380">
        <f t="shared" ca="1" si="192"/>
        <v>2470.1737437373763</v>
      </c>
      <c r="OV18" s="380">
        <f t="shared" ca="1" si="192"/>
        <v>2445.0989394913954</v>
      </c>
      <c r="OW18" s="380">
        <f ca="1">_xlfn.GAMMA.INV(RAND(),$I$18,$J$18)</f>
        <v>2803.1378706010892</v>
      </c>
      <c r="OX18" s="380">
        <f t="shared" ref="OX18:RI18" ca="1" si="193">_xlfn.GAMMA.INV(RAND(),$I$18,$J$18)</f>
        <v>3248.4498891918875</v>
      </c>
      <c r="OY18" s="380">
        <f t="shared" ca="1" si="193"/>
        <v>2398.0403375502528</v>
      </c>
      <c r="OZ18" s="380">
        <f t="shared" ca="1" si="193"/>
        <v>2866.2656773120484</v>
      </c>
      <c r="PA18" s="380">
        <f t="shared" ca="1" si="193"/>
        <v>2804.0891241766994</v>
      </c>
      <c r="PB18" s="380">
        <f t="shared" ca="1" si="193"/>
        <v>3229.0171406163327</v>
      </c>
      <c r="PC18" s="380">
        <f t="shared" ca="1" si="193"/>
        <v>2633.7539674160439</v>
      </c>
      <c r="PD18" s="380">
        <f t="shared" ca="1" si="193"/>
        <v>2614.0652649012991</v>
      </c>
      <c r="PE18" s="380">
        <f t="shared" ca="1" si="193"/>
        <v>3577.3741529589311</v>
      </c>
      <c r="PF18" s="380">
        <f t="shared" ca="1" si="193"/>
        <v>3165.9357690303827</v>
      </c>
      <c r="PG18" s="380">
        <f t="shared" ca="1" si="193"/>
        <v>2822.2361745576736</v>
      </c>
      <c r="PH18" s="380">
        <f t="shared" ca="1" si="193"/>
        <v>4444.6721800504383</v>
      </c>
      <c r="PI18" s="380">
        <f t="shared" ca="1" si="193"/>
        <v>2542.1087907278916</v>
      </c>
      <c r="PJ18" s="380">
        <f t="shared" ca="1" si="193"/>
        <v>3784.4129477216384</v>
      </c>
      <c r="PK18" s="380">
        <f t="shared" ca="1" si="193"/>
        <v>3973.3691715504028</v>
      </c>
      <c r="PL18" s="380">
        <f t="shared" ca="1" si="193"/>
        <v>3313.8005883673627</v>
      </c>
      <c r="PM18" s="380">
        <f t="shared" ca="1" si="193"/>
        <v>4461.3863678130665</v>
      </c>
      <c r="PN18" s="380">
        <f t="shared" ca="1" si="193"/>
        <v>3798.7080765167011</v>
      </c>
      <c r="PO18" s="380">
        <f t="shared" ca="1" si="193"/>
        <v>3459.7029846772411</v>
      </c>
      <c r="PP18" s="380">
        <f t="shared" ca="1" si="193"/>
        <v>2855.1578950479307</v>
      </c>
      <c r="PQ18" s="380">
        <f t="shared" ca="1" si="193"/>
        <v>2609.3571703826592</v>
      </c>
      <c r="PR18" s="380">
        <f t="shared" ca="1" si="193"/>
        <v>3710.949178780641</v>
      </c>
      <c r="PS18" s="380">
        <f t="shared" ca="1" si="193"/>
        <v>3078.9243371282682</v>
      </c>
      <c r="PT18" s="380">
        <f t="shared" ca="1" si="193"/>
        <v>2849.5743655275724</v>
      </c>
      <c r="PU18" s="380">
        <f t="shared" ca="1" si="193"/>
        <v>3674.4147623411395</v>
      </c>
      <c r="PV18" s="380">
        <f t="shared" ca="1" si="193"/>
        <v>4214.0565988805884</v>
      </c>
      <c r="PW18" s="380">
        <f t="shared" ca="1" si="193"/>
        <v>3513.7153167643864</v>
      </c>
      <c r="PX18" s="380">
        <f t="shared" ca="1" si="193"/>
        <v>2497.052177166443</v>
      </c>
      <c r="PY18" s="380">
        <f t="shared" ca="1" si="193"/>
        <v>3675.167523645498</v>
      </c>
      <c r="PZ18" s="380">
        <f t="shared" ca="1" si="193"/>
        <v>3790.796197941273</v>
      </c>
      <c r="QA18" s="380">
        <f t="shared" ca="1" si="193"/>
        <v>2565.0333241588792</v>
      </c>
      <c r="QB18" s="380">
        <f t="shared" ca="1" si="193"/>
        <v>2413.6373762188537</v>
      </c>
      <c r="QC18" s="380">
        <f t="shared" ca="1" si="193"/>
        <v>2836.626697533462</v>
      </c>
      <c r="QD18" s="380">
        <f t="shared" ca="1" si="193"/>
        <v>1812.2072149241621</v>
      </c>
      <c r="QE18" s="380">
        <f t="shared" ca="1" si="193"/>
        <v>3493.134393563786</v>
      </c>
      <c r="QF18" s="380">
        <f t="shared" ca="1" si="193"/>
        <v>4081.5675681285084</v>
      </c>
      <c r="QG18" s="380">
        <f t="shared" ca="1" si="193"/>
        <v>2021.6030888762853</v>
      </c>
      <c r="QH18" s="380">
        <f t="shared" ca="1" si="193"/>
        <v>3228.0777734305289</v>
      </c>
      <c r="QI18" s="380">
        <f t="shared" ca="1" si="193"/>
        <v>3609.0607052173964</v>
      </c>
      <c r="QJ18" s="380">
        <f t="shared" ca="1" si="193"/>
        <v>3225.5059191420487</v>
      </c>
      <c r="QK18" s="380">
        <f t="shared" ca="1" si="193"/>
        <v>2398.1035376528639</v>
      </c>
      <c r="QL18" s="380">
        <f t="shared" ca="1" si="193"/>
        <v>2014.3593104849297</v>
      </c>
      <c r="QM18" s="380">
        <f t="shared" ca="1" si="193"/>
        <v>2266.2241414617347</v>
      </c>
      <c r="QN18" s="380">
        <f t="shared" ca="1" si="193"/>
        <v>5246.7753791639216</v>
      </c>
      <c r="QO18" s="380">
        <f t="shared" ca="1" si="193"/>
        <v>2750.3149559236731</v>
      </c>
      <c r="QP18" s="380">
        <f t="shared" ca="1" si="193"/>
        <v>3194.3440366104483</v>
      </c>
      <c r="QQ18" s="380">
        <f t="shared" ca="1" si="193"/>
        <v>3473.611065742708</v>
      </c>
      <c r="QR18" s="380">
        <f t="shared" ca="1" si="193"/>
        <v>2488.3207423005638</v>
      </c>
      <c r="QS18" s="380">
        <f t="shared" ca="1" si="193"/>
        <v>3049.3824057549987</v>
      </c>
      <c r="QT18" s="380">
        <f t="shared" ca="1" si="193"/>
        <v>3397.5719705693805</v>
      </c>
      <c r="QU18" s="380">
        <f t="shared" ca="1" si="193"/>
        <v>2816.9475725436369</v>
      </c>
      <c r="QV18" s="380">
        <f t="shared" ca="1" si="193"/>
        <v>3344.3669481590009</v>
      </c>
      <c r="QW18" s="380">
        <f t="shared" ca="1" si="193"/>
        <v>2689.3700344508916</v>
      </c>
      <c r="QX18" s="380">
        <f t="shared" ca="1" si="193"/>
        <v>2966.2570402803849</v>
      </c>
      <c r="QY18" s="380">
        <f t="shared" ca="1" si="193"/>
        <v>3447.2161789627298</v>
      </c>
      <c r="QZ18" s="380">
        <f t="shared" ca="1" si="193"/>
        <v>3492.3194728117278</v>
      </c>
      <c r="RA18" s="380">
        <f t="shared" ca="1" si="193"/>
        <v>2650.2558282620707</v>
      </c>
      <c r="RB18" s="380">
        <f t="shared" ca="1" si="193"/>
        <v>3280.9388048736955</v>
      </c>
      <c r="RC18" s="380">
        <f t="shared" ca="1" si="193"/>
        <v>3369.7962366990087</v>
      </c>
      <c r="RD18" s="380">
        <f t="shared" ca="1" si="193"/>
        <v>2603.7914767757688</v>
      </c>
      <c r="RE18" s="380">
        <f t="shared" ca="1" si="193"/>
        <v>2828.107042003774</v>
      </c>
      <c r="RF18" s="380">
        <f t="shared" ca="1" si="193"/>
        <v>3313.0299833553563</v>
      </c>
      <c r="RG18" s="380">
        <f t="shared" ca="1" si="193"/>
        <v>2934.8847317861027</v>
      </c>
      <c r="RH18" s="380">
        <f t="shared" ca="1" si="193"/>
        <v>3518.6261460426749</v>
      </c>
      <c r="RI18" s="380">
        <f t="shared" ca="1" si="193"/>
        <v>3012.3938417265695</v>
      </c>
      <c r="RJ18" s="380">
        <f t="shared" ref="RJ18:SR18" ca="1" si="194">_xlfn.GAMMA.INV(RAND(),$I$18,$J$18)</f>
        <v>2695.7334622748781</v>
      </c>
      <c r="RK18" s="380">
        <f t="shared" ca="1" si="194"/>
        <v>3138.0522753821042</v>
      </c>
      <c r="RL18" s="380">
        <f t="shared" ca="1" si="194"/>
        <v>3557.82532612062</v>
      </c>
      <c r="RM18" s="380">
        <f t="shared" ca="1" si="194"/>
        <v>3044.0053004269125</v>
      </c>
      <c r="RN18" s="380">
        <f t="shared" ca="1" si="194"/>
        <v>2991.7116941324589</v>
      </c>
      <c r="RO18" s="380">
        <f t="shared" ca="1" si="194"/>
        <v>3232.0307642756511</v>
      </c>
      <c r="RP18" s="380">
        <f t="shared" ca="1" si="194"/>
        <v>2262.0848943391038</v>
      </c>
      <c r="RQ18" s="380">
        <f t="shared" ca="1" si="194"/>
        <v>2992.6762408158443</v>
      </c>
      <c r="RR18" s="380">
        <f t="shared" ca="1" si="194"/>
        <v>3033.8450252687567</v>
      </c>
      <c r="RS18" s="380">
        <f t="shared" ca="1" si="194"/>
        <v>3119.0083817669552</v>
      </c>
      <c r="RT18" s="380">
        <f t="shared" ca="1" si="194"/>
        <v>3738.5998495275917</v>
      </c>
      <c r="RU18" s="380">
        <f t="shared" ca="1" si="194"/>
        <v>2699.5316414866411</v>
      </c>
      <c r="RV18" s="380">
        <f t="shared" ca="1" si="194"/>
        <v>3784.6519609831826</v>
      </c>
      <c r="RW18" s="380">
        <f t="shared" ca="1" si="194"/>
        <v>2902.9259263437384</v>
      </c>
      <c r="RX18" s="380">
        <f t="shared" ca="1" si="194"/>
        <v>4665.0700461144315</v>
      </c>
      <c r="RY18" s="380">
        <f t="shared" ca="1" si="194"/>
        <v>3381.8512950834297</v>
      </c>
      <c r="RZ18" s="380">
        <f t="shared" ca="1" si="194"/>
        <v>3188.5476038391789</v>
      </c>
      <c r="SA18" s="380">
        <f t="shared" ca="1" si="194"/>
        <v>3207.3070085643753</v>
      </c>
      <c r="SB18" s="380">
        <f t="shared" ca="1" si="194"/>
        <v>2857.9158075172882</v>
      </c>
      <c r="SC18" s="380">
        <f t="shared" ca="1" si="194"/>
        <v>3423.0240194318444</v>
      </c>
      <c r="SD18" s="380">
        <f t="shared" ca="1" si="194"/>
        <v>2579.7858616978569</v>
      </c>
      <c r="SE18" s="380">
        <f t="shared" ca="1" si="194"/>
        <v>3368.657041686597</v>
      </c>
      <c r="SF18" s="380">
        <f t="shared" ca="1" si="194"/>
        <v>3844.1147459742001</v>
      </c>
      <c r="SG18" s="380">
        <f t="shared" ca="1" si="194"/>
        <v>3848.9426071503813</v>
      </c>
      <c r="SH18" s="380">
        <f t="shared" ca="1" si="194"/>
        <v>3215.3698551943075</v>
      </c>
      <c r="SI18" s="380">
        <f t="shared" ca="1" si="194"/>
        <v>2762.0106269372432</v>
      </c>
      <c r="SJ18" s="380">
        <f t="shared" ca="1" si="194"/>
        <v>2814.5800313988207</v>
      </c>
      <c r="SK18" s="380">
        <f t="shared" ca="1" si="194"/>
        <v>3000.9825544348855</v>
      </c>
      <c r="SL18" s="380">
        <f t="shared" ca="1" si="194"/>
        <v>3876.1601235398748</v>
      </c>
      <c r="SM18" s="380">
        <f t="shared" ca="1" si="194"/>
        <v>2991.5491528495986</v>
      </c>
      <c r="SN18" s="380">
        <f t="shared" ca="1" si="194"/>
        <v>4050.5128643371099</v>
      </c>
      <c r="SO18" s="380">
        <f t="shared" ca="1" si="194"/>
        <v>3061.5387248895136</v>
      </c>
      <c r="SP18" s="380">
        <f t="shared" ca="1" si="194"/>
        <v>3096.5807376832695</v>
      </c>
      <c r="SQ18" s="380">
        <f t="shared" ca="1" si="194"/>
        <v>5061.237984808854</v>
      </c>
      <c r="SR18" s="380">
        <f t="shared" ca="1" si="194"/>
        <v>3771.5239229170561</v>
      </c>
      <c r="SS18" s="380">
        <f ca="1">_xlfn.GAMMA.INV(RAND(),$I$18,$J$18)</f>
        <v>3101.2830435700953</v>
      </c>
      <c r="ST18" s="380">
        <f t="shared" ref="ST18:VE18" ca="1" si="195">_xlfn.GAMMA.INV(RAND(),$I$18,$J$18)</f>
        <v>2983.3145207211901</v>
      </c>
      <c r="SU18" s="380">
        <f t="shared" ca="1" si="195"/>
        <v>3600.7134107076231</v>
      </c>
      <c r="SV18" s="380">
        <f t="shared" ca="1" si="195"/>
        <v>2243.3163727120473</v>
      </c>
      <c r="SW18" s="380">
        <f t="shared" ca="1" si="195"/>
        <v>3720.716183172708</v>
      </c>
      <c r="SX18" s="380">
        <f t="shared" ca="1" si="195"/>
        <v>3072.8603034537578</v>
      </c>
      <c r="SY18" s="380">
        <f t="shared" ca="1" si="195"/>
        <v>2079.9033260045776</v>
      </c>
      <c r="SZ18" s="380">
        <f t="shared" ca="1" si="195"/>
        <v>3517.7787966852939</v>
      </c>
      <c r="TA18" s="380">
        <f t="shared" ca="1" si="195"/>
        <v>3496.3128817598499</v>
      </c>
      <c r="TB18" s="380">
        <f t="shared" ca="1" si="195"/>
        <v>3811.185317241343</v>
      </c>
      <c r="TC18" s="380">
        <f t="shared" ca="1" si="195"/>
        <v>3406.228692264332</v>
      </c>
      <c r="TD18" s="380">
        <f t="shared" ca="1" si="195"/>
        <v>4029.9462353522408</v>
      </c>
      <c r="TE18" s="380">
        <f t="shared" ca="1" si="195"/>
        <v>2922.0848035842946</v>
      </c>
      <c r="TF18" s="380">
        <f t="shared" ca="1" si="195"/>
        <v>2462.8764863778119</v>
      </c>
      <c r="TG18" s="380">
        <f t="shared" ca="1" si="195"/>
        <v>3448.5028881448775</v>
      </c>
      <c r="TH18" s="380">
        <f t="shared" ca="1" si="195"/>
        <v>3037.6025007029061</v>
      </c>
      <c r="TI18" s="380">
        <f t="shared" ca="1" si="195"/>
        <v>2471.2727428770077</v>
      </c>
      <c r="TJ18" s="380">
        <f t="shared" ca="1" si="195"/>
        <v>3115.1271521748185</v>
      </c>
      <c r="TK18" s="380">
        <f t="shared" ca="1" si="195"/>
        <v>2732.1271302318505</v>
      </c>
      <c r="TL18" s="380">
        <f t="shared" ca="1" si="195"/>
        <v>2693.380221471918</v>
      </c>
      <c r="TM18" s="380">
        <f t="shared" ca="1" si="195"/>
        <v>2233.9046476118215</v>
      </c>
      <c r="TN18" s="380">
        <f t="shared" ca="1" si="195"/>
        <v>3747.3426118994539</v>
      </c>
      <c r="TO18" s="380">
        <f t="shared" ca="1" si="195"/>
        <v>3543.7581853490115</v>
      </c>
      <c r="TP18" s="380">
        <f t="shared" ca="1" si="195"/>
        <v>3168.3143720455887</v>
      </c>
      <c r="TQ18" s="380">
        <f t="shared" ca="1" si="195"/>
        <v>2149.3381139982139</v>
      </c>
      <c r="TR18" s="380">
        <f t="shared" ca="1" si="195"/>
        <v>3396.9525003411227</v>
      </c>
      <c r="TS18" s="380">
        <f t="shared" ca="1" si="195"/>
        <v>4324.8642347569339</v>
      </c>
      <c r="TT18" s="380">
        <f t="shared" ca="1" si="195"/>
        <v>2390.4109008808136</v>
      </c>
      <c r="TU18" s="380">
        <f t="shared" ca="1" si="195"/>
        <v>4071.8907735648495</v>
      </c>
      <c r="TV18" s="380">
        <f t="shared" ca="1" si="195"/>
        <v>2512.0738877274521</v>
      </c>
      <c r="TW18" s="380">
        <f t="shared" ca="1" si="195"/>
        <v>3371.4554896654845</v>
      </c>
      <c r="TX18" s="380">
        <f t="shared" ca="1" si="195"/>
        <v>3767.8516745889656</v>
      </c>
      <c r="TY18" s="380">
        <f t="shared" ca="1" si="195"/>
        <v>2987.1536359479815</v>
      </c>
      <c r="TZ18" s="380">
        <f t="shared" ca="1" si="195"/>
        <v>3130.6649057588488</v>
      </c>
      <c r="UA18" s="380">
        <f t="shared" ca="1" si="195"/>
        <v>2338.4820243800646</v>
      </c>
      <c r="UB18" s="380">
        <f t="shared" ca="1" si="195"/>
        <v>2646.3493633661483</v>
      </c>
      <c r="UC18" s="380">
        <f t="shared" ca="1" si="195"/>
        <v>3156.7548959269011</v>
      </c>
      <c r="UD18" s="380">
        <f t="shared" ca="1" si="195"/>
        <v>2789.4188339670081</v>
      </c>
      <c r="UE18" s="380">
        <f t="shared" ca="1" si="195"/>
        <v>2256.0026398069076</v>
      </c>
      <c r="UF18" s="380">
        <f t="shared" ca="1" si="195"/>
        <v>3931.6404639698544</v>
      </c>
      <c r="UG18" s="380">
        <f t="shared" ca="1" si="195"/>
        <v>4372.7938675775631</v>
      </c>
      <c r="UH18" s="380">
        <f t="shared" ca="1" si="195"/>
        <v>2481.5141677529869</v>
      </c>
      <c r="UI18" s="380">
        <f t="shared" ca="1" si="195"/>
        <v>3027.8983352740074</v>
      </c>
      <c r="UJ18" s="380">
        <f t="shared" ca="1" si="195"/>
        <v>3826.5620563265907</v>
      </c>
      <c r="UK18" s="380">
        <f t="shared" ca="1" si="195"/>
        <v>3591.0235854753018</v>
      </c>
      <c r="UL18" s="380">
        <f t="shared" ca="1" si="195"/>
        <v>2908.2913246867665</v>
      </c>
      <c r="UM18" s="380">
        <f t="shared" ca="1" si="195"/>
        <v>3618.9010083917301</v>
      </c>
      <c r="UN18" s="380">
        <f t="shared" ca="1" si="195"/>
        <v>2998.2188658683963</v>
      </c>
      <c r="UO18" s="380">
        <f t="shared" ca="1" si="195"/>
        <v>3504.3049779532594</v>
      </c>
      <c r="UP18" s="380">
        <f t="shared" ca="1" si="195"/>
        <v>3393.8011235538829</v>
      </c>
      <c r="UQ18" s="380">
        <f t="shared" ca="1" si="195"/>
        <v>3169.4590918721747</v>
      </c>
      <c r="UR18" s="380">
        <f t="shared" ca="1" si="195"/>
        <v>1902.7604694930603</v>
      </c>
      <c r="US18" s="380">
        <f t="shared" ca="1" si="195"/>
        <v>3626.3549729212514</v>
      </c>
      <c r="UT18" s="380">
        <f t="shared" ca="1" si="195"/>
        <v>3406.4651066664428</v>
      </c>
      <c r="UU18" s="380">
        <f t="shared" ca="1" si="195"/>
        <v>2717.2463894334087</v>
      </c>
      <c r="UV18" s="380">
        <f t="shared" ca="1" si="195"/>
        <v>3482.7427752715362</v>
      </c>
      <c r="UW18" s="380">
        <f t="shared" ca="1" si="195"/>
        <v>3436.4108886391109</v>
      </c>
      <c r="UX18" s="380">
        <f t="shared" ca="1" si="195"/>
        <v>2500.5466156688126</v>
      </c>
      <c r="UY18" s="380">
        <f t="shared" ca="1" si="195"/>
        <v>2673.0625212011132</v>
      </c>
      <c r="UZ18" s="380">
        <f t="shared" ca="1" si="195"/>
        <v>3149.6878018949797</v>
      </c>
      <c r="VA18" s="380">
        <f t="shared" ca="1" si="195"/>
        <v>3559.6850319749915</v>
      </c>
      <c r="VB18" s="380">
        <f t="shared" ca="1" si="195"/>
        <v>4021.2623895653314</v>
      </c>
      <c r="VC18" s="380">
        <f t="shared" ca="1" si="195"/>
        <v>4554.7465276406547</v>
      </c>
      <c r="VD18" s="380">
        <f t="shared" ca="1" si="195"/>
        <v>3149.0014928662822</v>
      </c>
      <c r="VE18" s="380">
        <f t="shared" ca="1" si="195"/>
        <v>2602.3349691776498</v>
      </c>
      <c r="VF18" s="380">
        <f t="shared" ref="VF18:WN18" ca="1" si="196">_xlfn.GAMMA.INV(RAND(),$I$18,$J$18)</f>
        <v>3017.3881132303495</v>
      </c>
      <c r="VG18" s="380">
        <f t="shared" ca="1" si="196"/>
        <v>2849.0049156722157</v>
      </c>
      <c r="VH18" s="380">
        <f t="shared" ca="1" si="196"/>
        <v>2793.0839756855016</v>
      </c>
      <c r="VI18" s="380">
        <f t="shared" ca="1" si="196"/>
        <v>2732.9797126304748</v>
      </c>
      <c r="VJ18" s="380">
        <f t="shared" ca="1" si="196"/>
        <v>2779.3528671592662</v>
      </c>
      <c r="VK18" s="380">
        <f t="shared" ca="1" si="196"/>
        <v>4208.812216937089</v>
      </c>
      <c r="VL18" s="380">
        <f t="shared" ca="1" si="196"/>
        <v>2839.1044938280443</v>
      </c>
      <c r="VM18" s="380">
        <f t="shared" ca="1" si="196"/>
        <v>2731.0700496956583</v>
      </c>
      <c r="VN18" s="380">
        <f t="shared" ca="1" si="196"/>
        <v>2416.815790449491</v>
      </c>
      <c r="VO18" s="380">
        <f t="shared" ca="1" si="196"/>
        <v>3682.0811944843908</v>
      </c>
      <c r="VP18" s="380">
        <f t="shared" ca="1" si="196"/>
        <v>2655.1981888757086</v>
      </c>
      <c r="VQ18" s="380">
        <f t="shared" ca="1" si="196"/>
        <v>2238.5803695090449</v>
      </c>
      <c r="VR18" s="380">
        <f t="shared" ca="1" si="196"/>
        <v>3865.8444262761523</v>
      </c>
      <c r="VS18" s="380">
        <f t="shared" ca="1" si="196"/>
        <v>3974.1156333186059</v>
      </c>
      <c r="VT18" s="380">
        <f t="shared" ca="1" si="196"/>
        <v>2810.4284696417253</v>
      </c>
      <c r="VU18" s="380">
        <f t="shared" ca="1" si="196"/>
        <v>3835.4387190015082</v>
      </c>
      <c r="VV18" s="380">
        <f t="shared" ca="1" si="196"/>
        <v>3607.2557473840925</v>
      </c>
      <c r="VW18" s="380">
        <f t="shared" ca="1" si="196"/>
        <v>2999.6869589474654</v>
      </c>
      <c r="VX18" s="380">
        <f t="shared" ca="1" si="196"/>
        <v>4139.3606681531273</v>
      </c>
      <c r="VY18" s="380">
        <f t="shared" ca="1" si="196"/>
        <v>3235.7883491058733</v>
      </c>
      <c r="VZ18" s="380">
        <f t="shared" ca="1" si="196"/>
        <v>4042.0927379366576</v>
      </c>
      <c r="WA18" s="380">
        <f t="shared" ca="1" si="196"/>
        <v>3354.7025653394608</v>
      </c>
      <c r="WB18" s="380">
        <f t="shared" ca="1" si="196"/>
        <v>3411.2198531580216</v>
      </c>
      <c r="WC18" s="380">
        <f t="shared" ca="1" si="196"/>
        <v>2910.9755227868459</v>
      </c>
      <c r="WD18" s="380">
        <f t="shared" ca="1" si="196"/>
        <v>2489.394835690337</v>
      </c>
      <c r="WE18" s="380">
        <f t="shared" ca="1" si="196"/>
        <v>2727.5055886563246</v>
      </c>
      <c r="WF18" s="380">
        <f t="shared" ca="1" si="196"/>
        <v>2870.3159522838769</v>
      </c>
      <c r="WG18" s="380">
        <f t="shared" ca="1" si="196"/>
        <v>2849.0221125303337</v>
      </c>
      <c r="WH18" s="380">
        <f t="shared" ca="1" si="196"/>
        <v>2880.286108899817</v>
      </c>
      <c r="WI18" s="380">
        <f t="shared" ca="1" si="196"/>
        <v>2105.2479598862292</v>
      </c>
      <c r="WJ18" s="380">
        <f t="shared" ca="1" si="196"/>
        <v>2457.8969356829448</v>
      </c>
      <c r="WK18" s="380">
        <f t="shared" ca="1" si="196"/>
        <v>2963.3284044959428</v>
      </c>
      <c r="WL18" s="380">
        <f t="shared" ca="1" si="196"/>
        <v>2804.1311934427031</v>
      </c>
      <c r="WM18" s="380">
        <f t="shared" ca="1" si="196"/>
        <v>3425.3726166868437</v>
      </c>
      <c r="WN18" s="380">
        <f t="shared" ca="1" si="196"/>
        <v>4270.6526743236927</v>
      </c>
    </row>
    <row r="19" spans="2:612" x14ac:dyDescent="0.15">
      <c r="B19" s="469" t="s">
        <v>902</v>
      </c>
      <c r="D19" s="363">
        <f t="shared" si="0"/>
        <v>0.77</v>
      </c>
      <c r="F19" s="367">
        <v>0.77</v>
      </c>
      <c r="G19" s="367" t="s">
        <v>350</v>
      </c>
      <c r="H19" s="363">
        <v>6.5772731964821363E-2</v>
      </c>
      <c r="I19" s="363">
        <f t="shared" ref="I19:I33" si="197">LN(F19)-((H19^2)/2)</f>
        <v>-0.26352779026946566</v>
      </c>
      <c r="J19" s="367">
        <f t="shared" ref="J19:J33" si="198">SQRT( LN( 1 + (H19^2)/(F19^2) ) )</f>
        <v>8.5263931584280042E-2</v>
      </c>
      <c r="K19" s="367" t="s">
        <v>1274</v>
      </c>
      <c r="M19" s="363">
        <f ca="1">_xlfn.LOGNORM.INV(RAND(),$I$19,$J$19)</f>
        <v>0.73557079245815526</v>
      </c>
      <c r="N19" s="363">
        <f t="shared" ref="N19:BY19" ca="1" si="199">_xlfn.LOGNORM.INV(RAND(),$I$19,$J$19)</f>
        <v>0.78555124055648784</v>
      </c>
      <c r="O19" s="363">
        <f t="shared" ca="1" si="199"/>
        <v>0.77458584715826695</v>
      </c>
      <c r="P19" s="363">
        <f t="shared" ca="1" si="199"/>
        <v>0.78633032918437795</v>
      </c>
      <c r="Q19" s="363">
        <f t="shared" ca="1" si="199"/>
        <v>0.77785738568580254</v>
      </c>
      <c r="R19" s="363">
        <f t="shared" ca="1" si="199"/>
        <v>0.69940832180871049</v>
      </c>
      <c r="S19" s="363">
        <f t="shared" ca="1" si="199"/>
        <v>0.80472565001667629</v>
      </c>
      <c r="T19" s="363">
        <f t="shared" ca="1" si="199"/>
        <v>0.74382196725936556</v>
      </c>
      <c r="U19" s="363">
        <f t="shared" ca="1" si="199"/>
        <v>0.84690271475863366</v>
      </c>
      <c r="V19" s="363">
        <f t="shared" ca="1" si="199"/>
        <v>0.82828806632391205</v>
      </c>
      <c r="W19" s="363">
        <f t="shared" ca="1" si="199"/>
        <v>0.69411692810743075</v>
      </c>
      <c r="X19" s="363">
        <f t="shared" ca="1" si="199"/>
        <v>0.80779734309011186</v>
      </c>
      <c r="Y19" s="363">
        <f t="shared" ca="1" si="199"/>
        <v>0.82681832217214213</v>
      </c>
      <c r="Z19" s="363">
        <f t="shared" ca="1" si="199"/>
        <v>0.8382332169152924</v>
      </c>
      <c r="AA19" s="363">
        <f t="shared" ca="1" si="199"/>
        <v>0.69746297336612484</v>
      </c>
      <c r="AB19" s="363">
        <f t="shared" ca="1" si="199"/>
        <v>0.71249496492121511</v>
      </c>
      <c r="AC19" s="363">
        <f t="shared" ca="1" si="199"/>
        <v>0.76825389603586602</v>
      </c>
      <c r="AD19" s="363">
        <f t="shared" ca="1" si="199"/>
        <v>0.70174508415837378</v>
      </c>
      <c r="AE19" s="363">
        <f t="shared" ca="1" si="199"/>
        <v>0.82626875433942948</v>
      </c>
      <c r="AF19" s="363">
        <f t="shared" ca="1" si="199"/>
        <v>0.78197097930208725</v>
      </c>
      <c r="AG19" s="363">
        <f t="shared" ca="1" si="199"/>
        <v>0.92581933210193512</v>
      </c>
      <c r="AH19" s="363">
        <f t="shared" ca="1" si="199"/>
        <v>0.81503529610710412</v>
      </c>
      <c r="AI19" s="363">
        <f t="shared" ca="1" si="199"/>
        <v>0.73339937182990433</v>
      </c>
      <c r="AJ19" s="363">
        <f t="shared" ca="1" si="199"/>
        <v>0.74561615896657663</v>
      </c>
      <c r="AK19" s="363">
        <f t="shared" ca="1" si="199"/>
        <v>0.82824467101565924</v>
      </c>
      <c r="AL19" s="363">
        <f t="shared" ca="1" si="199"/>
        <v>0.62779658877267541</v>
      </c>
      <c r="AM19" s="363">
        <f t="shared" ca="1" si="199"/>
        <v>0.65220264810877637</v>
      </c>
      <c r="AN19" s="363">
        <f t="shared" ca="1" si="199"/>
        <v>0.71800357372966617</v>
      </c>
      <c r="AO19" s="363">
        <f t="shared" ca="1" si="199"/>
        <v>0.76645383043414117</v>
      </c>
      <c r="AP19" s="363">
        <f t="shared" ca="1" si="199"/>
        <v>0.6440712212402887</v>
      </c>
      <c r="AQ19" s="363">
        <f t="shared" ca="1" si="199"/>
        <v>0.71239890095684655</v>
      </c>
      <c r="AR19" s="363">
        <f t="shared" ca="1" si="199"/>
        <v>0.77862402757016547</v>
      </c>
      <c r="AS19" s="363">
        <f t="shared" ca="1" si="199"/>
        <v>0.82131511793414247</v>
      </c>
      <c r="AT19" s="363">
        <f t="shared" ca="1" si="199"/>
        <v>0.80569492147304111</v>
      </c>
      <c r="AU19" s="363">
        <f t="shared" ca="1" si="199"/>
        <v>0.71734429201509897</v>
      </c>
      <c r="AV19" s="363">
        <f t="shared" ca="1" si="199"/>
        <v>0.79099779645574664</v>
      </c>
      <c r="AW19" s="363">
        <f t="shared" ca="1" si="199"/>
        <v>0.79411728239605972</v>
      </c>
      <c r="AX19" s="363">
        <f t="shared" ca="1" si="199"/>
        <v>0.77677869033221347</v>
      </c>
      <c r="AY19" s="363">
        <f t="shared" ca="1" si="199"/>
        <v>0.81418165773713969</v>
      </c>
      <c r="AZ19" s="363">
        <f t="shared" ca="1" si="199"/>
        <v>0.90786121072327186</v>
      </c>
      <c r="BA19" s="363">
        <f t="shared" ca="1" si="199"/>
        <v>0.82477506713108328</v>
      </c>
      <c r="BB19" s="363">
        <f t="shared" ca="1" si="199"/>
        <v>0.77606081083542822</v>
      </c>
      <c r="BC19" s="363">
        <f t="shared" ca="1" si="199"/>
        <v>0.74442483722457153</v>
      </c>
      <c r="BD19" s="363">
        <f t="shared" ca="1" si="199"/>
        <v>0.85647190559444963</v>
      </c>
      <c r="BE19" s="363">
        <f t="shared" ca="1" si="199"/>
        <v>0.76478607992757197</v>
      </c>
      <c r="BF19" s="363">
        <f t="shared" ca="1" si="199"/>
        <v>0.73685544319009866</v>
      </c>
      <c r="BG19" s="363">
        <f t="shared" ca="1" si="199"/>
        <v>0.81181320610938679</v>
      </c>
      <c r="BH19" s="363">
        <f t="shared" ca="1" si="199"/>
        <v>0.8234100205319258</v>
      </c>
      <c r="BI19" s="363">
        <f t="shared" ca="1" si="199"/>
        <v>0.92768038310553569</v>
      </c>
      <c r="BJ19" s="363">
        <f t="shared" ca="1" si="199"/>
        <v>0.71601395960591585</v>
      </c>
      <c r="BK19" s="363">
        <f t="shared" ca="1" si="199"/>
        <v>0.80098634331428176</v>
      </c>
      <c r="BL19" s="363">
        <f t="shared" ca="1" si="199"/>
        <v>0.90600198391017206</v>
      </c>
      <c r="BM19" s="363">
        <f t="shared" ca="1" si="199"/>
        <v>0.7826103242210336</v>
      </c>
      <c r="BN19" s="363">
        <f t="shared" ca="1" si="199"/>
        <v>0.67211138623132782</v>
      </c>
      <c r="BO19" s="363">
        <f t="shared" ca="1" si="199"/>
        <v>0.77681231929660433</v>
      </c>
      <c r="BP19" s="363">
        <f t="shared" ca="1" si="199"/>
        <v>0.71607257115991219</v>
      </c>
      <c r="BQ19" s="363">
        <f t="shared" ca="1" si="199"/>
        <v>0.74268796491627653</v>
      </c>
      <c r="BR19" s="363">
        <f t="shared" ca="1" si="199"/>
        <v>0.64090744033988278</v>
      </c>
      <c r="BS19" s="363">
        <f t="shared" ca="1" si="199"/>
        <v>0.69664324803612221</v>
      </c>
      <c r="BT19" s="363">
        <f t="shared" ca="1" si="199"/>
        <v>0.78543925371916656</v>
      </c>
      <c r="BU19" s="363">
        <f t="shared" ca="1" si="199"/>
        <v>0.7470892470559759</v>
      </c>
      <c r="BV19" s="363">
        <f t="shared" ca="1" si="199"/>
        <v>0.73244544050448912</v>
      </c>
      <c r="BW19" s="363">
        <f t="shared" ca="1" si="199"/>
        <v>0.70576903773044397</v>
      </c>
      <c r="BX19" s="363">
        <f t="shared" ca="1" si="199"/>
        <v>0.75443476473128701</v>
      </c>
      <c r="BY19" s="363">
        <f t="shared" ca="1" si="199"/>
        <v>0.89326236537007264</v>
      </c>
      <c r="BZ19" s="363">
        <f t="shared" ref="BZ19:DH19" ca="1" si="200">_xlfn.LOGNORM.INV(RAND(),$I$19,$J$19)</f>
        <v>0.7258506960655724</v>
      </c>
      <c r="CA19" s="363">
        <f t="shared" ca="1" si="200"/>
        <v>0.78886667086284357</v>
      </c>
      <c r="CB19" s="363">
        <f t="shared" ca="1" si="200"/>
        <v>0.85914175953388838</v>
      </c>
      <c r="CC19" s="363">
        <f t="shared" ca="1" si="200"/>
        <v>0.89455045913085973</v>
      </c>
      <c r="CD19" s="363">
        <f t="shared" ca="1" si="200"/>
        <v>0.84903522743371218</v>
      </c>
      <c r="CE19" s="363">
        <f t="shared" ca="1" si="200"/>
        <v>0.75116109181805002</v>
      </c>
      <c r="CF19" s="363">
        <f t="shared" ca="1" si="200"/>
        <v>0.85805848970760279</v>
      </c>
      <c r="CG19" s="363">
        <f t="shared" ca="1" si="200"/>
        <v>0.70369112724598437</v>
      </c>
      <c r="CH19" s="363">
        <f t="shared" ca="1" si="200"/>
        <v>0.73979950987875731</v>
      </c>
      <c r="CI19" s="363">
        <f t="shared" ca="1" si="200"/>
        <v>0.77631197676027908</v>
      </c>
      <c r="CJ19" s="363">
        <f t="shared" ca="1" si="200"/>
        <v>0.72819757190118661</v>
      </c>
      <c r="CK19" s="363">
        <f t="shared" ca="1" si="200"/>
        <v>0.78331119460927801</v>
      </c>
      <c r="CL19" s="363">
        <f t="shared" ca="1" si="200"/>
        <v>0.76619468848117567</v>
      </c>
      <c r="CM19" s="363">
        <f t="shared" ca="1" si="200"/>
        <v>0.68076534595795535</v>
      </c>
      <c r="CN19" s="363">
        <f t="shared" ca="1" si="200"/>
        <v>0.81612645275788764</v>
      </c>
      <c r="CO19" s="363">
        <f t="shared" ca="1" si="200"/>
        <v>0.71860613121686523</v>
      </c>
      <c r="CP19" s="363">
        <f t="shared" ca="1" si="200"/>
        <v>0.85564900778740227</v>
      </c>
      <c r="CQ19" s="363">
        <f t="shared" ca="1" si="200"/>
        <v>0.8929879485458998</v>
      </c>
      <c r="CR19" s="363">
        <f t="shared" ca="1" si="200"/>
        <v>0.78051076128141239</v>
      </c>
      <c r="CS19" s="363">
        <f t="shared" ca="1" si="200"/>
        <v>0.85556054261703718</v>
      </c>
      <c r="CT19" s="363">
        <f t="shared" ca="1" si="200"/>
        <v>0.72085358593596471</v>
      </c>
      <c r="CU19" s="363">
        <f t="shared" ca="1" si="200"/>
        <v>0.85051981052970438</v>
      </c>
      <c r="CV19" s="363">
        <f t="shared" ca="1" si="200"/>
        <v>0.82798685415283924</v>
      </c>
      <c r="CW19" s="363">
        <f t="shared" ca="1" si="200"/>
        <v>0.71362064633074851</v>
      </c>
      <c r="CX19" s="363">
        <f t="shared" ca="1" si="200"/>
        <v>0.78799959508748252</v>
      </c>
      <c r="CY19" s="363">
        <f t="shared" ca="1" si="200"/>
        <v>0.7737165661464831</v>
      </c>
      <c r="CZ19" s="363">
        <f t="shared" ca="1" si="200"/>
        <v>0.76169118002705316</v>
      </c>
      <c r="DA19" s="363">
        <f t="shared" ca="1" si="200"/>
        <v>0.82400147024545534</v>
      </c>
      <c r="DB19" s="363">
        <f t="shared" ca="1" si="200"/>
        <v>0.77378555237652313</v>
      </c>
      <c r="DC19" s="363">
        <f t="shared" ca="1" si="200"/>
        <v>0.72182212490495723</v>
      </c>
      <c r="DD19" s="363">
        <f t="shared" ca="1" si="200"/>
        <v>0.7461153791142735</v>
      </c>
      <c r="DE19" s="363">
        <f t="shared" ca="1" si="200"/>
        <v>0.75427815522926467</v>
      </c>
      <c r="DF19" s="363">
        <f t="shared" ca="1" si="200"/>
        <v>0.7912039880448698</v>
      </c>
      <c r="DG19" s="363">
        <f t="shared" ca="1" si="200"/>
        <v>0.61683962963897931</v>
      </c>
      <c r="DH19" s="363">
        <f t="shared" ca="1" si="200"/>
        <v>0.72751878154248528</v>
      </c>
      <c r="DI19" s="363">
        <f ca="1">_xlfn.LOGNORM.INV(RAND(),$I$19,$J$19)</f>
        <v>0.8455796528640227</v>
      </c>
      <c r="DJ19" s="363">
        <f t="shared" ref="DJ19:FU19" ca="1" si="201">_xlfn.LOGNORM.INV(RAND(),$I$19,$J$19)</f>
        <v>0.73683706337730337</v>
      </c>
      <c r="DK19" s="363">
        <f t="shared" ca="1" si="201"/>
        <v>0.78102194023369176</v>
      </c>
      <c r="DL19" s="363">
        <f t="shared" ca="1" si="201"/>
        <v>0.70528386937152721</v>
      </c>
      <c r="DM19" s="363">
        <f t="shared" ca="1" si="201"/>
        <v>0.77654520539900929</v>
      </c>
      <c r="DN19" s="363">
        <f t="shared" ca="1" si="201"/>
        <v>0.70114252503455932</v>
      </c>
      <c r="DO19" s="363">
        <f t="shared" ca="1" si="201"/>
        <v>0.77573546466305687</v>
      </c>
      <c r="DP19" s="363">
        <f t="shared" ca="1" si="201"/>
        <v>0.77408391952927713</v>
      </c>
      <c r="DQ19" s="363">
        <f t="shared" ca="1" si="201"/>
        <v>0.77710622964235898</v>
      </c>
      <c r="DR19" s="363">
        <f t="shared" ca="1" si="201"/>
        <v>0.64567885295013427</v>
      </c>
      <c r="DS19" s="363">
        <f t="shared" ca="1" si="201"/>
        <v>0.82706618888254491</v>
      </c>
      <c r="DT19" s="363">
        <f t="shared" ca="1" si="201"/>
        <v>0.79766625306708572</v>
      </c>
      <c r="DU19" s="363">
        <f t="shared" ca="1" si="201"/>
        <v>0.83362257945150131</v>
      </c>
      <c r="DV19" s="363">
        <f t="shared" ca="1" si="201"/>
        <v>0.92707104717185373</v>
      </c>
      <c r="DW19" s="363">
        <f t="shared" ca="1" si="201"/>
        <v>0.77077721433887247</v>
      </c>
      <c r="DX19" s="363">
        <f t="shared" ca="1" si="201"/>
        <v>0.84683084041617995</v>
      </c>
      <c r="DY19" s="363">
        <f t="shared" ca="1" si="201"/>
        <v>0.83468553329219242</v>
      </c>
      <c r="DZ19" s="363">
        <f t="shared" ca="1" si="201"/>
        <v>0.66312859511743194</v>
      </c>
      <c r="EA19" s="363">
        <f t="shared" ca="1" si="201"/>
        <v>0.76840584639411313</v>
      </c>
      <c r="EB19" s="363">
        <f t="shared" ca="1" si="201"/>
        <v>0.77072355445257301</v>
      </c>
      <c r="EC19" s="363">
        <f t="shared" ca="1" si="201"/>
        <v>0.78427996752473783</v>
      </c>
      <c r="ED19" s="363">
        <f t="shared" ca="1" si="201"/>
        <v>0.77772582801641754</v>
      </c>
      <c r="EE19" s="363">
        <f t="shared" ca="1" si="201"/>
        <v>0.69571769498033531</v>
      </c>
      <c r="EF19" s="363">
        <f t="shared" ca="1" si="201"/>
        <v>0.81573164277284371</v>
      </c>
      <c r="EG19" s="363">
        <f t="shared" ca="1" si="201"/>
        <v>0.82619774083034347</v>
      </c>
      <c r="EH19" s="363">
        <f t="shared" ca="1" si="201"/>
        <v>0.75719535138676397</v>
      </c>
      <c r="EI19" s="363">
        <f t="shared" ca="1" si="201"/>
        <v>0.96619742792106289</v>
      </c>
      <c r="EJ19" s="363">
        <f t="shared" ca="1" si="201"/>
        <v>0.87772391669662542</v>
      </c>
      <c r="EK19" s="363">
        <f t="shared" ca="1" si="201"/>
        <v>0.7603336676452328</v>
      </c>
      <c r="EL19" s="363">
        <f t="shared" ca="1" si="201"/>
        <v>0.87718802292859799</v>
      </c>
      <c r="EM19" s="363">
        <f t="shared" ca="1" si="201"/>
        <v>0.70858916108380676</v>
      </c>
      <c r="EN19" s="363">
        <f t="shared" ca="1" si="201"/>
        <v>0.71669440410106666</v>
      </c>
      <c r="EO19" s="363">
        <f t="shared" ca="1" si="201"/>
        <v>0.72601296260783243</v>
      </c>
      <c r="EP19" s="363">
        <f t="shared" ca="1" si="201"/>
        <v>0.79170512275392979</v>
      </c>
      <c r="EQ19" s="363">
        <f t="shared" ca="1" si="201"/>
        <v>0.87693117599060744</v>
      </c>
      <c r="ER19" s="363">
        <f t="shared" ca="1" si="201"/>
        <v>0.77045119970094889</v>
      </c>
      <c r="ES19" s="363">
        <f t="shared" ca="1" si="201"/>
        <v>0.77091384269724983</v>
      </c>
      <c r="ET19" s="363">
        <f t="shared" ca="1" si="201"/>
        <v>0.79924251082025777</v>
      </c>
      <c r="EU19" s="363">
        <f t="shared" ca="1" si="201"/>
        <v>0.81866633793002996</v>
      </c>
      <c r="EV19" s="363">
        <f t="shared" ca="1" si="201"/>
        <v>0.7291406711734526</v>
      </c>
      <c r="EW19" s="363">
        <f t="shared" ca="1" si="201"/>
        <v>0.76189115486710357</v>
      </c>
      <c r="EX19" s="363">
        <f t="shared" ca="1" si="201"/>
        <v>0.76520825037243489</v>
      </c>
      <c r="EY19" s="363">
        <f t="shared" ca="1" si="201"/>
        <v>0.76236091623614877</v>
      </c>
      <c r="EZ19" s="363">
        <f t="shared" ca="1" si="201"/>
        <v>0.81978669111099434</v>
      </c>
      <c r="FA19" s="363">
        <f t="shared" ca="1" si="201"/>
        <v>0.68574431445601558</v>
      </c>
      <c r="FB19" s="363">
        <f t="shared" ca="1" si="201"/>
        <v>0.83282658085348005</v>
      </c>
      <c r="FC19" s="363">
        <f t="shared" ca="1" si="201"/>
        <v>0.77140722345204371</v>
      </c>
      <c r="FD19" s="363">
        <f t="shared" ca="1" si="201"/>
        <v>0.76419522582366783</v>
      </c>
      <c r="FE19" s="363">
        <f t="shared" ca="1" si="201"/>
        <v>0.77161764076741868</v>
      </c>
      <c r="FF19" s="363">
        <f t="shared" ca="1" si="201"/>
        <v>0.72649799672411319</v>
      </c>
      <c r="FG19" s="363">
        <f t="shared" ca="1" si="201"/>
        <v>0.73516247078648067</v>
      </c>
      <c r="FH19" s="363">
        <f t="shared" ca="1" si="201"/>
        <v>0.74899710469267822</v>
      </c>
      <c r="FI19" s="363">
        <f t="shared" ca="1" si="201"/>
        <v>0.85284060520377913</v>
      </c>
      <c r="FJ19" s="363">
        <f t="shared" ca="1" si="201"/>
        <v>0.76810442846061722</v>
      </c>
      <c r="FK19" s="363">
        <f t="shared" ca="1" si="201"/>
        <v>0.72407009646368736</v>
      </c>
      <c r="FL19" s="363">
        <f t="shared" ca="1" si="201"/>
        <v>0.79208647094285678</v>
      </c>
      <c r="FM19" s="363">
        <f t="shared" ca="1" si="201"/>
        <v>0.7455702266085602</v>
      </c>
      <c r="FN19" s="363">
        <f t="shared" ca="1" si="201"/>
        <v>0.72145785173938237</v>
      </c>
      <c r="FO19" s="363">
        <f t="shared" ca="1" si="201"/>
        <v>0.79115939839184446</v>
      </c>
      <c r="FP19" s="363">
        <f t="shared" ca="1" si="201"/>
        <v>0.72037652636753113</v>
      </c>
      <c r="FQ19" s="363">
        <f t="shared" ca="1" si="201"/>
        <v>0.77076944346441145</v>
      </c>
      <c r="FR19" s="363">
        <f t="shared" ca="1" si="201"/>
        <v>0.62013881311725583</v>
      </c>
      <c r="FS19" s="363">
        <f t="shared" ca="1" si="201"/>
        <v>0.8018574043852722</v>
      </c>
      <c r="FT19" s="363">
        <f t="shared" ca="1" si="201"/>
        <v>0.64460551070320304</v>
      </c>
      <c r="FU19" s="363">
        <f t="shared" ca="1" si="201"/>
        <v>0.66759678745123985</v>
      </c>
      <c r="FV19" s="363">
        <f t="shared" ref="FV19:HD19" ca="1" si="202">_xlfn.LOGNORM.INV(RAND(),$I$19,$J$19)</f>
        <v>0.7720121485610002</v>
      </c>
      <c r="FW19" s="363">
        <f t="shared" ca="1" si="202"/>
        <v>0.94388357792537336</v>
      </c>
      <c r="FX19" s="363">
        <f t="shared" ca="1" si="202"/>
        <v>0.76575009925406734</v>
      </c>
      <c r="FY19" s="363">
        <f t="shared" ca="1" si="202"/>
        <v>0.77312010056929215</v>
      </c>
      <c r="FZ19" s="363">
        <f t="shared" ca="1" si="202"/>
        <v>0.74167590329017752</v>
      </c>
      <c r="GA19" s="363">
        <f t="shared" ca="1" si="202"/>
        <v>0.71012135284261646</v>
      </c>
      <c r="GB19" s="363">
        <f t="shared" ca="1" si="202"/>
        <v>0.82600843129250823</v>
      </c>
      <c r="GC19" s="363">
        <f t="shared" ca="1" si="202"/>
        <v>0.80833257999555674</v>
      </c>
      <c r="GD19" s="363">
        <f t="shared" ca="1" si="202"/>
        <v>0.90767518134085501</v>
      </c>
      <c r="GE19" s="363">
        <f t="shared" ca="1" si="202"/>
        <v>0.81961224096047947</v>
      </c>
      <c r="GF19" s="363">
        <f t="shared" ca="1" si="202"/>
        <v>0.85053131483665068</v>
      </c>
      <c r="GG19" s="363">
        <f t="shared" ca="1" si="202"/>
        <v>0.80725987558240142</v>
      </c>
      <c r="GH19" s="363">
        <f t="shared" ca="1" si="202"/>
        <v>0.70973837908159265</v>
      </c>
      <c r="GI19" s="363">
        <f t="shared" ca="1" si="202"/>
        <v>0.70900656987956068</v>
      </c>
      <c r="GJ19" s="363">
        <f t="shared" ca="1" si="202"/>
        <v>0.89838408560638883</v>
      </c>
      <c r="GK19" s="363">
        <f t="shared" ca="1" si="202"/>
        <v>0.7105805331882773</v>
      </c>
      <c r="GL19" s="363">
        <f t="shared" ca="1" si="202"/>
        <v>0.70461569625637166</v>
      </c>
      <c r="GM19" s="363">
        <f t="shared" ca="1" si="202"/>
        <v>0.80739165876882435</v>
      </c>
      <c r="GN19" s="363">
        <f t="shared" ca="1" si="202"/>
        <v>0.77000618176787006</v>
      </c>
      <c r="GO19" s="363">
        <f t="shared" ca="1" si="202"/>
        <v>0.75724652134179693</v>
      </c>
      <c r="GP19" s="363">
        <f t="shared" ca="1" si="202"/>
        <v>0.78145931969370774</v>
      </c>
      <c r="GQ19" s="363">
        <f t="shared" ca="1" si="202"/>
        <v>0.82205958332966755</v>
      </c>
      <c r="GR19" s="363">
        <f t="shared" ca="1" si="202"/>
        <v>0.67450948180447168</v>
      </c>
      <c r="GS19" s="363">
        <f t="shared" ca="1" si="202"/>
        <v>0.82138908757299811</v>
      </c>
      <c r="GT19" s="363">
        <f t="shared" ca="1" si="202"/>
        <v>0.7437035736716594</v>
      </c>
      <c r="GU19" s="363">
        <f t="shared" ca="1" si="202"/>
        <v>0.78285250883106994</v>
      </c>
      <c r="GV19" s="363">
        <f t="shared" ca="1" si="202"/>
        <v>0.8346217571093959</v>
      </c>
      <c r="GW19" s="363">
        <f t="shared" ca="1" si="202"/>
        <v>0.75023229275872594</v>
      </c>
      <c r="GX19" s="363">
        <f t="shared" ca="1" si="202"/>
        <v>0.85023913107218041</v>
      </c>
      <c r="GY19" s="363">
        <f t="shared" ca="1" si="202"/>
        <v>0.84740788393213495</v>
      </c>
      <c r="GZ19" s="363">
        <f t="shared" ca="1" si="202"/>
        <v>0.78002865607663907</v>
      </c>
      <c r="HA19" s="363">
        <f t="shared" ca="1" si="202"/>
        <v>0.81423018494704713</v>
      </c>
      <c r="HB19" s="363">
        <f t="shared" ca="1" si="202"/>
        <v>0.78364058411925119</v>
      </c>
      <c r="HC19" s="363">
        <f t="shared" ca="1" si="202"/>
        <v>0.76664447257001189</v>
      </c>
      <c r="HD19" s="363">
        <f t="shared" ca="1" si="202"/>
        <v>0.71773878424816095</v>
      </c>
      <c r="HE19" s="363">
        <f ca="1">_xlfn.LOGNORM.INV(RAND(),$I$19,$J$19)</f>
        <v>0.86894957944007056</v>
      </c>
      <c r="HF19" s="363">
        <f t="shared" ref="HF19:JQ19" ca="1" si="203">_xlfn.LOGNORM.INV(RAND(),$I$19,$J$19)</f>
        <v>0.78294392430004378</v>
      </c>
      <c r="HG19" s="363">
        <f t="shared" ca="1" si="203"/>
        <v>0.72833345763913293</v>
      </c>
      <c r="HH19" s="363">
        <f t="shared" ca="1" si="203"/>
        <v>0.79913314399728841</v>
      </c>
      <c r="HI19" s="363">
        <f t="shared" ca="1" si="203"/>
        <v>0.8444849372214287</v>
      </c>
      <c r="HJ19" s="363">
        <f t="shared" ca="1" si="203"/>
        <v>0.88997351023813209</v>
      </c>
      <c r="HK19" s="363">
        <f t="shared" ca="1" si="203"/>
        <v>0.71303608148913922</v>
      </c>
      <c r="HL19" s="363">
        <f t="shared" ca="1" si="203"/>
        <v>0.84501380420272276</v>
      </c>
      <c r="HM19" s="363">
        <f t="shared" ca="1" si="203"/>
        <v>0.73030974263708548</v>
      </c>
      <c r="HN19" s="363">
        <f t="shared" ca="1" si="203"/>
        <v>0.76117448561548184</v>
      </c>
      <c r="HO19" s="363">
        <f t="shared" ca="1" si="203"/>
        <v>0.87051631061732415</v>
      </c>
      <c r="HP19" s="363">
        <f t="shared" ca="1" si="203"/>
        <v>0.78035400925363396</v>
      </c>
      <c r="HQ19" s="363">
        <f t="shared" ca="1" si="203"/>
        <v>0.81147153113438431</v>
      </c>
      <c r="HR19" s="363">
        <f t="shared" ca="1" si="203"/>
        <v>0.78968889632378858</v>
      </c>
      <c r="HS19" s="363">
        <f t="shared" ca="1" si="203"/>
        <v>0.70675713804113371</v>
      </c>
      <c r="HT19" s="363">
        <f t="shared" ca="1" si="203"/>
        <v>0.74586867037247417</v>
      </c>
      <c r="HU19" s="363">
        <f t="shared" ca="1" si="203"/>
        <v>0.86174158695086889</v>
      </c>
      <c r="HV19" s="363">
        <f t="shared" ca="1" si="203"/>
        <v>0.83088610920133976</v>
      </c>
      <c r="HW19" s="363">
        <f t="shared" ca="1" si="203"/>
        <v>0.72943107825690578</v>
      </c>
      <c r="HX19" s="363">
        <f t="shared" ca="1" si="203"/>
        <v>0.78414841075824027</v>
      </c>
      <c r="HY19" s="363">
        <f t="shared" ca="1" si="203"/>
        <v>0.65094660112460967</v>
      </c>
      <c r="HZ19" s="363">
        <f t="shared" ca="1" si="203"/>
        <v>0.84913004166195438</v>
      </c>
      <c r="IA19" s="363">
        <f t="shared" ca="1" si="203"/>
        <v>0.72091421901512831</v>
      </c>
      <c r="IB19" s="363">
        <f t="shared" ca="1" si="203"/>
        <v>0.77921975851481662</v>
      </c>
      <c r="IC19" s="363">
        <f t="shared" ca="1" si="203"/>
        <v>0.65710762709057424</v>
      </c>
      <c r="ID19" s="363">
        <f t="shared" ca="1" si="203"/>
        <v>0.81905265643174341</v>
      </c>
      <c r="IE19" s="363">
        <f t="shared" ca="1" si="203"/>
        <v>0.72321287325081407</v>
      </c>
      <c r="IF19" s="363">
        <f t="shared" ca="1" si="203"/>
        <v>0.86744512214722713</v>
      </c>
      <c r="IG19" s="363">
        <f t="shared" ca="1" si="203"/>
        <v>0.74599332558473652</v>
      </c>
      <c r="IH19" s="363">
        <f t="shared" ca="1" si="203"/>
        <v>0.78860654142180597</v>
      </c>
      <c r="II19" s="363">
        <f t="shared" ca="1" si="203"/>
        <v>0.80799558546392092</v>
      </c>
      <c r="IJ19" s="363">
        <f t="shared" ca="1" si="203"/>
        <v>0.61750341762713645</v>
      </c>
      <c r="IK19" s="363">
        <f t="shared" ca="1" si="203"/>
        <v>0.90487915279130315</v>
      </c>
      <c r="IL19" s="363">
        <f t="shared" ca="1" si="203"/>
        <v>0.6474022137605483</v>
      </c>
      <c r="IM19" s="363">
        <f t="shared" ca="1" si="203"/>
        <v>0.75186234210966174</v>
      </c>
      <c r="IN19" s="363">
        <f t="shared" ca="1" si="203"/>
        <v>0.7774777490935384</v>
      </c>
      <c r="IO19" s="363">
        <f t="shared" ca="1" si="203"/>
        <v>0.91492987233130463</v>
      </c>
      <c r="IP19" s="363">
        <f t="shared" ca="1" si="203"/>
        <v>0.69023057057470305</v>
      </c>
      <c r="IQ19" s="363">
        <f t="shared" ca="1" si="203"/>
        <v>0.85274156105287413</v>
      </c>
      <c r="IR19" s="363">
        <f t="shared" ca="1" si="203"/>
        <v>0.71899743268791316</v>
      </c>
      <c r="IS19" s="363">
        <f t="shared" ca="1" si="203"/>
        <v>0.72393137602658941</v>
      </c>
      <c r="IT19" s="363">
        <f t="shared" ca="1" si="203"/>
        <v>0.81420792330094982</v>
      </c>
      <c r="IU19" s="363">
        <f t="shared" ca="1" si="203"/>
        <v>0.73028682321721927</v>
      </c>
      <c r="IV19" s="363">
        <f t="shared" ca="1" si="203"/>
        <v>0.7637018820341186</v>
      </c>
      <c r="IW19" s="363">
        <f t="shared" ca="1" si="203"/>
        <v>0.90760069874399718</v>
      </c>
      <c r="IX19" s="363">
        <f t="shared" ca="1" si="203"/>
        <v>0.65602537497217661</v>
      </c>
      <c r="IY19" s="363">
        <f t="shared" ca="1" si="203"/>
        <v>0.88588153968782302</v>
      </c>
      <c r="IZ19" s="363">
        <f t="shared" ca="1" si="203"/>
        <v>0.83459363472750248</v>
      </c>
      <c r="JA19" s="363">
        <f t="shared" ca="1" si="203"/>
        <v>0.78563037286267945</v>
      </c>
      <c r="JB19" s="363">
        <f t="shared" ca="1" si="203"/>
        <v>0.7261142720005479</v>
      </c>
      <c r="JC19" s="363">
        <f t="shared" ca="1" si="203"/>
        <v>0.7022209100677772</v>
      </c>
      <c r="JD19" s="363">
        <f t="shared" ca="1" si="203"/>
        <v>0.77646254421259231</v>
      </c>
      <c r="JE19" s="363">
        <f t="shared" ca="1" si="203"/>
        <v>0.72397701305016915</v>
      </c>
      <c r="JF19" s="363">
        <f t="shared" ca="1" si="203"/>
        <v>0.90757606746115826</v>
      </c>
      <c r="JG19" s="363">
        <f t="shared" ca="1" si="203"/>
        <v>0.74313396551098321</v>
      </c>
      <c r="JH19" s="363">
        <f t="shared" ca="1" si="203"/>
        <v>0.79630181223086161</v>
      </c>
      <c r="JI19" s="363">
        <f t="shared" ca="1" si="203"/>
        <v>0.87366146513444443</v>
      </c>
      <c r="JJ19" s="363">
        <f t="shared" ca="1" si="203"/>
        <v>0.78261178518646535</v>
      </c>
      <c r="JK19" s="363">
        <f t="shared" ca="1" si="203"/>
        <v>0.79393651253550868</v>
      </c>
      <c r="JL19" s="363">
        <f t="shared" ca="1" si="203"/>
        <v>0.76742657689183602</v>
      </c>
      <c r="JM19" s="363">
        <f t="shared" ca="1" si="203"/>
        <v>0.74913005491645379</v>
      </c>
      <c r="JN19" s="363">
        <f t="shared" ca="1" si="203"/>
        <v>0.79406336117977794</v>
      </c>
      <c r="JO19" s="363">
        <f t="shared" ca="1" si="203"/>
        <v>0.78550364683201856</v>
      </c>
      <c r="JP19" s="363">
        <f t="shared" ca="1" si="203"/>
        <v>0.70673270522316245</v>
      </c>
      <c r="JQ19" s="363">
        <f t="shared" ca="1" si="203"/>
        <v>0.78562553619668907</v>
      </c>
      <c r="JR19" s="363">
        <f t="shared" ref="JR19:KZ19" ca="1" si="204">_xlfn.LOGNORM.INV(RAND(),$I$19,$J$19)</f>
        <v>0.7585920990017635</v>
      </c>
      <c r="JS19" s="363">
        <f t="shared" ca="1" si="204"/>
        <v>0.8581397000683032</v>
      </c>
      <c r="JT19" s="363">
        <f t="shared" ca="1" si="204"/>
        <v>0.85330813746095424</v>
      </c>
      <c r="JU19" s="363">
        <f t="shared" ca="1" si="204"/>
        <v>0.82524974286403896</v>
      </c>
      <c r="JV19" s="363">
        <f t="shared" ca="1" si="204"/>
        <v>0.6110687528969273</v>
      </c>
      <c r="JW19" s="363">
        <f t="shared" ca="1" si="204"/>
        <v>0.79615817638141029</v>
      </c>
      <c r="JX19" s="363">
        <f t="shared" ca="1" si="204"/>
        <v>0.80776951312188816</v>
      </c>
      <c r="JY19" s="363">
        <f t="shared" ca="1" si="204"/>
        <v>0.69552091499064062</v>
      </c>
      <c r="JZ19" s="363">
        <f t="shared" ca="1" si="204"/>
        <v>0.8313630580073641</v>
      </c>
      <c r="KA19" s="363">
        <f t="shared" ca="1" si="204"/>
        <v>0.69836434816287085</v>
      </c>
      <c r="KB19" s="363">
        <f t="shared" ca="1" si="204"/>
        <v>0.78732455410023827</v>
      </c>
      <c r="KC19" s="363">
        <f t="shared" ca="1" si="204"/>
        <v>0.81016154139929764</v>
      </c>
      <c r="KD19" s="363">
        <f t="shared" ca="1" si="204"/>
        <v>0.80607814998133076</v>
      </c>
      <c r="KE19" s="363">
        <f t="shared" ca="1" si="204"/>
        <v>0.75856108614756845</v>
      </c>
      <c r="KF19" s="363">
        <f t="shared" ca="1" si="204"/>
        <v>0.84998308049258731</v>
      </c>
      <c r="KG19" s="363">
        <f t="shared" ca="1" si="204"/>
        <v>0.82646647162715647</v>
      </c>
      <c r="KH19" s="363">
        <f t="shared" ca="1" si="204"/>
        <v>0.77783170162980553</v>
      </c>
      <c r="KI19" s="363">
        <f t="shared" ca="1" si="204"/>
        <v>0.76634474752993398</v>
      </c>
      <c r="KJ19" s="363">
        <f t="shared" ca="1" si="204"/>
        <v>0.84517900787460198</v>
      </c>
      <c r="KK19" s="363">
        <f t="shared" ca="1" si="204"/>
        <v>0.73949734962624492</v>
      </c>
      <c r="KL19" s="363">
        <f t="shared" ca="1" si="204"/>
        <v>0.82885738555216792</v>
      </c>
      <c r="KM19" s="363">
        <f t="shared" ca="1" si="204"/>
        <v>0.76947479711714994</v>
      </c>
      <c r="KN19" s="363">
        <f t="shared" ca="1" si="204"/>
        <v>0.84288546573537659</v>
      </c>
      <c r="KO19" s="363">
        <f t="shared" ca="1" si="204"/>
        <v>0.78567260263603556</v>
      </c>
      <c r="KP19" s="363">
        <f t="shared" ca="1" si="204"/>
        <v>0.77521794577933301</v>
      </c>
      <c r="KQ19" s="363">
        <f t="shared" ca="1" si="204"/>
        <v>0.70868848966912279</v>
      </c>
      <c r="KR19" s="363">
        <f t="shared" ca="1" si="204"/>
        <v>0.78743331779007453</v>
      </c>
      <c r="KS19" s="363">
        <f t="shared" ca="1" si="204"/>
        <v>0.77074294281782441</v>
      </c>
      <c r="KT19" s="363">
        <f t="shared" ca="1" si="204"/>
        <v>0.81684384962533441</v>
      </c>
      <c r="KU19" s="363">
        <f t="shared" ca="1" si="204"/>
        <v>0.90500292998837661</v>
      </c>
      <c r="KV19" s="363">
        <f t="shared" ca="1" si="204"/>
        <v>0.76823228881485628</v>
      </c>
      <c r="KW19" s="363">
        <f t="shared" ca="1" si="204"/>
        <v>0.78023841671801952</v>
      </c>
      <c r="KX19" s="363">
        <f t="shared" ca="1" si="204"/>
        <v>0.69271775987326134</v>
      </c>
      <c r="KY19" s="363">
        <f t="shared" ca="1" si="204"/>
        <v>0.87786660016740892</v>
      </c>
      <c r="KZ19" s="363">
        <f t="shared" ca="1" si="204"/>
        <v>0.81838942778034673</v>
      </c>
      <c r="LA19" s="363">
        <f ca="1">_xlfn.LOGNORM.INV(RAND(),$I$19,$J$19)</f>
        <v>0.76194966241290174</v>
      </c>
      <c r="LB19" s="363">
        <f t="shared" ref="LB19:NM19" ca="1" si="205">_xlfn.LOGNORM.INV(RAND(),$I$19,$J$19)</f>
        <v>0.81720712957488195</v>
      </c>
      <c r="LC19" s="363">
        <f t="shared" ca="1" si="205"/>
        <v>0.78694362021386755</v>
      </c>
      <c r="LD19" s="363">
        <f t="shared" ca="1" si="205"/>
        <v>0.7892844205895857</v>
      </c>
      <c r="LE19" s="363">
        <f t="shared" ca="1" si="205"/>
        <v>0.75658943587700689</v>
      </c>
      <c r="LF19" s="363">
        <f t="shared" ca="1" si="205"/>
        <v>0.71535030014387535</v>
      </c>
      <c r="LG19" s="363">
        <f t="shared" ca="1" si="205"/>
        <v>0.82070552318412759</v>
      </c>
      <c r="LH19" s="363">
        <f t="shared" ca="1" si="205"/>
        <v>0.89402660798999101</v>
      </c>
      <c r="LI19" s="363">
        <f t="shared" ca="1" si="205"/>
        <v>0.6849834523907723</v>
      </c>
      <c r="LJ19" s="363">
        <f t="shared" ca="1" si="205"/>
        <v>0.79414744707928109</v>
      </c>
      <c r="LK19" s="363">
        <f t="shared" ca="1" si="205"/>
        <v>0.87205408187635491</v>
      </c>
      <c r="LL19" s="363">
        <f t="shared" ca="1" si="205"/>
        <v>0.84574498321499969</v>
      </c>
      <c r="LM19" s="363">
        <f t="shared" ca="1" si="205"/>
        <v>0.82377340536235388</v>
      </c>
      <c r="LN19" s="363">
        <f t="shared" ca="1" si="205"/>
        <v>0.69681155946348416</v>
      </c>
      <c r="LO19" s="363">
        <f t="shared" ca="1" si="205"/>
        <v>0.8075388066726058</v>
      </c>
      <c r="LP19" s="363">
        <f t="shared" ca="1" si="205"/>
        <v>0.88081223995937463</v>
      </c>
      <c r="LQ19" s="363">
        <f t="shared" ca="1" si="205"/>
        <v>0.73791688997522109</v>
      </c>
      <c r="LR19" s="363">
        <f t="shared" ca="1" si="205"/>
        <v>0.78091205081229231</v>
      </c>
      <c r="LS19" s="363">
        <f t="shared" ca="1" si="205"/>
        <v>0.77827014080858148</v>
      </c>
      <c r="LT19" s="363">
        <f t="shared" ca="1" si="205"/>
        <v>0.83376946084273595</v>
      </c>
      <c r="LU19" s="363">
        <f t="shared" ca="1" si="205"/>
        <v>0.82665558011340479</v>
      </c>
      <c r="LV19" s="363">
        <f t="shared" ca="1" si="205"/>
        <v>0.80004679038572046</v>
      </c>
      <c r="LW19" s="363">
        <f t="shared" ca="1" si="205"/>
        <v>0.72376527480731556</v>
      </c>
      <c r="LX19" s="363">
        <f t="shared" ca="1" si="205"/>
        <v>0.71963150205593729</v>
      </c>
      <c r="LY19" s="363">
        <f t="shared" ca="1" si="205"/>
        <v>0.67405389599921439</v>
      </c>
      <c r="LZ19" s="363">
        <f t="shared" ca="1" si="205"/>
        <v>0.74380881111289998</v>
      </c>
      <c r="MA19" s="363">
        <f t="shared" ca="1" si="205"/>
        <v>0.81008711482610773</v>
      </c>
      <c r="MB19" s="363">
        <f t="shared" ca="1" si="205"/>
        <v>0.72860287347102415</v>
      </c>
      <c r="MC19" s="363">
        <f t="shared" ca="1" si="205"/>
        <v>0.77889168010296295</v>
      </c>
      <c r="MD19" s="363">
        <f t="shared" ca="1" si="205"/>
        <v>0.7958259752591389</v>
      </c>
      <c r="ME19" s="363">
        <f t="shared" ca="1" si="205"/>
        <v>0.76560647107960356</v>
      </c>
      <c r="MF19" s="363">
        <f t="shared" ca="1" si="205"/>
        <v>0.80086729073996987</v>
      </c>
      <c r="MG19" s="363">
        <f t="shared" ca="1" si="205"/>
        <v>0.73245851721597188</v>
      </c>
      <c r="MH19" s="363">
        <f t="shared" ca="1" si="205"/>
        <v>0.78153115031262854</v>
      </c>
      <c r="MI19" s="363">
        <f t="shared" ca="1" si="205"/>
        <v>0.74263149128730377</v>
      </c>
      <c r="MJ19" s="363">
        <f t="shared" ca="1" si="205"/>
        <v>0.79239116089116535</v>
      </c>
      <c r="MK19" s="363">
        <f t="shared" ca="1" si="205"/>
        <v>0.85766843862192033</v>
      </c>
      <c r="ML19" s="363">
        <f t="shared" ca="1" si="205"/>
        <v>0.76720645035261692</v>
      </c>
      <c r="MM19" s="363">
        <f t="shared" ca="1" si="205"/>
        <v>0.71323630413639449</v>
      </c>
      <c r="MN19" s="363">
        <f t="shared" ca="1" si="205"/>
        <v>0.8407815101566688</v>
      </c>
      <c r="MO19" s="363">
        <f t="shared" ca="1" si="205"/>
        <v>0.75803553790634548</v>
      </c>
      <c r="MP19" s="363">
        <f t="shared" ca="1" si="205"/>
        <v>0.7246417533343007</v>
      </c>
      <c r="MQ19" s="363">
        <f t="shared" ca="1" si="205"/>
        <v>0.85691510429317463</v>
      </c>
      <c r="MR19" s="363">
        <f t="shared" ca="1" si="205"/>
        <v>0.7798983888102865</v>
      </c>
      <c r="MS19" s="363">
        <f t="shared" ca="1" si="205"/>
        <v>0.75573500043770847</v>
      </c>
      <c r="MT19" s="363">
        <f t="shared" ca="1" si="205"/>
        <v>0.70763306846119389</v>
      </c>
      <c r="MU19" s="363">
        <f t="shared" ca="1" si="205"/>
        <v>0.64718561975133282</v>
      </c>
      <c r="MV19" s="363">
        <f t="shared" ca="1" si="205"/>
        <v>0.78618753486908211</v>
      </c>
      <c r="MW19" s="363">
        <f t="shared" ca="1" si="205"/>
        <v>0.76285723159261509</v>
      </c>
      <c r="MX19" s="363">
        <f t="shared" ca="1" si="205"/>
        <v>0.8455170458464597</v>
      </c>
      <c r="MY19" s="363">
        <f t="shared" ca="1" si="205"/>
        <v>0.66843793334225343</v>
      </c>
      <c r="MZ19" s="363">
        <f t="shared" ca="1" si="205"/>
        <v>0.90760806519900328</v>
      </c>
      <c r="NA19" s="363">
        <f t="shared" ca="1" si="205"/>
        <v>0.74888455493643469</v>
      </c>
      <c r="NB19" s="363">
        <f t="shared" ca="1" si="205"/>
        <v>0.71110719172667258</v>
      </c>
      <c r="NC19" s="363">
        <f t="shared" ca="1" si="205"/>
        <v>0.75523819031433026</v>
      </c>
      <c r="ND19" s="363">
        <f t="shared" ca="1" si="205"/>
        <v>0.79053683566265509</v>
      </c>
      <c r="NE19" s="363">
        <f t="shared" ca="1" si="205"/>
        <v>0.86267208893774328</v>
      </c>
      <c r="NF19" s="363">
        <f t="shared" ca="1" si="205"/>
        <v>0.65285560944950294</v>
      </c>
      <c r="NG19" s="363">
        <f t="shared" ca="1" si="205"/>
        <v>0.81368034947244894</v>
      </c>
      <c r="NH19" s="363">
        <f t="shared" ca="1" si="205"/>
        <v>0.67039507625446404</v>
      </c>
      <c r="NI19" s="363">
        <f t="shared" ca="1" si="205"/>
        <v>0.67707998211902864</v>
      </c>
      <c r="NJ19" s="363">
        <f t="shared" ca="1" si="205"/>
        <v>0.74576814631330912</v>
      </c>
      <c r="NK19" s="363">
        <f t="shared" ca="1" si="205"/>
        <v>0.78306212068831049</v>
      </c>
      <c r="NL19" s="363">
        <f t="shared" ca="1" si="205"/>
        <v>0.82502655027248883</v>
      </c>
      <c r="NM19" s="363">
        <f t="shared" ca="1" si="205"/>
        <v>0.75529424117609456</v>
      </c>
      <c r="NN19" s="363">
        <f t="shared" ref="NN19:OV19" ca="1" si="206">_xlfn.LOGNORM.INV(RAND(),$I$19,$J$19)</f>
        <v>0.79217049047400379</v>
      </c>
      <c r="NO19" s="363">
        <f t="shared" ca="1" si="206"/>
        <v>0.75095251861119616</v>
      </c>
      <c r="NP19" s="363">
        <f t="shared" ca="1" si="206"/>
        <v>0.79394440522416299</v>
      </c>
      <c r="NQ19" s="363">
        <f t="shared" ca="1" si="206"/>
        <v>0.81054880614766245</v>
      </c>
      <c r="NR19" s="363">
        <f t="shared" ca="1" si="206"/>
        <v>0.8366313894259555</v>
      </c>
      <c r="NS19" s="363">
        <f t="shared" ca="1" si="206"/>
        <v>0.81098975976715559</v>
      </c>
      <c r="NT19" s="363">
        <f t="shared" ca="1" si="206"/>
        <v>0.77883768878290482</v>
      </c>
      <c r="NU19" s="363">
        <f t="shared" ca="1" si="206"/>
        <v>0.81783463668077649</v>
      </c>
      <c r="NV19" s="363">
        <f t="shared" ca="1" si="206"/>
        <v>0.81679337784551209</v>
      </c>
      <c r="NW19" s="363">
        <f t="shared" ca="1" si="206"/>
        <v>0.85122628885390839</v>
      </c>
      <c r="NX19" s="363">
        <f t="shared" ca="1" si="206"/>
        <v>0.72984239645940574</v>
      </c>
      <c r="NY19" s="363">
        <f t="shared" ca="1" si="206"/>
        <v>0.8903057119961636</v>
      </c>
      <c r="NZ19" s="363">
        <f t="shared" ca="1" si="206"/>
        <v>0.80971721756277049</v>
      </c>
      <c r="OA19" s="363">
        <f t="shared" ca="1" si="206"/>
        <v>0.78936445063164917</v>
      </c>
      <c r="OB19" s="363">
        <f t="shared" ca="1" si="206"/>
        <v>0.64085748464999392</v>
      </c>
      <c r="OC19" s="363">
        <f t="shared" ca="1" si="206"/>
        <v>0.8557154345806085</v>
      </c>
      <c r="OD19" s="363">
        <f t="shared" ca="1" si="206"/>
        <v>0.71153228493090992</v>
      </c>
      <c r="OE19" s="363">
        <f t="shared" ca="1" si="206"/>
        <v>0.7838625378691354</v>
      </c>
      <c r="OF19" s="363">
        <f t="shared" ca="1" si="206"/>
        <v>0.67701433363244667</v>
      </c>
      <c r="OG19" s="363">
        <f t="shared" ca="1" si="206"/>
        <v>0.80345149688629325</v>
      </c>
      <c r="OH19" s="363">
        <f t="shared" ca="1" si="206"/>
        <v>0.80385155610244896</v>
      </c>
      <c r="OI19" s="363">
        <f t="shared" ca="1" si="206"/>
        <v>0.8079233907600939</v>
      </c>
      <c r="OJ19" s="363">
        <f t="shared" ca="1" si="206"/>
        <v>0.71205427325118131</v>
      </c>
      <c r="OK19" s="363">
        <f t="shared" ca="1" si="206"/>
        <v>0.71630578275881873</v>
      </c>
      <c r="OL19" s="363">
        <f t="shared" ca="1" si="206"/>
        <v>0.87006414803292642</v>
      </c>
      <c r="OM19" s="363">
        <f t="shared" ca="1" si="206"/>
        <v>0.98486159775416715</v>
      </c>
      <c r="ON19" s="363">
        <f t="shared" ca="1" si="206"/>
        <v>0.82518703363895651</v>
      </c>
      <c r="OO19" s="363">
        <f t="shared" ca="1" si="206"/>
        <v>0.76431394179668599</v>
      </c>
      <c r="OP19" s="363">
        <f t="shared" ca="1" si="206"/>
        <v>0.70714102114635491</v>
      </c>
      <c r="OQ19" s="363">
        <f t="shared" ca="1" si="206"/>
        <v>0.79491315050290512</v>
      </c>
      <c r="OR19" s="363">
        <f t="shared" ca="1" si="206"/>
        <v>0.76605650232837252</v>
      </c>
      <c r="OS19" s="363">
        <f t="shared" ca="1" si="206"/>
        <v>0.88928804908290737</v>
      </c>
      <c r="OT19" s="363">
        <f t="shared" ca="1" si="206"/>
        <v>0.81171903455720118</v>
      </c>
      <c r="OU19" s="363">
        <f t="shared" ca="1" si="206"/>
        <v>0.7968865968824238</v>
      </c>
      <c r="OV19" s="363">
        <f t="shared" ca="1" si="206"/>
        <v>0.9015546284373509</v>
      </c>
      <c r="OW19" s="363">
        <f ca="1">_xlfn.LOGNORM.INV(RAND(),$I$19,$J$19)</f>
        <v>0.6694781189235991</v>
      </c>
      <c r="OX19" s="363">
        <f t="shared" ref="OX19:RI19" ca="1" si="207">_xlfn.LOGNORM.INV(RAND(),$I$19,$J$19)</f>
        <v>0.73819700261944077</v>
      </c>
      <c r="OY19" s="363">
        <f t="shared" ca="1" si="207"/>
        <v>0.81103204051059963</v>
      </c>
      <c r="OZ19" s="363">
        <f t="shared" ca="1" si="207"/>
        <v>0.79875022048108435</v>
      </c>
      <c r="PA19" s="363">
        <f t="shared" ca="1" si="207"/>
        <v>0.75304154836679837</v>
      </c>
      <c r="PB19" s="363">
        <f t="shared" ca="1" si="207"/>
        <v>0.83358124023876212</v>
      </c>
      <c r="PC19" s="363">
        <f t="shared" ca="1" si="207"/>
        <v>0.85238198752914074</v>
      </c>
      <c r="PD19" s="363">
        <f t="shared" ca="1" si="207"/>
        <v>0.77385020740998467</v>
      </c>
      <c r="PE19" s="363">
        <f t="shared" ca="1" si="207"/>
        <v>0.71927167945153003</v>
      </c>
      <c r="PF19" s="363">
        <f t="shared" ca="1" si="207"/>
        <v>0.84780047828356964</v>
      </c>
      <c r="PG19" s="363">
        <f t="shared" ca="1" si="207"/>
        <v>0.83711828740947192</v>
      </c>
      <c r="PH19" s="363">
        <f t="shared" ca="1" si="207"/>
        <v>0.83058739837057494</v>
      </c>
      <c r="PI19" s="363">
        <f t="shared" ca="1" si="207"/>
        <v>0.88716805046176939</v>
      </c>
      <c r="PJ19" s="363">
        <f t="shared" ca="1" si="207"/>
        <v>0.73915085573065542</v>
      </c>
      <c r="PK19" s="363">
        <f t="shared" ca="1" si="207"/>
        <v>0.97942517279682972</v>
      </c>
      <c r="PL19" s="363">
        <f t="shared" ca="1" si="207"/>
        <v>0.85239822211728233</v>
      </c>
      <c r="PM19" s="363">
        <f t="shared" ca="1" si="207"/>
        <v>0.89788098543023676</v>
      </c>
      <c r="PN19" s="363">
        <f t="shared" ca="1" si="207"/>
        <v>0.712234112888527</v>
      </c>
      <c r="PO19" s="363">
        <f t="shared" ca="1" si="207"/>
        <v>0.74083241530110422</v>
      </c>
      <c r="PP19" s="363">
        <f t="shared" ca="1" si="207"/>
        <v>0.72851835699163636</v>
      </c>
      <c r="PQ19" s="363">
        <f t="shared" ca="1" si="207"/>
        <v>0.82588599485720871</v>
      </c>
      <c r="PR19" s="363">
        <f t="shared" ca="1" si="207"/>
        <v>0.83991724665882872</v>
      </c>
      <c r="PS19" s="363">
        <f t="shared" ca="1" si="207"/>
        <v>0.72943256654433519</v>
      </c>
      <c r="PT19" s="363">
        <f t="shared" ca="1" si="207"/>
        <v>0.85059834086439245</v>
      </c>
      <c r="PU19" s="363">
        <f t="shared" ca="1" si="207"/>
        <v>0.68663906161357668</v>
      </c>
      <c r="PV19" s="363">
        <f t="shared" ca="1" si="207"/>
        <v>0.84831494411066899</v>
      </c>
      <c r="PW19" s="363">
        <f t="shared" ca="1" si="207"/>
        <v>0.76254276058362214</v>
      </c>
      <c r="PX19" s="363">
        <f t="shared" ca="1" si="207"/>
        <v>0.82459984910671347</v>
      </c>
      <c r="PY19" s="363">
        <f t="shared" ca="1" si="207"/>
        <v>0.75284714917271911</v>
      </c>
      <c r="PZ19" s="363">
        <f t="shared" ca="1" si="207"/>
        <v>0.73725649743353261</v>
      </c>
      <c r="QA19" s="363">
        <f t="shared" ca="1" si="207"/>
        <v>0.7070769174390541</v>
      </c>
      <c r="QB19" s="363">
        <f t="shared" ca="1" si="207"/>
        <v>0.60490210952526036</v>
      </c>
      <c r="QC19" s="363">
        <f t="shared" ca="1" si="207"/>
        <v>0.83814365883457354</v>
      </c>
      <c r="QD19" s="363">
        <f t="shared" ca="1" si="207"/>
        <v>0.88063902466507993</v>
      </c>
      <c r="QE19" s="363">
        <f t="shared" ca="1" si="207"/>
        <v>0.74410621121559817</v>
      </c>
      <c r="QF19" s="363">
        <f t="shared" ca="1" si="207"/>
        <v>0.76267736823563914</v>
      </c>
      <c r="QG19" s="363">
        <f t="shared" ca="1" si="207"/>
        <v>0.86008798842581946</v>
      </c>
      <c r="QH19" s="363">
        <f t="shared" ca="1" si="207"/>
        <v>0.66034791824845063</v>
      </c>
      <c r="QI19" s="363">
        <f t="shared" ca="1" si="207"/>
        <v>0.71751073587138192</v>
      </c>
      <c r="QJ19" s="363">
        <f t="shared" ca="1" si="207"/>
        <v>0.78604610263299246</v>
      </c>
      <c r="QK19" s="363">
        <f t="shared" ca="1" si="207"/>
        <v>0.69753568006048017</v>
      </c>
      <c r="QL19" s="363">
        <f t="shared" ca="1" si="207"/>
        <v>0.80943270560968761</v>
      </c>
      <c r="QM19" s="363">
        <f t="shared" ca="1" si="207"/>
        <v>0.79981398092941747</v>
      </c>
      <c r="QN19" s="363">
        <f t="shared" ca="1" si="207"/>
        <v>0.64762228286152712</v>
      </c>
      <c r="QO19" s="363">
        <f t="shared" ca="1" si="207"/>
        <v>0.78364602029827124</v>
      </c>
      <c r="QP19" s="363">
        <f t="shared" ca="1" si="207"/>
        <v>0.79911601170413848</v>
      </c>
      <c r="QQ19" s="363">
        <f t="shared" ca="1" si="207"/>
        <v>0.67783052768935448</v>
      </c>
      <c r="QR19" s="363">
        <f t="shared" ca="1" si="207"/>
        <v>0.81497759229992817</v>
      </c>
      <c r="QS19" s="363">
        <f t="shared" ca="1" si="207"/>
        <v>0.73939991320880982</v>
      </c>
      <c r="QT19" s="363">
        <f t="shared" ca="1" si="207"/>
        <v>0.85019011003950329</v>
      </c>
      <c r="QU19" s="363">
        <f t="shared" ca="1" si="207"/>
        <v>0.8242486015606274</v>
      </c>
      <c r="QV19" s="363">
        <f t="shared" ca="1" si="207"/>
        <v>0.77375637602358904</v>
      </c>
      <c r="QW19" s="363">
        <f t="shared" ca="1" si="207"/>
        <v>0.88139032505713433</v>
      </c>
      <c r="QX19" s="363">
        <f t="shared" ca="1" si="207"/>
        <v>0.75970817606008212</v>
      </c>
      <c r="QY19" s="363">
        <f t="shared" ca="1" si="207"/>
        <v>0.75518627817664463</v>
      </c>
      <c r="QZ19" s="363">
        <f t="shared" ca="1" si="207"/>
        <v>0.78836510659331138</v>
      </c>
      <c r="RA19" s="363">
        <f t="shared" ca="1" si="207"/>
        <v>0.80311088344405535</v>
      </c>
      <c r="RB19" s="363">
        <f t="shared" ca="1" si="207"/>
        <v>0.90852228319517292</v>
      </c>
      <c r="RC19" s="363">
        <f t="shared" ca="1" si="207"/>
        <v>0.78169753288108801</v>
      </c>
      <c r="RD19" s="363">
        <f t="shared" ca="1" si="207"/>
        <v>0.71070863068362178</v>
      </c>
      <c r="RE19" s="363">
        <f t="shared" ca="1" si="207"/>
        <v>0.81089012970634711</v>
      </c>
      <c r="RF19" s="363">
        <f t="shared" ca="1" si="207"/>
        <v>0.75692532733461726</v>
      </c>
      <c r="RG19" s="363">
        <f t="shared" ca="1" si="207"/>
        <v>0.7417931893041485</v>
      </c>
      <c r="RH19" s="363">
        <f t="shared" ca="1" si="207"/>
        <v>0.79837563527860889</v>
      </c>
      <c r="RI19" s="363">
        <f t="shared" ca="1" si="207"/>
        <v>0.75801482018331134</v>
      </c>
      <c r="RJ19" s="363">
        <f t="shared" ref="RJ19:SR19" ca="1" si="208">_xlfn.LOGNORM.INV(RAND(),$I$19,$J$19)</f>
        <v>0.75620160605156794</v>
      </c>
      <c r="RK19" s="363">
        <f t="shared" ca="1" si="208"/>
        <v>0.72076707188717093</v>
      </c>
      <c r="RL19" s="363">
        <f t="shared" ca="1" si="208"/>
        <v>0.93493811091036982</v>
      </c>
      <c r="RM19" s="363">
        <f t="shared" ca="1" si="208"/>
        <v>0.83755583090960795</v>
      </c>
      <c r="RN19" s="363">
        <f t="shared" ca="1" si="208"/>
        <v>0.76520920692726468</v>
      </c>
      <c r="RO19" s="363">
        <f t="shared" ca="1" si="208"/>
        <v>0.73156771753192262</v>
      </c>
      <c r="RP19" s="363">
        <f t="shared" ca="1" si="208"/>
        <v>0.75355017888729781</v>
      </c>
      <c r="RQ19" s="363">
        <f t="shared" ca="1" si="208"/>
        <v>0.87639390106941917</v>
      </c>
      <c r="RR19" s="363">
        <f t="shared" ca="1" si="208"/>
        <v>0.8009737318260205</v>
      </c>
      <c r="RS19" s="363">
        <f t="shared" ca="1" si="208"/>
        <v>0.70324482637380015</v>
      </c>
      <c r="RT19" s="363">
        <f t="shared" ca="1" si="208"/>
        <v>0.72564765695554856</v>
      </c>
      <c r="RU19" s="363">
        <f t="shared" ca="1" si="208"/>
        <v>0.84613053716990294</v>
      </c>
      <c r="RV19" s="363">
        <f t="shared" ca="1" si="208"/>
        <v>0.61048972472815233</v>
      </c>
      <c r="RW19" s="363">
        <f t="shared" ca="1" si="208"/>
        <v>0.78800832095250384</v>
      </c>
      <c r="RX19" s="363">
        <f t="shared" ca="1" si="208"/>
        <v>0.74572244544516986</v>
      </c>
      <c r="RY19" s="363">
        <f t="shared" ca="1" si="208"/>
        <v>0.64922832412470854</v>
      </c>
      <c r="RZ19" s="363">
        <f t="shared" ca="1" si="208"/>
        <v>0.76549897272725931</v>
      </c>
      <c r="SA19" s="363">
        <f t="shared" ca="1" si="208"/>
        <v>0.71393601254222072</v>
      </c>
      <c r="SB19" s="363">
        <f t="shared" ca="1" si="208"/>
        <v>0.66938258826917374</v>
      </c>
      <c r="SC19" s="363">
        <f t="shared" ca="1" si="208"/>
        <v>0.91639139709590101</v>
      </c>
      <c r="SD19" s="363">
        <f t="shared" ca="1" si="208"/>
        <v>0.79252626404869408</v>
      </c>
      <c r="SE19" s="363">
        <f t="shared" ca="1" si="208"/>
        <v>0.89920082071547014</v>
      </c>
      <c r="SF19" s="363">
        <f t="shared" ca="1" si="208"/>
        <v>0.62643000941730831</v>
      </c>
      <c r="SG19" s="363">
        <f t="shared" ca="1" si="208"/>
        <v>0.72248276374535991</v>
      </c>
      <c r="SH19" s="363">
        <f t="shared" ca="1" si="208"/>
        <v>0.74525520315788873</v>
      </c>
      <c r="SI19" s="363">
        <f t="shared" ca="1" si="208"/>
        <v>0.71863728930894843</v>
      </c>
      <c r="SJ19" s="363">
        <f t="shared" ca="1" si="208"/>
        <v>0.66666135871740195</v>
      </c>
      <c r="SK19" s="363">
        <f t="shared" ca="1" si="208"/>
        <v>0.71275243315475434</v>
      </c>
      <c r="SL19" s="363">
        <f t="shared" ca="1" si="208"/>
        <v>0.68406734237980671</v>
      </c>
      <c r="SM19" s="363">
        <f t="shared" ca="1" si="208"/>
        <v>0.72551575359198939</v>
      </c>
      <c r="SN19" s="363">
        <f t="shared" ca="1" si="208"/>
        <v>0.80066486221375932</v>
      </c>
      <c r="SO19" s="363">
        <f t="shared" ca="1" si="208"/>
        <v>0.80821348913596547</v>
      </c>
      <c r="SP19" s="363">
        <f t="shared" ca="1" si="208"/>
        <v>0.76974074967183059</v>
      </c>
      <c r="SQ19" s="363">
        <f t="shared" ca="1" si="208"/>
        <v>0.78098390890061464</v>
      </c>
      <c r="SR19" s="363">
        <f t="shared" ca="1" si="208"/>
        <v>0.84204446273082156</v>
      </c>
      <c r="SS19" s="363">
        <f ca="1">_xlfn.LOGNORM.INV(RAND(),$I$19,$J$19)</f>
        <v>0.75518871118908437</v>
      </c>
      <c r="ST19" s="363">
        <f t="shared" ref="ST19:VE19" ca="1" si="209">_xlfn.LOGNORM.INV(RAND(),$I$19,$J$19)</f>
        <v>0.76442690749136455</v>
      </c>
      <c r="SU19" s="363">
        <f t="shared" ca="1" si="209"/>
        <v>0.67842877269215185</v>
      </c>
      <c r="SV19" s="363">
        <f t="shared" ca="1" si="209"/>
        <v>0.73443186926667581</v>
      </c>
      <c r="SW19" s="363">
        <f t="shared" ca="1" si="209"/>
        <v>0.68161617263866503</v>
      </c>
      <c r="SX19" s="363">
        <f t="shared" ca="1" si="209"/>
        <v>0.84534040434576008</v>
      </c>
      <c r="SY19" s="363">
        <f t="shared" ca="1" si="209"/>
        <v>0.72933673090992135</v>
      </c>
      <c r="SZ19" s="363">
        <f t="shared" ca="1" si="209"/>
        <v>0.84147714809940599</v>
      </c>
      <c r="TA19" s="363">
        <f t="shared" ca="1" si="209"/>
        <v>0.81026997137938339</v>
      </c>
      <c r="TB19" s="363">
        <f t="shared" ca="1" si="209"/>
        <v>0.77449232092138365</v>
      </c>
      <c r="TC19" s="363">
        <f t="shared" ca="1" si="209"/>
        <v>0.64490112598493921</v>
      </c>
      <c r="TD19" s="363">
        <f t="shared" ca="1" si="209"/>
        <v>0.67230903904947503</v>
      </c>
      <c r="TE19" s="363">
        <f t="shared" ca="1" si="209"/>
        <v>0.80332972534254266</v>
      </c>
      <c r="TF19" s="363">
        <f t="shared" ca="1" si="209"/>
        <v>0.81295402235981251</v>
      </c>
      <c r="TG19" s="363">
        <f t="shared" ca="1" si="209"/>
        <v>0.71424375258679507</v>
      </c>
      <c r="TH19" s="363">
        <f t="shared" ca="1" si="209"/>
        <v>0.76568798395542648</v>
      </c>
      <c r="TI19" s="363">
        <f t="shared" ca="1" si="209"/>
        <v>0.83836957434671466</v>
      </c>
      <c r="TJ19" s="363">
        <f t="shared" ca="1" si="209"/>
        <v>0.78986955877972864</v>
      </c>
      <c r="TK19" s="363">
        <f t="shared" ca="1" si="209"/>
        <v>0.69571474397721378</v>
      </c>
      <c r="TL19" s="363">
        <f t="shared" ca="1" si="209"/>
        <v>0.69722766498489219</v>
      </c>
      <c r="TM19" s="363">
        <f t="shared" ca="1" si="209"/>
        <v>0.60225462023024112</v>
      </c>
      <c r="TN19" s="363">
        <f t="shared" ca="1" si="209"/>
        <v>0.68552786778255304</v>
      </c>
      <c r="TO19" s="363">
        <f t="shared" ca="1" si="209"/>
        <v>0.61918680657079772</v>
      </c>
      <c r="TP19" s="363">
        <f t="shared" ca="1" si="209"/>
        <v>0.67117119003298609</v>
      </c>
      <c r="TQ19" s="363">
        <f t="shared" ca="1" si="209"/>
        <v>0.79779472366379445</v>
      </c>
      <c r="TR19" s="363">
        <f t="shared" ca="1" si="209"/>
        <v>0.7112279485362194</v>
      </c>
      <c r="TS19" s="363">
        <f t="shared" ca="1" si="209"/>
        <v>0.7779861317597877</v>
      </c>
      <c r="TT19" s="363">
        <f t="shared" ca="1" si="209"/>
        <v>0.76158642513362085</v>
      </c>
      <c r="TU19" s="363">
        <f t="shared" ca="1" si="209"/>
        <v>0.78989563576023913</v>
      </c>
      <c r="TV19" s="363">
        <f t="shared" ca="1" si="209"/>
        <v>0.80600953049925872</v>
      </c>
      <c r="TW19" s="363">
        <f t="shared" ca="1" si="209"/>
        <v>0.80026719380612632</v>
      </c>
      <c r="TX19" s="363">
        <f t="shared" ca="1" si="209"/>
        <v>0.71298524593815227</v>
      </c>
      <c r="TY19" s="363">
        <f t="shared" ca="1" si="209"/>
        <v>0.81418580827269049</v>
      </c>
      <c r="TZ19" s="363">
        <f t="shared" ca="1" si="209"/>
        <v>0.86888288021354143</v>
      </c>
      <c r="UA19" s="363">
        <f t="shared" ca="1" si="209"/>
        <v>0.75051206381080771</v>
      </c>
      <c r="UB19" s="363">
        <f t="shared" ca="1" si="209"/>
        <v>0.84046469137208069</v>
      </c>
      <c r="UC19" s="363">
        <f t="shared" ca="1" si="209"/>
        <v>0.75640668792435972</v>
      </c>
      <c r="UD19" s="363">
        <f t="shared" ca="1" si="209"/>
        <v>0.79869044668517308</v>
      </c>
      <c r="UE19" s="363">
        <f t="shared" ca="1" si="209"/>
        <v>0.82516260897725058</v>
      </c>
      <c r="UF19" s="363">
        <f t="shared" ca="1" si="209"/>
        <v>0.70323953462714384</v>
      </c>
      <c r="UG19" s="363">
        <f t="shared" ca="1" si="209"/>
        <v>0.66292518059974659</v>
      </c>
      <c r="UH19" s="363">
        <f t="shared" ca="1" si="209"/>
        <v>0.71553697713123166</v>
      </c>
      <c r="UI19" s="363">
        <f t="shared" ca="1" si="209"/>
        <v>0.70870031011355683</v>
      </c>
      <c r="UJ19" s="363">
        <f t="shared" ca="1" si="209"/>
        <v>0.77879983635527672</v>
      </c>
      <c r="UK19" s="363">
        <f t="shared" ca="1" si="209"/>
        <v>0.81953280843145471</v>
      </c>
      <c r="UL19" s="363">
        <f t="shared" ca="1" si="209"/>
        <v>0.80825958673926401</v>
      </c>
      <c r="UM19" s="363">
        <f t="shared" ca="1" si="209"/>
        <v>0.68970677828535221</v>
      </c>
      <c r="UN19" s="363">
        <f t="shared" ca="1" si="209"/>
        <v>0.90582978801835601</v>
      </c>
      <c r="UO19" s="363">
        <f t="shared" ca="1" si="209"/>
        <v>0.81609838646599475</v>
      </c>
      <c r="UP19" s="363">
        <f t="shared" ca="1" si="209"/>
        <v>0.80980030133687553</v>
      </c>
      <c r="UQ19" s="363">
        <f t="shared" ca="1" si="209"/>
        <v>0.73952563981191799</v>
      </c>
      <c r="UR19" s="363">
        <f t="shared" ca="1" si="209"/>
        <v>0.83382744497905648</v>
      </c>
      <c r="US19" s="363">
        <f t="shared" ca="1" si="209"/>
        <v>0.79800869941010899</v>
      </c>
      <c r="UT19" s="363">
        <f t="shared" ca="1" si="209"/>
        <v>0.74470493837430329</v>
      </c>
      <c r="UU19" s="363">
        <f t="shared" ca="1" si="209"/>
        <v>0.7839640728948235</v>
      </c>
      <c r="UV19" s="363">
        <f t="shared" ca="1" si="209"/>
        <v>0.79644187401925681</v>
      </c>
      <c r="UW19" s="363">
        <f t="shared" ca="1" si="209"/>
        <v>0.77723831762565998</v>
      </c>
      <c r="UX19" s="363">
        <f t="shared" ca="1" si="209"/>
        <v>0.75538602134789956</v>
      </c>
      <c r="UY19" s="363">
        <f t="shared" ca="1" si="209"/>
        <v>0.78374877690879619</v>
      </c>
      <c r="UZ19" s="363">
        <f t="shared" ca="1" si="209"/>
        <v>0.73417574063629942</v>
      </c>
      <c r="VA19" s="363">
        <f t="shared" ca="1" si="209"/>
        <v>0.74666402172660495</v>
      </c>
      <c r="VB19" s="363">
        <f t="shared" ca="1" si="209"/>
        <v>0.73450668156964349</v>
      </c>
      <c r="VC19" s="363">
        <f t="shared" ca="1" si="209"/>
        <v>0.80021867403998137</v>
      </c>
      <c r="VD19" s="363">
        <f t="shared" ca="1" si="209"/>
        <v>0.95407983180283451</v>
      </c>
      <c r="VE19" s="363">
        <f t="shared" ca="1" si="209"/>
        <v>0.76413483490988465</v>
      </c>
      <c r="VF19" s="363">
        <f t="shared" ref="VF19:WN19" ca="1" si="210">_xlfn.LOGNORM.INV(RAND(),$I$19,$J$19)</f>
        <v>0.67590399188559902</v>
      </c>
      <c r="VG19" s="363">
        <f t="shared" ca="1" si="210"/>
        <v>0.83107705453124736</v>
      </c>
      <c r="VH19" s="363">
        <f t="shared" ca="1" si="210"/>
        <v>0.70820589707050197</v>
      </c>
      <c r="VI19" s="363">
        <f t="shared" ca="1" si="210"/>
        <v>0.76580374312747757</v>
      </c>
      <c r="VJ19" s="363">
        <f t="shared" ca="1" si="210"/>
        <v>0.72169708647962072</v>
      </c>
      <c r="VK19" s="363">
        <f t="shared" ca="1" si="210"/>
        <v>0.85140529881382332</v>
      </c>
      <c r="VL19" s="363">
        <f t="shared" ca="1" si="210"/>
        <v>0.74750660688912396</v>
      </c>
      <c r="VM19" s="363">
        <f t="shared" ca="1" si="210"/>
        <v>0.77240805129845846</v>
      </c>
      <c r="VN19" s="363">
        <f t="shared" ca="1" si="210"/>
        <v>0.77586361767324463</v>
      </c>
      <c r="VO19" s="363">
        <f t="shared" ca="1" si="210"/>
        <v>0.69293324174358184</v>
      </c>
      <c r="VP19" s="363">
        <f t="shared" ca="1" si="210"/>
        <v>0.75479207492265765</v>
      </c>
      <c r="VQ19" s="363">
        <f t="shared" ca="1" si="210"/>
        <v>0.66100892660226773</v>
      </c>
      <c r="VR19" s="363">
        <f t="shared" ca="1" si="210"/>
        <v>0.67219322991729324</v>
      </c>
      <c r="VS19" s="363">
        <f t="shared" ca="1" si="210"/>
        <v>0.67568887632888208</v>
      </c>
      <c r="VT19" s="363">
        <f t="shared" ca="1" si="210"/>
        <v>0.70867694969375561</v>
      </c>
      <c r="VU19" s="363">
        <f t="shared" ca="1" si="210"/>
        <v>0.8517412090978459</v>
      </c>
      <c r="VV19" s="363">
        <f t="shared" ca="1" si="210"/>
        <v>0.76849557259338808</v>
      </c>
      <c r="VW19" s="363">
        <f t="shared" ca="1" si="210"/>
        <v>0.91051358608231214</v>
      </c>
      <c r="VX19" s="363">
        <f t="shared" ca="1" si="210"/>
        <v>0.89499688794952725</v>
      </c>
      <c r="VY19" s="363">
        <f t="shared" ca="1" si="210"/>
        <v>0.73557720198227261</v>
      </c>
      <c r="VZ19" s="363">
        <f t="shared" ca="1" si="210"/>
        <v>0.8153887628342531</v>
      </c>
      <c r="WA19" s="363">
        <f t="shared" ca="1" si="210"/>
        <v>0.84043150577672998</v>
      </c>
      <c r="WB19" s="363">
        <f t="shared" ca="1" si="210"/>
        <v>0.7369538663280647</v>
      </c>
      <c r="WC19" s="363">
        <f t="shared" ca="1" si="210"/>
        <v>0.75287942300773336</v>
      </c>
      <c r="WD19" s="363">
        <f t="shared" ca="1" si="210"/>
        <v>0.74972598001954538</v>
      </c>
      <c r="WE19" s="363">
        <f t="shared" ca="1" si="210"/>
        <v>0.80632041218572725</v>
      </c>
      <c r="WF19" s="363">
        <f t="shared" ca="1" si="210"/>
        <v>0.75833636266928828</v>
      </c>
      <c r="WG19" s="363">
        <f t="shared" ca="1" si="210"/>
        <v>0.7722713815640897</v>
      </c>
      <c r="WH19" s="363">
        <f t="shared" ca="1" si="210"/>
        <v>0.70088857757626277</v>
      </c>
      <c r="WI19" s="363">
        <f t="shared" ca="1" si="210"/>
        <v>0.74142055859868206</v>
      </c>
      <c r="WJ19" s="363">
        <f t="shared" ca="1" si="210"/>
        <v>0.71830161434255135</v>
      </c>
      <c r="WK19" s="363">
        <f t="shared" ca="1" si="210"/>
        <v>0.84245906790588776</v>
      </c>
      <c r="WL19" s="363">
        <f t="shared" ca="1" si="210"/>
        <v>0.75610502719773953</v>
      </c>
      <c r="WM19" s="363">
        <f t="shared" ca="1" si="210"/>
        <v>0.74670979541795079</v>
      </c>
      <c r="WN19" s="363">
        <f t="shared" ca="1" si="210"/>
        <v>0.73532010754780086</v>
      </c>
    </row>
    <row r="20" spans="2:612" x14ac:dyDescent="0.15">
      <c r="B20" s="469" t="s">
        <v>903</v>
      </c>
      <c r="D20" s="363">
        <f t="shared" si="0"/>
        <v>0.82</v>
      </c>
      <c r="F20" s="367">
        <v>0.82</v>
      </c>
      <c r="G20" s="367" t="s">
        <v>350</v>
      </c>
      <c r="H20" s="363">
        <v>5.901253466853297E-2</v>
      </c>
      <c r="I20" s="363">
        <f t="shared" si="197"/>
        <v>-0.20019217834784073</v>
      </c>
      <c r="J20" s="367">
        <f t="shared" si="198"/>
        <v>7.1873584362064938E-2</v>
      </c>
      <c r="K20" s="367" t="s">
        <v>1274</v>
      </c>
      <c r="M20" s="363">
        <f ca="1">_xlfn.LOGNORM.INV(RAND(),$I$20,$J$20)</f>
        <v>0.8772724450357805</v>
      </c>
      <c r="N20" s="363">
        <f t="shared" ref="N20:BY20" ca="1" si="211">_xlfn.LOGNORM.INV(RAND(),$I$20,$J$20)</f>
        <v>0.79420913625224265</v>
      </c>
      <c r="O20" s="363">
        <f t="shared" ca="1" si="211"/>
        <v>0.74838362821210025</v>
      </c>
      <c r="P20" s="363">
        <f t="shared" ca="1" si="211"/>
        <v>0.79349314906505763</v>
      </c>
      <c r="Q20" s="363">
        <f t="shared" ca="1" si="211"/>
        <v>0.75700047288222971</v>
      </c>
      <c r="R20" s="363">
        <f t="shared" ca="1" si="211"/>
        <v>0.83060282284223241</v>
      </c>
      <c r="S20" s="363">
        <f t="shared" ca="1" si="211"/>
        <v>0.83036349144477994</v>
      </c>
      <c r="T20" s="363">
        <f t="shared" ca="1" si="211"/>
        <v>0.85925878600132133</v>
      </c>
      <c r="U20" s="363">
        <f t="shared" ca="1" si="211"/>
        <v>0.78563737663347943</v>
      </c>
      <c r="V20" s="363">
        <f t="shared" ca="1" si="211"/>
        <v>0.81051442353244374</v>
      </c>
      <c r="W20" s="363">
        <f t="shared" ca="1" si="211"/>
        <v>0.86621212987682705</v>
      </c>
      <c r="X20" s="363">
        <f t="shared" ca="1" si="211"/>
        <v>0.88997439187667948</v>
      </c>
      <c r="Y20" s="363">
        <f t="shared" ca="1" si="211"/>
        <v>0.73159097899147374</v>
      </c>
      <c r="Z20" s="363">
        <f t="shared" ca="1" si="211"/>
        <v>0.78720393207436423</v>
      </c>
      <c r="AA20" s="363">
        <f t="shared" ca="1" si="211"/>
        <v>0.86661272345495077</v>
      </c>
      <c r="AB20" s="363">
        <f t="shared" ca="1" si="211"/>
        <v>0.81367987786486451</v>
      </c>
      <c r="AC20" s="363">
        <f t="shared" ca="1" si="211"/>
        <v>0.78229496739362692</v>
      </c>
      <c r="AD20" s="363">
        <f t="shared" ca="1" si="211"/>
        <v>0.79889556808798545</v>
      </c>
      <c r="AE20" s="363">
        <f t="shared" ca="1" si="211"/>
        <v>0.74990129624760116</v>
      </c>
      <c r="AF20" s="363">
        <f t="shared" ca="1" si="211"/>
        <v>0.71949285113664618</v>
      </c>
      <c r="AG20" s="363">
        <f t="shared" ca="1" si="211"/>
        <v>0.8034692504109231</v>
      </c>
      <c r="AH20" s="363">
        <f t="shared" ca="1" si="211"/>
        <v>0.81012175785878748</v>
      </c>
      <c r="AI20" s="363">
        <f t="shared" ca="1" si="211"/>
        <v>0.77691035787745566</v>
      </c>
      <c r="AJ20" s="363">
        <f t="shared" ca="1" si="211"/>
        <v>0.70626124633162568</v>
      </c>
      <c r="AK20" s="363">
        <f t="shared" ca="1" si="211"/>
        <v>0.8089097525568274</v>
      </c>
      <c r="AL20" s="363">
        <f t="shared" ca="1" si="211"/>
        <v>0.72963651532291984</v>
      </c>
      <c r="AM20" s="363">
        <f t="shared" ca="1" si="211"/>
        <v>0.77343283168445942</v>
      </c>
      <c r="AN20" s="363">
        <f t="shared" ca="1" si="211"/>
        <v>0.72792130538410282</v>
      </c>
      <c r="AO20" s="363">
        <f t="shared" ca="1" si="211"/>
        <v>0.92368675944165923</v>
      </c>
      <c r="AP20" s="363">
        <f t="shared" ca="1" si="211"/>
        <v>0.82323065012664975</v>
      </c>
      <c r="AQ20" s="363">
        <f t="shared" ca="1" si="211"/>
        <v>0.78201615063494223</v>
      </c>
      <c r="AR20" s="363">
        <f t="shared" ca="1" si="211"/>
        <v>0.77243950238768566</v>
      </c>
      <c r="AS20" s="363">
        <f t="shared" ca="1" si="211"/>
        <v>0.72769196297983607</v>
      </c>
      <c r="AT20" s="363">
        <f t="shared" ca="1" si="211"/>
        <v>0.75774282409736471</v>
      </c>
      <c r="AU20" s="363">
        <f t="shared" ca="1" si="211"/>
        <v>0.83479117076885356</v>
      </c>
      <c r="AV20" s="363">
        <f t="shared" ca="1" si="211"/>
        <v>0.79999224124200774</v>
      </c>
      <c r="AW20" s="363">
        <f t="shared" ca="1" si="211"/>
        <v>0.85705788022108287</v>
      </c>
      <c r="AX20" s="363">
        <f t="shared" ca="1" si="211"/>
        <v>0.78459889598171884</v>
      </c>
      <c r="AY20" s="363">
        <f t="shared" ca="1" si="211"/>
        <v>0.83033960580185007</v>
      </c>
      <c r="AZ20" s="363">
        <f t="shared" ca="1" si="211"/>
        <v>0.86015497118239392</v>
      </c>
      <c r="BA20" s="363">
        <f t="shared" ca="1" si="211"/>
        <v>0.91308133046187256</v>
      </c>
      <c r="BB20" s="363">
        <f t="shared" ca="1" si="211"/>
        <v>0.7546156009379823</v>
      </c>
      <c r="BC20" s="363">
        <f t="shared" ca="1" si="211"/>
        <v>0.73582468592582007</v>
      </c>
      <c r="BD20" s="363">
        <f t="shared" ca="1" si="211"/>
        <v>0.83330773787846268</v>
      </c>
      <c r="BE20" s="363">
        <f t="shared" ca="1" si="211"/>
        <v>0.78681714639682032</v>
      </c>
      <c r="BF20" s="363">
        <f t="shared" ca="1" si="211"/>
        <v>0.74820746046123343</v>
      </c>
      <c r="BG20" s="363">
        <f t="shared" ca="1" si="211"/>
        <v>0.86072714063211797</v>
      </c>
      <c r="BH20" s="363">
        <f t="shared" ca="1" si="211"/>
        <v>0.76219042820321126</v>
      </c>
      <c r="BI20" s="363">
        <f t="shared" ca="1" si="211"/>
        <v>0.78132074752743774</v>
      </c>
      <c r="BJ20" s="363">
        <f t="shared" ca="1" si="211"/>
        <v>0.82714856620730748</v>
      </c>
      <c r="BK20" s="363">
        <f t="shared" ca="1" si="211"/>
        <v>0.70863487113811297</v>
      </c>
      <c r="BL20" s="363">
        <f t="shared" ca="1" si="211"/>
        <v>0.82122615661524301</v>
      </c>
      <c r="BM20" s="363">
        <f t="shared" ca="1" si="211"/>
        <v>0.8993579384944469</v>
      </c>
      <c r="BN20" s="363">
        <f t="shared" ca="1" si="211"/>
        <v>0.87825494298424978</v>
      </c>
      <c r="BO20" s="363">
        <f t="shared" ca="1" si="211"/>
        <v>0.86439737034031128</v>
      </c>
      <c r="BP20" s="363">
        <f t="shared" ca="1" si="211"/>
        <v>0.87326769864454845</v>
      </c>
      <c r="BQ20" s="363">
        <f t="shared" ca="1" si="211"/>
        <v>0.90678369134729575</v>
      </c>
      <c r="BR20" s="363">
        <f t="shared" ca="1" si="211"/>
        <v>0.86503471790486675</v>
      </c>
      <c r="BS20" s="363">
        <f t="shared" ca="1" si="211"/>
        <v>0.74958715717231494</v>
      </c>
      <c r="BT20" s="363">
        <f t="shared" ca="1" si="211"/>
        <v>0.80018810159380682</v>
      </c>
      <c r="BU20" s="363">
        <f t="shared" ca="1" si="211"/>
        <v>0.83235408717609294</v>
      </c>
      <c r="BV20" s="363">
        <f t="shared" ca="1" si="211"/>
        <v>0.80906681087262922</v>
      </c>
      <c r="BW20" s="363">
        <f t="shared" ca="1" si="211"/>
        <v>0.78626571245380106</v>
      </c>
      <c r="BX20" s="363">
        <f t="shared" ca="1" si="211"/>
        <v>0.87749967390435613</v>
      </c>
      <c r="BY20" s="363">
        <f t="shared" ca="1" si="211"/>
        <v>0.79699061967821982</v>
      </c>
      <c r="BZ20" s="363">
        <f t="shared" ref="BZ20:DH20" ca="1" si="212">_xlfn.LOGNORM.INV(RAND(),$I$20,$J$20)</f>
        <v>0.75362950948955665</v>
      </c>
      <c r="CA20" s="363">
        <f t="shared" ca="1" si="212"/>
        <v>0.74073803107988123</v>
      </c>
      <c r="CB20" s="363">
        <f t="shared" ca="1" si="212"/>
        <v>0.84936496035517717</v>
      </c>
      <c r="CC20" s="363">
        <f t="shared" ca="1" si="212"/>
        <v>0.81300398048210243</v>
      </c>
      <c r="CD20" s="363">
        <f t="shared" ca="1" si="212"/>
        <v>0.80311750596693698</v>
      </c>
      <c r="CE20" s="363">
        <f t="shared" ca="1" si="212"/>
        <v>0.82495666604154005</v>
      </c>
      <c r="CF20" s="363">
        <f t="shared" ca="1" si="212"/>
        <v>0.89611295369427146</v>
      </c>
      <c r="CG20" s="363">
        <f t="shared" ca="1" si="212"/>
        <v>0.90156825029676968</v>
      </c>
      <c r="CH20" s="363">
        <f t="shared" ca="1" si="212"/>
        <v>0.91441841561499626</v>
      </c>
      <c r="CI20" s="363">
        <f t="shared" ca="1" si="212"/>
        <v>0.77701846138959241</v>
      </c>
      <c r="CJ20" s="363">
        <f t="shared" ca="1" si="212"/>
        <v>0.80288600381860531</v>
      </c>
      <c r="CK20" s="363">
        <f t="shared" ca="1" si="212"/>
        <v>0.7911012379402429</v>
      </c>
      <c r="CL20" s="363">
        <f t="shared" ca="1" si="212"/>
        <v>0.87785842122406943</v>
      </c>
      <c r="CM20" s="363">
        <f t="shared" ca="1" si="212"/>
        <v>0.83295885836970862</v>
      </c>
      <c r="CN20" s="363">
        <f t="shared" ca="1" si="212"/>
        <v>0.80311337057342802</v>
      </c>
      <c r="CO20" s="363">
        <f t="shared" ca="1" si="212"/>
        <v>0.84082614259305122</v>
      </c>
      <c r="CP20" s="363">
        <f t="shared" ca="1" si="212"/>
        <v>0.83982640901657335</v>
      </c>
      <c r="CQ20" s="363">
        <f t="shared" ca="1" si="212"/>
        <v>0.93285844619249392</v>
      </c>
      <c r="CR20" s="363">
        <f t="shared" ca="1" si="212"/>
        <v>0.85125670274989462</v>
      </c>
      <c r="CS20" s="363">
        <f t="shared" ca="1" si="212"/>
        <v>0.74883659894412236</v>
      </c>
      <c r="CT20" s="363">
        <f t="shared" ca="1" si="212"/>
        <v>0.8415645447262442</v>
      </c>
      <c r="CU20" s="363">
        <f t="shared" ca="1" si="212"/>
        <v>0.78808872256204365</v>
      </c>
      <c r="CV20" s="363">
        <f t="shared" ca="1" si="212"/>
        <v>0.83267753876208217</v>
      </c>
      <c r="CW20" s="363">
        <f t="shared" ca="1" si="212"/>
        <v>0.81767690379271496</v>
      </c>
      <c r="CX20" s="363">
        <f t="shared" ca="1" si="212"/>
        <v>0.81883245180445308</v>
      </c>
      <c r="CY20" s="363">
        <f t="shared" ca="1" si="212"/>
        <v>0.67873107799047117</v>
      </c>
      <c r="CZ20" s="363">
        <f t="shared" ca="1" si="212"/>
        <v>0.88568872040514579</v>
      </c>
      <c r="DA20" s="363">
        <f t="shared" ca="1" si="212"/>
        <v>0.93618176573897949</v>
      </c>
      <c r="DB20" s="363">
        <f t="shared" ca="1" si="212"/>
        <v>0.86604091778946612</v>
      </c>
      <c r="DC20" s="363">
        <f t="shared" ca="1" si="212"/>
        <v>0.86621244240361073</v>
      </c>
      <c r="DD20" s="363">
        <f t="shared" ca="1" si="212"/>
        <v>0.90442388408621099</v>
      </c>
      <c r="DE20" s="363">
        <f t="shared" ca="1" si="212"/>
        <v>0.81540799648012896</v>
      </c>
      <c r="DF20" s="363">
        <f t="shared" ca="1" si="212"/>
        <v>0.84230876920740227</v>
      </c>
      <c r="DG20" s="363">
        <f t="shared" ca="1" si="212"/>
        <v>0.8148082475132995</v>
      </c>
      <c r="DH20" s="363">
        <f t="shared" ca="1" si="212"/>
        <v>0.78723327588700032</v>
      </c>
      <c r="DI20" s="363">
        <f ca="1">_xlfn.LOGNORM.INV(RAND(),$I$20,$J$20)</f>
        <v>0.82111372095579127</v>
      </c>
      <c r="DJ20" s="363">
        <f t="shared" ref="DJ20:FU20" ca="1" si="213">_xlfn.LOGNORM.INV(RAND(),$I$20,$J$20)</f>
        <v>0.90451033250828727</v>
      </c>
      <c r="DK20" s="363">
        <f t="shared" ca="1" si="213"/>
        <v>0.8857706652569397</v>
      </c>
      <c r="DL20" s="363">
        <f t="shared" ca="1" si="213"/>
        <v>0.90007397320670668</v>
      </c>
      <c r="DM20" s="363">
        <f t="shared" ca="1" si="213"/>
        <v>0.90585491509997751</v>
      </c>
      <c r="DN20" s="363">
        <f t="shared" ca="1" si="213"/>
        <v>0.82993082252631034</v>
      </c>
      <c r="DO20" s="363">
        <f t="shared" ca="1" si="213"/>
        <v>0.72285217165636984</v>
      </c>
      <c r="DP20" s="363">
        <f t="shared" ca="1" si="213"/>
        <v>0.89800862427036365</v>
      </c>
      <c r="DQ20" s="363">
        <f t="shared" ca="1" si="213"/>
        <v>0.75666605771393491</v>
      </c>
      <c r="DR20" s="363">
        <f t="shared" ca="1" si="213"/>
        <v>0.82703711722929818</v>
      </c>
      <c r="DS20" s="363">
        <f t="shared" ca="1" si="213"/>
        <v>0.7821909718686394</v>
      </c>
      <c r="DT20" s="363">
        <f t="shared" ca="1" si="213"/>
        <v>0.83560336579131744</v>
      </c>
      <c r="DU20" s="363">
        <f t="shared" ca="1" si="213"/>
        <v>0.79308176262004415</v>
      </c>
      <c r="DV20" s="363">
        <f t="shared" ca="1" si="213"/>
        <v>0.83023211522810925</v>
      </c>
      <c r="DW20" s="363">
        <f t="shared" ca="1" si="213"/>
        <v>0.85959206961459511</v>
      </c>
      <c r="DX20" s="363">
        <f t="shared" ca="1" si="213"/>
        <v>0.75651341536707684</v>
      </c>
      <c r="DY20" s="363">
        <f t="shared" ca="1" si="213"/>
        <v>0.73188119277582298</v>
      </c>
      <c r="DZ20" s="363">
        <f t="shared" ca="1" si="213"/>
        <v>0.82652079842006732</v>
      </c>
      <c r="EA20" s="363">
        <f t="shared" ca="1" si="213"/>
        <v>0.86663067750715139</v>
      </c>
      <c r="EB20" s="363">
        <f t="shared" ca="1" si="213"/>
        <v>0.81703895845251173</v>
      </c>
      <c r="EC20" s="363">
        <f t="shared" ca="1" si="213"/>
        <v>0.78707765407983243</v>
      </c>
      <c r="ED20" s="363">
        <f t="shared" ca="1" si="213"/>
        <v>0.97430471474720792</v>
      </c>
      <c r="EE20" s="363">
        <f t="shared" ca="1" si="213"/>
        <v>0.73377378499872503</v>
      </c>
      <c r="EF20" s="363">
        <f t="shared" ca="1" si="213"/>
        <v>0.78359928231123732</v>
      </c>
      <c r="EG20" s="363">
        <f t="shared" ca="1" si="213"/>
        <v>0.72870568155438886</v>
      </c>
      <c r="EH20" s="363">
        <f t="shared" ca="1" si="213"/>
        <v>0.87827514254883809</v>
      </c>
      <c r="EI20" s="363">
        <f t="shared" ca="1" si="213"/>
        <v>0.69336667746287084</v>
      </c>
      <c r="EJ20" s="363">
        <f t="shared" ca="1" si="213"/>
        <v>0.80097960818281488</v>
      </c>
      <c r="EK20" s="363">
        <f t="shared" ca="1" si="213"/>
        <v>0.77378680842567804</v>
      </c>
      <c r="EL20" s="363">
        <f t="shared" ca="1" si="213"/>
        <v>0.86799387006504936</v>
      </c>
      <c r="EM20" s="363">
        <f t="shared" ca="1" si="213"/>
        <v>0.91848708273469171</v>
      </c>
      <c r="EN20" s="363">
        <f t="shared" ca="1" si="213"/>
        <v>0.84377530986290683</v>
      </c>
      <c r="EO20" s="363">
        <f t="shared" ca="1" si="213"/>
        <v>0.75320228959177105</v>
      </c>
      <c r="EP20" s="363">
        <f t="shared" ca="1" si="213"/>
        <v>0.83463557189247461</v>
      </c>
      <c r="EQ20" s="363">
        <f t="shared" ca="1" si="213"/>
        <v>0.8974600820427624</v>
      </c>
      <c r="ER20" s="363">
        <f t="shared" ca="1" si="213"/>
        <v>0.82684568750451715</v>
      </c>
      <c r="ES20" s="363">
        <f t="shared" ca="1" si="213"/>
        <v>0.79730234488575413</v>
      </c>
      <c r="ET20" s="363">
        <f t="shared" ca="1" si="213"/>
        <v>0.86558078194911781</v>
      </c>
      <c r="EU20" s="363">
        <f t="shared" ca="1" si="213"/>
        <v>0.77148894400390444</v>
      </c>
      <c r="EV20" s="363">
        <f t="shared" ca="1" si="213"/>
        <v>0.8993375463487232</v>
      </c>
      <c r="EW20" s="363">
        <f t="shared" ca="1" si="213"/>
        <v>0.79181078814752981</v>
      </c>
      <c r="EX20" s="363">
        <f t="shared" ca="1" si="213"/>
        <v>0.79744116125274456</v>
      </c>
      <c r="EY20" s="363">
        <f t="shared" ca="1" si="213"/>
        <v>0.77947701820655002</v>
      </c>
      <c r="EZ20" s="363">
        <f t="shared" ca="1" si="213"/>
        <v>0.86284695394320521</v>
      </c>
      <c r="FA20" s="363">
        <f t="shared" ca="1" si="213"/>
        <v>0.84869576464510854</v>
      </c>
      <c r="FB20" s="363">
        <f t="shared" ca="1" si="213"/>
        <v>0.73082160631629012</v>
      </c>
      <c r="FC20" s="363">
        <f t="shared" ca="1" si="213"/>
        <v>0.78640374326007179</v>
      </c>
      <c r="FD20" s="363">
        <f t="shared" ca="1" si="213"/>
        <v>0.89216550415170548</v>
      </c>
      <c r="FE20" s="363">
        <f t="shared" ca="1" si="213"/>
        <v>0.70376136758764174</v>
      </c>
      <c r="FF20" s="363">
        <f t="shared" ca="1" si="213"/>
        <v>0.77342089481926801</v>
      </c>
      <c r="FG20" s="363">
        <f t="shared" ca="1" si="213"/>
        <v>0.82566849849610602</v>
      </c>
      <c r="FH20" s="363">
        <f t="shared" ca="1" si="213"/>
        <v>0.86627433421286015</v>
      </c>
      <c r="FI20" s="363">
        <f t="shared" ca="1" si="213"/>
        <v>0.82495915716283674</v>
      </c>
      <c r="FJ20" s="363">
        <f t="shared" ca="1" si="213"/>
        <v>0.80106523938612206</v>
      </c>
      <c r="FK20" s="363">
        <f t="shared" ca="1" si="213"/>
        <v>0.68791082007178816</v>
      </c>
      <c r="FL20" s="363">
        <f t="shared" ca="1" si="213"/>
        <v>0.80874411853239758</v>
      </c>
      <c r="FM20" s="363">
        <f t="shared" ca="1" si="213"/>
        <v>0.87961458956746297</v>
      </c>
      <c r="FN20" s="363">
        <f t="shared" ca="1" si="213"/>
        <v>0.86796753952086558</v>
      </c>
      <c r="FO20" s="363">
        <f t="shared" ca="1" si="213"/>
        <v>0.7276681411155338</v>
      </c>
      <c r="FP20" s="363">
        <f t="shared" ca="1" si="213"/>
        <v>0.8752365882344656</v>
      </c>
      <c r="FQ20" s="363">
        <f t="shared" ca="1" si="213"/>
        <v>0.76718478306680926</v>
      </c>
      <c r="FR20" s="363">
        <f t="shared" ca="1" si="213"/>
        <v>0.91220055168511494</v>
      </c>
      <c r="FS20" s="363">
        <f t="shared" ca="1" si="213"/>
        <v>0.89850519705029719</v>
      </c>
      <c r="FT20" s="363">
        <f t="shared" ca="1" si="213"/>
        <v>0.75995655004717078</v>
      </c>
      <c r="FU20" s="363">
        <f t="shared" ca="1" si="213"/>
        <v>0.81249142431523824</v>
      </c>
      <c r="FV20" s="363">
        <f t="shared" ref="FV20:HD20" ca="1" si="214">_xlfn.LOGNORM.INV(RAND(),$I$20,$J$20)</f>
        <v>0.83807302642766657</v>
      </c>
      <c r="FW20" s="363">
        <f t="shared" ca="1" si="214"/>
        <v>0.83779971168413414</v>
      </c>
      <c r="FX20" s="363">
        <f t="shared" ca="1" si="214"/>
        <v>0.81481187536043087</v>
      </c>
      <c r="FY20" s="363">
        <f t="shared" ca="1" si="214"/>
        <v>0.84213985155281301</v>
      </c>
      <c r="FZ20" s="363">
        <f t="shared" ca="1" si="214"/>
        <v>0.84745209375310648</v>
      </c>
      <c r="GA20" s="363">
        <f t="shared" ca="1" si="214"/>
        <v>0.88147335700636309</v>
      </c>
      <c r="GB20" s="363">
        <f t="shared" ca="1" si="214"/>
        <v>0.81299247084676751</v>
      </c>
      <c r="GC20" s="363">
        <f t="shared" ca="1" si="214"/>
        <v>0.92558289838764485</v>
      </c>
      <c r="GD20" s="363">
        <f t="shared" ca="1" si="214"/>
        <v>0.79736707358382597</v>
      </c>
      <c r="GE20" s="363">
        <f t="shared" ca="1" si="214"/>
        <v>0.86705818415731573</v>
      </c>
      <c r="GF20" s="363">
        <f t="shared" ca="1" si="214"/>
        <v>0.86229421938070439</v>
      </c>
      <c r="GG20" s="363">
        <f t="shared" ca="1" si="214"/>
        <v>0.86150170366586976</v>
      </c>
      <c r="GH20" s="363">
        <f t="shared" ca="1" si="214"/>
        <v>0.72427135100243423</v>
      </c>
      <c r="GI20" s="363">
        <f t="shared" ca="1" si="214"/>
        <v>0.93801840738515652</v>
      </c>
      <c r="GJ20" s="363">
        <f t="shared" ca="1" si="214"/>
        <v>0.72380961166753488</v>
      </c>
      <c r="GK20" s="363">
        <f t="shared" ca="1" si="214"/>
        <v>0.81344394747818305</v>
      </c>
      <c r="GL20" s="363">
        <f t="shared" ca="1" si="214"/>
        <v>0.81510601557394924</v>
      </c>
      <c r="GM20" s="363">
        <f t="shared" ca="1" si="214"/>
        <v>0.86733463349703399</v>
      </c>
      <c r="GN20" s="363">
        <f t="shared" ca="1" si="214"/>
        <v>0.73727450773734016</v>
      </c>
      <c r="GO20" s="363">
        <f t="shared" ca="1" si="214"/>
        <v>0.88236730790731099</v>
      </c>
      <c r="GP20" s="363">
        <f t="shared" ca="1" si="214"/>
        <v>0.81710875567613583</v>
      </c>
      <c r="GQ20" s="363">
        <f t="shared" ca="1" si="214"/>
        <v>0.91423563209682424</v>
      </c>
      <c r="GR20" s="363">
        <f t="shared" ca="1" si="214"/>
        <v>0.93550921620159966</v>
      </c>
      <c r="GS20" s="363">
        <f t="shared" ca="1" si="214"/>
        <v>0.75974455114274719</v>
      </c>
      <c r="GT20" s="363">
        <f t="shared" ca="1" si="214"/>
        <v>0.79967257797881108</v>
      </c>
      <c r="GU20" s="363">
        <f t="shared" ca="1" si="214"/>
        <v>0.72967318841350748</v>
      </c>
      <c r="GV20" s="363">
        <f t="shared" ca="1" si="214"/>
        <v>0.68460442699757695</v>
      </c>
      <c r="GW20" s="363">
        <f t="shared" ca="1" si="214"/>
        <v>0.81232943443684336</v>
      </c>
      <c r="GX20" s="363">
        <f t="shared" ca="1" si="214"/>
        <v>0.8982647959042489</v>
      </c>
      <c r="GY20" s="363">
        <f t="shared" ca="1" si="214"/>
        <v>0.82699939925154897</v>
      </c>
      <c r="GZ20" s="363">
        <f t="shared" ca="1" si="214"/>
        <v>0.81466047438838407</v>
      </c>
      <c r="HA20" s="363">
        <f t="shared" ca="1" si="214"/>
        <v>0.72923820108157267</v>
      </c>
      <c r="HB20" s="363">
        <f t="shared" ca="1" si="214"/>
        <v>0.7353364300424664</v>
      </c>
      <c r="HC20" s="363">
        <f t="shared" ca="1" si="214"/>
        <v>0.83743031283406699</v>
      </c>
      <c r="HD20" s="363">
        <f t="shared" ca="1" si="214"/>
        <v>0.82684174663677579</v>
      </c>
      <c r="HE20" s="363">
        <f ca="1">_xlfn.LOGNORM.INV(RAND(),$I$20,$J$20)</f>
        <v>0.78036287015749495</v>
      </c>
      <c r="HF20" s="363">
        <f t="shared" ref="HF20:JQ20" ca="1" si="215">_xlfn.LOGNORM.INV(RAND(),$I$20,$J$20)</f>
        <v>0.81214645616703651</v>
      </c>
      <c r="HG20" s="363">
        <f t="shared" ca="1" si="215"/>
        <v>0.81301109975985042</v>
      </c>
      <c r="HH20" s="363">
        <f t="shared" ca="1" si="215"/>
        <v>0.83377993270696271</v>
      </c>
      <c r="HI20" s="363">
        <f t="shared" ca="1" si="215"/>
        <v>0.91966582601202684</v>
      </c>
      <c r="HJ20" s="363">
        <f t="shared" ca="1" si="215"/>
        <v>0.81662072149800202</v>
      </c>
      <c r="HK20" s="363">
        <f t="shared" ca="1" si="215"/>
        <v>0.87353275622299109</v>
      </c>
      <c r="HL20" s="363">
        <f t="shared" ca="1" si="215"/>
        <v>0.78376476524444316</v>
      </c>
      <c r="HM20" s="363">
        <f t="shared" ca="1" si="215"/>
        <v>0.83792263545719603</v>
      </c>
      <c r="HN20" s="363">
        <f t="shared" ca="1" si="215"/>
        <v>0.83019831889427598</v>
      </c>
      <c r="HO20" s="363">
        <f t="shared" ca="1" si="215"/>
        <v>0.78621900631835684</v>
      </c>
      <c r="HP20" s="363">
        <f t="shared" ca="1" si="215"/>
        <v>0.80091804103562914</v>
      </c>
      <c r="HQ20" s="363">
        <f t="shared" ca="1" si="215"/>
        <v>0.74763513273605808</v>
      </c>
      <c r="HR20" s="363">
        <f t="shared" ca="1" si="215"/>
        <v>0.81972700581499003</v>
      </c>
      <c r="HS20" s="363">
        <f t="shared" ca="1" si="215"/>
        <v>0.75719153659878147</v>
      </c>
      <c r="HT20" s="363">
        <f t="shared" ca="1" si="215"/>
        <v>0.80386489507930747</v>
      </c>
      <c r="HU20" s="363">
        <f t="shared" ca="1" si="215"/>
        <v>0.87299165018629032</v>
      </c>
      <c r="HV20" s="363">
        <f t="shared" ca="1" si="215"/>
        <v>0.95464300235979282</v>
      </c>
      <c r="HW20" s="363">
        <f t="shared" ca="1" si="215"/>
        <v>0.7548539811930377</v>
      </c>
      <c r="HX20" s="363">
        <f t="shared" ca="1" si="215"/>
        <v>0.81602043572249594</v>
      </c>
      <c r="HY20" s="363">
        <f t="shared" ca="1" si="215"/>
        <v>0.84226169118015504</v>
      </c>
      <c r="HZ20" s="363">
        <f t="shared" ca="1" si="215"/>
        <v>0.7911582295691586</v>
      </c>
      <c r="IA20" s="363">
        <f t="shared" ca="1" si="215"/>
        <v>0.78528740875591119</v>
      </c>
      <c r="IB20" s="363">
        <f t="shared" ca="1" si="215"/>
        <v>0.89954520830225781</v>
      </c>
      <c r="IC20" s="363">
        <f t="shared" ca="1" si="215"/>
        <v>0.90703952664901466</v>
      </c>
      <c r="ID20" s="363">
        <f t="shared" ca="1" si="215"/>
        <v>0.75969775215936441</v>
      </c>
      <c r="IE20" s="363">
        <f t="shared" ca="1" si="215"/>
        <v>0.82652054179606027</v>
      </c>
      <c r="IF20" s="363">
        <f t="shared" ca="1" si="215"/>
        <v>0.82866568904347204</v>
      </c>
      <c r="IG20" s="363">
        <f t="shared" ca="1" si="215"/>
        <v>0.81840150155345559</v>
      </c>
      <c r="IH20" s="363">
        <f t="shared" ca="1" si="215"/>
        <v>0.77270267507499135</v>
      </c>
      <c r="II20" s="363">
        <f t="shared" ca="1" si="215"/>
        <v>0.80925939182499329</v>
      </c>
      <c r="IJ20" s="363">
        <f t="shared" ca="1" si="215"/>
        <v>0.81556533506938722</v>
      </c>
      <c r="IK20" s="363">
        <f t="shared" ca="1" si="215"/>
        <v>0.87326076176175638</v>
      </c>
      <c r="IL20" s="363">
        <f t="shared" ca="1" si="215"/>
        <v>0.77789781511833322</v>
      </c>
      <c r="IM20" s="363">
        <f t="shared" ca="1" si="215"/>
        <v>0.8197804935174211</v>
      </c>
      <c r="IN20" s="363">
        <f t="shared" ca="1" si="215"/>
        <v>0.71263038816459501</v>
      </c>
      <c r="IO20" s="363">
        <f t="shared" ca="1" si="215"/>
        <v>0.81164228201490951</v>
      </c>
      <c r="IP20" s="363">
        <f t="shared" ca="1" si="215"/>
        <v>0.86352706878665264</v>
      </c>
      <c r="IQ20" s="363">
        <f t="shared" ca="1" si="215"/>
        <v>0.80625102445024688</v>
      </c>
      <c r="IR20" s="363">
        <f t="shared" ca="1" si="215"/>
        <v>0.8952281049491696</v>
      </c>
      <c r="IS20" s="363">
        <f t="shared" ca="1" si="215"/>
        <v>0.81399413566575418</v>
      </c>
      <c r="IT20" s="363">
        <f t="shared" ca="1" si="215"/>
        <v>0.86676042613687543</v>
      </c>
      <c r="IU20" s="363">
        <f t="shared" ca="1" si="215"/>
        <v>0.9095479318591565</v>
      </c>
      <c r="IV20" s="363">
        <f t="shared" ca="1" si="215"/>
        <v>0.82703655033757484</v>
      </c>
      <c r="IW20" s="363">
        <f t="shared" ca="1" si="215"/>
        <v>0.78578830359969132</v>
      </c>
      <c r="IX20" s="363">
        <f t="shared" ca="1" si="215"/>
        <v>0.83035245018181869</v>
      </c>
      <c r="IY20" s="363">
        <f t="shared" ca="1" si="215"/>
        <v>0.85535030884121455</v>
      </c>
      <c r="IZ20" s="363">
        <f t="shared" ca="1" si="215"/>
        <v>0.82370853347102924</v>
      </c>
      <c r="JA20" s="363">
        <f t="shared" ca="1" si="215"/>
        <v>0.82920369428528795</v>
      </c>
      <c r="JB20" s="363">
        <f t="shared" ca="1" si="215"/>
        <v>0.75225610361373552</v>
      </c>
      <c r="JC20" s="363">
        <f t="shared" ca="1" si="215"/>
        <v>0.87502147081345638</v>
      </c>
      <c r="JD20" s="363">
        <f t="shared" ca="1" si="215"/>
        <v>0.82534994139939455</v>
      </c>
      <c r="JE20" s="363">
        <f t="shared" ca="1" si="215"/>
        <v>0.77947957176925908</v>
      </c>
      <c r="JF20" s="363">
        <f t="shared" ca="1" si="215"/>
        <v>0.70535606165186793</v>
      </c>
      <c r="JG20" s="363">
        <f t="shared" ca="1" si="215"/>
        <v>0.69968800330944791</v>
      </c>
      <c r="JH20" s="363">
        <f t="shared" ca="1" si="215"/>
        <v>0.85651019556219654</v>
      </c>
      <c r="JI20" s="363">
        <f t="shared" ca="1" si="215"/>
        <v>0.85699905863001602</v>
      </c>
      <c r="JJ20" s="363">
        <f t="shared" ca="1" si="215"/>
        <v>0.76210074417597662</v>
      </c>
      <c r="JK20" s="363">
        <f t="shared" ca="1" si="215"/>
        <v>0.8702217304191926</v>
      </c>
      <c r="JL20" s="363">
        <f t="shared" ca="1" si="215"/>
        <v>0.76272697951599433</v>
      </c>
      <c r="JM20" s="363">
        <f t="shared" ca="1" si="215"/>
        <v>0.77593960087261615</v>
      </c>
      <c r="JN20" s="363">
        <f t="shared" ca="1" si="215"/>
        <v>0.82734781060942741</v>
      </c>
      <c r="JO20" s="363">
        <f t="shared" ca="1" si="215"/>
        <v>0.91415999430574302</v>
      </c>
      <c r="JP20" s="363">
        <f t="shared" ca="1" si="215"/>
        <v>0.86440228621275206</v>
      </c>
      <c r="JQ20" s="363">
        <f t="shared" ca="1" si="215"/>
        <v>0.78986187938312813</v>
      </c>
      <c r="JR20" s="363">
        <f t="shared" ref="JR20:KZ20" ca="1" si="216">_xlfn.LOGNORM.INV(RAND(),$I$20,$J$20)</f>
        <v>0.86646489255409731</v>
      </c>
      <c r="JS20" s="363">
        <f t="shared" ca="1" si="216"/>
        <v>0.92776612061679087</v>
      </c>
      <c r="JT20" s="363">
        <f t="shared" ca="1" si="216"/>
        <v>0.84514121858013436</v>
      </c>
      <c r="JU20" s="363">
        <f t="shared" ca="1" si="216"/>
        <v>0.81792526147430544</v>
      </c>
      <c r="JV20" s="363">
        <f t="shared" ca="1" si="216"/>
        <v>0.84922383157975634</v>
      </c>
      <c r="JW20" s="363">
        <f t="shared" ca="1" si="216"/>
        <v>0.79866714637379477</v>
      </c>
      <c r="JX20" s="363">
        <f t="shared" ca="1" si="216"/>
        <v>0.84591771527806292</v>
      </c>
      <c r="JY20" s="363">
        <f t="shared" ca="1" si="216"/>
        <v>0.93883159166147356</v>
      </c>
      <c r="JZ20" s="363">
        <f t="shared" ca="1" si="216"/>
        <v>0.86451953011866756</v>
      </c>
      <c r="KA20" s="363">
        <f t="shared" ca="1" si="216"/>
        <v>0.81138123939494822</v>
      </c>
      <c r="KB20" s="363">
        <f t="shared" ca="1" si="216"/>
        <v>0.85812215738203457</v>
      </c>
      <c r="KC20" s="363">
        <f t="shared" ca="1" si="216"/>
        <v>0.77384577122212939</v>
      </c>
      <c r="KD20" s="363">
        <f t="shared" ca="1" si="216"/>
        <v>0.85482853684646909</v>
      </c>
      <c r="KE20" s="363">
        <f t="shared" ca="1" si="216"/>
        <v>0.73254494367177103</v>
      </c>
      <c r="KF20" s="363">
        <f t="shared" ca="1" si="216"/>
        <v>0.78563263053861609</v>
      </c>
      <c r="KG20" s="363">
        <f t="shared" ca="1" si="216"/>
        <v>0.8019300051717736</v>
      </c>
      <c r="KH20" s="363">
        <f t="shared" ca="1" si="216"/>
        <v>0.82875080677909252</v>
      </c>
      <c r="KI20" s="363">
        <f t="shared" ca="1" si="216"/>
        <v>0.7074202391063461</v>
      </c>
      <c r="KJ20" s="363">
        <f t="shared" ca="1" si="216"/>
        <v>0.78498070289422905</v>
      </c>
      <c r="KK20" s="363">
        <f t="shared" ca="1" si="216"/>
        <v>0.75087452353713846</v>
      </c>
      <c r="KL20" s="363">
        <f t="shared" ca="1" si="216"/>
        <v>0.74624318162135495</v>
      </c>
      <c r="KM20" s="363">
        <f t="shared" ca="1" si="216"/>
        <v>0.82257995201007972</v>
      </c>
      <c r="KN20" s="363">
        <f t="shared" ca="1" si="216"/>
        <v>0.87282263494396128</v>
      </c>
      <c r="KO20" s="363">
        <f t="shared" ca="1" si="216"/>
        <v>0.83808021433290436</v>
      </c>
      <c r="KP20" s="363">
        <f t="shared" ca="1" si="216"/>
        <v>0.97711446902623156</v>
      </c>
      <c r="KQ20" s="363">
        <f t="shared" ca="1" si="216"/>
        <v>0.72775944874824205</v>
      </c>
      <c r="KR20" s="363">
        <f t="shared" ca="1" si="216"/>
        <v>0.8136890207504146</v>
      </c>
      <c r="KS20" s="363">
        <f t="shared" ca="1" si="216"/>
        <v>0.86581914618981815</v>
      </c>
      <c r="KT20" s="363">
        <f t="shared" ca="1" si="216"/>
        <v>0.78689108700892729</v>
      </c>
      <c r="KU20" s="363">
        <f t="shared" ca="1" si="216"/>
        <v>0.93082874239803925</v>
      </c>
      <c r="KV20" s="363">
        <f t="shared" ca="1" si="216"/>
        <v>0.92933730753726118</v>
      </c>
      <c r="KW20" s="363">
        <f t="shared" ca="1" si="216"/>
        <v>0.83764210859507349</v>
      </c>
      <c r="KX20" s="363">
        <f t="shared" ca="1" si="216"/>
        <v>0.88312422554781722</v>
      </c>
      <c r="KY20" s="363">
        <f t="shared" ca="1" si="216"/>
        <v>0.92986992679671954</v>
      </c>
      <c r="KZ20" s="363">
        <f t="shared" ca="1" si="216"/>
        <v>0.89640024046913591</v>
      </c>
      <c r="LA20" s="363">
        <f ca="1">_xlfn.LOGNORM.INV(RAND(),$I$20,$J$20)</f>
        <v>0.89810334467741504</v>
      </c>
      <c r="LB20" s="363">
        <f t="shared" ref="LB20:NM20" ca="1" si="217">_xlfn.LOGNORM.INV(RAND(),$I$20,$J$20)</f>
        <v>0.79146038663728779</v>
      </c>
      <c r="LC20" s="363">
        <f t="shared" ca="1" si="217"/>
        <v>0.88021115549220597</v>
      </c>
      <c r="LD20" s="363">
        <f t="shared" ca="1" si="217"/>
        <v>0.85680046497413831</v>
      </c>
      <c r="LE20" s="363">
        <f t="shared" ca="1" si="217"/>
        <v>0.79462496833923679</v>
      </c>
      <c r="LF20" s="363">
        <f t="shared" ca="1" si="217"/>
        <v>0.79334720902749234</v>
      </c>
      <c r="LG20" s="363">
        <f t="shared" ca="1" si="217"/>
        <v>0.76994755248849223</v>
      </c>
      <c r="LH20" s="363">
        <f t="shared" ca="1" si="217"/>
        <v>0.90083664195122337</v>
      </c>
      <c r="LI20" s="363">
        <f t="shared" ca="1" si="217"/>
        <v>0.76643618560626792</v>
      </c>
      <c r="LJ20" s="363">
        <f t="shared" ca="1" si="217"/>
        <v>0.86547839385714531</v>
      </c>
      <c r="LK20" s="363">
        <f t="shared" ca="1" si="217"/>
        <v>0.76670388899647501</v>
      </c>
      <c r="LL20" s="363">
        <f t="shared" ca="1" si="217"/>
        <v>0.81178443318957583</v>
      </c>
      <c r="LM20" s="363">
        <f t="shared" ca="1" si="217"/>
        <v>0.86754548600344483</v>
      </c>
      <c r="LN20" s="363">
        <f t="shared" ca="1" si="217"/>
        <v>0.80421076797740021</v>
      </c>
      <c r="LO20" s="363">
        <f t="shared" ca="1" si="217"/>
        <v>0.84587575466801734</v>
      </c>
      <c r="LP20" s="363">
        <f t="shared" ca="1" si="217"/>
        <v>0.67491355381291895</v>
      </c>
      <c r="LQ20" s="363">
        <f t="shared" ca="1" si="217"/>
        <v>0.80479090044641</v>
      </c>
      <c r="LR20" s="363">
        <f t="shared" ca="1" si="217"/>
        <v>0.74182580986577984</v>
      </c>
      <c r="LS20" s="363">
        <f t="shared" ca="1" si="217"/>
        <v>0.82890555900268037</v>
      </c>
      <c r="LT20" s="363">
        <f t="shared" ca="1" si="217"/>
        <v>0.79844306095852424</v>
      </c>
      <c r="LU20" s="363">
        <f t="shared" ca="1" si="217"/>
        <v>0.82073808361202139</v>
      </c>
      <c r="LV20" s="363">
        <f t="shared" ca="1" si="217"/>
        <v>0.81663056062240802</v>
      </c>
      <c r="LW20" s="363">
        <f t="shared" ca="1" si="217"/>
        <v>0.85314656454545323</v>
      </c>
      <c r="LX20" s="363">
        <f t="shared" ca="1" si="217"/>
        <v>0.77763930538588111</v>
      </c>
      <c r="LY20" s="363">
        <f t="shared" ca="1" si="217"/>
        <v>0.90547222677054218</v>
      </c>
      <c r="LZ20" s="363">
        <f t="shared" ca="1" si="217"/>
        <v>0.80982298081754278</v>
      </c>
      <c r="MA20" s="363">
        <f t="shared" ca="1" si="217"/>
        <v>0.90327884083030974</v>
      </c>
      <c r="MB20" s="363">
        <f t="shared" ca="1" si="217"/>
        <v>0.83113068288124714</v>
      </c>
      <c r="MC20" s="363">
        <f t="shared" ca="1" si="217"/>
        <v>0.89411126545683695</v>
      </c>
      <c r="MD20" s="363">
        <f t="shared" ca="1" si="217"/>
        <v>0.84970216954600675</v>
      </c>
      <c r="ME20" s="363">
        <f t="shared" ca="1" si="217"/>
        <v>0.69574975401664696</v>
      </c>
      <c r="MF20" s="363">
        <f t="shared" ca="1" si="217"/>
        <v>0.76203424371052519</v>
      </c>
      <c r="MG20" s="363">
        <f t="shared" ca="1" si="217"/>
        <v>0.78341446273770543</v>
      </c>
      <c r="MH20" s="363">
        <f t="shared" ca="1" si="217"/>
        <v>0.86065632507679868</v>
      </c>
      <c r="MI20" s="363">
        <f t="shared" ca="1" si="217"/>
        <v>0.86218473527363881</v>
      </c>
      <c r="MJ20" s="363">
        <f t="shared" ca="1" si="217"/>
        <v>0.9335951000882492</v>
      </c>
      <c r="MK20" s="363">
        <f t="shared" ca="1" si="217"/>
        <v>0.89919906683959194</v>
      </c>
      <c r="ML20" s="363">
        <f t="shared" ca="1" si="217"/>
        <v>0.94520054806681941</v>
      </c>
      <c r="MM20" s="363">
        <f t="shared" ca="1" si="217"/>
        <v>0.84568706376379466</v>
      </c>
      <c r="MN20" s="363">
        <f t="shared" ca="1" si="217"/>
        <v>0.79829286519236364</v>
      </c>
      <c r="MO20" s="363">
        <f t="shared" ca="1" si="217"/>
        <v>0.83885782337243608</v>
      </c>
      <c r="MP20" s="363">
        <f t="shared" ca="1" si="217"/>
        <v>0.82016890763672512</v>
      </c>
      <c r="MQ20" s="363">
        <f t="shared" ca="1" si="217"/>
        <v>0.81072804266000753</v>
      </c>
      <c r="MR20" s="363">
        <f t="shared" ca="1" si="217"/>
        <v>0.82030439122276155</v>
      </c>
      <c r="MS20" s="363">
        <f t="shared" ca="1" si="217"/>
        <v>0.86975911288597452</v>
      </c>
      <c r="MT20" s="363">
        <f t="shared" ca="1" si="217"/>
        <v>0.8526006456701215</v>
      </c>
      <c r="MU20" s="363">
        <f t="shared" ca="1" si="217"/>
        <v>0.83556791259987295</v>
      </c>
      <c r="MV20" s="363">
        <f t="shared" ca="1" si="217"/>
        <v>0.81432386459012673</v>
      </c>
      <c r="MW20" s="363">
        <f t="shared" ca="1" si="217"/>
        <v>0.78472151298013459</v>
      </c>
      <c r="MX20" s="363">
        <f t="shared" ca="1" si="217"/>
        <v>0.77018478700529014</v>
      </c>
      <c r="MY20" s="363">
        <f t="shared" ca="1" si="217"/>
        <v>0.85316286762702787</v>
      </c>
      <c r="MZ20" s="363">
        <f t="shared" ca="1" si="217"/>
        <v>0.72783671643720238</v>
      </c>
      <c r="NA20" s="363">
        <f t="shared" ca="1" si="217"/>
        <v>0.93684461765572014</v>
      </c>
      <c r="NB20" s="363">
        <f t="shared" ca="1" si="217"/>
        <v>0.79703377441009171</v>
      </c>
      <c r="NC20" s="363">
        <f t="shared" ca="1" si="217"/>
        <v>0.73687111144576245</v>
      </c>
      <c r="ND20" s="363">
        <f t="shared" ca="1" si="217"/>
        <v>0.79557967595603918</v>
      </c>
      <c r="NE20" s="363">
        <f t="shared" ca="1" si="217"/>
        <v>0.89647894595334077</v>
      </c>
      <c r="NF20" s="363">
        <f t="shared" ca="1" si="217"/>
        <v>0.8044109708377688</v>
      </c>
      <c r="NG20" s="363">
        <f t="shared" ca="1" si="217"/>
        <v>0.82171992008392014</v>
      </c>
      <c r="NH20" s="363">
        <f t="shared" ca="1" si="217"/>
        <v>0.77798949610643731</v>
      </c>
      <c r="NI20" s="363">
        <f t="shared" ca="1" si="217"/>
        <v>0.74759395928390593</v>
      </c>
      <c r="NJ20" s="363">
        <f t="shared" ca="1" si="217"/>
        <v>0.7961340203033741</v>
      </c>
      <c r="NK20" s="363">
        <f t="shared" ca="1" si="217"/>
        <v>0.91402491921271933</v>
      </c>
      <c r="NL20" s="363">
        <f t="shared" ca="1" si="217"/>
        <v>0.77138129768275354</v>
      </c>
      <c r="NM20" s="363">
        <f t="shared" ca="1" si="217"/>
        <v>0.77824294950743722</v>
      </c>
      <c r="NN20" s="363">
        <f t="shared" ref="NN20:OV20" ca="1" si="218">_xlfn.LOGNORM.INV(RAND(),$I$20,$J$20)</f>
        <v>0.77057012906905797</v>
      </c>
      <c r="NO20" s="363">
        <f t="shared" ca="1" si="218"/>
        <v>0.84520476935575239</v>
      </c>
      <c r="NP20" s="363">
        <f t="shared" ca="1" si="218"/>
        <v>0.84333294488307076</v>
      </c>
      <c r="NQ20" s="363">
        <f t="shared" ca="1" si="218"/>
        <v>0.92757089013674732</v>
      </c>
      <c r="NR20" s="363">
        <f t="shared" ca="1" si="218"/>
        <v>0.77523609289947293</v>
      </c>
      <c r="NS20" s="363">
        <f t="shared" ca="1" si="218"/>
        <v>0.83374779679436861</v>
      </c>
      <c r="NT20" s="363">
        <f t="shared" ca="1" si="218"/>
        <v>0.79266249630857899</v>
      </c>
      <c r="NU20" s="363">
        <f t="shared" ca="1" si="218"/>
        <v>0.83713801400249666</v>
      </c>
      <c r="NV20" s="363">
        <f t="shared" ca="1" si="218"/>
        <v>0.83346671528647154</v>
      </c>
      <c r="NW20" s="363">
        <f t="shared" ca="1" si="218"/>
        <v>0.77450045743324802</v>
      </c>
      <c r="NX20" s="363">
        <f t="shared" ca="1" si="218"/>
        <v>0.75500272833949</v>
      </c>
      <c r="NY20" s="363">
        <f t="shared" ca="1" si="218"/>
        <v>0.88650566819842902</v>
      </c>
      <c r="NZ20" s="363">
        <f t="shared" ca="1" si="218"/>
        <v>0.89005055266399558</v>
      </c>
      <c r="OA20" s="363">
        <f t="shared" ca="1" si="218"/>
        <v>0.78517239715033771</v>
      </c>
      <c r="OB20" s="363">
        <f t="shared" ca="1" si="218"/>
        <v>0.77282190253077798</v>
      </c>
      <c r="OC20" s="363">
        <f t="shared" ca="1" si="218"/>
        <v>0.74771491765075682</v>
      </c>
      <c r="OD20" s="363">
        <f t="shared" ca="1" si="218"/>
        <v>0.69165319824661253</v>
      </c>
      <c r="OE20" s="363">
        <f t="shared" ca="1" si="218"/>
        <v>0.84066750053334438</v>
      </c>
      <c r="OF20" s="363">
        <f t="shared" ca="1" si="218"/>
        <v>0.80937290029849895</v>
      </c>
      <c r="OG20" s="363">
        <f t="shared" ca="1" si="218"/>
        <v>0.78897322279083004</v>
      </c>
      <c r="OH20" s="363">
        <f t="shared" ca="1" si="218"/>
        <v>0.91953066875525691</v>
      </c>
      <c r="OI20" s="363">
        <f t="shared" ca="1" si="218"/>
        <v>0.73145980399975219</v>
      </c>
      <c r="OJ20" s="363">
        <f t="shared" ca="1" si="218"/>
        <v>0.90446029896244828</v>
      </c>
      <c r="OK20" s="363">
        <f t="shared" ca="1" si="218"/>
        <v>0.79632390238993023</v>
      </c>
      <c r="OL20" s="363">
        <f t="shared" ca="1" si="218"/>
        <v>0.7900362316621754</v>
      </c>
      <c r="OM20" s="363">
        <f t="shared" ca="1" si="218"/>
        <v>0.71778137665998609</v>
      </c>
      <c r="ON20" s="363">
        <f t="shared" ca="1" si="218"/>
        <v>0.68283326231800556</v>
      </c>
      <c r="OO20" s="363">
        <f t="shared" ca="1" si="218"/>
        <v>0.85347834980810056</v>
      </c>
      <c r="OP20" s="363">
        <f t="shared" ca="1" si="218"/>
        <v>0.83048887639451974</v>
      </c>
      <c r="OQ20" s="363">
        <f t="shared" ca="1" si="218"/>
        <v>0.94722607306637041</v>
      </c>
      <c r="OR20" s="363">
        <f t="shared" ca="1" si="218"/>
        <v>0.76920455353967288</v>
      </c>
      <c r="OS20" s="363">
        <f t="shared" ca="1" si="218"/>
        <v>0.72546532837563771</v>
      </c>
      <c r="OT20" s="363">
        <f t="shared" ca="1" si="218"/>
        <v>0.83621168672014989</v>
      </c>
      <c r="OU20" s="363">
        <f t="shared" ca="1" si="218"/>
        <v>0.78072189563342953</v>
      </c>
      <c r="OV20" s="363">
        <f t="shared" ca="1" si="218"/>
        <v>0.93575861579451947</v>
      </c>
      <c r="OW20" s="363">
        <f ca="1">_xlfn.LOGNORM.INV(RAND(),$I$20,$J$20)</f>
        <v>0.84762456940339737</v>
      </c>
      <c r="OX20" s="363">
        <f t="shared" ref="OX20:RI20" ca="1" si="219">_xlfn.LOGNORM.INV(RAND(),$I$20,$J$20)</f>
        <v>0.86654802770963613</v>
      </c>
      <c r="OY20" s="363">
        <f t="shared" ca="1" si="219"/>
        <v>0.82843839299343502</v>
      </c>
      <c r="OZ20" s="363">
        <f t="shared" ca="1" si="219"/>
        <v>0.76875012108982477</v>
      </c>
      <c r="PA20" s="363">
        <f t="shared" ca="1" si="219"/>
        <v>0.851027066116957</v>
      </c>
      <c r="PB20" s="363">
        <f t="shared" ca="1" si="219"/>
        <v>0.83834227252347793</v>
      </c>
      <c r="PC20" s="363">
        <f t="shared" ca="1" si="219"/>
        <v>0.82801983744914576</v>
      </c>
      <c r="PD20" s="363">
        <f t="shared" ca="1" si="219"/>
        <v>0.77362402551196663</v>
      </c>
      <c r="PE20" s="363">
        <f t="shared" ca="1" si="219"/>
        <v>0.76533709091817981</v>
      </c>
      <c r="PF20" s="363">
        <f t="shared" ca="1" si="219"/>
        <v>0.79681373953919199</v>
      </c>
      <c r="PG20" s="363">
        <f t="shared" ca="1" si="219"/>
        <v>0.743107738287338</v>
      </c>
      <c r="PH20" s="363">
        <f t="shared" ca="1" si="219"/>
        <v>0.83582809887712339</v>
      </c>
      <c r="PI20" s="363">
        <f t="shared" ca="1" si="219"/>
        <v>0.816932484230117</v>
      </c>
      <c r="PJ20" s="363">
        <f t="shared" ca="1" si="219"/>
        <v>0.89421787013820153</v>
      </c>
      <c r="PK20" s="363">
        <f t="shared" ca="1" si="219"/>
        <v>1.0288355809080159</v>
      </c>
      <c r="PL20" s="363">
        <f t="shared" ca="1" si="219"/>
        <v>0.84046718178332491</v>
      </c>
      <c r="PM20" s="363">
        <f t="shared" ca="1" si="219"/>
        <v>0.73633940183692126</v>
      </c>
      <c r="PN20" s="363">
        <f t="shared" ca="1" si="219"/>
        <v>0.73423014694013611</v>
      </c>
      <c r="PO20" s="363">
        <f t="shared" ca="1" si="219"/>
        <v>0.88868228086455392</v>
      </c>
      <c r="PP20" s="363">
        <f t="shared" ca="1" si="219"/>
        <v>0.80034831557942121</v>
      </c>
      <c r="PQ20" s="363">
        <f t="shared" ca="1" si="219"/>
        <v>0.90119156182232496</v>
      </c>
      <c r="PR20" s="363">
        <f t="shared" ca="1" si="219"/>
        <v>0.90786309305117407</v>
      </c>
      <c r="PS20" s="363">
        <f t="shared" ca="1" si="219"/>
        <v>0.80951757292325988</v>
      </c>
      <c r="PT20" s="363">
        <f t="shared" ca="1" si="219"/>
        <v>0.82344139434600427</v>
      </c>
      <c r="PU20" s="363">
        <f t="shared" ca="1" si="219"/>
        <v>0.74538118326088243</v>
      </c>
      <c r="PV20" s="363">
        <f t="shared" ca="1" si="219"/>
        <v>0.69266053248864157</v>
      </c>
      <c r="PW20" s="363">
        <f t="shared" ca="1" si="219"/>
        <v>0.7574924322618235</v>
      </c>
      <c r="PX20" s="363">
        <f t="shared" ca="1" si="219"/>
        <v>0.75002921717995263</v>
      </c>
      <c r="PY20" s="363">
        <f t="shared" ca="1" si="219"/>
        <v>0.70280440014081447</v>
      </c>
      <c r="PZ20" s="363">
        <f t="shared" ca="1" si="219"/>
        <v>0.85060439723076076</v>
      </c>
      <c r="QA20" s="363">
        <f t="shared" ca="1" si="219"/>
        <v>0.81495813000652928</v>
      </c>
      <c r="QB20" s="363">
        <f t="shared" ca="1" si="219"/>
        <v>0.79961567902797082</v>
      </c>
      <c r="QC20" s="363">
        <f t="shared" ca="1" si="219"/>
        <v>0.90002372897270277</v>
      </c>
      <c r="QD20" s="363">
        <f t="shared" ca="1" si="219"/>
        <v>0.94713796616008361</v>
      </c>
      <c r="QE20" s="363">
        <f t="shared" ca="1" si="219"/>
        <v>0.80608913844731556</v>
      </c>
      <c r="QF20" s="363">
        <f t="shared" ca="1" si="219"/>
        <v>0.73903168246835149</v>
      </c>
      <c r="QG20" s="363">
        <f t="shared" ca="1" si="219"/>
        <v>0.85130408472424934</v>
      </c>
      <c r="QH20" s="363">
        <f t="shared" ca="1" si="219"/>
        <v>0.80763153587928094</v>
      </c>
      <c r="QI20" s="363">
        <f t="shared" ca="1" si="219"/>
        <v>0.76802629168032965</v>
      </c>
      <c r="QJ20" s="363">
        <f t="shared" ca="1" si="219"/>
        <v>0.9031329377696885</v>
      </c>
      <c r="QK20" s="363">
        <f t="shared" ca="1" si="219"/>
        <v>0.77998699689743423</v>
      </c>
      <c r="QL20" s="363">
        <f t="shared" ca="1" si="219"/>
        <v>0.74150433076810451</v>
      </c>
      <c r="QM20" s="363">
        <f t="shared" ca="1" si="219"/>
        <v>0.80011596116802475</v>
      </c>
      <c r="QN20" s="363">
        <f t="shared" ca="1" si="219"/>
        <v>0.83276205181695229</v>
      </c>
      <c r="QO20" s="363">
        <f t="shared" ca="1" si="219"/>
        <v>0.76850985816259432</v>
      </c>
      <c r="QP20" s="363">
        <f t="shared" ca="1" si="219"/>
        <v>0.80617674550482321</v>
      </c>
      <c r="QQ20" s="363">
        <f t="shared" ca="1" si="219"/>
        <v>0.77689488663446693</v>
      </c>
      <c r="QR20" s="363">
        <f t="shared" ca="1" si="219"/>
        <v>0.76893408729404933</v>
      </c>
      <c r="QS20" s="363">
        <f t="shared" ca="1" si="219"/>
        <v>0.83997437878734083</v>
      </c>
      <c r="QT20" s="363">
        <f t="shared" ca="1" si="219"/>
        <v>0.81891608756932976</v>
      </c>
      <c r="QU20" s="363">
        <f t="shared" ca="1" si="219"/>
        <v>0.71360713855014002</v>
      </c>
      <c r="QV20" s="363">
        <f t="shared" ca="1" si="219"/>
        <v>0.7833797151202484</v>
      </c>
      <c r="QW20" s="363">
        <f t="shared" ca="1" si="219"/>
        <v>0.97803637080982497</v>
      </c>
      <c r="QX20" s="363">
        <f t="shared" ca="1" si="219"/>
        <v>0.9865128426696782</v>
      </c>
      <c r="QY20" s="363">
        <f t="shared" ca="1" si="219"/>
        <v>0.80573403511582364</v>
      </c>
      <c r="QZ20" s="363">
        <f t="shared" ca="1" si="219"/>
        <v>0.79438499904378135</v>
      </c>
      <c r="RA20" s="363">
        <f t="shared" ca="1" si="219"/>
        <v>0.78275579985327237</v>
      </c>
      <c r="RB20" s="363">
        <f t="shared" ca="1" si="219"/>
        <v>0.88055911382461094</v>
      </c>
      <c r="RC20" s="363">
        <f t="shared" ca="1" si="219"/>
        <v>0.81148491000686185</v>
      </c>
      <c r="RD20" s="363">
        <f t="shared" ca="1" si="219"/>
        <v>0.90408390090742996</v>
      </c>
      <c r="RE20" s="363">
        <f t="shared" ca="1" si="219"/>
        <v>0.8627154971875266</v>
      </c>
      <c r="RF20" s="363">
        <f t="shared" ca="1" si="219"/>
        <v>0.878402218678628</v>
      </c>
      <c r="RG20" s="363">
        <f t="shared" ca="1" si="219"/>
        <v>0.77800129885723446</v>
      </c>
      <c r="RH20" s="363">
        <f t="shared" ca="1" si="219"/>
        <v>0.90699090012797412</v>
      </c>
      <c r="RI20" s="363">
        <f t="shared" ca="1" si="219"/>
        <v>0.85684898762920214</v>
      </c>
      <c r="RJ20" s="363">
        <f t="shared" ref="RJ20:SR20" ca="1" si="220">_xlfn.LOGNORM.INV(RAND(),$I$20,$J$20)</f>
        <v>0.803561786455397</v>
      </c>
      <c r="RK20" s="363">
        <f t="shared" ca="1" si="220"/>
        <v>0.86011043670200937</v>
      </c>
      <c r="RL20" s="363">
        <f t="shared" ca="1" si="220"/>
        <v>0.8747015889778248</v>
      </c>
      <c r="RM20" s="363">
        <f t="shared" ca="1" si="220"/>
        <v>0.82190235765354991</v>
      </c>
      <c r="RN20" s="363">
        <f t="shared" ca="1" si="220"/>
        <v>0.72040465858172886</v>
      </c>
      <c r="RO20" s="363">
        <f t="shared" ca="1" si="220"/>
        <v>0.73851355477008929</v>
      </c>
      <c r="RP20" s="363">
        <f t="shared" ca="1" si="220"/>
        <v>0.92020248088860179</v>
      </c>
      <c r="RQ20" s="363">
        <f t="shared" ca="1" si="220"/>
        <v>0.75904862348729185</v>
      </c>
      <c r="RR20" s="363">
        <f t="shared" ca="1" si="220"/>
        <v>0.73145559157196594</v>
      </c>
      <c r="RS20" s="363">
        <f t="shared" ca="1" si="220"/>
        <v>0.80336794118461319</v>
      </c>
      <c r="RT20" s="363">
        <f t="shared" ca="1" si="220"/>
        <v>0.87641758154935812</v>
      </c>
      <c r="RU20" s="363">
        <f t="shared" ca="1" si="220"/>
        <v>0.86422825090923983</v>
      </c>
      <c r="RV20" s="363">
        <f t="shared" ca="1" si="220"/>
        <v>0.78503545282573117</v>
      </c>
      <c r="RW20" s="363">
        <f t="shared" ca="1" si="220"/>
        <v>0.80145008115973138</v>
      </c>
      <c r="RX20" s="363">
        <f t="shared" ca="1" si="220"/>
        <v>0.7319071681273146</v>
      </c>
      <c r="RY20" s="363">
        <f t="shared" ca="1" si="220"/>
        <v>0.88126515502918901</v>
      </c>
      <c r="RZ20" s="363">
        <f t="shared" ca="1" si="220"/>
        <v>0.87171375498099335</v>
      </c>
      <c r="SA20" s="363">
        <f t="shared" ca="1" si="220"/>
        <v>0.90844157943318338</v>
      </c>
      <c r="SB20" s="363">
        <f t="shared" ca="1" si="220"/>
        <v>0.89274328066761999</v>
      </c>
      <c r="SC20" s="363">
        <f t="shared" ca="1" si="220"/>
        <v>0.87259625009110986</v>
      </c>
      <c r="SD20" s="363">
        <f t="shared" ca="1" si="220"/>
        <v>0.86984457727645792</v>
      </c>
      <c r="SE20" s="363">
        <f t="shared" ca="1" si="220"/>
        <v>0.82894526020936599</v>
      </c>
      <c r="SF20" s="363">
        <f t="shared" ca="1" si="220"/>
        <v>0.84565456392356031</v>
      </c>
      <c r="SG20" s="363">
        <f t="shared" ca="1" si="220"/>
        <v>0.75257109275915479</v>
      </c>
      <c r="SH20" s="363">
        <f t="shared" ca="1" si="220"/>
        <v>0.81355387731011364</v>
      </c>
      <c r="SI20" s="363">
        <f t="shared" ca="1" si="220"/>
        <v>0.89264401547630234</v>
      </c>
      <c r="SJ20" s="363">
        <f t="shared" ca="1" si="220"/>
        <v>0.77542747973109938</v>
      </c>
      <c r="SK20" s="363">
        <f t="shared" ca="1" si="220"/>
        <v>0.79472334573484527</v>
      </c>
      <c r="SL20" s="363">
        <f t="shared" ca="1" si="220"/>
        <v>0.90844175039174113</v>
      </c>
      <c r="SM20" s="363">
        <f t="shared" ca="1" si="220"/>
        <v>0.76814172330364483</v>
      </c>
      <c r="SN20" s="363">
        <f t="shared" ca="1" si="220"/>
        <v>0.72322650090139284</v>
      </c>
      <c r="SO20" s="363">
        <f t="shared" ca="1" si="220"/>
        <v>0.7520193607229001</v>
      </c>
      <c r="SP20" s="363">
        <f t="shared" ca="1" si="220"/>
        <v>0.71552988163406017</v>
      </c>
      <c r="SQ20" s="363">
        <f t="shared" ca="1" si="220"/>
        <v>0.8082412671373288</v>
      </c>
      <c r="SR20" s="363">
        <f t="shared" ca="1" si="220"/>
        <v>0.82528666609129864</v>
      </c>
      <c r="SS20" s="363">
        <f ca="1">_xlfn.LOGNORM.INV(RAND(),$I$20,$J$20)</f>
        <v>0.73421996713678306</v>
      </c>
      <c r="ST20" s="363">
        <f t="shared" ref="ST20:VE20" ca="1" si="221">_xlfn.LOGNORM.INV(RAND(),$I$20,$J$20)</f>
        <v>0.80436574386639537</v>
      </c>
      <c r="SU20" s="363">
        <f t="shared" ca="1" si="221"/>
        <v>0.95721086412102485</v>
      </c>
      <c r="SV20" s="363">
        <f t="shared" ca="1" si="221"/>
        <v>0.79310572345731478</v>
      </c>
      <c r="SW20" s="363">
        <f t="shared" ca="1" si="221"/>
        <v>0.84567004576636517</v>
      </c>
      <c r="SX20" s="363">
        <f t="shared" ca="1" si="221"/>
        <v>0.81342992516621437</v>
      </c>
      <c r="SY20" s="363">
        <f t="shared" ca="1" si="221"/>
        <v>0.77792993314029524</v>
      </c>
      <c r="SZ20" s="363">
        <f t="shared" ca="1" si="221"/>
        <v>0.86734025557357963</v>
      </c>
      <c r="TA20" s="363">
        <f t="shared" ca="1" si="221"/>
        <v>0.86211551926784502</v>
      </c>
      <c r="TB20" s="363">
        <f t="shared" ca="1" si="221"/>
        <v>0.72955677707292432</v>
      </c>
      <c r="TC20" s="363">
        <f t="shared" ca="1" si="221"/>
        <v>0.79781039091949824</v>
      </c>
      <c r="TD20" s="363">
        <f t="shared" ca="1" si="221"/>
        <v>0.90733716107881279</v>
      </c>
      <c r="TE20" s="363">
        <f t="shared" ca="1" si="221"/>
        <v>0.78994238647910786</v>
      </c>
      <c r="TF20" s="363">
        <f t="shared" ca="1" si="221"/>
        <v>0.82297894825704787</v>
      </c>
      <c r="TG20" s="363">
        <f t="shared" ca="1" si="221"/>
        <v>0.76672519802324079</v>
      </c>
      <c r="TH20" s="363">
        <f t="shared" ca="1" si="221"/>
        <v>0.90363397573128124</v>
      </c>
      <c r="TI20" s="363">
        <f t="shared" ca="1" si="221"/>
        <v>0.94165464189298398</v>
      </c>
      <c r="TJ20" s="363">
        <f t="shared" ca="1" si="221"/>
        <v>0.82000689017101691</v>
      </c>
      <c r="TK20" s="363">
        <f t="shared" ca="1" si="221"/>
        <v>0.83993283832880916</v>
      </c>
      <c r="TL20" s="363">
        <f t="shared" ca="1" si="221"/>
        <v>0.83373681307367575</v>
      </c>
      <c r="TM20" s="363">
        <f t="shared" ca="1" si="221"/>
        <v>1.0130616138240101</v>
      </c>
      <c r="TN20" s="363">
        <f t="shared" ca="1" si="221"/>
        <v>0.95975514668489015</v>
      </c>
      <c r="TO20" s="363">
        <f t="shared" ca="1" si="221"/>
        <v>0.73346142301730188</v>
      </c>
      <c r="TP20" s="363">
        <f t="shared" ca="1" si="221"/>
        <v>0.75214393867222973</v>
      </c>
      <c r="TQ20" s="363">
        <f t="shared" ca="1" si="221"/>
        <v>0.85533433898089006</v>
      </c>
      <c r="TR20" s="363">
        <f t="shared" ca="1" si="221"/>
        <v>0.8287326334847992</v>
      </c>
      <c r="TS20" s="363">
        <f t="shared" ca="1" si="221"/>
        <v>0.76188259418674698</v>
      </c>
      <c r="TT20" s="363">
        <f t="shared" ca="1" si="221"/>
        <v>0.86083909719282481</v>
      </c>
      <c r="TU20" s="363">
        <f t="shared" ca="1" si="221"/>
        <v>0.86017709984582635</v>
      </c>
      <c r="TV20" s="363">
        <f t="shared" ca="1" si="221"/>
        <v>0.7378153696585914</v>
      </c>
      <c r="TW20" s="363">
        <f t="shared" ca="1" si="221"/>
        <v>0.76696695355412503</v>
      </c>
      <c r="TX20" s="363">
        <f t="shared" ca="1" si="221"/>
        <v>0.90635782146845911</v>
      </c>
      <c r="TY20" s="363">
        <f t="shared" ca="1" si="221"/>
        <v>0.79241630769390059</v>
      </c>
      <c r="TZ20" s="363">
        <f t="shared" ca="1" si="221"/>
        <v>0.7815791937334009</v>
      </c>
      <c r="UA20" s="363">
        <f t="shared" ca="1" si="221"/>
        <v>0.79321910033481868</v>
      </c>
      <c r="UB20" s="363">
        <f t="shared" ca="1" si="221"/>
        <v>0.90787571349199037</v>
      </c>
      <c r="UC20" s="363">
        <f t="shared" ca="1" si="221"/>
        <v>0.72457866212765409</v>
      </c>
      <c r="UD20" s="363">
        <f t="shared" ca="1" si="221"/>
        <v>0.87262577213982206</v>
      </c>
      <c r="UE20" s="363">
        <f t="shared" ca="1" si="221"/>
        <v>0.78766520782805005</v>
      </c>
      <c r="UF20" s="363">
        <f t="shared" ca="1" si="221"/>
        <v>0.77677574310097597</v>
      </c>
      <c r="UG20" s="363">
        <f t="shared" ca="1" si="221"/>
        <v>0.81415211944211052</v>
      </c>
      <c r="UH20" s="363">
        <f t="shared" ca="1" si="221"/>
        <v>0.83138188810238689</v>
      </c>
      <c r="UI20" s="363">
        <f t="shared" ca="1" si="221"/>
        <v>0.72709456141757289</v>
      </c>
      <c r="UJ20" s="363">
        <f t="shared" ca="1" si="221"/>
        <v>0.86237277709571447</v>
      </c>
      <c r="UK20" s="363">
        <f t="shared" ca="1" si="221"/>
        <v>0.7957581446551667</v>
      </c>
      <c r="UL20" s="363">
        <f t="shared" ca="1" si="221"/>
        <v>0.74190472694893761</v>
      </c>
      <c r="UM20" s="363">
        <f t="shared" ca="1" si="221"/>
        <v>0.76595365767734613</v>
      </c>
      <c r="UN20" s="363">
        <f t="shared" ca="1" si="221"/>
        <v>0.80849410000124966</v>
      </c>
      <c r="UO20" s="363">
        <f t="shared" ca="1" si="221"/>
        <v>0.76699742024838391</v>
      </c>
      <c r="UP20" s="363">
        <f t="shared" ca="1" si="221"/>
        <v>0.76833578846205941</v>
      </c>
      <c r="UQ20" s="363">
        <f t="shared" ca="1" si="221"/>
        <v>0.77780417192463258</v>
      </c>
      <c r="UR20" s="363">
        <f t="shared" ca="1" si="221"/>
        <v>0.7872026310254242</v>
      </c>
      <c r="US20" s="363">
        <f t="shared" ca="1" si="221"/>
        <v>0.81262560525010519</v>
      </c>
      <c r="UT20" s="363">
        <f t="shared" ca="1" si="221"/>
        <v>0.87890975064371291</v>
      </c>
      <c r="UU20" s="363">
        <f t="shared" ca="1" si="221"/>
        <v>0.80411089881103337</v>
      </c>
      <c r="UV20" s="363">
        <f t="shared" ca="1" si="221"/>
        <v>0.81074246566988573</v>
      </c>
      <c r="UW20" s="363">
        <f t="shared" ca="1" si="221"/>
        <v>0.77356118724866685</v>
      </c>
      <c r="UX20" s="363">
        <f t="shared" ca="1" si="221"/>
        <v>0.82321764406900688</v>
      </c>
      <c r="UY20" s="363">
        <f t="shared" ca="1" si="221"/>
        <v>0.801897573298606</v>
      </c>
      <c r="UZ20" s="363">
        <f t="shared" ca="1" si="221"/>
        <v>0.76930279265905799</v>
      </c>
      <c r="VA20" s="363">
        <f t="shared" ca="1" si="221"/>
        <v>0.89093947791747619</v>
      </c>
      <c r="VB20" s="363">
        <f t="shared" ca="1" si="221"/>
        <v>0.78627317018851184</v>
      </c>
      <c r="VC20" s="363">
        <f t="shared" ca="1" si="221"/>
        <v>0.73357287814101568</v>
      </c>
      <c r="VD20" s="363">
        <f t="shared" ca="1" si="221"/>
        <v>0.82105338326592248</v>
      </c>
      <c r="VE20" s="363">
        <f t="shared" ca="1" si="221"/>
        <v>0.825612152361902</v>
      </c>
      <c r="VF20" s="363">
        <f t="shared" ref="VF20:WN20" ca="1" si="222">_xlfn.LOGNORM.INV(RAND(),$I$20,$J$20)</f>
        <v>0.7795613903406442</v>
      </c>
      <c r="VG20" s="363">
        <f t="shared" ca="1" si="222"/>
        <v>0.81711820041122107</v>
      </c>
      <c r="VH20" s="363">
        <f t="shared" ca="1" si="222"/>
        <v>0.85856095168840407</v>
      </c>
      <c r="VI20" s="363">
        <f t="shared" ca="1" si="222"/>
        <v>0.73370126720902995</v>
      </c>
      <c r="VJ20" s="363">
        <f t="shared" ca="1" si="222"/>
        <v>0.77854277719523979</v>
      </c>
      <c r="VK20" s="363">
        <f t="shared" ca="1" si="222"/>
        <v>0.77232812249075411</v>
      </c>
      <c r="VL20" s="363">
        <f t="shared" ca="1" si="222"/>
        <v>0.80025939394339163</v>
      </c>
      <c r="VM20" s="363">
        <f t="shared" ca="1" si="222"/>
        <v>0.79438068447814969</v>
      </c>
      <c r="VN20" s="363">
        <f t="shared" ca="1" si="222"/>
        <v>0.82393685862009369</v>
      </c>
      <c r="VO20" s="363">
        <f t="shared" ca="1" si="222"/>
        <v>0.80376177983914721</v>
      </c>
      <c r="VP20" s="363">
        <f t="shared" ca="1" si="222"/>
        <v>0.87180010131223618</v>
      </c>
      <c r="VQ20" s="363">
        <f t="shared" ca="1" si="222"/>
        <v>0.79521589380596625</v>
      </c>
      <c r="VR20" s="363">
        <f t="shared" ca="1" si="222"/>
        <v>0.83748158602026124</v>
      </c>
      <c r="VS20" s="363">
        <f t="shared" ca="1" si="222"/>
        <v>0.85415977873233784</v>
      </c>
      <c r="VT20" s="363">
        <f t="shared" ca="1" si="222"/>
        <v>0.79511310796764778</v>
      </c>
      <c r="VU20" s="363">
        <f t="shared" ca="1" si="222"/>
        <v>0.75786713370107595</v>
      </c>
      <c r="VV20" s="363">
        <f t="shared" ca="1" si="222"/>
        <v>0.92370808643341473</v>
      </c>
      <c r="VW20" s="363">
        <f t="shared" ca="1" si="222"/>
        <v>1.012337107438791</v>
      </c>
      <c r="VX20" s="363">
        <f t="shared" ca="1" si="222"/>
        <v>0.80765909411535142</v>
      </c>
      <c r="VY20" s="363">
        <f t="shared" ca="1" si="222"/>
        <v>0.96651561566176547</v>
      </c>
      <c r="VZ20" s="363">
        <f t="shared" ca="1" si="222"/>
        <v>0.7817648190661175</v>
      </c>
      <c r="WA20" s="363">
        <f t="shared" ca="1" si="222"/>
        <v>0.84341960066544974</v>
      </c>
      <c r="WB20" s="363">
        <f t="shared" ca="1" si="222"/>
        <v>0.80188527632973949</v>
      </c>
      <c r="WC20" s="363">
        <f t="shared" ca="1" si="222"/>
        <v>0.73148717550567144</v>
      </c>
      <c r="WD20" s="363">
        <f t="shared" ca="1" si="222"/>
        <v>0.79864206439332064</v>
      </c>
      <c r="WE20" s="363">
        <f t="shared" ca="1" si="222"/>
        <v>0.8101541840346056</v>
      </c>
      <c r="WF20" s="363">
        <f t="shared" ca="1" si="222"/>
        <v>0.84529528767798878</v>
      </c>
      <c r="WG20" s="363">
        <f t="shared" ca="1" si="222"/>
        <v>0.83509018368580212</v>
      </c>
      <c r="WH20" s="363">
        <f t="shared" ca="1" si="222"/>
        <v>0.9258163203382298</v>
      </c>
      <c r="WI20" s="363">
        <f t="shared" ca="1" si="222"/>
        <v>0.80192510867549016</v>
      </c>
      <c r="WJ20" s="363">
        <f t="shared" ca="1" si="222"/>
        <v>0.78450434203091968</v>
      </c>
      <c r="WK20" s="363">
        <f t="shared" ca="1" si="222"/>
        <v>0.79885899390311865</v>
      </c>
      <c r="WL20" s="363">
        <f t="shared" ca="1" si="222"/>
        <v>0.80483503152222102</v>
      </c>
      <c r="WM20" s="363">
        <f t="shared" ca="1" si="222"/>
        <v>0.80315038378203563</v>
      </c>
      <c r="WN20" s="363">
        <f t="shared" ca="1" si="222"/>
        <v>0.86325518039492088</v>
      </c>
    </row>
    <row r="21" spans="2:612" x14ac:dyDescent="0.15">
      <c r="B21" s="469" t="s">
        <v>904</v>
      </c>
      <c r="D21" s="363">
        <f t="shared" si="0"/>
        <v>1.1299999999999999</v>
      </c>
      <c r="F21" s="367">
        <v>1.1299999999999999</v>
      </c>
      <c r="G21" s="367" t="s">
        <v>350</v>
      </c>
      <c r="H21" s="363">
        <v>0.12274921679690325</v>
      </c>
      <c r="I21" s="363">
        <f t="shared" si="197"/>
        <v>0.11468394761212253</v>
      </c>
      <c r="J21" s="367">
        <f t="shared" si="198"/>
        <v>0.10830920712758654</v>
      </c>
      <c r="K21" s="367" t="s">
        <v>1274</v>
      </c>
      <c r="M21" s="363">
        <f ca="1">_xlfn.LOGNORM.INV(RAND(),$I$21,$J$21)</f>
        <v>0.94397440078310257</v>
      </c>
      <c r="N21" s="363">
        <f t="shared" ref="N21:BY21" ca="1" si="223">_xlfn.LOGNORM.INV(RAND(),$I$21,$J$21)</f>
        <v>1.1476833801661208</v>
      </c>
      <c r="O21" s="363">
        <f t="shared" ca="1" si="223"/>
        <v>1.1146048404910791</v>
      </c>
      <c r="P21" s="363">
        <f t="shared" ca="1" si="223"/>
        <v>1.171795355498042</v>
      </c>
      <c r="Q21" s="363">
        <f t="shared" ca="1" si="223"/>
        <v>1.2736751827790751</v>
      </c>
      <c r="R21" s="363">
        <f t="shared" ca="1" si="223"/>
        <v>1.1968722402828742</v>
      </c>
      <c r="S21" s="363">
        <f t="shared" ca="1" si="223"/>
        <v>1.0518392684758409</v>
      </c>
      <c r="T21" s="363">
        <f t="shared" ca="1" si="223"/>
        <v>1.1465746092728226</v>
      </c>
      <c r="U21" s="363">
        <f t="shared" ca="1" si="223"/>
        <v>0.99161697230585233</v>
      </c>
      <c r="V21" s="363">
        <f t="shared" ca="1" si="223"/>
        <v>1.0271212303186967</v>
      </c>
      <c r="W21" s="363">
        <f t="shared" ca="1" si="223"/>
        <v>1.0625446679903809</v>
      </c>
      <c r="X21" s="363">
        <f t="shared" ca="1" si="223"/>
        <v>1.0827519654218716</v>
      </c>
      <c r="Y21" s="363">
        <f t="shared" ca="1" si="223"/>
        <v>1.5517314054186504</v>
      </c>
      <c r="Z21" s="363">
        <f t="shared" ca="1" si="223"/>
        <v>1.2514664326774148</v>
      </c>
      <c r="AA21" s="363">
        <f t="shared" ca="1" si="223"/>
        <v>1.09853519281056</v>
      </c>
      <c r="AB21" s="363">
        <f t="shared" ca="1" si="223"/>
        <v>1.1862808975477559</v>
      </c>
      <c r="AC21" s="363">
        <f t="shared" ca="1" si="223"/>
        <v>1.0324114188824487</v>
      </c>
      <c r="AD21" s="363">
        <f t="shared" ca="1" si="223"/>
        <v>1.2218736806219335</v>
      </c>
      <c r="AE21" s="363">
        <f t="shared" ca="1" si="223"/>
        <v>1.1313232691624362</v>
      </c>
      <c r="AF21" s="363">
        <f t="shared" ca="1" si="223"/>
        <v>1.4486491009435993</v>
      </c>
      <c r="AG21" s="363">
        <f t="shared" ca="1" si="223"/>
        <v>1.2203707662125487</v>
      </c>
      <c r="AH21" s="363">
        <f t="shared" ca="1" si="223"/>
        <v>1.0357181500881587</v>
      </c>
      <c r="AI21" s="363">
        <f t="shared" ca="1" si="223"/>
        <v>1.0336052495159556</v>
      </c>
      <c r="AJ21" s="363">
        <f t="shared" ca="1" si="223"/>
        <v>1.1770137453323235</v>
      </c>
      <c r="AK21" s="363">
        <f t="shared" ca="1" si="223"/>
        <v>1.2098040751703454</v>
      </c>
      <c r="AL21" s="363">
        <f t="shared" ca="1" si="223"/>
        <v>1.1449287243498234</v>
      </c>
      <c r="AM21" s="363">
        <f t="shared" ca="1" si="223"/>
        <v>1.1460235527835034</v>
      </c>
      <c r="AN21" s="363">
        <f t="shared" ca="1" si="223"/>
        <v>1.3086864375929075</v>
      </c>
      <c r="AO21" s="363">
        <f t="shared" ca="1" si="223"/>
        <v>1.0432049621096566</v>
      </c>
      <c r="AP21" s="363">
        <f t="shared" ca="1" si="223"/>
        <v>0.98861900977698713</v>
      </c>
      <c r="AQ21" s="363">
        <f t="shared" ca="1" si="223"/>
        <v>1.1497744541628536</v>
      </c>
      <c r="AR21" s="363">
        <f t="shared" ca="1" si="223"/>
        <v>1.2066278015421421</v>
      </c>
      <c r="AS21" s="363">
        <f t="shared" ca="1" si="223"/>
        <v>1.0758351698833275</v>
      </c>
      <c r="AT21" s="363">
        <f t="shared" ca="1" si="223"/>
        <v>1.0970224677754421</v>
      </c>
      <c r="AU21" s="363">
        <f t="shared" ca="1" si="223"/>
        <v>1.0786706637816177</v>
      </c>
      <c r="AV21" s="363">
        <f t="shared" ca="1" si="223"/>
        <v>1.3685798008782042</v>
      </c>
      <c r="AW21" s="363">
        <f t="shared" ca="1" si="223"/>
        <v>0.96836815015091482</v>
      </c>
      <c r="AX21" s="363">
        <f t="shared" ca="1" si="223"/>
        <v>1.1236877305144524</v>
      </c>
      <c r="AY21" s="363">
        <f t="shared" ca="1" si="223"/>
        <v>1.1513517433749314</v>
      </c>
      <c r="AZ21" s="363">
        <f t="shared" ca="1" si="223"/>
        <v>1.1732444480887416</v>
      </c>
      <c r="BA21" s="363">
        <f t="shared" ca="1" si="223"/>
        <v>1.1161435422364094</v>
      </c>
      <c r="BB21" s="363">
        <f t="shared" ca="1" si="223"/>
        <v>0.95078618143177984</v>
      </c>
      <c r="BC21" s="363">
        <f t="shared" ca="1" si="223"/>
        <v>0.9791960513127147</v>
      </c>
      <c r="BD21" s="363">
        <f t="shared" ca="1" si="223"/>
        <v>1.3583199958027756</v>
      </c>
      <c r="BE21" s="363">
        <f t="shared" ca="1" si="223"/>
        <v>1.1992735797553791</v>
      </c>
      <c r="BF21" s="363">
        <f t="shared" ca="1" si="223"/>
        <v>1.1135713086696464</v>
      </c>
      <c r="BG21" s="363">
        <f t="shared" ca="1" si="223"/>
        <v>1.1342227087403731</v>
      </c>
      <c r="BH21" s="363">
        <f t="shared" ca="1" si="223"/>
        <v>1.0475679991198008</v>
      </c>
      <c r="BI21" s="363">
        <f t="shared" ca="1" si="223"/>
        <v>1.2223244960232296</v>
      </c>
      <c r="BJ21" s="363">
        <f t="shared" ca="1" si="223"/>
        <v>0.95626269202399705</v>
      </c>
      <c r="BK21" s="363">
        <f t="shared" ca="1" si="223"/>
        <v>0.99474848060419052</v>
      </c>
      <c r="BL21" s="363">
        <f t="shared" ca="1" si="223"/>
        <v>1.2002335778200204</v>
      </c>
      <c r="BM21" s="363">
        <f t="shared" ca="1" si="223"/>
        <v>1.0953508297539123</v>
      </c>
      <c r="BN21" s="363">
        <f t="shared" ca="1" si="223"/>
        <v>1.222310248920043</v>
      </c>
      <c r="BO21" s="363">
        <f t="shared" ca="1" si="223"/>
        <v>1.0737539604740494</v>
      </c>
      <c r="BP21" s="363">
        <f t="shared" ca="1" si="223"/>
        <v>1.0494126094375473</v>
      </c>
      <c r="BQ21" s="363">
        <f t="shared" ca="1" si="223"/>
        <v>1.0281454666845575</v>
      </c>
      <c r="BR21" s="363">
        <f t="shared" ca="1" si="223"/>
        <v>0.92540427179921558</v>
      </c>
      <c r="BS21" s="363">
        <f t="shared" ca="1" si="223"/>
        <v>1.2881027978646615</v>
      </c>
      <c r="BT21" s="363">
        <f t="shared" ca="1" si="223"/>
        <v>1.0933285665501189</v>
      </c>
      <c r="BU21" s="363">
        <f t="shared" ca="1" si="223"/>
        <v>1.0162482160149899</v>
      </c>
      <c r="BV21" s="363">
        <f t="shared" ca="1" si="223"/>
        <v>1.1725240409216655</v>
      </c>
      <c r="BW21" s="363">
        <f t="shared" ca="1" si="223"/>
        <v>1.0564278446138036</v>
      </c>
      <c r="BX21" s="363">
        <f t="shared" ca="1" si="223"/>
        <v>1.0654300758352064</v>
      </c>
      <c r="BY21" s="363">
        <f t="shared" ca="1" si="223"/>
        <v>1.0277179866917319</v>
      </c>
      <c r="BZ21" s="363">
        <f t="shared" ref="BZ21:DH21" ca="1" si="224">_xlfn.LOGNORM.INV(RAND(),$I$21,$J$21)</f>
        <v>1.2291911272135718</v>
      </c>
      <c r="CA21" s="363">
        <f t="shared" ca="1" si="224"/>
        <v>1.0744730683222896</v>
      </c>
      <c r="CB21" s="363">
        <f t="shared" ca="1" si="224"/>
        <v>1.2488662769051162</v>
      </c>
      <c r="CC21" s="363">
        <f t="shared" ca="1" si="224"/>
        <v>1.3086836353283364</v>
      </c>
      <c r="CD21" s="363">
        <f t="shared" ca="1" si="224"/>
        <v>1.2804852044281969</v>
      </c>
      <c r="CE21" s="363">
        <f t="shared" ca="1" si="224"/>
        <v>1.1965917261947332</v>
      </c>
      <c r="CF21" s="363">
        <f t="shared" ca="1" si="224"/>
        <v>1.0656253296758849</v>
      </c>
      <c r="CG21" s="363">
        <f t="shared" ca="1" si="224"/>
        <v>0.88465911048452917</v>
      </c>
      <c r="CH21" s="363">
        <f t="shared" ca="1" si="224"/>
        <v>1.0407803126802833</v>
      </c>
      <c r="CI21" s="363">
        <f t="shared" ca="1" si="224"/>
        <v>1.0485247340702177</v>
      </c>
      <c r="CJ21" s="363">
        <f t="shared" ca="1" si="224"/>
        <v>1.0716085152167818</v>
      </c>
      <c r="CK21" s="363">
        <f t="shared" ca="1" si="224"/>
        <v>1.1542291905648348</v>
      </c>
      <c r="CL21" s="363">
        <f t="shared" ca="1" si="224"/>
        <v>1.1134772404505413</v>
      </c>
      <c r="CM21" s="363">
        <f t="shared" ca="1" si="224"/>
        <v>1.1847959290468304</v>
      </c>
      <c r="CN21" s="363">
        <f t="shared" ca="1" si="224"/>
        <v>1.2057401176455704</v>
      </c>
      <c r="CO21" s="363">
        <f t="shared" ca="1" si="224"/>
        <v>1.1437771061731765</v>
      </c>
      <c r="CP21" s="363">
        <f t="shared" ca="1" si="224"/>
        <v>1.0503265384830387</v>
      </c>
      <c r="CQ21" s="363">
        <f t="shared" ca="1" si="224"/>
        <v>0.95986488501005307</v>
      </c>
      <c r="CR21" s="363">
        <f t="shared" ca="1" si="224"/>
        <v>0.94761709713233289</v>
      </c>
      <c r="CS21" s="363">
        <f t="shared" ca="1" si="224"/>
        <v>1.0960547869811592</v>
      </c>
      <c r="CT21" s="363">
        <f t="shared" ca="1" si="224"/>
        <v>1.2343968236812461</v>
      </c>
      <c r="CU21" s="363">
        <f t="shared" ca="1" si="224"/>
        <v>1.1459475475175458</v>
      </c>
      <c r="CV21" s="363">
        <f t="shared" ca="1" si="224"/>
        <v>1.305309229529229</v>
      </c>
      <c r="CW21" s="363">
        <f t="shared" ca="1" si="224"/>
        <v>1.1933160109376242</v>
      </c>
      <c r="CX21" s="363">
        <f t="shared" ca="1" si="224"/>
        <v>1.0277287930335581</v>
      </c>
      <c r="CY21" s="363">
        <f t="shared" ca="1" si="224"/>
        <v>0.9747981544236104</v>
      </c>
      <c r="CZ21" s="363">
        <f t="shared" ca="1" si="224"/>
        <v>0.96862601182271302</v>
      </c>
      <c r="DA21" s="363">
        <f t="shared" ca="1" si="224"/>
        <v>1.1479540409809952</v>
      </c>
      <c r="DB21" s="363">
        <f t="shared" ca="1" si="224"/>
        <v>1.1755525439717236</v>
      </c>
      <c r="DC21" s="363">
        <f t="shared" ca="1" si="224"/>
        <v>1.0516504739325794</v>
      </c>
      <c r="DD21" s="363">
        <f t="shared" ca="1" si="224"/>
        <v>0.96207963894644377</v>
      </c>
      <c r="DE21" s="363">
        <f t="shared" ca="1" si="224"/>
        <v>1.039442948502459</v>
      </c>
      <c r="DF21" s="363">
        <f t="shared" ca="1" si="224"/>
        <v>1.2516816219815166</v>
      </c>
      <c r="DG21" s="363">
        <f t="shared" ca="1" si="224"/>
        <v>1.2323065465940783</v>
      </c>
      <c r="DH21" s="363">
        <f t="shared" ca="1" si="224"/>
        <v>1.1013291933023872</v>
      </c>
      <c r="DI21" s="363">
        <f ca="1">_xlfn.LOGNORM.INV(RAND(),$I$21,$J$21)</f>
        <v>1.2511852307766376</v>
      </c>
      <c r="DJ21" s="363">
        <f t="shared" ref="DJ21:FU21" ca="1" si="225">_xlfn.LOGNORM.INV(RAND(),$I$21,$J$21)</f>
        <v>1.1623432377286793</v>
      </c>
      <c r="DK21" s="363">
        <f t="shared" ca="1" si="225"/>
        <v>1.0273806992970194</v>
      </c>
      <c r="DL21" s="363">
        <f t="shared" ca="1" si="225"/>
        <v>1.000935844591982</v>
      </c>
      <c r="DM21" s="363">
        <f t="shared" ca="1" si="225"/>
        <v>1.0455115267960291</v>
      </c>
      <c r="DN21" s="363">
        <f t="shared" ca="1" si="225"/>
        <v>1.2067731055179804</v>
      </c>
      <c r="DO21" s="363">
        <f t="shared" ca="1" si="225"/>
        <v>1.2125982292598108</v>
      </c>
      <c r="DP21" s="363">
        <f t="shared" ca="1" si="225"/>
        <v>1.0964586609672369</v>
      </c>
      <c r="DQ21" s="363">
        <f t="shared" ca="1" si="225"/>
        <v>0.98709996172191738</v>
      </c>
      <c r="DR21" s="363">
        <f t="shared" ca="1" si="225"/>
        <v>1.080763161433326</v>
      </c>
      <c r="DS21" s="363">
        <f t="shared" ca="1" si="225"/>
        <v>1.1203633278356606</v>
      </c>
      <c r="DT21" s="363">
        <f t="shared" ca="1" si="225"/>
        <v>1.098766885628063</v>
      </c>
      <c r="DU21" s="363">
        <f t="shared" ca="1" si="225"/>
        <v>1.1442508696400173</v>
      </c>
      <c r="DV21" s="363">
        <f t="shared" ca="1" si="225"/>
        <v>1.2275828410129677</v>
      </c>
      <c r="DW21" s="363">
        <f t="shared" ca="1" si="225"/>
        <v>1.1709944320406211</v>
      </c>
      <c r="DX21" s="363">
        <f t="shared" ca="1" si="225"/>
        <v>1.1789933734105038</v>
      </c>
      <c r="DY21" s="363">
        <f t="shared" ca="1" si="225"/>
        <v>1.0416331670343426</v>
      </c>
      <c r="DZ21" s="363">
        <f t="shared" ca="1" si="225"/>
        <v>1.0238472889814807</v>
      </c>
      <c r="EA21" s="363">
        <f t="shared" ca="1" si="225"/>
        <v>1.0730780944847953</v>
      </c>
      <c r="EB21" s="363">
        <f t="shared" ca="1" si="225"/>
        <v>1.0059740765632537</v>
      </c>
      <c r="EC21" s="363">
        <f t="shared" ca="1" si="225"/>
        <v>1.1157641669984339</v>
      </c>
      <c r="ED21" s="363">
        <f t="shared" ca="1" si="225"/>
        <v>1.3151666255488932</v>
      </c>
      <c r="EE21" s="363">
        <f t="shared" ca="1" si="225"/>
        <v>0.89594559967185927</v>
      </c>
      <c r="EF21" s="363">
        <f t="shared" ca="1" si="225"/>
        <v>1.0975553598541183</v>
      </c>
      <c r="EG21" s="363">
        <f t="shared" ca="1" si="225"/>
        <v>0.86061895121033316</v>
      </c>
      <c r="EH21" s="363">
        <f t="shared" ca="1" si="225"/>
        <v>1.1435112770056668</v>
      </c>
      <c r="EI21" s="363">
        <f t="shared" ca="1" si="225"/>
        <v>1.5254958084840611</v>
      </c>
      <c r="EJ21" s="363">
        <f t="shared" ca="1" si="225"/>
        <v>1.0749649611289387</v>
      </c>
      <c r="EK21" s="363">
        <f t="shared" ca="1" si="225"/>
        <v>1.0609902284275388</v>
      </c>
      <c r="EL21" s="363">
        <f t="shared" ca="1" si="225"/>
        <v>1.1312719033365131</v>
      </c>
      <c r="EM21" s="363">
        <f t="shared" ca="1" si="225"/>
        <v>1.0601403506713916</v>
      </c>
      <c r="EN21" s="363">
        <f t="shared" ca="1" si="225"/>
        <v>1.1249897854018049</v>
      </c>
      <c r="EO21" s="363">
        <f t="shared" ca="1" si="225"/>
        <v>1.1330257398242811</v>
      </c>
      <c r="EP21" s="363">
        <f t="shared" ca="1" si="225"/>
        <v>1.2091467927152124</v>
      </c>
      <c r="EQ21" s="363">
        <f t="shared" ca="1" si="225"/>
        <v>1.106432106682264</v>
      </c>
      <c r="ER21" s="363">
        <f t="shared" ca="1" si="225"/>
        <v>1.2443905901708801</v>
      </c>
      <c r="ES21" s="363">
        <f t="shared" ca="1" si="225"/>
        <v>1.3549560407998364</v>
      </c>
      <c r="ET21" s="363">
        <f t="shared" ca="1" si="225"/>
        <v>1.0870824279613476</v>
      </c>
      <c r="EU21" s="363">
        <f t="shared" ca="1" si="225"/>
        <v>1.2095716956657803</v>
      </c>
      <c r="EV21" s="363">
        <f t="shared" ca="1" si="225"/>
        <v>1.1896226095932216</v>
      </c>
      <c r="EW21" s="363">
        <f t="shared" ca="1" si="225"/>
        <v>1.1747735216795758</v>
      </c>
      <c r="EX21" s="363">
        <f t="shared" ca="1" si="225"/>
        <v>1.1580389453191473</v>
      </c>
      <c r="EY21" s="363">
        <f t="shared" ca="1" si="225"/>
        <v>1.1339614786311991</v>
      </c>
      <c r="EZ21" s="363">
        <f t="shared" ca="1" si="225"/>
        <v>1.0828267416107333</v>
      </c>
      <c r="FA21" s="363">
        <f t="shared" ca="1" si="225"/>
        <v>0.98073783435854966</v>
      </c>
      <c r="FB21" s="363">
        <f t="shared" ca="1" si="225"/>
        <v>1.1276104847199031</v>
      </c>
      <c r="FC21" s="363">
        <f t="shared" ca="1" si="225"/>
        <v>1.0002532197824923</v>
      </c>
      <c r="FD21" s="363">
        <f t="shared" ca="1" si="225"/>
        <v>1.0182287071508498</v>
      </c>
      <c r="FE21" s="363">
        <f t="shared" ca="1" si="225"/>
        <v>1.1211781630739732</v>
      </c>
      <c r="FF21" s="363">
        <f t="shared" ca="1" si="225"/>
        <v>0.82835823152009413</v>
      </c>
      <c r="FG21" s="363">
        <f t="shared" ca="1" si="225"/>
        <v>1.0718358183588572</v>
      </c>
      <c r="FH21" s="363">
        <f t="shared" ca="1" si="225"/>
        <v>1.1231385923968542</v>
      </c>
      <c r="FI21" s="363">
        <f t="shared" ca="1" si="225"/>
        <v>1.1462718121835298</v>
      </c>
      <c r="FJ21" s="363">
        <f t="shared" ca="1" si="225"/>
        <v>1.2527240305184957</v>
      </c>
      <c r="FK21" s="363">
        <f t="shared" ca="1" si="225"/>
        <v>1.1159888695845348</v>
      </c>
      <c r="FL21" s="363">
        <f t="shared" ca="1" si="225"/>
        <v>1.093707535445432</v>
      </c>
      <c r="FM21" s="363">
        <f t="shared" ca="1" si="225"/>
        <v>0.86246896479778523</v>
      </c>
      <c r="FN21" s="363">
        <f t="shared" ca="1" si="225"/>
        <v>1.0156018421671513</v>
      </c>
      <c r="FO21" s="363">
        <f t="shared" ca="1" si="225"/>
        <v>1.1848507027928807</v>
      </c>
      <c r="FP21" s="363">
        <f t="shared" ca="1" si="225"/>
        <v>1.0647482567025199</v>
      </c>
      <c r="FQ21" s="363">
        <f t="shared" ca="1" si="225"/>
        <v>0.98303654265402707</v>
      </c>
      <c r="FR21" s="363">
        <f t="shared" ca="1" si="225"/>
        <v>1.0894246759032575</v>
      </c>
      <c r="FS21" s="363">
        <f t="shared" ca="1" si="225"/>
        <v>1.517820061408824</v>
      </c>
      <c r="FT21" s="363">
        <f t="shared" ca="1" si="225"/>
        <v>1.0259903766861131</v>
      </c>
      <c r="FU21" s="363">
        <f t="shared" ca="1" si="225"/>
        <v>1.1103918367524455</v>
      </c>
      <c r="FV21" s="363">
        <f t="shared" ref="FV21:HD21" ca="1" si="226">_xlfn.LOGNORM.INV(RAND(),$I$21,$J$21)</f>
        <v>0.9773825451948206</v>
      </c>
      <c r="FW21" s="363">
        <f t="shared" ca="1" si="226"/>
        <v>1.1863347478570787</v>
      </c>
      <c r="FX21" s="363">
        <f t="shared" ca="1" si="226"/>
        <v>1.2332033456365685</v>
      </c>
      <c r="FY21" s="363">
        <f t="shared" ca="1" si="226"/>
        <v>1.254519046256664</v>
      </c>
      <c r="FZ21" s="363">
        <f t="shared" ca="1" si="226"/>
        <v>1.0073952726393418</v>
      </c>
      <c r="GA21" s="363">
        <f t="shared" ca="1" si="226"/>
        <v>1.3201697579619101</v>
      </c>
      <c r="GB21" s="363">
        <f t="shared" ca="1" si="226"/>
        <v>1.1994426791825856</v>
      </c>
      <c r="GC21" s="363">
        <f t="shared" ca="1" si="226"/>
        <v>1.380115428731447</v>
      </c>
      <c r="GD21" s="363">
        <f t="shared" ca="1" si="226"/>
        <v>1.0774398515243322</v>
      </c>
      <c r="GE21" s="363">
        <f t="shared" ca="1" si="226"/>
        <v>1.1389587058523722</v>
      </c>
      <c r="GF21" s="363">
        <f t="shared" ca="1" si="226"/>
        <v>0.88006722469494392</v>
      </c>
      <c r="GG21" s="363">
        <f t="shared" ca="1" si="226"/>
        <v>1.290501625099127</v>
      </c>
      <c r="GH21" s="363">
        <f t="shared" ca="1" si="226"/>
        <v>1.1910861652148499</v>
      </c>
      <c r="GI21" s="363">
        <f t="shared" ca="1" si="226"/>
        <v>1.091254388420539</v>
      </c>
      <c r="GJ21" s="363">
        <f t="shared" ca="1" si="226"/>
        <v>1.1823394296678165</v>
      </c>
      <c r="GK21" s="363">
        <f t="shared" ca="1" si="226"/>
        <v>1.1561774065678545</v>
      </c>
      <c r="GL21" s="363">
        <f t="shared" ca="1" si="226"/>
        <v>1.2933905743587117</v>
      </c>
      <c r="GM21" s="363">
        <f t="shared" ca="1" si="226"/>
        <v>1.2122787166836493</v>
      </c>
      <c r="GN21" s="363">
        <f t="shared" ca="1" si="226"/>
        <v>0.98008210767377968</v>
      </c>
      <c r="GO21" s="363">
        <f t="shared" ca="1" si="226"/>
        <v>1.1663084915819484</v>
      </c>
      <c r="GP21" s="363">
        <f t="shared" ca="1" si="226"/>
        <v>1.0569039838641054</v>
      </c>
      <c r="GQ21" s="363">
        <f t="shared" ca="1" si="226"/>
        <v>1.0749668111263864</v>
      </c>
      <c r="GR21" s="363">
        <f t="shared" ca="1" si="226"/>
        <v>0.97566737134390125</v>
      </c>
      <c r="GS21" s="363">
        <f t="shared" ca="1" si="226"/>
        <v>1.2282052139020039</v>
      </c>
      <c r="GT21" s="363">
        <f t="shared" ca="1" si="226"/>
        <v>1.0553757422551218</v>
      </c>
      <c r="GU21" s="363">
        <f t="shared" ca="1" si="226"/>
        <v>1.1346393288448555</v>
      </c>
      <c r="GV21" s="363">
        <f t="shared" ca="1" si="226"/>
        <v>1.0604104086290749</v>
      </c>
      <c r="GW21" s="363">
        <f t="shared" ca="1" si="226"/>
        <v>1.1277419055623445</v>
      </c>
      <c r="GX21" s="363">
        <f t="shared" ca="1" si="226"/>
        <v>1.0442038212596212</v>
      </c>
      <c r="GY21" s="363">
        <f t="shared" ca="1" si="226"/>
        <v>1.1187320325266406</v>
      </c>
      <c r="GZ21" s="363">
        <f t="shared" ca="1" si="226"/>
        <v>1.2650455749997469</v>
      </c>
      <c r="HA21" s="363">
        <f t="shared" ca="1" si="226"/>
        <v>1.0304154715867007</v>
      </c>
      <c r="HB21" s="363">
        <f t="shared" ca="1" si="226"/>
        <v>1.1231043542776014</v>
      </c>
      <c r="HC21" s="363">
        <f t="shared" ca="1" si="226"/>
        <v>1.0542527090881093</v>
      </c>
      <c r="HD21" s="363">
        <f t="shared" ca="1" si="226"/>
        <v>0.9566255158514817</v>
      </c>
      <c r="HE21" s="363">
        <f ca="1">_xlfn.LOGNORM.INV(RAND(),$I$21,$J$21)</f>
        <v>1.2327266039143752</v>
      </c>
      <c r="HF21" s="363">
        <f t="shared" ref="HF21:JQ21" ca="1" si="227">_xlfn.LOGNORM.INV(RAND(),$I$21,$J$21)</f>
        <v>1.1124272831954343</v>
      </c>
      <c r="HG21" s="363">
        <f t="shared" ca="1" si="227"/>
        <v>1.2387488027898663</v>
      </c>
      <c r="HH21" s="363">
        <f t="shared" ca="1" si="227"/>
        <v>1.5559675659275345</v>
      </c>
      <c r="HI21" s="363">
        <f t="shared" ca="1" si="227"/>
        <v>1.2823548458523315</v>
      </c>
      <c r="HJ21" s="363">
        <f t="shared" ca="1" si="227"/>
        <v>1.1773823293329639</v>
      </c>
      <c r="HK21" s="363">
        <f t="shared" ca="1" si="227"/>
        <v>1.1281174265507048</v>
      </c>
      <c r="HL21" s="363">
        <f t="shared" ca="1" si="227"/>
        <v>1.1644420638258952</v>
      </c>
      <c r="HM21" s="363">
        <f t="shared" ca="1" si="227"/>
        <v>1.0327387755533772</v>
      </c>
      <c r="HN21" s="363">
        <f t="shared" ca="1" si="227"/>
        <v>0.97986693817163706</v>
      </c>
      <c r="HO21" s="363">
        <f t="shared" ca="1" si="227"/>
        <v>1.1290607915922206</v>
      </c>
      <c r="HP21" s="363">
        <f t="shared" ca="1" si="227"/>
        <v>1.1194188246884118</v>
      </c>
      <c r="HQ21" s="363">
        <f t="shared" ca="1" si="227"/>
        <v>1.3184976523452667</v>
      </c>
      <c r="HR21" s="363">
        <f t="shared" ca="1" si="227"/>
        <v>1.2017840310801837</v>
      </c>
      <c r="HS21" s="363">
        <f t="shared" ca="1" si="227"/>
        <v>1.2144002058819163</v>
      </c>
      <c r="HT21" s="363">
        <f t="shared" ca="1" si="227"/>
        <v>1.2297142205396012</v>
      </c>
      <c r="HU21" s="363">
        <f t="shared" ca="1" si="227"/>
        <v>1.1305432603074728</v>
      </c>
      <c r="HV21" s="363">
        <f t="shared" ca="1" si="227"/>
        <v>0.97080356448155536</v>
      </c>
      <c r="HW21" s="363">
        <f t="shared" ca="1" si="227"/>
        <v>1.0543994421959753</v>
      </c>
      <c r="HX21" s="363">
        <f t="shared" ca="1" si="227"/>
        <v>1.0504746945029009</v>
      </c>
      <c r="HY21" s="363">
        <f t="shared" ca="1" si="227"/>
        <v>0.99401015834461259</v>
      </c>
      <c r="HZ21" s="363">
        <f t="shared" ca="1" si="227"/>
        <v>1.0946189004119162</v>
      </c>
      <c r="IA21" s="363">
        <f t="shared" ca="1" si="227"/>
        <v>1.1109245643370198</v>
      </c>
      <c r="IB21" s="363">
        <f t="shared" ca="1" si="227"/>
        <v>1.1755304309714076</v>
      </c>
      <c r="IC21" s="363">
        <f t="shared" ca="1" si="227"/>
        <v>1.0500313307604445</v>
      </c>
      <c r="ID21" s="363">
        <f t="shared" ca="1" si="227"/>
        <v>1.132643248777438</v>
      </c>
      <c r="IE21" s="363">
        <f t="shared" ca="1" si="227"/>
        <v>1.3732590325708189</v>
      </c>
      <c r="IF21" s="363">
        <f t="shared" ca="1" si="227"/>
        <v>1.3528873625811166</v>
      </c>
      <c r="IG21" s="363">
        <f t="shared" ca="1" si="227"/>
        <v>1.3097134805397876</v>
      </c>
      <c r="IH21" s="363">
        <f t="shared" ca="1" si="227"/>
        <v>1.0415837796034868</v>
      </c>
      <c r="II21" s="363">
        <f t="shared" ca="1" si="227"/>
        <v>1.0703243539198704</v>
      </c>
      <c r="IJ21" s="363">
        <f t="shared" ca="1" si="227"/>
        <v>1.0342300461214311</v>
      </c>
      <c r="IK21" s="363">
        <f t="shared" ca="1" si="227"/>
        <v>1.0911697705877217</v>
      </c>
      <c r="IL21" s="363">
        <f t="shared" ca="1" si="227"/>
        <v>0.93153848894726088</v>
      </c>
      <c r="IM21" s="363">
        <f t="shared" ca="1" si="227"/>
        <v>0.98883149258115455</v>
      </c>
      <c r="IN21" s="363">
        <f t="shared" ca="1" si="227"/>
        <v>1.2095612532808082</v>
      </c>
      <c r="IO21" s="363">
        <f t="shared" ca="1" si="227"/>
        <v>1.0502171509876097</v>
      </c>
      <c r="IP21" s="363">
        <f t="shared" ca="1" si="227"/>
        <v>1.3715951780216302</v>
      </c>
      <c r="IQ21" s="363">
        <f t="shared" ca="1" si="227"/>
        <v>1.1578732510989893</v>
      </c>
      <c r="IR21" s="363">
        <f t="shared" ca="1" si="227"/>
        <v>1.1721416202560457</v>
      </c>
      <c r="IS21" s="363">
        <f t="shared" ca="1" si="227"/>
        <v>1.1832039102580367</v>
      </c>
      <c r="IT21" s="363">
        <f t="shared" ca="1" si="227"/>
        <v>1.5591559322732738</v>
      </c>
      <c r="IU21" s="363">
        <f t="shared" ca="1" si="227"/>
        <v>1.3337062585424759</v>
      </c>
      <c r="IV21" s="363">
        <f t="shared" ca="1" si="227"/>
        <v>1.2873392867312439</v>
      </c>
      <c r="IW21" s="363">
        <f t="shared" ca="1" si="227"/>
        <v>1.1882493628883155</v>
      </c>
      <c r="IX21" s="363">
        <f t="shared" ca="1" si="227"/>
        <v>1.0103849417340611</v>
      </c>
      <c r="IY21" s="363">
        <f t="shared" ca="1" si="227"/>
        <v>1.1627876716560466</v>
      </c>
      <c r="IZ21" s="363">
        <f t="shared" ca="1" si="227"/>
        <v>1.0289493917413499</v>
      </c>
      <c r="JA21" s="363">
        <f t="shared" ca="1" si="227"/>
        <v>1.0900712859161892</v>
      </c>
      <c r="JB21" s="363">
        <f t="shared" ca="1" si="227"/>
        <v>1.302017432499073</v>
      </c>
      <c r="JC21" s="363">
        <f t="shared" ca="1" si="227"/>
        <v>0.98822408799088457</v>
      </c>
      <c r="JD21" s="363">
        <f t="shared" ca="1" si="227"/>
        <v>1.1087613446460738</v>
      </c>
      <c r="JE21" s="363">
        <f t="shared" ca="1" si="227"/>
        <v>1.0538404414077585</v>
      </c>
      <c r="JF21" s="363">
        <f t="shared" ca="1" si="227"/>
        <v>1.080365283460482</v>
      </c>
      <c r="JG21" s="363">
        <f t="shared" ca="1" si="227"/>
        <v>0.93232369919825619</v>
      </c>
      <c r="JH21" s="363">
        <f t="shared" ca="1" si="227"/>
        <v>1.3556926336503023</v>
      </c>
      <c r="JI21" s="363">
        <f t="shared" ca="1" si="227"/>
        <v>1.1365347227082399</v>
      </c>
      <c r="JJ21" s="363">
        <f t="shared" ca="1" si="227"/>
        <v>0.98304439079820938</v>
      </c>
      <c r="JK21" s="363">
        <f t="shared" ca="1" si="227"/>
        <v>1.066211769996392</v>
      </c>
      <c r="JL21" s="363">
        <f t="shared" ca="1" si="227"/>
        <v>1.0238116862197786</v>
      </c>
      <c r="JM21" s="363">
        <f t="shared" ca="1" si="227"/>
        <v>1.2014375687944865</v>
      </c>
      <c r="JN21" s="363">
        <f t="shared" ca="1" si="227"/>
        <v>1.1952585394537132</v>
      </c>
      <c r="JO21" s="363">
        <f t="shared" ca="1" si="227"/>
        <v>1.3470804239331322</v>
      </c>
      <c r="JP21" s="363">
        <f t="shared" ca="1" si="227"/>
        <v>1.1875114457468796</v>
      </c>
      <c r="JQ21" s="363">
        <f t="shared" ca="1" si="227"/>
        <v>1.0018890944965078</v>
      </c>
      <c r="JR21" s="363">
        <f t="shared" ref="JR21:KZ21" ca="1" si="228">_xlfn.LOGNORM.INV(RAND(),$I$21,$J$21)</f>
        <v>1.2717007194352019</v>
      </c>
      <c r="JS21" s="363">
        <f t="shared" ca="1" si="228"/>
        <v>1.1552934388041496</v>
      </c>
      <c r="JT21" s="363">
        <f t="shared" ca="1" si="228"/>
        <v>1.0882137950276574</v>
      </c>
      <c r="JU21" s="363">
        <f t="shared" ca="1" si="228"/>
        <v>1.1731611516386773</v>
      </c>
      <c r="JV21" s="363">
        <f t="shared" ca="1" si="228"/>
        <v>1.269998249869174</v>
      </c>
      <c r="JW21" s="363">
        <f t="shared" ca="1" si="228"/>
        <v>1.048909063799037</v>
      </c>
      <c r="JX21" s="363">
        <f t="shared" ca="1" si="228"/>
        <v>1.1352790805435085</v>
      </c>
      <c r="JY21" s="363">
        <f t="shared" ca="1" si="228"/>
        <v>1.2233350613443947</v>
      </c>
      <c r="JZ21" s="363">
        <f t="shared" ca="1" si="228"/>
        <v>1.1565207213815412</v>
      </c>
      <c r="KA21" s="363">
        <f t="shared" ca="1" si="228"/>
        <v>0.92396502028793759</v>
      </c>
      <c r="KB21" s="363">
        <f t="shared" ca="1" si="228"/>
        <v>1.2346053728177417</v>
      </c>
      <c r="KC21" s="363">
        <f t="shared" ca="1" si="228"/>
        <v>1.1959117999453739</v>
      </c>
      <c r="KD21" s="363">
        <f t="shared" ca="1" si="228"/>
        <v>1.3752388814156868</v>
      </c>
      <c r="KE21" s="363">
        <f t="shared" ca="1" si="228"/>
        <v>1.4301535714781135</v>
      </c>
      <c r="KF21" s="363">
        <f t="shared" ca="1" si="228"/>
        <v>1.2302460099157211</v>
      </c>
      <c r="KG21" s="363">
        <f t="shared" ca="1" si="228"/>
        <v>1.2329315210890839</v>
      </c>
      <c r="KH21" s="363">
        <f t="shared" ca="1" si="228"/>
        <v>1.2753535070838473</v>
      </c>
      <c r="KI21" s="363">
        <f t="shared" ca="1" si="228"/>
        <v>1.0362689753648302</v>
      </c>
      <c r="KJ21" s="363">
        <f t="shared" ca="1" si="228"/>
        <v>1.0054403182728406</v>
      </c>
      <c r="KK21" s="363">
        <f t="shared" ca="1" si="228"/>
        <v>1.3875967373959257</v>
      </c>
      <c r="KL21" s="363">
        <f t="shared" ca="1" si="228"/>
        <v>1.2459491178251454</v>
      </c>
      <c r="KM21" s="363">
        <f t="shared" ca="1" si="228"/>
        <v>1.241640634860576</v>
      </c>
      <c r="KN21" s="363">
        <f t="shared" ca="1" si="228"/>
        <v>1.2169706012103931</v>
      </c>
      <c r="KO21" s="363">
        <f t="shared" ca="1" si="228"/>
        <v>1.2079968779943764</v>
      </c>
      <c r="KP21" s="363">
        <f t="shared" ca="1" si="228"/>
        <v>1.2266182112323729</v>
      </c>
      <c r="KQ21" s="363">
        <f t="shared" ca="1" si="228"/>
        <v>1.2123662400179842</v>
      </c>
      <c r="KR21" s="363">
        <f t="shared" ca="1" si="228"/>
        <v>0.8215217950812943</v>
      </c>
      <c r="KS21" s="363">
        <f t="shared" ca="1" si="228"/>
        <v>1.1403844858956373</v>
      </c>
      <c r="KT21" s="363">
        <f t="shared" ca="1" si="228"/>
        <v>1.082518324391309</v>
      </c>
      <c r="KU21" s="363">
        <f t="shared" ca="1" si="228"/>
        <v>1.1539076687500212</v>
      </c>
      <c r="KV21" s="363">
        <f t="shared" ca="1" si="228"/>
        <v>0.85695221687749257</v>
      </c>
      <c r="KW21" s="363">
        <f t="shared" ca="1" si="228"/>
        <v>1.1217068166147945</v>
      </c>
      <c r="KX21" s="363">
        <f t="shared" ca="1" si="228"/>
        <v>1.0696897592731254</v>
      </c>
      <c r="KY21" s="363">
        <f t="shared" ca="1" si="228"/>
        <v>1.0091183183828634</v>
      </c>
      <c r="KZ21" s="363">
        <f t="shared" ca="1" si="228"/>
        <v>1.0427144566684139</v>
      </c>
      <c r="LA21" s="363">
        <f ca="1">_xlfn.LOGNORM.INV(RAND(),$I$21,$J$21)</f>
        <v>1.0570826903217851</v>
      </c>
      <c r="LB21" s="363">
        <f t="shared" ref="LB21:NM21" ca="1" si="229">_xlfn.LOGNORM.INV(RAND(),$I$21,$J$21)</f>
        <v>1.0926743356673909</v>
      </c>
      <c r="LC21" s="363">
        <f t="shared" ca="1" si="229"/>
        <v>1.0261953266957531</v>
      </c>
      <c r="LD21" s="363">
        <f t="shared" ca="1" si="229"/>
        <v>1.1237702575487956</v>
      </c>
      <c r="LE21" s="363">
        <f t="shared" ca="1" si="229"/>
        <v>0.99305500146504533</v>
      </c>
      <c r="LF21" s="363">
        <f t="shared" ca="1" si="229"/>
        <v>1.2090484284574876</v>
      </c>
      <c r="LG21" s="363">
        <f t="shared" ca="1" si="229"/>
        <v>1.3075546478665971</v>
      </c>
      <c r="LH21" s="363">
        <f t="shared" ca="1" si="229"/>
        <v>1.1533183419321096</v>
      </c>
      <c r="LI21" s="363">
        <f t="shared" ca="1" si="229"/>
        <v>1.1569538197012086</v>
      </c>
      <c r="LJ21" s="363">
        <f t="shared" ca="1" si="229"/>
        <v>1.0909076562733944</v>
      </c>
      <c r="LK21" s="363">
        <f t="shared" ca="1" si="229"/>
        <v>1.5365014617211235</v>
      </c>
      <c r="LL21" s="363">
        <f t="shared" ca="1" si="229"/>
        <v>1.1047277137633453</v>
      </c>
      <c r="LM21" s="363">
        <f t="shared" ca="1" si="229"/>
        <v>1.0622834279674569</v>
      </c>
      <c r="LN21" s="363">
        <f t="shared" ca="1" si="229"/>
        <v>1.1196463080598174</v>
      </c>
      <c r="LO21" s="363">
        <f t="shared" ca="1" si="229"/>
        <v>1.1729881259805908</v>
      </c>
      <c r="LP21" s="363">
        <f t="shared" ca="1" si="229"/>
        <v>0.85644425023132242</v>
      </c>
      <c r="LQ21" s="363">
        <f t="shared" ca="1" si="229"/>
        <v>0.93798684804152888</v>
      </c>
      <c r="LR21" s="363">
        <f t="shared" ca="1" si="229"/>
        <v>1.1358694205334543</v>
      </c>
      <c r="LS21" s="363">
        <f t="shared" ca="1" si="229"/>
        <v>1.0605076951800567</v>
      </c>
      <c r="LT21" s="363">
        <f t="shared" ca="1" si="229"/>
        <v>1.1233335025384155</v>
      </c>
      <c r="LU21" s="363">
        <f t="shared" ca="1" si="229"/>
        <v>1.3738482770252824</v>
      </c>
      <c r="LV21" s="363">
        <f t="shared" ca="1" si="229"/>
        <v>1.1645090027891158</v>
      </c>
      <c r="LW21" s="363">
        <f t="shared" ca="1" si="229"/>
        <v>1.1285157595083739</v>
      </c>
      <c r="LX21" s="363">
        <f t="shared" ca="1" si="229"/>
        <v>1.0797718084947656</v>
      </c>
      <c r="LY21" s="363">
        <f t="shared" ca="1" si="229"/>
        <v>1.1932129575991437</v>
      </c>
      <c r="LZ21" s="363">
        <f t="shared" ca="1" si="229"/>
        <v>0.89621454548188095</v>
      </c>
      <c r="MA21" s="363">
        <f t="shared" ca="1" si="229"/>
        <v>1.2175683286166243</v>
      </c>
      <c r="MB21" s="363">
        <f t="shared" ca="1" si="229"/>
        <v>1.0717669818883615</v>
      </c>
      <c r="MC21" s="363">
        <f t="shared" ca="1" si="229"/>
        <v>1.1610343307048814</v>
      </c>
      <c r="MD21" s="363">
        <f t="shared" ca="1" si="229"/>
        <v>1.0879220464592394</v>
      </c>
      <c r="ME21" s="363">
        <f t="shared" ca="1" si="229"/>
        <v>1.1140237499312986</v>
      </c>
      <c r="MF21" s="363">
        <f t="shared" ca="1" si="229"/>
        <v>1.4992209693171357</v>
      </c>
      <c r="MG21" s="363">
        <f t="shared" ca="1" si="229"/>
        <v>1.0295347544366045</v>
      </c>
      <c r="MH21" s="363">
        <f t="shared" ca="1" si="229"/>
        <v>1.0182090286112617</v>
      </c>
      <c r="MI21" s="363">
        <f t="shared" ca="1" si="229"/>
        <v>0.8965348564251816</v>
      </c>
      <c r="MJ21" s="363">
        <f t="shared" ca="1" si="229"/>
        <v>1.0639298461444151</v>
      </c>
      <c r="MK21" s="363">
        <f t="shared" ca="1" si="229"/>
        <v>1.3157638721194769</v>
      </c>
      <c r="ML21" s="363">
        <f t="shared" ca="1" si="229"/>
        <v>1.3752061164221987</v>
      </c>
      <c r="MM21" s="363">
        <f t="shared" ca="1" si="229"/>
        <v>1.2494116918432285</v>
      </c>
      <c r="MN21" s="363">
        <f t="shared" ca="1" si="229"/>
        <v>1.0613701521515631</v>
      </c>
      <c r="MO21" s="363">
        <f t="shared" ca="1" si="229"/>
        <v>1.1096797724429688</v>
      </c>
      <c r="MP21" s="363">
        <f t="shared" ca="1" si="229"/>
        <v>1.1224221884623151</v>
      </c>
      <c r="MQ21" s="363">
        <f t="shared" ca="1" si="229"/>
        <v>1.1827771955137114</v>
      </c>
      <c r="MR21" s="363">
        <f t="shared" ca="1" si="229"/>
        <v>1.0993851763958169</v>
      </c>
      <c r="MS21" s="363">
        <f t="shared" ca="1" si="229"/>
        <v>1.0474144661879874</v>
      </c>
      <c r="MT21" s="363">
        <f t="shared" ca="1" si="229"/>
        <v>1.0926682010938682</v>
      </c>
      <c r="MU21" s="363">
        <f t="shared" ca="1" si="229"/>
        <v>1.3306800474628973</v>
      </c>
      <c r="MV21" s="363">
        <f t="shared" ca="1" si="229"/>
        <v>1.148086029533079</v>
      </c>
      <c r="MW21" s="363">
        <f t="shared" ca="1" si="229"/>
        <v>1.3415404563102955</v>
      </c>
      <c r="MX21" s="363">
        <f t="shared" ca="1" si="229"/>
        <v>0.86204019379259744</v>
      </c>
      <c r="MY21" s="363">
        <f t="shared" ca="1" si="229"/>
        <v>1.2840902362746396</v>
      </c>
      <c r="MZ21" s="363">
        <f t="shared" ca="1" si="229"/>
        <v>1.259759425626428</v>
      </c>
      <c r="NA21" s="363">
        <f t="shared" ca="1" si="229"/>
        <v>1.0566946248274105</v>
      </c>
      <c r="NB21" s="363">
        <f t="shared" ca="1" si="229"/>
        <v>1.1946322731011727</v>
      </c>
      <c r="NC21" s="363">
        <f t="shared" ca="1" si="229"/>
        <v>1.1479731026748015</v>
      </c>
      <c r="ND21" s="363">
        <f t="shared" ca="1" si="229"/>
        <v>1.0467110861719162</v>
      </c>
      <c r="NE21" s="363">
        <f t="shared" ca="1" si="229"/>
        <v>1.0325972966764918</v>
      </c>
      <c r="NF21" s="363">
        <f t="shared" ca="1" si="229"/>
        <v>1.1076367934421163</v>
      </c>
      <c r="NG21" s="363">
        <f t="shared" ca="1" si="229"/>
        <v>1.2473915436669119</v>
      </c>
      <c r="NH21" s="363">
        <f t="shared" ca="1" si="229"/>
        <v>0.99796352777254449</v>
      </c>
      <c r="NI21" s="363">
        <f t="shared" ca="1" si="229"/>
        <v>0.97236585387210339</v>
      </c>
      <c r="NJ21" s="363">
        <f t="shared" ca="1" si="229"/>
        <v>1.27138700701163</v>
      </c>
      <c r="NK21" s="363">
        <f t="shared" ca="1" si="229"/>
        <v>1.0138889876640058</v>
      </c>
      <c r="NL21" s="363">
        <f t="shared" ca="1" si="229"/>
        <v>1.0358771785672929</v>
      </c>
      <c r="NM21" s="363">
        <f t="shared" ca="1" si="229"/>
        <v>0.87624189767784155</v>
      </c>
      <c r="NN21" s="363">
        <f t="shared" ref="NN21:OV21" ca="1" si="230">_xlfn.LOGNORM.INV(RAND(),$I$21,$J$21)</f>
        <v>1.0476400292234773</v>
      </c>
      <c r="NO21" s="363">
        <f t="shared" ca="1" si="230"/>
        <v>1.2259284615140023</v>
      </c>
      <c r="NP21" s="363">
        <f t="shared" ca="1" si="230"/>
        <v>1.1385238335697674</v>
      </c>
      <c r="NQ21" s="363">
        <f t="shared" ca="1" si="230"/>
        <v>1.1070295308642102</v>
      </c>
      <c r="NR21" s="363">
        <f t="shared" ca="1" si="230"/>
        <v>1.0269447414338535</v>
      </c>
      <c r="NS21" s="363">
        <f t="shared" ca="1" si="230"/>
        <v>1.0806013187748753</v>
      </c>
      <c r="NT21" s="363">
        <f t="shared" ca="1" si="230"/>
        <v>1.0095975048715493</v>
      </c>
      <c r="NU21" s="363">
        <f t="shared" ca="1" si="230"/>
        <v>1.2204443203819093</v>
      </c>
      <c r="NV21" s="363">
        <f t="shared" ca="1" si="230"/>
        <v>1.0870892751370091</v>
      </c>
      <c r="NW21" s="363">
        <f t="shared" ca="1" si="230"/>
        <v>0.88357560760379183</v>
      </c>
      <c r="NX21" s="363">
        <f t="shared" ca="1" si="230"/>
        <v>1.0117345311323165</v>
      </c>
      <c r="NY21" s="363">
        <f t="shared" ca="1" si="230"/>
        <v>1.0278318128857082</v>
      </c>
      <c r="NZ21" s="363">
        <f t="shared" ca="1" si="230"/>
        <v>1.0917781947298382</v>
      </c>
      <c r="OA21" s="363">
        <f t="shared" ca="1" si="230"/>
        <v>1.1054210888754654</v>
      </c>
      <c r="OB21" s="363">
        <f t="shared" ca="1" si="230"/>
        <v>0.96748404653876041</v>
      </c>
      <c r="OC21" s="363">
        <f t="shared" ca="1" si="230"/>
        <v>0.97953623459670192</v>
      </c>
      <c r="OD21" s="363">
        <f t="shared" ca="1" si="230"/>
        <v>1.1339544147668352</v>
      </c>
      <c r="OE21" s="363">
        <f t="shared" ca="1" si="230"/>
        <v>1.0212093030345286</v>
      </c>
      <c r="OF21" s="363">
        <f t="shared" ca="1" si="230"/>
        <v>1.0546218010962189</v>
      </c>
      <c r="OG21" s="363">
        <f t="shared" ca="1" si="230"/>
        <v>0.92436358022030107</v>
      </c>
      <c r="OH21" s="363">
        <f t="shared" ca="1" si="230"/>
        <v>1.0186453492494743</v>
      </c>
      <c r="OI21" s="363">
        <f t="shared" ca="1" si="230"/>
        <v>1.0686291779089536</v>
      </c>
      <c r="OJ21" s="363">
        <f t="shared" ca="1" si="230"/>
        <v>1.1451191947112491</v>
      </c>
      <c r="OK21" s="363">
        <f t="shared" ca="1" si="230"/>
        <v>0.984241655089099</v>
      </c>
      <c r="OL21" s="363">
        <f t="shared" ca="1" si="230"/>
        <v>1.1587984634926631</v>
      </c>
      <c r="OM21" s="363">
        <f t="shared" ca="1" si="230"/>
        <v>1.0941797614621105</v>
      </c>
      <c r="ON21" s="363">
        <f t="shared" ca="1" si="230"/>
        <v>1.2653748050567983</v>
      </c>
      <c r="OO21" s="363">
        <f t="shared" ca="1" si="230"/>
        <v>0.98560866664549829</v>
      </c>
      <c r="OP21" s="363">
        <f t="shared" ca="1" si="230"/>
        <v>1.0300150746732675</v>
      </c>
      <c r="OQ21" s="363">
        <f t="shared" ca="1" si="230"/>
        <v>1.0570514788913252</v>
      </c>
      <c r="OR21" s="363">
        <f t="shared" ca="1" si="230"/>
        <v>1.1960241615492753</v>
      </c>
      <c r="OS21" s="363">
        <f t="shared" ca="1" si="230"/>
        <v>1.1657222917621737</v>
      </c>
      <c r="OT21" s="363">
        <f t="shared" ca="1" si="230"/>
        <v>1.127047407947795</v>
      </c>
      <c r="OU21" s="363">
        <f t="shared" ca="1" si="230"/>
        <v>1.1994601786001615</v>
      </c>
      <c r="OV21" s="363">
        <f t="shared" ca="1" si="230"/>
        <v>1.1428747681858273</v>
      </c>
      <c r="OW21" s="363">
        <f ca="1">_xlfn.LOGNORM.INV(RAND(),$I$21,$J$21)</f>
        <v>1.0057889651295964</v>
      </c>
      <c r="OX21" s="363">
        <f t="shared" ref="OX21:RI21" ca="1" si="231">_xlfn.LOGNORM.INV(RAND(),$I$21,$J$21)</f>
        <v>1.036836348885146</v>
      </c>
      <c r="OY21" s="363">
        <f t="shared" ca="1" si="231"/>
        <v>1.0255414763100126</v>
      </c>
      <c r="OZ21" s="363">
        <f t="shared" ca="1" si="231"/>
        <v>1.154926299641476</v>
      </c>
      <c r="PA21" s="363">
        <f t="shared" ca="1" si="231"/>
        <v>0.93342076403266649</v>
      </c>
      <c r="PB21" s="363">
        <f t="shared" ca="1" si="231"/>
        <v>1.1645017307703838</v>
      </c>
      <c r="PC21" s="363">
        <f t="shared" ca="1" si="231"/>
        <v>1.1466496848148506</v>
      </c>
      <c r="PD21" s="363">
        <f t="shared" ca="1" si="231"/>
        <v>1.0907769286411066</v>
      </c>
      <c r="PE21" s="363">
        <f t="shared" ca="1" si="231"/>
        <v>1.0056628254101152</v>
      </c>
      <c r="PF21" s="363">
        <f t="shared" ca="1" si="231"/>
        <v>1.4515934740074428</v>
      </c>
      <c r="PG21" s="363">
        <f t="shared" ca="1" si="231"/>
        <v>1.1220154429060396</v>
      </c>
      <c r="PH21" s="363">
        <f t="shared" ca="1" si="231"/>
        <v>1.0659748297698399</v>
      </c>
      <c r="PI21" s="363">
        <f t="shared" ca="1" si="231"/>
        <v>1.174288956722414</v>
      </c>
      <c r="PJ21" s="363">
        <f t="shared" ca="1" si="231"/>
        <v>1.2014095985020061</v>
      </c>
      <c r="PK21" s="363">
        <f t="shared" ca="1" si="231"/>
        <v>1.2255269865938765</v>
      </c>
      <c r="PL21" s="363">
        <f t="shared" ca="1" si="231"/>
        <v>1.3194777569615161</v>
      </c>
      <c r="PM21" s="363">
        <f t="shared" ca="1" si="231"/>
        <v>1.1975132694493653</v>
      </c>
      <c r="PN21" s="363">
        <f t="shared" ca="1" si="231"/>
        <v>1.1716656576342941</v>
      </c>
      <c r="PO21" s="363">
        <f t="shared" ca="1" si="231"/>
        <v>1.0714118266407817</v>
      </c>
      <c r="PP21" s="363">
        <f t="shared" ca="1" si="231"/>
        <v>1.2879640478410768</v>
      </c>
      <c r="PQ21" s="363">
        <f t="shared" ca="1" si="231"/>
        <v>1.1671861047404668</v>
      </c>
      <c r="PR21" s="363">
        <f t="shared" ca="1" si="231"/>
        <v>1.1371782188654525</v>
      </c>
      <c r="PS21" s="363">
        <f t="shared" ca="1" si="231"/>
        <v>1.1501508759230976</v>
      </c>
      <c r="PT21" s="363">
        <f t="shared" ca="1" si="231"/>
        <v>1.0866786740249395</v>
      </c>
      <c r="PU21" s="363">
        <f t="shared" ca="1" si="231"/>
        <v>1.2088836344022913</v>
      </c>
      <c r="PV21" s="363">
        <f t="shared" ca="1" si="231"/>
        <v>1.1166925053971404</v>
      </c>
      <c r="PW21" s="363">
        <f t="shared" ca="1" si="231"/>
        <v>1.049960181597442</v>
      </c>
      <c r="PX21" s="363">
        <f t="shared" ca="1" si="231"/>
        <v>0.97182780711763084</v>
      </c>
      <c r="PY21" s="363">
        <f t="shared" ca="1" si="231"/>
        <v>1.1573981571346457</v>
      </c>
      <c r="PZ21" s="363">
        <f t="shared" ca="1" si="231"/>
        <v>1.1531122215187863</v>
      </c>
      <c r="QA21" s="363">
        <f t="shared" ca="1" si="231"/>
        <v>1.2020538248008841</v>
      </c>
      <c r="QB21" s="363">
        <f t="shared" ca="1" si="231"/>
        <v>1.0397408167402371</v>
      </c>
      <c r="QC21" s="363">
        <f t="shared" ca="1" si="231"/>
        <v>1.0403981636409407</v>
      </c>
      <c r="QD21" s="363">
        <f t="shared" ca="1" si="231"/>
        <v>1.1655447521209377</v>
      </c>
      <c r="QE21" s="363">
        <f t="shared" ca="1" si="231"/>
        <v>1.4920974695276816</v>
      </c>
      <c r="QF21" s="363">
        <f t="shared" ca="1" si="231"/>
        <v>1.2900493458062268</v>
      </c>
      <c r="QG21" s="363">
        <f t="shared" ca="1" si="231"/>
        <v>1.2133588261724007</v>
      </c>
      <c r="QH21" s="363">
        <f t="shared" ca="1" si="231"/>
        <v>1.1943418559319094</v>
      </c>
      <c r="QI21" s="363">
        <f t="shared" ca="1" si="231"/>
        <v>0.86759716464176428</v>
      </c>
      <c r="QJ21" s="363">
        <f t="shared" ca="1" si="231"/>
        <v>1.110002586969137</v>
      </c>
      <c r="QK21" s="363">
        <f t="shared" ca="1" si="231"/>
        <v>1.3281915806925515</v>
      </c>
      <c r="QL21" s="363">
        <f t="shared" ca="1" si="231"/>
        <v>1.0704596337247514</v>
      </c>
      <c r="QM21" s="363">
        <f t="shared" ca="1" si="231"/>
        <v>1.0775025366777933</v>
      </c>
      <c r="QN21" s="363">
        <f t="shared" ca="1" si="231"/>
        <v>1.0711911597382449</v>
      </c>
      <c r="QO21" s="363">
        <f t="shared" ca="1" si="231"/>
        <v>1.1606814256020794</v>
      </c>
      <c r="QP21" s="363">
        <f t="shared" ca="1" si="231"/>
        <v>0.90618506430641699</v>
      </c>
      <c r="QQ21" s="363">
        <f t="shared" ca="1" si="231"/>
        <v>1.1010599306240925</v>
      </c>
      <c r="QR21" s="363">
        <f t="shared" ca="1" si="231"/>
        <v>1.028622840055387</v>
      </c>
      <c r="QS21" s="363">
        <f t="shared" ca="1" si="231"/>
        <v>1.0700665094284381</v>
      </c>
      <c r="QT21" s="363">
        <f t="shared" ca="1" si="231"/>
        <v>1.0300112706187299</v>
      </c>
      <c r="QU21" s="363">
        <f t="shared" ca="1" si="231"/>
        <v>1.0275701511499524</v>
      </c>
      <c r="QV21" s="363">
        <f t="shared" ca="1" si="231"/>
        <v>1.0720549645061135</v>
      </c>
      <c r="QW21" s="363">
        <f t="shared" ca="1" si="231"/>
        <v>1.1836229874432826</v>
      </c>
      <c r="QX21" s="363">
        <f t="shared" ca="1" si="231"/>
        <v>1.3337543340417506</v>
      </c>
      <c r="QY21" s="363">
        <f t="shared" ca="1" si="231"/>
        <v>1.2771425859122634</v>
      </c>
      <c r="QZ21" s="363">
        <f t="shared" ca="1" si="231"/>
        <v>1.019094165861246</v>
      </c>
      <c r="RA21" s="363">
        <f t="shared" ca="1" si="231"/>
        <v>1.5781657533099964</v>
      </c>
      <c r="RB21" s="363">
        <f t="shared" ca="1" si="231"/>
        <v>1.1205149085084389</v>
      </c>
      <c r="RC21" s="363">
        <f t="shared" ca="1" si="231"/>
        <v>1.3628435146799835</v>
      </c>
      <c r="RD21" s="363">
        <f t="shared" ca="1" si="231"/>
        <v>1.0303610825364269</v>
      </c>
      <c r="RE21" s="363">
        <f t="shared" ca="1" si="231"/>
        <v>1.0146364384812085</v>
      </c>
      <c r="RF21" s="363">
        <f t="shared" ca="1" si="231"/>
        <v>1.2244555370177561</v>
      </c>
      <c r="RG21" s="363">
        <f t="shared" ca="1" si="231"/>
        <v>1.098034151900628</v>
      </c>
      <c r="RH21" s="363">
        <f t="shared" ca="1" si="231"/>
        <v>1.0249030559260348</v>
      </c>
      <c r="RI21" s="363">
        <f t="shared" ca="1" si="231"/>
        <v>0.99323896661408839</v>
      </c>
      <c r="RJ21" s="363">
        <f t="shared" ref="RJ21:SR21" ca="1" si="232">_xlfn.LOGNORM.INV(RAND(),$I$21,$J$21)</f>
        <v>1.1678165846646589</v>
      </c>
      <c r="RK21" s="363">
        <f t="shared" ca="1" si="232"/>
        <v>1.1082100710727916</v>
      </c>
      <c r="RL21" s="363">
        <f t="shared" ca="1" si="232"/>
        <v>0.93565135734432159</v>
      </c>
      <c r="RM21" s="363">
        <f t="shared" ca="1" si="232"/>
        <v>0.99612871080762555</v>
      </c>
      <c r="RN21" s="363">
        <f t="shared" ca="1" si="232"/>
        <v>1.1835095202757855</v>
      </c>
      <c r="RO21" s="363">
        <f t="shared" ca="1" si="232"/>
        <v>1.0160336893521098</v>
      </c>
      <c r="RP21" s="363">
        <f t="shared" ca="1" si="232"/>
        <v>1.1244895093031848</v>
      </c>
      <c r="RQ21" s="363">
        <f t="shared" ca="1" si="232"/>
        <v>1.0512586216116222</v>
      </c>
      <c r="RR21" s="363">
        <f t="shared" ca="1" si="232"/>
        <v>1.1962156910326105</v>
      </c>
      <c r="RS21" s="363">
        <f t="shared" ca="1" si="232"/>
        <v>1.0992133800641473</v>
      </c>
      <c r="RT21" s="363">
        <f t="shared" ca="1" si="232"/>
        <v>0.98872272325339816</v>
      </c>
      <c r="RU21" s="363">
        <f t="shared" ca="1" si="232"/>
        <v>1.1060481947929375</v>
      </c>
      <c r="RV21" s="363">
        <f t="shared" ca="1" si="232"/>
        <v>1.075300566191066</v>
      </c>
      <c r="RW21" s="363">
        <f t="shared" ca="1" si="232"/>
        <v>0.96843011254767208</v>
      </c>
      <c r="RX21" s="363">
        <f t="shared" ca="1" si="232"/>
        <v>1.0989961698305095</v>
      </c>
      <c r="RY21" s="363">
        <f t="shared" ca="1" si="232"/>
        <v>1.0619897463566139</v>
      </c>
      <c r="RZ21" s="363">
        <f t="shared" ca="1" si="232"/>
        <v>1.0778344384479941</v>
      </c>
      <c r="SA21" s="363">
        <f t="shared" ca="1" si="232"/>
        <v>1.2071287955589109</v>
      </c>
      <c r="SB21" s="363">
        <f t="shared" ca="1" si="232"/>
        <v>1.2139585715057859</v>
      </c>
      <c r="SC21" s="363">
        <f t="shared" ca="1" si="232"/>
        <v>1.1992269826131823</v>
      </c>
      <c r="SD21" s="363">
        <f t="shared" ca="1" si="232"/>
        <v>0.98481878900606457</v>
      </c>
      <c r="SE21" s="363">
        <f t="shared" ca="1" si="232"/>
        <v>1.249085736516178</v>
      </c>
      <c r="SF21" s="363">
        <f t="shared" ca="1" si="232"/>
        <v>1.0607729958674088</v>
      </c>
      <c r="SG21" s="363">
        <f t="shared" ca="1" si="232"/>
        <v>1.1043372898750632</v>
      </c>
      <c r="SH21" s="363">
        <f t="shared" ca="1" si="232"/>
        <v>1.0446644611112959</v>
      </c>
      <c r="SI21" s="363">
        <f t="shared" ca="1" si="232"/>
        <v>0.93769032027586774</v>
      </c>
      <c r="SJ21" s="363">
        <f t="shared" ca="1" si="232"/>
        <v>1.4135699962283446</v>
      </c>
      <c r="SK21" s="363">
        <f t="shared" ca="1" si="232"/>
        <v>1.0776479492686224</v>
      </c>
      <c r="SL21" s="363">
        <f t="shared" ca="1" si="232"/>
        <v>1.2424960541676411</v>
      </c>
      <c r="SM21" s="363">
        <f t="shared" ca="1" si="232"/>
        <v>1.3344097875367835</v>
      </c>
      <c r="SN21" s="363">
        <f t="shared" ca="1" si="232"/>
        <v>1.1955340406071777</v>
      </c>
      <c r="SO21" s="363">
        <f t="shared" ca="1" si="232"/>
        <v>1.1659645800153975</v>
      </c>
      <c r="SP21" s="363">
        <f t="shared" ca="1" si="232"/>
        <v>1.0795673171078353</v>
      </c>
      <c r="SQ21" s="363">
        <f t="shared" ca="1" si="232"/>
        <v>1.122236337065482</v>
      </c>
      <c r="SR21" s="363">
        <f t="shared" ca="1" si="232"/>
        <v>1.1554916552618411</v>
      </c>
      <c r="SS21" s="363">
        <f ca="1">_xlfn.LOGNORM.INV(RAND(),$I$21,$J$21)</f>
        <v>1.1476989413613263</v>
      </c>
      <c r="ST21" s="363">
        <f t="shared" ref="ST21:VE21" ca="1" si="233">_xlfn.LOGNORM.INV(RAND(),$I$21,$J$21)</f>
        <v>1.1262820659155415</v>
      </c>
      <c r="SU21" s="363">
        <f t="shared" ca="1" si="233"/>
        <v>1.0994989043093284</v>
      </c>
      <c r="SV21" s="363">
        <f t="shared" ca="1" si="233"/>
        <v>1.0719679860079601</v>
      </c>
      <c r="SW21" s="363">
        <f t="shared" ca="1" si="233"/>
        <v>1.0402481060708688</v>
      </c>
      <c r="SX21" s="363">
        <f t="shared" ca="1" si="233"/>
        <v>0.85677479615128427</v>
      </c>
      <c r="SY21" s="363">
        <f t="shared" ca="1" si="233"/>
        <v>1.3555542551380368</v>
      </c>
      <c r="SZ21" s="363">
        <f t="shared" ca="1" si="233"/>
        <v>0.88586713616745316</v>
      </c>
      <c r="TA21" s="363">
        <f t="shared" ca="1" si="233"/>
        <v>1.117314582466167</v>
      </c>
      <c r="TB21" s="363">
        <f t="shared" ca="1" si="233"/>
        <v>0.93487222857427199</v>
      </c>
      <c r="TC21" s="363">
        <f t="shared" ca="1" si="233"/>
        <v>1.2273715062890347</v>
      </c>
      <c r="TD21" s="363">
        <f t="shared" ca="1" si="233"/>
        <v>0.93346628992382585</v>
      </c>
      <c r="TE21" s="363">
        <f t="shared" ca="1" si="233"/>
        <v>0.89254104736238959</v>
      </c>
      <c r="TF21" s="363">
        <f t="shared" ca="1" si="233"/>
        <v>1.0654213559199852</v>
      </c>
      <c r="TG21" s="363">
        <f t="shared" ca="1" si="233"/>
        <v>0.92638251547213712</v>
      </c>
      <c r="TH21" s="363">
        <f t="shared" ca="1" si="233"/>
        <v>0.93338256344175197</v>
      </c>
      <c r="TI21" s="363">
        <f t="shared" ca="1" si="233"/>
        <v>1.1240605217360684</v>
      </c>
      <c r="TJ21" s="363">
        <f t="shared" ca="1" si="233"/>
        <v>0.94869169060361025</v>
      </c>
      <c r="TK21" s="363">
        <f t="shared" ca="1" si="233"/>
        <v>1.3078726216740837</v>
      </c>
      <c r="TL21" s="363">
        <f t="shared" ca="1" si="233"/>
        <v>1.1210910972615471</v>
      </c>
      <c r="TM21" s="363">
        <f t="shared" ca="1" si="233"/>
        <v>1.403087688342725</v>
      </c>
      <c r="TN21" s="363">
        <f t="shared" ca="1" si="233"/>
        <v>1.195682081404948</v>
      </c>
      <c r="TO21" s="363">
        <f t="shared" ca="1" si="233"/>
        <v>1.209428092600678</v>
      </c>
      <c r="TP21" s="363">
        <f t="shared" ca="1" si="233"/>
        <v>1.2129540369751493</v>
      </c>
      <c r="TQ21" s="363">
        <f t="shared" ca="1" si="233"/>
        <v>1.0650514259562649</v>
      </c>
      <c r="TR21" s="363">
        <f t="shared" ca="1" si="233"/>
        <v>1.0977563575707523</v>
      </c>
      <c r="TS21" s="363">
        <f t="shared" ca="1" si="233"/>
        <v>1.0322751741584562</v>
      </c>
      <c r="TT21" s="363">
        <f t="shared" ca="1" si="233"/>
        <v>1.2277140871351482</v>
      </c>
      <c r="TU21" s="363">
        <f t="shared" ca="1" si="233"/>
        <v>1.0116120027005091</v>
      </c>
      <c r="TV21" s="363">
        <f t="shared" ca="1" si="233"/>
        <v>1.2600478992517665</v>
      </c>
      <c r="TW21" s="363">
        <f t="shared" ca="1" si="233"/>
        <v>1.2075848591979308</v>
      </c>
      <c r="TX21" s="363">
        <f t="shared" ca="1" si="233"/>
        <v>1.0691582949642049</v>
      </c>
      <c r="TY21" s="363">
        <f t="shared" ca="1" si="233"/>
        <v>0.98445318713289487</v>
      </c>
      <c r="TZ21" s="363">
        <f t="shared" ca="1" si="233"/>
        <v>1.1728449242763779</v>
      </c>
      <c r="UA21" s="363">
        <f t="shared" ca="1" si="233"/>
        <v>1.375161064082157</v>
      </c>
      <c r="UB21" s="363">
        <f t="shared" ca="1" si="233"/>
        <v>0.98894825315021151</v>
      </c>
      <c r="UC21" s="363">
        <f t="shared" ca="1" si="233"/>
        <v>1.2970113298370392</v>
      </c>
      <c r="UD21" s="363">
        <f t="shared" ca="1" si="233"/>
        <v>1.2205844883852937</v>
      </c>
      <c r="UE21" s="363">
        <f t="shared" ca="1" si="233"/>
        <v>1.1898424889279267</v>
      </c>
      <c r="UF21" s="363">
        <f t="shared" ca="1" si="233"/>
        <v>1.2773862962075047</v>
      </c>
      <c r="UG21" s="363">
        <f t="shared" ca="1" si="233"/>
        <v>1.0450938194593493</v>
      </c>
      <c r="UH21" s="363">
        <f t="shared" ca="1" si="233"/>
        <v>1.0793064575331117</v>
      </c>
      <c r="UI21" s="363">
        <f t="shared" ca="1" si="233"/>
        <v>1.0559180053042536</v>
      </c>
      <c r="UJ21" s="363">
        <f t="shared" ca="1" si="233"/>
        <v>1.1443681536445836</v>
      </c>
      <c r="UK21" s="363">
        <f t="shared" ca="1" si="233"/>
        <v>0.81519656085941405</v>
      </c>
      <c r="UL21" s="363">
        <f t="shared" ca="1" si="233"/>
        <v>1.172337889686069</v>
      </c>
      <c r="UM21" s="363">
        <f t="shared" ca="1" si="233"/>
        <v>1.1478694815666755</v>
      </c>
      <c r="UN21" s="363">
        <f t="shared" ca="1" si="233"/>
        <v>0.94372073355406882</v>
      </c>
      <c r="UO21" s="363">
        <f t="shared" ca="1" si="233"/>
        <v>0.9083621594588307</v>
      </c>
      <c r="UP21" s="363">
        <f t="shared" ca="1" si="233"/>
        <v>1.0315839438239343</v>
      </c>
      <c r="UQ21" s="363">
        <f t="shared" ca="1" si="233"/>
        <v>1.1242938522051857</v>
      </c>
      <c r="UR21" s="363">
        <f t="shared" ca="1" si="233"/>
        <v>1.0815049644516426</v>
      </c>
      <c r="US21" s="363">
        <f t="shared" ca="1" si="233"/>
        <v>1.0907974163068332</v>
      </c>
      <c r="UT21" s="363">
        <f t="shared" ca="1" si="233"/>
        <v>1.3645413357797789</v>
      </c>
      <c r="UU21" s="363">
        <f t="shared" ca="1" si="233"/>
        <v>1.0303143248140119</v>
      </c>
      <c r="UV21" s="363">
        <f t="shared" ca="1" si="233"/>
        <v>1.2202733050430428</v>
      </c>
      <c r="UW21" s="363">
        <f t="shared" ca="1" si="233"/>
        <v>1.1182318431385283</v>
      </c>
      <c r="UX21" s="363">
        <f t="shared" ca="1" si="233"/>
        <v>0.99696172779710845</v>
      </c>
      <c r="UY21" s="363">
        <f t="shared" ca="1" si="233"/>
        <v>1.041016783148335</v>
      </c>
      <c r="UZ21" s="363">
        <f t="shared" ca="1" si="233"/>
        <v>1.1016669742005678</v>
      </c>
      <c r="VA21" s="363">
        <f t="shared" ca="1" si="233"/>
        <v>1.1156573543809223</v>
      </c>
      <c r="VB21" s="363">
        <f t="shared" ca="1" si="233"/>
        <v>1.0864614460586763</v>
      </c>
      <c r="VC21" s="363">
        <f t="shared" ca="1" si="233"/>
        <v>1.264279453692398</v>
      </c>
      <c r="VD21" s="363">
        <f t="shared" ca="1" si="233"/>
        <v>1.0782724739890495</v>
      </c>
      <c r="VE21" s="363">
        <f t="shared" ca="1" si="233"/>
        <v>1.0342730247410696</v>
      </c>
      <c r="VF21" s="363">
        <f t="shared" ref="VF21:WN21" ca="1" si="234">_xlfn.LOGNORM.INV(RAND(),$I$21,$J$21)</f>
        <v>1.2895268908116906</v>
      </c>
      <c r="VG21" s="363">
        <f t="shared" ca="1" si="234"/>
        <v>1.1832480289660288</v>
      </c>
      <c r="VH21" s="363">
        <f t="shared" ca="1" si="234"/>
        <v>1.3135528599864783</v>
      </c>
      <c r="VI21" s="363">
        <f t="shared" ca="1" si="234"/>
        <v>1.021538720696459</v>
      </c>
      <c r="VJ21" s="363">
        <f t="shared" ca="1" si="234"/>
        <v>1.3743216530413507</v>
      </c>
      <c r="VK21" s="363">
        <f t="shared" ca="1" si="234"/>
        <v>0.87979451054615754</v>
      </c>
      <c r="VL21" s="363">
        <f t="shared" ca="1" si="234"/>
        <v>1.1387499893878408</v>
      </c>
      <c r="VM21" s="363">
        <f t="shared" ca="1" si="234"/>
        <v>1.1434790106786992</v>
      </c>
      <c r="VN21" s="363">
        <f t="shared" ca="1" si="234"/>
        <v>1.151982245836612</v>
      </c>
      <c r="VO21" s="363">
        <f t="shared" ca="1" si="234"/>
        <v>1.1236639403286941</v>
      </c>
      <c r="VP21" s="363">
        <f t="shared" ca="1" si="234"/>
        <v>1.1672921466740371</v>
      </c>
      <c r="VQ21" s="363">
        <f t="shared" ca="1" si="234"/>
        <v>1.067901693478216</v>
      </c>
      <c r="VR21" s="363">
        <f t="shared" ca="1" si="234"/>
        <v>1.0223376217981421</v>
      </c>
      <c r="VS21" s="363">
        <f t="shared" ca="1" si="234"/>
        <v>1.0106858734338864</v>
      </c>
      <c r="VT21" s="363">
        <f t="shared" ca="1" si="234"/>
        <v>1.09970217881675</v>
      </c>
      <c r="VU21" s="363">
        <f t="shared" ca="1" si="234"/>
        <v>1.0606254371673645</v>
      </c>
      <c r="VV21" s="363">
        <f t="shared" ca="1" si="234"/>
        <v>1.1233415301484644</v>
      </c>
      <c r="VW21" s="363">
        <f t="shared" ca="1" si="234"/>
        <v>1.0157946696453619</v>
      </c>
      <c r="VX21" s="363">
        <f t="shared" ca="1" si="234"/>
        <v>1.1376710581437104</v>
      </c>
      <c r="VY21" s="363">
        <f t="shared" ca="1" si="234"/>
        <v>1.0275514966625336</v>
      </c>
      <c r="VZ21" s="363">
        <f t="shared" ca="1" si="234"/>
        <v>1.1345168140286888</v>
      </c>
      <c r="WA21" s="363">
        <f t="shared" ca="1" si="234"/>
        <v>1.2990614281308619</v>
      </c>
      <c r="WB21" s="363">
        <f t="shared" ca="1" si="234"/>
        <v>1.1159689080705339</v>
      </c>
      <c r="WC21" s="363">
        <f t="shared" ca="1" si="234"/>
        <v>1.120084635404446</v>
      </c>
      <c r="WD21" s="363">
        <f t="shared" ca="1" si="234"/>
        <v>1.0478324306036604</v>
      </c>
      <c r="WE21" s="363">
        <f t="shared" ca="1" si="234"/>
        <v>1.0032080474555116</v>
      </c>
      <c r="WF21" s="363">
        <f t="shared" ca="1" si="234"/>
        <v>1.1658589370760764</v>
      </c>
      <c r="WG21" s="363">
        <f t="shared" ca="1" si="234"/>
        <v>1.3157916347801319</v>
      </c>
      <c r="WH21" s="363">
        <f t="shared" ca="1" si="234"/>
        <v>1.2310083694747427</v>
      </c>
      <c r="WI21" s="363">
        <f t="shared" ca="1" si="234"/>
        <v>1.2122400584507889</v>
      </c>
      <c r="WJ21" s="363">
        <f t="shared" ca="1" si="234"/>
        <v>1.1666128099412039</v>
      </c>
      <c r="WK21" s="363">
        <f t="shared" ca="1" si="234"/>
        <v>1.0838878353406072</v>
      </c>
      <c r="WL21" s="363">
        <f t="shared" ca="1" si="234"/>
        <v>1.1579031704193889</v>
      </c>
      <c r="WM21" s="363">
        <f t="shared" ca="1" si="234"/>
        <v>1.3509966239852464</v>
      </c>
      <c r="WN21" s="363">
        <f t="shared" ca="1" si="234"/>
        <v>0.99195251244620364</v>
      </c>
    </row>
    <row r="22" spans="2:612" x14ac:dyDescent="0.15">
      <c r="B22" s="469" t="s">
        <v>905</v>
      </c>
      <c r="D22" s="363">
        <f t="shared" si="0"/>
        <v>1.04</v>
      </c>
      <c r="F22" s="367">
        <v>1.04</v>
      </c>
      <c r="G22" s="367" t="s">
        <v>350</v>
      </c>
      <c r="H22" s="363">
        <v>4.6510601222947597E-2</v>
      </c>
      <c r="I22" s="363">
        <f t="shared" si="197"/>
        <v>3.8139095140221305E-2</v>
      </c>
      <c r="J22" s="367">
        <f t="shared" si="198"/>
        <v>4.4699394899285094E-2</v>
      </c>
      <c r="K22" s="367" t="s">
        <v>1274</v>
      </c>
      <c r="M22" s="363">
        <f ca="1">_xlfn.LOGNORM.INV(RAND(),$I$22,$J$22)</f>
        <v>1.1182033470372088</v>
      </c>
      <c r="N22" s="363">
        <f t="shared" ref="N22:BY22" ca="1" si="235">_xlfn.LOGNORM.INV(RAND(),$I$22,$J$22)</f>
        <v>1.0461371479166905</v>
      </c>
      <c r="O22" s="363">
        <f t="shared" ca="1" si="235"/>
        <v>1.0219620740544713</v>
      </c>
      <c r="P22" s="363">
        <f t="shared" ca="1" si="235"/>
        <v>1.0298400877863028</v>
      </c>
      <c r="Q22" s="363">
        <f t="shared" ca="1" si="235"/>
        <v>0.94206723840795781</v>
      </c>
      <c r="R22" s="363">
        <f t="shared" ca="1" si="235"/>
        <v>1.1044206621253538</v>
      </c>
      <c r="S22" s="363">
        <f t="shared" ca="1" si="235"/>
        <v>1.1060563311137894</v>
      </c>
      <c r="T22" s="363">
        <f t="shared" ca="1" si="235"/>
        <v>1.0729415394092185</v>
      </c>
      <c r="U22" s="363">
        <f t="shared" ca="1" si="235"/>
        <v>0.95826016188984664</v>
      </c>
      <c r="V22" s="363">
        <f t="shared" ca="1" si="235"/>
        <v>1.0208215358484021</v>
      </c>
      <c r="W22" s="363">
        <f t="shared" ca="1" si="235"/>
        <v>1.0045489064482314</v>
      </c>
      <c r="X22" s="363">
        <f t="shared" ca="1" si="235"/>
        <v>1.0096344975799749</v>
      </c>
      <c r="Y22" s="363">
        <f t="shared" ca="1" si="235"/>
        <v>0.96199717282151032</v>
      </c>
      <c r="Z22" s="363">
        <f t="shared" ca="1" si="235"/>
        <v>1.0878781525018784</v>
      </c>
      <c r="AA22" s="363">
        <f t="shared" ca="1" si="235"/>
        <v>1.0572838676976004</v>
      </c>
      <c r="AB22" s="363">
        <f t="shared" ca="1" si="235"/>
        <v>1.069787020569879</v>
      </c>
      <c r="AC22" s="363">
        <f t="shared" ca="1" si="235"/>
        <v>1.1081671195300518</v>
      </c>
      <c r="AD22" s="363">
        <f t="shared" ca="1" si="235"/>
        <v>1.0362799682717785</v>
      </c>
      <c r="AE22" s="363">
        <f t="shared" ca="1" si="235"/>
        <v>1.0000235392983672</v>
      </c>
      <c r="AF22" s="363">
        <f t="shared" ca="1" si="235"/>
        <v>0.97113872070261553</v>
      </c>
      <c r="AG22" s="363">
        <f t="shared" ca="1" si="235"/>
        <v>1.0550018874997431</v>
      </c>
      <c r="AH22" s="363">
        <f t="shared" ca="1" si="235"/>
        <v>1.119183049810172</v>
      </c>
      <c r="AI22" s="363">
        <f t="shared" ca="1" si="235"/>
        <v>1.0770075064526803</v>
      </c>
      <c r="AJ22" s="363">
        <f t="shared" ca="1" si="235"/>
        <v>1.0529416220500085</v>
      </c>
      <c r="AK22" s="363">
        <f t="shared" ca="1" si="235"/>
        <v>1.0502604729156406</v>
      </c>
      <c r="AL22" s="363">
        <f t="shared" ca="1" si="235"/>
        <v>1.1010885893171751</v>
      </c>
      <c r="AM22" s="363">
        <f t="shared" ca="1" si="235"/>
        <v>1.0115023753717696</v>
      </c>
      <c r="AN22" s="363">
        <f t="shared" ca="1" si="235"/>
        <v>1.0765965272772782</v>
      </c>
      <c r="AO22" s="363">
        <f t="shared" ca="1" si="235"/>
        <v>1.0158493490793485</v>
      </c>
      <c r="AP22" s="363">
        <f t="shared" ca="1" si="235"/>
        <v>1.0401721350162676</v>
      </c>
      <c r="AQ22" s="363">
        <f t="shared" ca="1" si="235"/>
        <v>1.0211082589680907</v>
      </c>
      <c r="AR22" s="363">
        <f t="shared" ca="1" si="235"/>
        <v>1.0007045098369742</v>
      </c>
      <c r="AS22" s="363">
        <f t="shared" ca="1" si="235"/>
        <v>1.0783722734903696</v>
      </c>
      <c r="AT22" s="363">
        <f t="shared" ca="1" si="235"/>
        <v>0.95322289170732699</v>
      </c>
      <c r="AU22" s="363">
        <f t="shared" ca="1" si="235"/>
        <v>1.0009867019182053</v>
      </c>
      <c r="AV22" s="363">
        <f t="shared" ca="1" si="235"/>
        <v>1.0939184731850387</v>
      </c>
      <c r="AW22" s="363">
        <f t="shared" ca="1" si="235"/>
        <v>0.98889237464886015</v>
      </c>
      <c r="AX22" s="363">
        <f t="shared" ca="1" si="235"/>
        <v>0.99582472603564676</v>
      </c>
      <c r="AY22" s="363">
        <f t="shared" ca="1" si="235"/>
        <v>1.0294689540033148</v>
      </c>
      <c r="AZ22" s="363">
        <f t="shared" ca="1" si="235"/>
        <v>1.0369458238261873</v>
      </c>
      <c r="BA22" s="363">
        <f t="shared" ca="1" si="235"/>
        <v>1.0599922689961676</v>
      </c>
      <c r="BB22" s="363">
        <f t="shared" ca="1" si="235"/>
        <v>0.99861560495442692</v>
      </c>
      <c r="BC22" s="363">
        <f t="shared" ca="1" si="235"/>
        <v>1.1428770551673131</v>
      </c>
      <c r="BD22" s="363">
        <f t="shared" ca="1" si="235"/>
        <v>1.0301352813434823</v>
      </c>
      <c r="BE22" s="363">
        <f t="shared" ca="1" si="235"/>
        <v>0.98578677118517222</v>
      </c>
      <c r="BF22" s="363">
        <f t="shared" ca="1" si="235"/>
        <v>1.0102686670692993</v>
      </c>
      <c r="BG22" s="363">
        <f t="shared" ca="1" si="235"/>
        <v>1.0669723042269585</v>
      </c>
      <c r="BH22" s="363">
        <f t="shared" ca="1" si="235"/>
        <v>1.0126438803833839</v>
      </c>
      <c r="BI22" s="363">
        <f t="shared" ca="1" si="235"/>
        <v>1.0625531346929342</v>
      </c>
      <c r="BJ22" s="363">
        <f t="shared" ca="1" si="235"/>
        <v>1.0752070947986472</v>
      </c>
      <c r="BK22" s="363">
        <f t="shared" ca="1" si="235"/>
        <v>1.0315970986589327</v>
      </c>
      <c r="BL22" s="363">
        <f t="shared" ca="1" si="235"/>
        <v>1.021880376402116</v>
      </c>
      <c r="BM22" s="363">
        <f t="shared" ca="1" si="235"/>
        <v>1.0466634266682311</v>
      </c>
      <c r="BN22" s="363">
        <f t="shared" ca="1" si="235"/>
        <v>1.0143274836771459</v>
      </c>
      <c r="BO22" s="363">
        <f t="shared" ca="1" si="235"/>
        <v>0.99825317584233175</v>
      </c>
      <c r="BP22" s="363">
        <f t="shared" ca="1" si="235"/>
        <v>1.0155055883469108</v>
      </c>
      <c r="BQ22" s="363">
        <f t="shared" ca="1" si="235"/>
        <v>1.047582091020445</v>
      </c>
      <c r="BR22" s="363">
        <f t="shared" ca="1" si="235"/>
        <v>1.1402656212595244</v>
      </c>
      <c r="BS22" s="363">
        <f t="shared" ca="1" si="235"/>
        <v>1.0047479662026486</v>
      </c>
      <c r="BT22" s="363">
        <f t="shared" ca="1" si="235"/>
        <v>1.0641168729417647</v>
      </c>
      <c r="BU22" s="363">
        <f t="shared" ca="1" si="235"/>
        <v>1.0587013818145803</v>
      </c>
      <c r="BV22" s="363">
        <f t="shared" ca="1" si="235"/>
        <v>1.0861859062542887</v>
      </c>
      <c r="BW22" s="363">
        <f t="shared" ca="1" si="235"/>
        <v>0.94869164580942456</v>
      </c>
      <c r="BX22" s="363">
        <f t="shared" ca="1" si="235"/>
        <v>1.079052604551783</v>
      </c>
      <c r="BY22" s="363">
        <f t="shared" ca="1" si="235"/>
        <v>1.0115105123443058</v>
      </c>
      <c r="BZ22" s="363">
        <f t="shared" ref="BZ22:DH22" ca="1" si="236">_xlfn.LOGNORM.INV(RAND(),$I$22,$J$22)</f>
        <v>0.98604214167115922</v>
      </c>
      <c r="CA22" s="363">
        <f t="shared" ca="1" si="236"/>
        <v>0.96928123288704826</v>
      </c>
      <c r="CB22" s="363">
        <f t="shared" ca="1" si="236"/>
        <v>0.9762142121112718</v>
      </c>
      <c r="CC22" s="363">
        <f t="shared" ca="1" si="236"/>
        <v>1.0578629136760751</v>
      </c>
      <c r="CD22" s="363">
        <f t="shared" ca="1" si="236"/>
        <v>1.0538599204916643</v>
      </c>
      <c r="CE22" s="363">
        <f t="shared" ca="1" si="236"/>
        <v>1.0272147496365402</v>
      </c>
      <c r="CF22" s="363">
        <f t="shared" ca="1" si="236"/>
        <v>0.941076564950168</v>
      </c>
      <c r="CG22" s="363">
        <f t="shared" ca="1" si="236"/>
        <v>1.0614852705748532</v>
      </c>
      <c r="CH22" s="363">
        <f t="shared" ca="1" si="236"/>
        <v>1.1134458453954008</v>
      </c>
      <c r="CI22" s="363">
        <f t="shared" ca="1" si="236"/>
        <v>1.0170347280345806</v>
      </c>
      <c r="CJ22" s="363">
        <f t="shared" ca="1" si="236"/>
        <v>1.1120640817875882</v>
      </c>
      <c r="CK22" s="363">
        <f t="shared" ca="1" si="236"/>
        <v>1.0272044190267124</v>
      </c>
      <c r="CL22" s="363">
        <f t="shared" ca="1" si="236"/>
        <v>0.97274146474592615</v>
      </c>
      <c r="CM22" s="363">
        <f t="shared" ca="1" si="236"/>
        <v>1.0214689772967487</v>
      </c>
      <c r="CN22" s="363">
        <f t="shared" ca="1" si="236"/>
        <v>0.99644873304089709</v>
      </c>
      <c r="CO22" s="363">
        <f t="shared" ca="1" si="236"/>
        <v>1.0685105963159809</v>
      </c>
      <c r="CP22" s="363">
        <f t="shared" ca="1" si="236"/>
        <v>1.0725711223974947</v>
      </c>
      <c r="CQ22" s="363">
        <f t="shared" ca="1" si="236"/>
        <v>1.0549357001153208</v>
      </c>
      <c r="CR22" s="363">
        <f t="shared" ca="1" si="236"/>
        <v>0.99081003216939822</v>
      </c>
      <c r="CS22" s="363">
        <f t="shared" ca="1" si="236"/>
        <v>0.95726166469774432</v>
      </c>
      <c r="CT22" s="363">
        <f t="shared" ca="1" si="236"/>
        <v>1.0564758278937219</v>
      </c>
      <c r="CU22" s="363">
        <f t="shared" ca="1" si="236"/>
        <v>0.97740395436583871</v>
      </c>
      <c r="CV22" s="363">
        <f t="shared" ca="1" si="236"/>
        <v>1.062353095400139</v>
      </c>
      <c r="CW22" s="363">
        <f t="shared" ca="1" si="236"/>
        <v>1.0743299249560332</v>
      </c>
      <c r="CX22" s="363">
        <f t="shared" ca="1" si="236"/>
        <v>1.085815841755265</v>
      </c>
      <c r="CY22" s="363">
        <f t="shared" ca="1" si="236"/>
        <v>0.97371863228240363</v>
      </c>
      <c r="CZ22" s="363">
        <f t="shared" ca="1" si="236"/>
        <v>1.0402723296356413</v>
      </c>
      <c r="DA22" s="363">
        <f t="shared" ca="1" si="236"/>
        <v>1.0387319483455697</v>
      </c>
      <c r="DB22" s="363">
        <f t="shared" ca="1" si="236"/>
        <v>0.98359762120113525</v>
      </c>
      <c r="DC22" s="363">
        <f t="shared" ca="1" si="236"/>
        <v>1.0433630767082793</v>
      </c>
      <c r="DD22" s="363">
        <f t="shared" ca="1" si="236"/>
        <v>1.0856422907074601</v>
      </c>
      <c r="DE22" s="363">
        <f t="shared" ca="1" si="236"/>
        <v>1.0194016861985566</v>
      </c>
      <c r="DF22" s="363">
        <f t="shared" ca="1" si="236"/>
        <v>0.92295900530471198</v>
      </c>
      <c r="DG22" s="363">
        <f t="shared" ca="1" si="236"/>
        <v>1.061871755952859</v>
      </c>
      <c r="DH22" s="363">
        <f t="shared" ca="1" si="236"/>
        <v>1.0511452428209414</v>
      </c>
      <c r="DI22" s="363">
        <f ca="1">_xlfn.LOGNORM.INV(RAND(),$I$22,$J$22)</f>
        <v>1.0352153739359795</v>
      </c>
      <c r="DJ22" s="363">
        <f t="shared" ref="DJ22:FU22" ca="1" si="237">_xlfn.LOGNORM.INV(RAND(),$I$22,$J$22)</f>
        <v>0.95093173948906595</v>
      </c>
      <c r="DK22" s="363">
        <f t="shared" ca="1" si="237"/>
        <v>1.0092963116755636</v>
      </c>
      <c r="DL22" s="363">
        <f t="shared" ca="1" si="237"/>
        <v>1.0263760343717121</v>
      </c>
      <c r="DM22" s="363">
        <f t="shared" ca="1" si="237"/>
        <v>1.0300509135805864</v>
      </c>
      <c r="DN22" s="363">
        <f t="shared" ca="1" si="237"/>
        <v>1.011691812100652</v>
      </c>
      <c r="DO22" s="363">
        <f t="shared" ca="1" si="237"/>
        <v>1.0538769395021488</v>
      </c>
      <c r="DP22" s="363">
        <f t="shared" ca="1" si="237"/>
        <v>1.0310582711703555</v>
      </c>
      <c r="DQ22" s="363">
        <f t="shared" ca="1" si="237"/>
        <v>1.0573508241027456</v>
      </c>
      <c r="DR22" s="363">
        <f t="shared" ca="1" si="237"/>
        <v>1.0184090845446645</v>
      </c>
      <c r="DS22" s="363">
        <f t="shared" ca="1" si="237"/>
        <v>1.0484763839966165</v>
      </c>
      <c r="DT22" s="363">
        <f t="shared" ca="1" si="237"/>
        <v>1.0398652822361494</v>
      </c>
      <c r="DU22" s="363">
        <f t="shared" ca="1" si="237"/>
        <v>1.1120466222203258</v>
      </c>
      <c r="DV22" s="363">
        <f t="shared" ca="1" si="237"/>
        <v>1.1135068058373792</v>
      </c>
      <c r="DW22" s="363">
        <f t="shared" ca="1" si="237"/>
        <v>1.0690184446213462</v>
      </c>
      <c r="DX22" s="363">
        <f t="shared" ca="1" si="237"/>
        <v>1.0145493911239549</v>
      </c>
      <c r="DY22" s="363">
        <f t="shared" ca="1" si="237"/>
        <v>1.1153344917850985</v>
      </c>
      <c r="DZ22" s="363">
        <f t="shared" ca="1" si="237"/>
        <v>1.0400947317506974</v>
      </c>
      <c r="EA22" s="363">
        <f t="shared" ca="1" si="237"/>
        <v>1.0245968362071534</v>
      </c>
      <c r="EB22" s="363">
        <f t="shared" ca="1" si="237"/>
        <v>1.0690481160392915</v>
      </c>
      <c r="EC22" s="363">
        <f t="shared" ca="1" si="237"/>
        <v>1.0360512723691782</v>
      </c>
      <c r="ED22" s="363">
        <f t="shared" ca="1" si="237"/>
        <v>1.0763289964829914</v>
      </c>
      <c r="EE22" s="363">
        <f t="shared" ca="1" si="237"/>
        <v>1.0274561930790969</v>
      </c>
      <c r="EF22" s="363">
        <f t="shared" ca="1" si="237"/>
        <v>1.0472585998981088</v>
      </c>
      <c r="EG22" s="363">
        <f t="shared" ca="1" si="237"/>
        <v>1.1056115657664187</v>
      </c>
      <c r="EH22" s="363">
        <f t="shared" ca="1" si="237"/>
        <v>1.0508901803126127</v>
      </c>
      <c r="EI22" s="363">
        <f t="shared" ca="1" si="237"/>
        <v>1.0248090479850684</v>
      </c>
      <c r="EJ22" s="363">
        <f t="shared" ca="1" si="237"/>
        <v>0.97210908062544321</v>
      </c>
      <c r="EK22" s="363">
        <f t="shared" ca="1" si="237"/>
        <v>1.1681068548140585</v>
      </c>
      <c r="EL22" s="363">
        <f t="shared" ca="1" si="237"/>
        <v>1.1046433192764251</v>
      </c>
      <c r="EM22" s="363">
        <f t="shared" ca="1" si="237"/>
        <v>1.102445973047224</v>
      </c>
      <c r="EN22" s="363">
        <f t="shared" ca="1" si="237"/>
        <v>1.025714794337258</v>
      </c>
      <c r="EO22" s="363">
        <f t="shared" ca="1" si="237"/>
        <v>1.0947380274808711</v>
      </c>
      <c r="EP22" s="363">
        <f t="shared" ca="1" si="237"/>
        <v>1.0663196954220797</v>
      </c>
      <c r="EQ22" s="363">
        <f t="shared" ca="1" si="237"/>
        <v>0.99064022534326712</v>
      </c>
      <c r="ER22" s="363">
        <f t="shared" ca="1" si="237"/>
        <v>1.0604258216762754</v>
      </c>
      <c r="ES22" s="363">
        <f t="shared" ca="1" si="237"/>
        <v>0.99214654052122997</v>
      </c>
      <c r="ET22" s="363">
        <f t="shared" ca="1" si="237"/>
        <v>0.97611466055345442</v>
      </c>
      <c r="EU22" s="363">
        <f t="shared" ca="1" si="237"/>
        <v>1.0272327341976459</v>
      </c>
      <c r="EV22" s="363">
        <f t="shared" ca="1" si="237"/>
        <v>1.039255778330223</v>
      </c>
      <c r="EW22" s="363">
        <f t="shared" ca="1" si="237"/>
        <v>0.99707962600964728</v>
      </c>
      <c r="EX22" s="363">
        <f t="shared" ca="1" si="237"/>
        <v>1.0700702318134012</v>
      </c>
      <c r="EY22" s="363">
        <f t="shared" ca="1" si="237"/>
        <v>1.072793553115839</v>
      </c>
      <c r="EZ22" s="363">
        <f t="shared" ca="1" si="237"/>
        <v>1.0912984508377328</v>
      </c>
      <c r="FA22" s="363">
        <f t="shared" ca="1" si="237"/>
        <v>1.059274639945309</v>
      </c>
      <c r="FB22" s="363">
        <f t="shared" ca="1" si="237"/>
        <v>1.0621306908581816</v>
      </c>
      <c r="FC22" s="363">
        <f t="shared" ca="1" si="237"/>
        <v>1.0332793354594663</v>
      </c>
      <c r="FD22" s="363">
        <f t="shared" ca="1" si="237"/>
        <v>0.99607189749588154</v>
      </c>
      <c r="FE22" s="363">
        <f t="shared" ca="1" si="237"/>
        <v>0.98091386522819124</v>
      </c>
      <c r="FF22" s="363">
        <f t="shared" ca="1" si="237"/>
        <v>1.0162917944974346</v>
      </c>
      <c r="FG22" s="363">
        <f t="shared" ca="1" si="237"/>
        <v>1.0709945667344718</v>
      </c>
      <c r="FH22" s="363">
        <f t="shared" ca="1" si="237"/>
        <v>1.0558801873018051</v>
      </c>
      <c r="FI22" s="363">
        <f t="shared" ca="1" si="237"/>
        <v>1.0938933208094255</v>
      </c>
      <c r="FJ22" s="363">
        <f t="shared" ca="1" si="237"/>
        <v>0.97293877179196486</v>
      </c>
      <c r="FK22" s="363">
        <f t="shared" ca="1" si="237"/>
        <v>1.0484951296944984</v>
      </c>
      <c r="FL22" s="363">
        <f t="shared" ca="1" si="237"/>
        <v>1.0045024043128192</v>
      </c>
      <c r="FM22" s="363">
        <f t="shared" ca="1" si="237"/>
        <v>1.0837118425474219</v>
      </c>
      <c r="FN22" s="363">
        <f t="shared" ca="1" si="237"/>
        <v>1.0741530901166569</v>
      </c>
      <c r="FO22" s="363">
        <f t="shared" ca="1" si="237"/>
        <v>1.0531832414811497</v>
      </c>
      <c r="FP22" s="363">
        <f t="shared" ca="1" si="237"/>
        <v>0.93875558640388168</v>
      </c>
      <c r="FQ22" s="363">
        <f t="shared" ca="1" si="237"/>
        <v>1.1400325562600857</v>
      </c>
      <c r="FR22" s="363">
        <f t="shared" ca="1" si="237"/>
        <v>1.0516613683962985</v>
      </c>
      <c r="FS22" s="363">
        <f t="shared" ca="1" si="237"/>
        <v>0.99174295190949424</v>
      </c>
      <c r="FT22" s="363">
        <f t="shared" ca="1" si="237"/>
        <v>1.1433824831339074</v>
      </c>
      <c r="FU22" s="363">
        <f t="shared" ca="1" si="237"/>
        <v>1.1303665663557909</v>
      </c>
      <c r="FV22" s="363">
        <f t="shared" ref="FV22:HD22" ca="1" si="238">_xlfn.LOGNORM.INV(RAND(),$I$22,$J$22)</f>
        <v>1.0463979523849551</v>
      </c>
      <c r="FW22" s="363">
        <f t="shared" ca="1" si="238"/>
        <v>1.0061416428811152</v>
      </c>
      <c r="FX22" s="363">
        <f t="shared" ca="1" si="238"/>
        <v>0.99578332366344702</v>
      </c>
      <c r="FY22" s="363">
        <f t="shared" ca="1" si="238"/>
        <v>1.032576774433462</v>
      </c>
      <c r="FZ22" s="363">
        <f t="shared" ca="1" si="238"/>
        <v>1.0153187723877135</v>
      </c>
      <c r="GA22" s="363">
        <f t="shared" ca="1" si="238"/>
        <v>1.1047614508994035</v>
      </c>
      <c r="GB22" s="363">
        <f t="shared" ca="1" si="238"/>
        <v>0.97546483747365365</v>
      </c>
      <c r="GC22" s="363">
        <f t="shared" ca="1" si="238"/>
        <v>1.0570221807310094</v>
      </c>
      <c r="GD22" s="363">
        <f t="shared" ca="1" si="238"/>
        <v>1.0954490424817349</v>
      </c>
      <c r="GE22" s="363">
        <f t="shared" ca="1" si="238"/>
        <v>0.97486983407482009</v>
      </c>
      <c r="GF22" s="363">
        <f t="shared" ca="1" si="238"/>
        <v>0.95104831159195535</v>
      </c>
      <c r="GG22" s="363">
        <f t="shared" ca="1" si="238"/>
        <v>1.0425544881838054</v>
      </c>
      <c r="GH22" s="363">
        <f t="shared" ca="1" si="238"/>
        <v>1.0481427178002503</v>
      </c>
      <c r="GI22" s="363">
        <f t="shared" ca="1" si="238"/>
        <v>0.97968151247712354</v>
      </c>
      <c r="GJ22" s="363">
        <f t="shared" ca="1" si="238"/>
        <v>0.97187077853503645</v>
      </c>
      <c r="GK22" s="363">
        <f t="shared" ca="1" si="238"/>
        <v>1.0200284840692055</v>
      </c>
      <c r="GL22" s="363">
        <f t="shared" ca="1" si="238"/>
        <v>0.96677027420695516</v>
      </c>
      <c r="GM22" s="363">
        <f t="shared" ca="1" si="238"/>
        <v>1.009463574190222</v>
      </c>
      <c r="GN22" s="363">
        <f t="shared" ca="1" si="238"/>
        <v>0.94267939861573025</v>
      </c>
      <c r="GO22" s="363">
        <f t="shared" ca="1" si="238"/>
        <v>1.0392854080788101</v>
      </c>
      <c r="GP22" s="363">
        <f t="shared" ca="1" si="238"/>
        <v>1.0827583055139187</v>
      </c>
      <c r="GQ22" s="363">
        <f t="shared" ca="1" si="238"/>
        <v>1.0932587727015219</v>
      </c>
      <c r="GR22" s="363">
        <f t="shared" ca="1" si="238"/>
        <v>1.0709310708479107</v>
      </c>
      <c r="GS22" s="363">
        <f t="shared" ca="1" si="238"/>
        <v>0.94669665055643482</v>
      </c>
      <c r="GT22" s="363">
        <f t="shared" ca="1" si="238"/>
        <v>1.0553527305681181</v>
      </c>
      <c r="GU22" s="363">
        <f t="shared" ca="1" si="238"/>
        <v>1.0581197859017093</v>
      </c>
      <c r="GV22" s="363">
        <f t="shared" ca="1" si="238"/>
        <v>1.092700343365824</v>
      </c>
      <c r="GW22" s="363">
        <f t="shared" ca="1" si="238"/>
        <v>1.0052160245496349</v>
      </c>
      <c r="GX22" s="363">
        <f t="shared" ca="1" si="238"/>
        <v>1.0390334148774438</v>
      </c>
      <c r="GY22" s="363">
        <f t="shared" ca="1" si="238"/>
        <v>0.99815021724688457</v>
      </c>
      <c r="GZ22" s="363">
        <f t="shared" ca="1" si="238"/>
        <v>1.0972112371946094</v>
      </c>
      <c r="HA22" s="363">
        <f t="shared" ca="1" si="238"/>
        <v>1.0433820609666304</v>
      </c>
      <c r="HB22" s="363">
        <f t="shared" ca="1" si="238"/>
        <v>0.96441682141419538</v>
      </c>
      <c r="HC22" s="363">
        <f t="shared" ca="1" si="238"/>
        <v>1.0108778262973446</v>
      </c>
      <c r="HD22" s="363">
        <f t="shared" ca="1" si="238"/>
        <v>1.0405360032219781</v>
      </c>
      <c r="HE22" s="363">
        <f ca="1">_xlfn.LOGNORM.INV(RAND(),$I$22,$J$22)</f>
        <v>1.0726455325156616</v>
      </c>
      <c r="HF22" s="363">
        <f t="shared" ref="HF22:JQ22" ca="1" si="239">_xlfn.LOGNORM.INV(RAND(),$I$22,$J$22)</f>
        <v>1.071418533315966</v>
      </c>
      <c r="HG22" s="363">
        <f t="shared" ca="1" si="239"/>
        <v>1.0648244006318599</v>
      </c>
      <c r="HH22" s="363">
        <f t="shared" ca="1" si="239"/>
        <v>1.1183909878640876</v>
      </c>
      <c r="HI22" s="363">
        <f t="shared" ca="1" si="239"/>
        <v>1.0461171674814034</v>
      </c>
      <c r="HJ22" s="363">
        <f t="shared" ca="1" si="239"/>
        <v>1.0443328661453857</v>
      </c>
      <c r="HK22" s="363">
        <f t="shared" ca="1" si="239"/>
        <v>1.0444403277166003</v>
      </c>
      <c r="HL22" s="363">
        <f t="shared" ca="1" si="239"/>
        <v>1.0498132847513473</v>
      </c>
      <c r="HM22" s="363">
        <f t="shared" ca="1" si="239"/>
        <v>1.0558056909820761</v>
      </c>
      <c r="HN22" s="363">
        <f t="shared" ca="1" si="239"/>
        <v>1.0173942204377675</v>
      </c>
      <c r="HO22" s="363">
        <f t="shared" ca="1" si="239"/>
        <v>1.0850897005965277</v>
      </c>
      <c r="HP22" s="363">
        <f t="shared" ca="1" si="239"/>
        <v>1.1003178185472458</v>
      </c>
      <c r="HQ22" s="363">
        <f t="shared" ca="1" si="239"/>
        <v>1.1368346076212434</v>
      </c>
      <c r="HR22" s="363">
        <f t="shared" ca="1" si="239"/>
        <v>1.1102676275319896</v>
      </c>
      <c r="HS22" s="363">
        <f t="shared" ca="1" si="239"/>
        <v>1.0713399757849971</v>
      </c>
      <c r="HT22" s="363">
        <f t="shared" ca="1" si="239"/>
        <v>1.0123543607910928</v>
      </c>
      <c r="HU22" s="363">
        <f t="shared" ca="1" si="239"/>
        <v>1.1093186166206424</v>
      </c>
      <c r="HV22" s="363">
        <f t="shared" ca="1" si="239"/>
        <v>1.0258744090715142</v>
      </c>
      <c r="HW22" s="363">
        <f t="shared" ca="1" si="239"/>
        <v>0.99800226223540123</v>
      </c>
      <c r="HX22" s="363">
        <f t="shared" ca="1" si="239"/>
        <v>1.0020629670744692</v>
      </c>
      <c r="HY22" s="363">
        <f t="shared" ca="1" si="239"/>
        <v>1.0362583151830393</v>
      </c>
      <c r="HZ22" s="363">
        <f t="shared" ca="1" si="239"/>
        <v>1.0319019427162257</v>
      </c>
      <c r="IA22" s="363">
        <f t="shared" ca="1" si="239"/>
        <v>1.0535992657830675</v>
      </c>
      <c r="IB22" s="363">
        <f t="shared" ca="1" si="239"/>
        <v>1.0462420117973856</v>
      </c>
      <c r="IC22" s="363">
        <f t="shared" ca="1" si="239"/>
        <v>1.0735182275412487</v>
      </c>
      <c r="ID22" s="363">
        <f t="shared" ca="1" si="239"/>
        <v>1.0342412893703059</v>
      </c>
      <c r="IE22" s="363">
        <f t="shared" ca="1" si="239"/>
        <v>1.0413434903752361</v>
      </c>
      <c r="IF22" s="363">
        <f t="shared" ca="1" si="239"/>
        <v>1.089249906044101</v>
      </c>
      <c r="IG22" s="363">
        <f t="shared" ca="1" si="239"/>
        <v>0.99982033132904724</v>
      </c>
      <c r="IH22" s="363">
        <f t="shared" ca="1" si="239"/>
        <v>0.99353691121872201</v>
      </c>
      <c r="II22" s="363">
        <f t="shared" ca="1" si="239"/>
        <v>1.0603152614319646</v>
      </c>
      <c r="IJ22" s="363">
        <f t="shared" ca="1" si="239"/>
        <v>1.1457257958785521</v>
      </c>
      <c r="IK22" s="363">
        <f t="shared" ca="1" si="239"/>
        <v>1.0875457458134636</v>
      </c>
      <c r="IL22" s="363">
        <f t="shared" ca="1" si="239"/>
        <v>1.0943754139242354</v>
      </c>
      <c r="IM22" s="363">
        <f t="shared" ca="1" si="239"/>
        <v>1.0262851383515725</v>
      </c>
      <c r="IN22" s="363">
        <f t="shared" ca="1" si="239"/>
        <v>1.0709662358890504</v>
      </c>
      <c r="IO22" s="363">
        <f t="shared" ca="1" si="239"/>
        <v>1.0872886111849847</v>
      </c>
      <c r="IP22" s="363">
        <f t="shared" ca="1" si="239"/>
        <v>1.0494016290772794</v>
      </c>
      <c r="IQ22" s="363">
        <f t="shared" ca="1" si="239"/>
        <v>1.0898653706122188</v>
      </c>
      <c r="IR22" s="363">
        <f t="shared" ca="1" si="239"/>
        <v>1.0171442504181514</v>
      </c>
      <c r="IS22" s="363">
        <f t="shared" ca="1" si="239"/>
        <v>0.9142069341247665</v>
      </c>
      <c r="IT22" s="363">
        <f t="shared" ca="1" si="239"/>
        <v>1.0971240855773357</v>
      </c>
      <c r="IU22" s="363">
        <f t="shared" ca="1" si="239"/>
        <v>1.106966325490663</v>
      </c>
      <c r="IV22" s="363">
        <f t="shared" ca="1" si="239"/>
        <v>1.047941085721217</v>
      </c>
      <c r="IW22" s="363">
        <f t="shared" ca="1" si="239"/>
        <v>1.0135173913597602</v>
      </c>
      <c r="IX22" s="363">
        <f t="shared" ca="1" si="239"/>
        <v>1.0919806874974192</v>
      </c>
      <c r="IY22" s="363">
        <f t="shared" ca="1" si="239"/>
        <v>1.1478414261939456</v>
      </c>
      <c r="IZ22" s="363">
        <f t="shared" ca="1" si="239"/>
        <v>1.0175358776350851</v>
      </c>
      <c r="JA22" s="363">
        <f t="shared" ca="1" si="239"/>
        <v>1.0308260621258221</v>
      </c>
      <c r="JB22" s="363">
        <f t="shared" ca="1" si="239"/>
        <v>1.0203756769018415</v>
      </c>
      <c r="JC22" s="363">
        <f t="shared" ca="1" si="239"/>
        <v>1.0650633088284298</v>
      </c>
      <c r="JD22" s="363">
        <f t="shared" ca="1" si="239"/>
        <v>1.0140986665273934</v>
      </c>
      <c r="JE22" s="363">
        <f t="shared" ca="1" si="239"/>
        <v>1.0525949469814324</v>
      </c>
      <c r="JF22" s="363">
        <f t="shared" ca="1" si="239"/>
        <v>1.1040401571145111</v>
      </c>
      <c r="JG22" s="363">
        <f t="shared" ca="1" si="239"/>
        <v>1.0590597888443298</v>
      </c>
      <c r="JH22" s="363">
        <f t="shared" ca="1" si="239"/>
        <v>1.2374685168218933</v>
      </c>
      <c r="JI22" s="363">
        <f t="shared" ca="1" si="239"/>
        <v>1.0954735397725492</v>
      </c>
      <c r="JJ22" s="363">
        <f t="shared" ca="1" si="239"/>
        <v>0.99193149403162406</v>
      </c>
      <c r="JK22" s="363">
        <f t="shared" ca="1" si="239"/>
        <v>1.0518561403316971</v>
      </c>
      <c r="JL22" s="363">
        <f t="shared" ca="1" si="239"/>
        <v>1.0521644953151161</v>
      </c>
      <c r="JM22" s="363">
        <f t="shared" ca="1" si="239"/>
        <v>1.0687099036186909</v>
      </c>
      <c r="JN22" s="363">
        <f t="shared" ca="1" si="239"/>
        <v>0.96253724429588261</v>
      </c>
      <c r="JO22" s="363">
        <f t="shared" ca="1" si="239"/>
        <v>1.0003342740220567</v>
      </c>
      <c r="JP22" s="363">
        <f t="shared" ca="1" si="239"/>
        <v>1.0516610408954299</v>
      </c>
      <c r="JQ22" s="363">
        <f t="shared" ca="1" si="239"/>
        <v>1.108394077479613</v>
      </c>
      <c r="JR22" s="363">
        <f t="shared" ref="JR22:KZ22" ca="1" si="240">_xlfn.LOGNORM.INV(RAND(),$I$22,$J$22)</f>
        <v>1.0754278245765578</v>
      </c>
      <c r="JS22" s="363">
        <f t="shared" ca="1" si="240"/>
        <v>1.0276970598159367</v>
      </c>
      <c r="JT22" s="363">
        <f t="shared" ca="1" si="240"/>
        <v>1.0469819746687794</v>
      </c>
      <c r="JU22" s="363">
        <f t="shared" ca="1" si="240"/>
        <v>1.0733837287394459</v>
      </c>
      <c r="JV22" s="363">
        <f t="shared" ca="1" si="240"/>
        <v>1.0112454716652943</v>
      </c>
      <c r="JW22" s="363">
        <f t="shared" ca="1" si="240"/>
        <v>1.0974182340502352</v>
      </c>
      <c r="JX22" s="363">
        <f t="shared" ca="1" si="240"/>
        <v>1.0790387603456282</v>
      </c>
      <c r="JY22" s="363">
        <f t="shared" ca="1" si="240"/>
        <v>0.98803682559564032</v>
      </c>
      <c r="JZ22" s="363">
        <f t="shared" ca="1" si="240"/>
        <v>1.1268346515295746</v>
      </c>
      <c r="KA22" s="363">
        <f t="shared" ca="1" si="240"/>
        <v>1.059774749036775</v>
      </c>
      <c r="KB22" s="363">
        <f t="shared" ca="1" si="240"/>
        <v>1.0755645292437874</v>
      </c>
      <c r="KC22" s="363">
        <f t="shared" ca="1" si="240"/>
        <v>1.029559955003047</v>
      </c>
      <c r="KD22" s="363">
        <f t="shared" ca="1" si="240"/>
        <v>1.0830361623523543</v>
      </c>
      <c r="KE22" s="363">
        <f t="shared" ca="1" si="240"/>
        <v>1.0024951481709878</v>
      </c>
      <c r="KF22" s="363">
        <f t="shared" ca="1" si="240"/>
        <v>1.0345120612510976</v>
      </c>
      <c r="KG22" s="363">
        <f t="shared" ca="1" si="240"/>
        <v>0.97072808009935729</v>
      </c>
      <c r="KH22" s="363">
        <f t="shared" ca="1" si="240"/>
        <v>0.99042405926605703</v>
      </c>
      <c r="KI22" s="363">
        <f t="shared" ca="1" si="240"/>
        <v>1.0857226912353419</v>
      </c>
      <c r="KJ22" s="363">
        <f t="shared" ca="1" si="240"/>
        <v>1.0667740192983957</v>
      </c>
      <c r="KK22" s="363">
        <f t="shared" ca="1" si="240"/>
        <v>1.0563627082296128</v>
      </c>
      <c r="KL22" s="363">
        <f t="shared" ca="1" si="240"/>
        <v>1.069349416077541</v>
      </c>
      <c r="KM22" s="363">
        <f t="shared" ca="1" si="240"/>
        <v>1.0537648000443514</v>
      </c>
      <c r="KN22" s="363">
        <f t="shared" ca="1" si="240"/>
        <v>1.0905418181526283</v>
      </c>
      <c r="KO22" s="363">
        <f t="shared" ca="1" si="240"/>
        <v>1.0418769647614081</v>
      </c>
      <c r="KP22" s="363">
        <f t="shared" ca="1" si="240"/>
        <v>1.0221920818968171</v>
      </c>
      <c r="KQ22" s="363">
        <f t="shared" ca="1" si="240"/>
        <v>1.0534152316631216</v>
      </c>
      <c r="KR22" s="363">
        <f t="shared" ca="1" si="240"/>
        <v>1.0422510071652435</v>
      </c>
      <c r="KS22" s="363">
        <f t="shared" ca="1" si="240"/>
        <v>1.0420290940343695</v>
      </c>
      <c r="KT22" s="363">
        <f t="shared" ca="1" si="240"/>
        <v>1.0686402861565885</v>
      </c>
      <c r="KU22" s="363">
        <f t="shared" ca="1" si="240"/>
        <v>0.99435878295874347</v>
      </c>
      <c r="KV22" s="363">
        <f t="shared" ca="1" si="240"/>
        <v>1.0772425355849873</v>
      </c>
      <c r="KW22" s="363">
        <f t="shared" ca="1" si="240"/>
        <v>1.078248920156345</v>
      </c>
      <c r="KX22" s="363">
        <f t="shared" ca="1" si="240"/>
        <v>1.0856870741250748</v>
      </c>
      <c r="KY22" s="363">
        <f t="shared" ca="1" si="240"/>
        <v>1.0420487138399119</v>
      </c>
      <c r="KZ22" s="363">
        <f t="shared" ca="1" si="240"/>
        <v>1.0270494359935387</v>
      </c>
      <c r="LA22" s="363">
        <f ca="1">_xlfn.LOGNORM.INV(RAND(),$I$22,$J$22)</f>
        <v>1.0190551233695662</v>
      </c>
      <c r="LB22" s="363">
        <f t="shared" ref="LB22:NM22" ca="1" si="241">_xlfn.LOGNORM.INV(RAND(),$I$22,$J$22)</f>
        <v>1.0286981869930341</v>
      </c>
      <c r="LC22" s="363">
        <f t="shared" ca="1" si="241"/>
        <v>1.0530006389300754</v>
      </c>
      <c r="LD22" s="363">
        <f t="shared" ca="1" si="241"/>
        <v>1.0542956194688093</v>
      </c>
      <c r="LE22" s="363">
        <f t="shared" ca="1" si="241"/>
        <v>0.98697162228317203</v>
      </c>
      <c r="LF22" s="363">
        <f t="shared" ca="1" si="241"/>
        <v>0.96990906246585906</v>
      </c>
      <c r="LG22" s="363">
        <f t="shared" ca="1" si="241"/>
        <v>0.97678581437031664</v>
      </c>
      <c r="LH22" s="363">
        <f t="shared" ca="1" si="241"/>
        <v>1.0077822033789448</v>
      </c>
      <c r="LI22" s="363">
        <f t="shared" ca="1" si="241"/>
        <v>1.0680527574646028</v>
      </c>
      <c r="LJ22" s="363">
        <f t="shared" ca="1" si="241"/>
        <v>0.98705750064162123</v>
      </c>
      <c r="LK22" s="363">
        <f t="shared" ca="1" si="241"/>
        <v>1.0566633516356887</v>
      </c>
      <c r="LL22" s="363">
        <f t="shared" ca="1" si="241"/>
        <v>1.0110471461941735</v>
      </c>
      <c r="LM22" s="363">
        <f t="shared" ca="1" si="241"/>
        <v>1.097856067279507</v>
      </c>
      <c r="LN22" s="363">
        <f t="shared" ca="1" si="241"/>
        <v>1.0479790198012806</v>
      </c>
      <c r="LO22" s="363">
        <f t="shared" ca="1" si="241"/>
        <v>1.0355995680805072</v>
      </c>
      <c r="LP22" s="363">
        <f t="shared" ca="1" si="241"/>
        <v>1.0094728896520664</v>
      </c>
      <c r="LQ22" s="363">
        <f t="shared" ca="1" si="241"/>
        <v>0.99367853868666067</v>
      </c>
      <c r="LR22" s="363">
        <f t="shared" ca="1" si="241"/>
        <v>1.0888539091386429</v>
      </c>
      <c r="LS22" s="363">
        <f t="shared" ca="1" si="241"/>
        <v>0.99879860409969257</v>
      </c>
      <c r="LT22" s="363">
        <f t="shared" ca="1" si="241"/>
        <v>1.0221997618034389</v>
      </c>
      <c r="LU22" s="363">
        <f t="shared" ca="1" si="241"/>
        <v>0.9881420978438018</v>
      </c>
      <c r="LV22" s="363">
        <f t="shared" ca="1" si="241"/>
        <v>1.0915600858253087</v>
      </c>
      <c r="LW22" s="363">
        <f t="shared" ca="1" si="241"/>
        <v>1.008225219041496</v>
      </c>
      <c r="LX22" s="363">
        <f t="shared" ca="1" si="241"/>
        <v>1.0737457368322432</v>
      </c>
      <c r="LY22" s="363">
        <f t="shared" ca="1" si="241"/>
        <v>1.0108916635107907</v>
      </c>
      <c r="LZ22" s="363">
        <f t="shared" ca="1" si="241"/>
        <v>1.0057157839713495</v>
      </c>
      <c r="MA22" s="363">
        <f t="shared" ca="1" si="241"/>
        <v>0.98324937495546283</v>
      </c>
      <c r="MB22" s="363">
        <f t="shared" ca="1" si="241"/>
        <v>1.0154247411116455</v>
      </c>
      <c r="MC22" s="363">
        <f t="shared" ca="1" si="241"/>
        <v>1.0275250795843431</v>
      </c>
      <c r="MD22" s="363">
        <f t="shared" ca="1" si="241"/>
        <v>1.0310276876157218</v>
      </c>
      <c r="ME22" s="363">
        <f t="shared" ca="1" si="241"/>
        <v>1.0022168260924214</v>
      </c>
      <c r="MF22" s="363">
        <f t="shared" ca="1" si="241"/>
        <v>1.0104303617917567</v>
      </c>
      <c r="MG22" s="363">
        <f t="shared" ca="1" si="241"/>
        <v>1.0697726216200005</v>
      </c>
      <c r="MH22" s="363">
        <f t="shared" ca="1" si="241"/>
        <v>0.98149013121065465</v>
      </c>
      <c r="MI22" s="363">
        <f t="shared" ca="1" si="241"/>
        <v>1.0731696772190007</v>
      </c>
      <c r="MJ22" s="363">
        <f t="shared" ca="1" si="241"/>
        <v>1.1141622307840262</v>
      </c>
      <c r="MK22" s="363">
        <f t="shared" ca="1" si="241"/>
        <v>1.0135075008565435</v>
      </c>
      <c r="ML22" s="363">
        <f t="shared" ca="1" si="241"/>
        <v>1.1172715554443875</v>
      </c>
      <c r="MM22" s="363">
        <f t="shared" ca="1" si="241"/>
        <v>0.98911463643631548</v>
      </c>
      <c r="MN22" s="363">
        <f t="shared" ca="1" si="241"/>
        <v>1.0173066184524191</v>
      </c>
      <c r="MO22" s="363">
        <f t="shared" ca="1" si="241"/>
        <v>1.0102791934521254</v>
      </c>
      <c r="MP22" s="363">
        <f t="shared" ca="1" si="241"/>
        <v>1.0202567152847435</v>
      </c>
      <c r="MQ22" s="363">
        <f t="shared" ca="1" si="241"/>
        <v>0.96552551508850526</v>
      </c>
      <c r="MR22" s="363">
        <f t="shared" ca="1" si="241"/>
        <v>1.029310511117467</v>
      </c>
      <c r="MS22" s="363">
        <f t="shared" ca="1" si="241"/>
        <v>1.0672946725673791</v>
      </c>
      <c r="MT22" s="363">
        <f t="shared" ca="1" si="241"/>
        <v>1.0014019101631824</v>
      </c>
      <c r="MU22" s="363">
        <f t="shared" ca="1" si="241"/>
        <v>1.0684796668883041</v>
      </c>
      <c r="MV22" s="363">
        <f t="shared" ca="1" si="241"/>
        <v>1.0719518518765629</v>
      </c>
      <c r="MW22" s="363">
        <f t="shared" ca="1" si="241"/>
        <v>1.1234735464455399</v>
      </c>
      <c r="MX22" s="363">
        <f t="shared" ca="1" si="241"/>
        <v>1.0033442974173061</v>
      </c>
      <c r="MY22" s="363">
        <f t="shared" ca="1" si="241"/>
        <v>1.0256715890321206</v>
      </c>
      <c r="MZ22" s="363">
        <f t="shared" ca="1" si="241"/>
        <v>1.0095094943068919</v>
      </c>
      <c r="NA22" s="363">
        <f t="shared" ca="1" si="241"/>
        <v>1.1247308264792184</v>
      </c>
      <c r="NB22" s="363">
        <f t="shared" ca="1" si="241"/>
        <v>0.97562410373781661</v>
      </c>
      <c r="NC22" s="363">
        <f t="shared" ca="1" si="241"/>
        <v>1.0105204381031716</v>
      </c>
      <c r="ND22" s="363">
        <f t="shared" ca="1" si="241"/>
        <v>1.0511583532902082</v>
      </c>
      <c r="NE22" s="363">
        <f t="shared" ca="1" si="241"/>
        <v>1.0709397606529347</v>
      </c>
      <c r="NF22" s="363">
        <f t="shared" ca="1" si="241"/>
        <v>1.0067724225558226</v>
      </c>
      <c r="NG22" s="363">
        <f t="shared" ca="1" si="241"/>
        <v>1.0461288595097793</v>
      </c>
      <c r="NH22" s="363">
        <f t="shared" ca="1" si="241"/>
        <v>1.0314078602733203</v>
      </c>
      <c r="NI22" s="363">
        <f t="shared" ca="1" si="241"/>
        <v>1.0595962406258268</v>
      </c>
      <c r="NJ22" s="363">
        <f t="shared" ca="1" si="241"/>
        <v>1.0674751642599423</v>
      </c>
      <c r="NK22" s="363">
        <f t="shared" ca="1" si="241"/>
        <v>1.0112113436712389</v>
      </c>
      <c r="NL22" s="363">
        <f t="shared" ca="1" si="241"/>
        <v>1.0858891808933273</v>
      </c>
      <c r="NM22" s="363">
        <f t="shared" ca="1" si="241"/>
        <v>1.0741054656955824</v>
      </c>
      <c r="NN22" s="363">
        <f t="shared" ref="NN22:OV22" ca="1" si="242">_xlfn.LOGNORM.INV(RAND(),$I$22,$J$22)</f>
        <v>1.0380920392301456</v>
      </c>
      <c r="NO22" s="363">
        <f t="shared" ca="1" si="242"/>
        <v>1.0963886417566018</v>
      </c>
      <c r="NP22" s="363">
        <f t="shared" ca="1" si="242"/>
        <v>1.0830645741803024</v>
      </c>
      <c r="NQ22" s="363">
        <f t="shared" ca="1" si="242"/>
        <v>1.0519370149568803</v>
      </c>
      <c r="NR22" s="363">
        <f t="shared" ca="1" si="242"/>
        <v>1.0175165108278434</v>
      </c>
      <c r="NS22" s="363">
        <f t="shared" ca="1" si="242"/>
        <v>1.0365559184839901</v>
      </c>
      <c r="NT22" s="363">
        <f t="shared" ca="1" si="242"/>
        <v>0.95370513014577296</v>
      </c>
      <c r="NU22" s="363">
        <f t="shared" ca="1" si="242"/>
        <v>1.1270815433695889</v>
      </c>
      <c r="NV22" s="363">
        <f t="shared" ca="1" si="242"/>
        <v>1.1403586237876555</v>
      </c>
      <c r="NW22" s="363">
        <f t="shared" ca="1" si="242"/>
        <v>1.0873053256624252</v>
      </c>
      <c r="NX22" s="363">
        <f t="shared" ca="1" si="242"/>
        <v>1.0367811429157912</v>
      </c>
      <c r="NY22" s="363">
        <f t="shared" ca="1" si="242"/>
        <v>1.1376375712302416</v>
      </c>
      <c r="NZ22" s="363">
        <f t="shared" ca="1" si="242"/>
        <v>1.0155388774440353</v>
      </c>
      <c r="OA22" s="363">
        <f t="shared" ca="1" si="242"/>
        <v>1.0154839735098438</v>
      </c>
      <c r="OB22" s="363">
        <f t="shared" ca="1" si="242"/>
        <v>1.0350505295838306</v>
      </c>
      <c r="OC22" s="363">
        <f t="shared" ca="1" si="242"/>
        <v>0.97050551945273744</v>
      </c>
      <c r="OD22" s="363">
        <f t="shared" ca="1" si="242"/>
        <v>1.0363323167342324</v>
      </c>
      <c r="OE22" s="363">
        <f t="shared" ca="1" si="242"/>
        <v>1.0839877945384284</v>
      </c>
      <c r="OF22" s="363">
        <f t="shared" ca="1" si="242"/>
        <v>1.039319613691188</v>
      </c>
      <c r="OG22" s="363">
        <f t="shared" ca="1" si="242"/>
        <v>0.97414129229998603</v>
      </c>
      <c r="OH22" s="363">
        <f t="shared" ca="1" si="242"/>
        <v>1.0717220609351503</v>
      </c>
      <c r="OI22" s="363">
        <f t="shared" ca="1" si="242"/>
        <v>1.0822810186956933</v>
      </c>
      <c r="OJ22" s="363">
        <f t="shared" ca="1" si="242"/>
        <v>0.96798350393716648</v>
      </c>
      <c r="OK22" s="363">
        <f t="shared" ca="1" si="242"/>
        <v>1.0293694427460769</v>
      </c>
      <c r="OL22" s="363">
        <f t="shared" ca="1" si="242"/>
        <v>1.0364916981913466</v>
      </c>
      <c r="OM22" s="363">
        <f t="shared" ca="1" si="242"/>
        <v>0.97726661091644695</v>
      </c>
      <c r="ON22" s="363">
        <f t="shared" ca="1" si="242"/>
        <v>1.0104986869956054</v>
      </c>
      <c r="OO22" s="363">
        <f t="shared" ca="1" si="242"/>
        <v>1.1241313718119743</v>
      </c>
      <c r="OP22" s="363">
        <f t="shared" ca="1" si="242"/>
        <v>1.0580369858858736</v>
      </c>
      <c r="OQ22" s="363">
        <f t="shared" ca="1" si="242"/>
        <v>0.97819459830288369</v>
      </c>
      <c r="OR22" s="363">
        <f t="shared" ca="1" si="242"/>
        <v>1.0374562393566189</v>
      </c>
      <c r="OS22" s="363">
        <f t="shared" ca="1" si="242"/>
        <v>1.0756349378200372</v>
      </c>
      <c r="OT22" s="363">
        <f t="shared" ca="1" si="242"/>
        <v>1.0421270885778235</v>
      </c>
      <c r="OU22" s="363">
        <f t="shared" ca="1" si="242"/>
        <v>1.0126388011012724</v>
      </c>
      <c r="OV22" s="363">
        <f t="shared" ca="1" si="242"/>
        <v>1.063536894693409</v>
      </c>
      <c r="OW22" s="363">
        <f ca="1">_xlfn.LOGNORM.INV(RAND(),$I$22,$J$22)</f>
        <v>1.069094221582207</v>
      </c>
      <c r="OX22" s="363">
        <f t="shared" ref="OX22:RI22" ca="1" si="243">_xlfn.LOGNORM.INV(RAND(),$I$22,$J$22)</f>
        <v>1.0950929435042527</v>
      </c>
      <c r="OY22" s="363">
        <f t="shared" ca="1" si="243"/>
        <v>1.0182404401925671</v>
      </c>
      <c r="OZ22" s="363">
        <f t="shared" ca="1" si="243"/>
        <v>1.0243437980166197</v>
      </c>
      <c r="PA22" s="363">
        <f t="shared" ca="1" si="243"/>
        <v>0.98115196600587962</v>
      </c>
      <c r="PB22" s="363">
        <f t="shared" ca="1" si="243"/>
        <v>1.0786044554665386</v>
      </c>
      <c r="PC22" s="363">
        <f t="shared" ca="1" si="243"/>
        <v>1.1017787624702517</v>
      </c>
      <c r="PD22" s="363">
        <f t="shared" ca="1" si="243"/>
        <v>1.1135936663365527</v>
      </c>
      <c r="PE22" s="363">
        <f t="shared" ca="1" si="243"/>
        <v>1.0215656402986779</v>
      </c>
      <c r="PF22" s="363">
        <f t="shared" ca="1" si="243"/>
        <v>1.0866565083053061</v>
      </c>
      <c r="PG22" s="363">
        <f t="shared" ca="1" si="243"/>
        <v>1.015895541389078</v>
      </c>
      <c r="PH22" s="363">
        <f t="shared" ca="1" si="243"/>
        <v>1.0839339571677415</v>
      </c>
      <c r="PI22" s="363">
        <f t="shared" ca="1" si="243"/>
        <v>0.98169734809208187</v>
      </c>
      <c r="PJ22" s="363">
        <f t="shared" ca="1" si="243"/>
        <v>1.0950748938695398</v>
      </c>
      <c r="PK22" s="363">
        <f t="shared" ca="1" si="243"/>
        <v>1.0736044257149493</v>
      </c>
      <c r="PL22" s="363">
        <f t="shared" ca="1" si="243"/>
        <v>1.0071089109672129</v>
      </c>
      <c r="PM22" s="363">
        <f t="shared" ca="1" si="243"/>
        <v>1.0600958565693857</v>
      </c>
      <c r="PN22" s="363">
        <f t="shared" ca="1" si="243"/>
        <v>1.0341454855072314</v>
      </c>
      <c r="PO22" s="363">
        <f t="shared" ca="1" si="243"/>
        <v>1.1555379860694932</v>
      </c>
      <c r="PP22" s="363">
        <f t="shared" ca="1" si="243"/>
        <v>1.0530764009437574</v>
      </c>
      <c r="PQ22" s="363">
        <f t="shared" ca="1" si="243"/>
        <v>1.0589357461836777</v>
      </c>
      <c r="PR22" s="363">
        <f t="shared" ca="1" si="243"/>
        <v>0.93612790496973319</v>
      </c>
      <c r="PS22" s="363">
        <f t="shared" ca="1" si="243"/>
        <v>1.0485822801431059</v>
      </c>
      <c r="PT22" s="363">
        <f t="shared" ca="1" si="243"/>
        <v>1.0210658047337458</v>
      </c>
      <c r="PU22" s="363">
        <f t="shared" ca="1" si="243"/>
        <v>1.0657777752778468</v>
      </c>
      <c r="PV22" s="363">
        <f t="shared" ca="1" si="243"/>
        <v>1.0818528245506311</v>
      </c>
      <c r="PW22" s="363">
        <f t="shared" ca="1" si="243"/>
        <v>1.0280248925324442</v>
      </c>
      <c r="PX22" s="363">
        <f t="shared" ca="1" si="243"/>
        <v>1.0500530113735527</v>
      </c>
      <c r="PY22" s="363">
        <f t="shared" ca="1" si="243"/>
        <v>1.0606484055596277</v>
      </c>
      <c r="PZ22" s="363">
        <f t="shared" ca="1" si="243"/>
        <v>1.0956591164767437</v>
      </c>
      <c r="QA22" s="363">
        <f t="shared" ca="1" si="243"/>
        <v>1.038062911154497</v>
      </c>
      <c r="QB22" s="363">
        <f t="shared" ca="1" si="243"/>
        <v>1.0842273439744643</v>
      </c>
      <c r="QC22" s="363">
        <f t="shared" ca="1" si="243"/>
        <v>1.0053492715918153</v>
      </c>
      <c r="QD22" s="363">
        <f t="shared" ca="1" si="243"/>
        <v>1.0419247373215135</v>
      </c>
      <c r="QE22" s="363">
        <f t="shared" ca="1" si="243"/>
        <v>0.99070834427319732</v>
      </c>
      <c r="QF22" s="363">
        <f t="shared" ca="1" si="243"/>
        <v>0.98475607074476856</v>
      </c>
      <c r="QG22" s="363">
        <f t="shared" ca="1" si="243"/>
        <v>1.036860073575705</v>
      </c>
      <c r="QH22" s="363">
        <f t="shared" ca="1" si="243"/>
        <v>1.009338710058111</v>
      </c>
      <c r="QI22" s="363">
        <f t="shared" ca="1" si="243"/>
        <v>1.0601112449099046</v>
      </c>
      <c r="QJ22" s="363">
        <f t="shared" ca="1" si="243"/>
        <v>0.94372079155509436</v>
      </c>
      <c r="QK22" s="363">
        <f t="shared" ca="1" si="243"/>
        <v>0.97514232559492009</v>
      </c>
      <c r="QL22" s="363">
        <f t="shared" ca="1" si="243"/>
        <v>1.0645089246249408</v>
      </c>
      <c r="QM22" s="363">
        <f t="shared" ca="1" si="243"/>
        <v>1.0591397804939915</v>
      </c>
      <c r="QN22" s="363">
        <f t="shared" ca="1" si="243"/>
        <v>1.0920013610053696</v>
      </c>
      <c r="QO22" s="363">
        <f t="shared" ca="1" si="243"/>
        <v>1.079485253554832</v>
      </c>
      <c r="QP22" s="363">
        <f t="shared" ca="1" si="243"/>
        <v>1.0269925636205637</v>
      </c>
      <c r="QQ22" s="363">
        <f t="shared" ca="1" si="243"/>
        <v>0.95362360803400703</v>
      </c>
      <c r="QR22" s="363">
        <f t="shared" ca="1" si="243"/>
        <v>1.019132822591007</v>
      </c>
      <c r="QS22" s="363">
        <f t="shared" ca="1" si="243"/>
        <v>1.0497921204856933</v>
      </c>
      <c r="QT22" s="363">
        <f t="shared" ca="1" si="243"/>
        <v>1.0688862202608866</v>
      </c>
      <c r="QU22" s="363">
        <f t="shared" ca="1" si="243"/>
        <v>1.0351111571691904</v>
      </c>
      <c r="QV22" s="363">
        <f t="shared" ca="1" si="243"/>
        <v>1.0726590249748968</v>
      </c>
      <c r="QW22" s="363">
        <f t="shared" ca="1" si="243"/>
        <v>1.0558514356351887</v>
      </c>
      <c r="QX22" s="363">
        <f t="shared" ca="1" si="243"/>
        <v>1.0011898333359901</v>
      </c>
      <c r="QY22" s="363">
        <f t="shared" ca="1" si="243"/>
        <v>1.0147348884701151</v>
      </c>
      <c r="QZ22" s="363">
        <f t="shared" ca="1" si="243"/>
        <v>1.0482388231294024</v>
      </c>
      <c r="RA22" s="363">
        <f t="shared" ca="1" si="243"/>
        <v>1.1217953471837947</v>
      </c>
      <c r="RB22" s="363">
        <f t="shared" ca="1" si="243"/>
        <v>1.1049223861708835</v>
      </c>
      <c r="RC22" s="363">
        <f t="shared" ca="1" si="243"/>
        <v>1.0392565836753607</v>
      </c>
      <c r="RD22" s="363">
        <f t="shared" ca="1" si="243"/>
        <v>1.0706595550919433</v>
      </c>
      <c r="RE22" s="363">
        <f t="shared" ca="1" si="243"/>
        <v>0.99738951906627715</v>
      </c>
      <c r="RF22" s="363">
        <f t="shared" ca="1" si="243"/>
        <v>0.92577083894710965</v>
      </c>
      <c r="RG22" s="363">
        <f t="shared" ca="1" si="243"/>
        <v>1.0453393055919329</v>
      </c>
      <c r="RH22" s="363">
        <f t="shared" ca="1" si="243"/>
        <v>1.0084232323211741</v>
      </c>
      <c r="RI22" s="363">
        <f t="shared" ca="1" si="243"/>
        <v>1.0362732450575634</v>
      </c>
      <c r="RJ22" s="363">
        <f t="shared" ref="RJ22:SR22" ca="1" si="244">_xlfn.LOGNORM.INV(RAND(),$I$22,$J$22)</f>
        <v>1.0318322816559109</v>
      </c>
      <c r="RK22" s="363">
        <f t="shared" ca="1" si="244"/>
        <v>1.0619865480022408</v>
      </c>
      <c r="RL22" s="363">
        <f t="shared" ca="1" si="244"/>
        <v>1.0345486613331412</v>
      </c>
      <c r="RM22" s="363">
        <f t="shared" ca="1" si="244"/>
        <v>0.99512350380070047</v>
      </c>
      <c r="RN22" s="363">
        <f t="shared" ca="1" si="244"/>
        <v>1.1103713447498711</v>
      </c>
      <c r="RO22" s="363">
        <f t="shared" ca="1" si="244"/>
        <v>1.0747335940891753</v>
      </c>
      <c r="RP22" s="363">
        <f t="shared" ca="1" si="244"/>
        <v>1.0980971540851299</v>
      </c>
      <c r="RQ22" s="363">
        <f t="shared" ca="1" si="244"/>
        <v>0.98971380236835205</v>
      </c>
      <c r="RR22" s="363">
        <f t="shared" ca="1" si="244"/>
        <v>1.1396360729790154</v>
      </c>
      <c r="RS22" s="363">
        <f t="shared" ca="1" si="244"/>
        <v>1.0688163912948929</v>
      </c>
      <c r="RT22" s="363">
        <f t="shared" ca="1" si="244"/>
        <v>1.0677958044422204</v>
      </c>
      <c r="RU22" s="363">
        <f t="shared" ca="1" si="244"/>
        <v>1.0947350967138076</v>
      </c>
      <c r="RV22" s="363">
        <f t="shared" ca="1" si="244"/>
        <v>1.0745204513725575</v>
      </c>
      <c r="RW22" s="363">
        <f t="shared" ca="1" si="244"/>
        <v>1.0419449486764656</v>
      </c>
      <c r="RX22" s="363">
        <f t="shared" ca="1" si="244"/>
        <v>1.0554070181118607</v>
      </c>
      <c r="RY22" s="363">
        <f t="shared" ca="1" si="244"/>
        <v>1.0036055990343375</v>
      </c>
      <c r="RZ22" s="363">
        <f t="shared" ca="1" si="244"/>
        <v>1.1111789839363724</v>
      </c>
      <c r="SA22" s="363">
        <f t="shared" ca="1" si="244"/>
        <v>1.0315291508290958</v>
      </c>
      <c r="SB22" s="363">
        <f t="shared" ca="1" si="244"/>
        <v>1.0244061125798227</v>
      </c>
      <c r="SC22" s="363">
        <f t="shared" ca="1" si="244"/>
        <v>1.1235778378217913</v>
      </c>
      <c r="SD22" s="363">
        <f t="shared" ca="1" si="244"/>
        <v>0.98191676812204665</v>
      </c>
      <c r="SE22" s="363">
        <f t="shared" ca="1" si="244"/>
        <v>1.0280734755365011</v>
      </c>
      <c r="SF22" s="363">
        <f t="shared" ca="1" si="244"/>
        <v>1.04477438916934</v>
      </c>
      <c r="SG22" s="363">
        <f t="shared" ca="1" si="244"/>
        <v>1.033607097971728</v>
      </c>
      <c r="SH22" s="363">
        <f t="shared" ca="1" si="244"/>
        <v>1.0244045288908572</v>
      </c>
      <c r="SI22" s="363">
        <f t="shared" ca="1" si="244"/>
        <v>1.0123535199000417</v>
      </c>
      <c r="SJ22" s="363">
        <f t="shared" ca="1" si="244"/>
        <v>1.0874515812256325</v>
      </c>
      <c r="SK22" s="363">
        <f t="shared" ca="1" si="244"/>
        <v>0.99017135499323983</v>
      </c>
      <c r="SL22" s="363">
        <f t="shared" ca="1" si="244"/>
        <v>1.0776004772557877</v>
      </c>
      <c r="SM22" s="363">
        <f t="shared" ca="1" si="244"/>
        <v>1.1163029566319931</v>
      </c>
      <c r="SN22" s="363">
        <f t="shared" ca="1" si="244"/>
        <v>1.0434388846961702</v>
      </c>
      <c r="SO22" s="363">
        <f t="shared" ca="1" si="244"/>
        <v>1.0703559117971964</v>
      </c>
      <c r="SP22" s="363">
        <f t="shared" ca="1" si="244"/>
        <v>1.0271477180875361</v>
      </c>
      <c r="SQ22" s="363">
        <f t="shared" ca="1" si="244"/>
        <v>0.98663728245070959</v>
      </c>
      <c r="SR22" s="363">
        <f t="shared" ca="1" si="244"/>
        <v>1.0133633375941486</v>
      </c>
      <c r="SS22" s="363">
        <f ca="1">_xlfn.LOGNORM.INV(RAND(),$I$22,$J$22)</f>
        <v>1.0945373199444679</v>
      </c>
      <c r="ST22" s="363">
        <f t="shared" ref="ST22:VE22" ca="1" si="245">_xlfn.LOGNORM.INV(RAND(),$I$22,$J$22)</f>
        <v>1.0482515635488501</v>
      </c>
      <c r="SU22" s="363">
        <f t="shared" ca="1" si="245"/>
        <v>1.0232681711885918</v>
      </c>
      <c r="SV22" s="363">
        <f t="shared" ca="1" si="245"/>
        <v>1.0982152501822082</v>
      </c>
      <c r="SW22" s="363">
        <f t="shared" ca="1" si="245"/>
        <v>1.0030796136576046</v>
      </c>
      <c r="SX22" s="363">
        <f t="shared" ca="1" si="245"/>
        <v>1.0317623968854732</v>
      </c>
      <c r="SY22" s="363">
        <f t="shared" ca="1" si="245"/>
        <v>1.0002852219904983</v>
      </c>
      <c r="SZ22" s="363">
        <f t="shared" ca="1" si="245"/>
        <v>1.0282340456782031</v>
      </c>
      <c r="TA22" s="363">
        <f t="shared" ca="1" si="245"/>
        <v>1.1160074403727165</v>
      </c>
      <c r="TB22" s="363">
        <f t="shared" ca="1" si="245"/>
        <v>1.0746351971620025</v>
      </c>
      <c r="TC22" s="363">
        <f t="shared" ca="1" si="245"/>
        <v>1.0700883941807928</v>
      </c>
      <c r="TD22" s="363">
        <f t="shared" ca="1" si="245"/>
        <v>0.97228949177255697</v>
      </c>
      <c r="TE22" s="363">
        <f t="shared" ca="1" si="245"/>
        <v>1.0409909985622117</v>
      </c>
      <c r="TF22" s="363">
        <f t="shared" ca="1" si="245"/>
        <v>1.0351437983952125</v>
      </c>
      <c r="TG22" s="363">
        <f t="shared" ca="1" si="245"/>
        <v>1.0358383117983117</v>
      </c>
      <c r="TH22" s="363">
        <f t="shared" ca="1" si="245"/>
        <v>1.0313839693327551</v>
      </c>
      <c r="TI22" s="363">
        <f t="shared" ca="1" si="245"/>
        <v>1.0543930291919192</v>
      </c>
      <c r="TJ22" s="363">
        <f t="shared" ca="1" si="245"/>
        <v>1.1034192004969359</v>
      </c>
      <c r="TK22" s="363">
        <f t="shared" ca="1" si="245"/>
        <v>1.0524327611970881</v>
      </c>
      <c r="TL22" s="363">
        <f t="shared" ca="1" si="245"/>
        <v>1.0258308798449511</v>
      </c>
      <c r="TM22" s="363">
        <f t="shared" ca="1" si="245"/>
        <v>1.0881154997663953</v>
      </c>
      <c r="TN22" s="363">
        <f t="shared" ca="1" si="245"/>
        <v>1.0841847773962605</v>
      </c>
      <c r="TO22" s="363">
        <f t="shared" ca="1" si="245"/>
        <v>1.0500674153598466</v>
      </c>
      <c r="TP22" s="363">
        <f t="shared" ca="1" si="245"/>
        <v>1.1040631591891559</v>
      </c>
      <c r="TQ22" s="363">
        <f t="shared" ca="1" si="245"/>
        <v>1.0053058971056104</v>
      </c>
      <c r="TR22" s="363">
        <f t="shared" ca="1" si="245"/>
        <v>1.0163149716158473</v>
      </c>
      <c r="TS22" s="363">
        <f t="shared" ca="1" si="245"/>
        <v>1.0839158798417463</v>
      </c>
      <c r="TT22" s="363">
        <f t="shared" ca="1" si="245"/>
        <v>1.0130920582387948</v>
      </c>
      <c r="TU22" s="363">
        <f t="shared" ca="1" si="245"/>
        <v>1.0410256197277072</v>
      </c>
      <c r="TV22" s="363">
        <f t="shared" ca="1" si="245"/>
        <v>1.1012823099836524</v>
      </c>
      <c r="TW22" s="363">
        <f t="shared" ca="1" si="245"/>
        <v>1.0328596499082043</v>
      </c>
      <c r="TX22" s="363">
        <f t="shared" ca="1" si="245"/>
        <v>1.0097120570281324</v>
      </c>
      <c r="TY22" s="363">
        <f t="shared" ca="1" si="245"/>
        <v>0.95644740628654967</v>
      </c>
      <c r="TZ22" s="363">
        <f t="shared" ca="1" si="245"/>
        <v>0.97898749659669382</v>
      </c>
      <c r="UA22" s="363">
        <f t="shared" ca="1" si="245"/>
        <v>1.0635755904029909</v>
      </c>
      <c r="UB22" s="363">
        <f t="shared" ca="1" si="245"/>
        <v>1.0230818091398959</v>
      </c>
      <c r="UC22" s="363">
        <f t="shared" ca="1" si="245"/>
        <v>0.94601776555118056</v>
      </c>
      <c r="UD22" s="363">
        <f t="shared" ca="1" si="245"/>
        <v>1.0569193772175631</v>
      </c>
      <c r="UE22" s="363">
        <f t="shared" ca="1" si="245"/>
        <v>1.033635617102503</v>
      </c>
      <c r="UF22" s="363">
        <f t="shared" ca="1" si="245"/>
        <v>0.96742852570361382</v>
      </c>
      <c r="UG22" s="363">
        <f t="shared" ca="1" si="245"/>
        <v>0.99376198853202014</v>
      </c>
      <c r="UH22" s="363">
        <f t="shared" ca="1" si="245"/>
        <v>1.0003929978200901</v>
      </c>
      <c r="UI22" s="363">
        <f t="shared" ca="1" si="245"/>
        <v>1.0050218510535882</v>
      </c>
      <c r="UJ22" s="363">
        <f t="shared" ca="1" si="245"/>
        <v>1.0150936076701074</v>
      </c>
      <c r="UK22" s="363">
        <f t="shared" ca="1" si="245"/>
        <v>1.1014369372007538</v>
      </c>
      <c r="UL22" s="363">
        <f t="shared" ca="1" si="245"/>
        <v>1.0512949246177221</v>
      </c>
      <c r="UM22" s="363">
        <f t="shared" ca="1" si="245"/>
        <v>1.0449810441741081</v>
      </c>
      <c r="UN22" s="363">
        <f t="shared" ca="1" si="245"/>
        <v>1.0972232494640624</v>
      </c>
      <c r="UO22" s="363">
        <f t="shared" ca="1" si="245"/>
        <v>1.0211374999490979</v>
      </c>
      <c r="UP22" s="363">
        <f t="shared" ca="1" si="245"/>
        <v>1.061090967040367</v>
      </c>
      <c r="UQ22" s="363">
        <f t="shared" ca="1" si="245"/>
        <v>1.050606222707076</v>
      </c>
      <c r="UR22" s="363">
        <f t="shared" ca="1" si="245"/>
        <v>1.0038751293143651</v>
      </c>
      <c r="US22" s="363">
        <f t="shared" ca="1" si="245"/>
        <v>1.0586871377714702</v>
      </c>
      <c r="UT22" s="363">
        <f t="shared" ca="1" si="245"/>
        <v>1.0359135391395409</v>
      </c>
      <c r="UU22" s="363">
        <f t="shared" ca="1" si="245"/>
        <v>1.1042894988645811</v>
      </c>
      <c r="UV22" s="363">
        <f t="shared" ca="1" si="245"/>
        <v>1.0651672254688032</v>
      </c>
      <c r="UW22" s="363">
        <f t="shared" ca="1" si="245"/>
        <v>1.0155547510822878</v>
      </c>
      <c r="UX22" s="363">
        <f t="shared" ca="1" si="245"/>
        <v>1.0978308928137288</v>
      </c>
      <c r="UY22" s="363">
        <f t="shared" ca="1" si="245"/>
        <v>1.0058935555507742</v>
      </c>
      <c r="UZ22" s="363">
        <f t="shared" ca="1" si="245"/>
        <v>1.0957397356711063</v>
      </c>
      <c r="VA22" s="363">
        <f t="shared" ca="1" si="245"/>
        <v>1.0358044116546876</v>
      </c>
      <c r="VB22" s="363">
        <f t="shared" ca="1" si="245"/>
        <v>1.1631815751811476</v>
      </c>
      <c r="VC22" s="363">
        <f t="shared" ca="1" si="245"/>
        <v>0.99317159623883577</v>
      </c>
      <c r="VD22" s="363">
        <f t="shared" ca="1" si="245"/>
        <v>1.013007426447895</v>
      </c>
      <c r="VE22" s="363">
        <f t="shared" ca="1" si="245"/>
        <v>1.0958912479276486</v>
      </c>
      <c r="VF22" s="363">
        <f t="shared" ref="VF22:WN22" ca="1" si="246">_xlfn.LOGNORM.INV(RAND(),$I$22,$J$22)</f>
        <v>1.0543401243761104</v>
      </c>
      <c r="VG22" s="363">
        <f t="shared" ca="1" si="246"/>
        <v>1.1200923465282644</v>
      </c>
      <c r="VH22" s="363">
        <f t="shared" ca="1" si="246"/>
        <v>1.1237236686408516</v>
      </c>
      <c r="VI22" s="363">
        <f t="shared" ca="1" si="246"/>
        <v>1.1089879797198174</v>
      </c>
      <c r="VJ22" s="363">
        <f t="shared" ca="1" si="246"/>
        <v>1.0601338538473351</v>
      </c>
      <c r="VK22" s="363">
        <f t="shared" ca="1" si="246"/>
        <v>1.0465818930713664</v>
      </c>
      <c r="VL22" s="363">
        <f t="shared" ca="1" si="246"/>
        <v>0.97982242761557348</v>
      </c>
      <c r="VM22" s="363">
        <f t="shared" ca="1" si="246"/>
        <v>1.0568451873227964</v>
      </c>
      <c r="VN22" s="363">
        <f t="shared" ca="1" si="246"/>
        <v>1.0568433092238863</v>
      </c>
      <c r="VO22" s="363">
        <f t="shared" ca="1" si="246"/>
        <v>1.0574392946761431</v>
      </c>
      <c r="VP22" s="363">
        <f t="shared" ca="1" si="246"/>
        <v>1.0971183220314651</v>
      </c>
      <c r="VQ22" s="363">
        <f t="shared" ca="1" si="246"/>
        <v>0.98743664663529018</v>
      </c>
      <c r="VR22" s="363">
        <f t="shared" ca="1" si="246"/>
        <v>1.0046928965796471</v>
      </c>
      <c r="VS22" s="363">
        <f t="shared" ca="1" si="246"/>
        <v>0.97133629680304601</v>
      </c>
      <c r="VT22" s="363">
        <f t="shared" ca="1" si="246"/>
        <v>1.0547715854163686</v>
      </c>
      <c r="VU22" s="363">
        <f t="shared" ca="1" si="246"/>
        <v>1.0875311919261794</v>
      </c>
      <c r="VV22" s="363">
        <f t="shared" ca="1" si="246"/>
        <v>1.1078994621214353</v>
      </c>
      <c r="VW22" s="363">
        <f t="shared" ca="1" si="246"/>
        <v>1.0459031854969063</v>
      </c>
      <c r="VX22" s="363">
        <f t="shared" ca="1" si="246"/>
        <v>1.0205914463176065</v>
      </c>
      <c r="VY22" s="363">
        <f t="shared" ca="1" si="246"/>
        <v>1.0090779761084163</v>
      </c>
      <c r="VZ22" s="363">
        <f t="shared" ca="1" si="246"/>
        <v>1.0372685866658637</v>
      </c>
      <c r="WA22" s="363">
        <f t="shared" ca="1" si="246"/>
        <v>1.0668628221965839</v>
      </c>
      <c r="WB22" s="363">
        <f t="shared" ca="1" si="246"/>
        <v>0.97225595722859059</v>
      </c>
      <c r="WC22" s="363">
        <f t="shared" ca="1" si="246"/>
        <v>1.0134164930214593</v>
      </c>
      <c r="WD22" s="363">
        <f t="shared" ca="1" si="246"/>
        <v>0.99959571085219701</v>
      </c>
      <c r="WE22" s="363">
        <f t="shared" ca="1" si="246"/>
        <v>1.079361374327142</v>
      </c>
      <c r="WF22" s="363">
        <f t="shared" ca="1" si="246"/>
        <v>1.0702921349336039</v>
      </c>
      <c r="WG22" s="363">
        <f t="shared" ca="1" si="246"/>
        <v>0.9707725486926343</v>
      </c>
      <c r="WH22" s="363">
        <f t="shared" ca="1" si="246"/>
        <v>0.99032498049432194</v>
      </c>
      <c r="WI22" s="363">
        <f t="shared" ca="1" si="246"/>
        <v>1.103711828232649</v>
      </c>
      <c r="WJ22" s="363">
        <f t="shared" ca="1" si="246"/>
        <v>1.0287681473437027</v>
      </c>
      <c r="WK22" s="363">
        <f t="shared" ca="1" si="246"/>
        <v>1.0361539751109909</v>
      </c>
      <c r="WL22" s="363">
        <f t="shared" ca="1" si="246"/>
        <v>1.0409459561795464</v>
      </c>
      <c r="WM22" s="363">
        <f t="shared" ca="1" si="246"/>
        <v>1.0665947907698734</v>
      </c>
      <c r="WN22" s="363">
        <f t="shared" ca="1" si="246"/>
        <v>0.99107806400356979</v>
      </c>
    </row>
    <row r="23" spans="2:612" x14ac:dyDescent="0.15">
      <c r="B23" s="469" t="s">
        <v>906</v>
      </c>
      <c r="D23" s="363">
        <f t="shared" si="0"/>
        <v>1.37</v>
      </c>
      <c r="F23" s="367">
        <v>1.37</v>
      </c>
      <c r="G23" s="367" t="s">
        <v>350</v>
      </c>
      <c r="H23" s="363">
        <v>7.0694467407341519E-2</v>
      </c>
      <c r="I23" s="363">
        <f t="shared" si="197"/>
        <v>0.31231188597902976</v>
      </c>
      <c r="J23" s="367">
        <f t="shared" si="198"/>
        <v>5.1567499862614302E-2</v>
      </c>
      <c r="K23" s="367" t="s">
        <v>1274</v>
      </c>
      <c r="M23" s="363">
        <f ca="1">_xlfn.LOGNORM.INV(RAND(),$I$23,$J$23)</f>
        <v>1.419215588568383</v>
      </c>
      <c r="N23" s="363">
        <f t="shared" ref="N23:BY23" ca="1" si="247">_xlfn.LOGNORM.INV(RAND(),$I$23,$J$23)</f>
        <v>1.3240772548309949</v>
      </c>
      <c r="O23" s="363">
        <f t="shared" ca="1" si="247"/>
        <v>1.3799496015137047</v>
      </c>
      <c r="P23" s="363">
        <f t="shared" ca="1" si="247"/>
        <v>1.2317025796873642</v>
      </c>
      <c r="Q23" s="363">
        <f t="shared" ca="1" si="247"/>
        <v>1.3274803906145896</v>
      </c>
      <c r="R23" s="363">
        <f t="shared" ca="1" si="247"/>
        <v>1.3479414016725839</v>
      </c>
      <c r="S23" s="363">
        <f t="shared" ca="1" si="247"/>
        <v>1.3764244637139467</v>
      </c>
      <c r="T23" s="363">
        <f t="shared" ca="1" si="247"/>
        <v>1.3020135600728837</v>
      </c>
      <c r="U23" s="363">
        <f t="shared" ca="1" si="247"/>
        <v>1.4369236512192045</v>
      </c>
      <c r="V23" s="363">
        <f t="shared" ca="1" si="247"/>
        <v>1.336527612103743</v>
      </c>
      <c r="W23" s="363">
        <f t="shared" ca="1" si="247"/>
        <v>1.4348661842464239</v>
      </c>
      <c r="X23" s="363">
        <f t="shared" ca="1" si="247"/>
        <v>1.3268560475332045</v>
      </c>
      <c r="Y23" s="363">
        <f t="shared" ca="1" si="247"/>
        <v>1.5239564503288117</v>
      </c>
      <c r="Z23" s="363">
        <f t="shared" ca="1" si="247"/>
        <v>1.2463357385750982</v>
      </c>
      <c r="AA23" s="363">
        <f t="shared" ca="1" si="247"/>
        <v>1.48197898632794</v>
      </c>
      <c r="AB23" s="363">
        <f t="shared" ca="1" si="247"/>
        <v>1.3430809443562797</v>
      </c>
      <c r="AC23" s="363">
        <f t="shared" ca="1" si="247"/>
        <v>1.3235778539857013</v>
      </c>
      <c r="AD23" s="363">
        <f t="shared" ca="1" si="247"/>
        <v>1.4844943432483626</v>
      </c>
      <c r="AE23" s="363">
        <f t="shared" ca="1" si="247"/>
        <v>1.3891638895662322</v>
      </c>
      <c r="AF23" s="363">
        <f t="shared" ca="1" si="247"/>
        <v>1.460145170277934</v>
      </c>
      <c r="AG23" s="363">
        <f t="shared" ca="1" si="247"/>
        <v>1.3328682926225506</v>
      </c>
      <c r="AH23" s="363">
        <f t="shared" ca="1" si="247"/>
        <v>1.5156310345433173</v>
      </c>
      <c r="AI23" s="363">
        <f t="shared" ca="1" si="247"/>
        <v>1.4369624499352747</v>
      </c>
      <c r="AJ23" s="363">
        <f t="shared" ca="1" si="247"/>
        <v>1.3727221575927073</v>
      </c>
      <c r="AK23" s="363">
        <f t="shared" ca="1" si="247"/>
        <v>1.4045504554112163</v>
      </c>
      <c r="AL23" s="363">
        <f t="shared" ca="1" si="247"/>
        <v>1.4427910432453621</v>
      </c>
      <c r="AM23" s="363">
        <f t="shared" ca="1" si="247"/>
        <v>1.5217832766031387</v>
      </c>
      <c r="AN23" s="363">
        <f t="shared" ca="1" si="247"/>
        <v>1.409930453379963</v>
      </c>
      <c r="AO23" s="363">
        <f t="shared" ca="1" si="247"/>
        <v>1.3672942193520807</v>
      </c>
      <c r="AP23" s="363">
        <f t="shared" ca="1" si="247"/>
        <v>1.2572421178825426</v>
      </c>
      <c r="AQ23" s="363">
        <f t="shared" ca="1" si="247"/>
        <v>1.4202220055771142</v>
      </c>
      <c r="AR23" s="363">
        <f t="shared" ca="1" si="247"/>
        <v>1.4394951280286745</v>
      </c>
      <c r="AS23" s="363">
        <f t="shared" ca="1" si="247"/>
        <v>1.4074838680216659</v>
      </c>
      <c r="AT23" s="363">
        <f t="shared" ca="1" si="247"/>
        <v>1.4127679742244519</v>
      </c>
      <c r="AU23" s="363">
        <f t="shared" ca="1" si="247"/>
        <v>1.3223146042536758</v>
      </c>
      <c r="AV23" s="363">
        <f t="shared" ca="1" si="247"/>
        <v>1.4151158537162711</v>
      </c>
      <c r="AW23" s="363">
        <f t="shared" ca="1" si="247"/>
        <v>1.3849450076081471</v>
      </c>
      <c r="AX23" s="363">
        <f t="shared" ca="1" si="247"/>
        <v>1.3009140127271424</v>
      </c>
      <c r="AY23" s="363">
        <f t="shared" ca="1" si="247"/>
        <v>1.3957360703724713</v>
      </c>
      <c r="AZ23" s="363">
        <f t="shared" ca="1" si="247"/>
        <v>1.3893416385682134</v>
      </c>
      <c r="BA23" s="363">
        <f t="shared" ca="1" si="247"/>
        <v>1.4257205873815182</v>
      </c>
      <c r="BB23" s="363">
        <f t="shared" ca="1" si="247"/>
        <v>1.372709021743727</v>
      </c>
      <c r="BC23" s="363">
        <f t="shared" ca="1" si="247"/>
        <v>1.3293101906885667</v>
      </c>
      <c r="BD23" s="363">
        <f t="shared" ca="1" si="247"/>
        <v>1.3761565859406948</v>
      </c>
      <c r="BE23" s="363">
        <f t="shared" ca="1" si="247"/>
        <v>1.4270462065785101</v>
      </c>
      <c r="BF23" s="363">
        <f t="shared" ca="1" si="247"/>
        <v>1.4189752931250408</v>
      </c>
      <c r="BG23" s="363">
        <f t="shared" ca="1" si="247"/>
        <v>1.4337289671324298</v>
      </c>
      <c r="BH23" s="363">
        <f t="shared" ca="1" si="247"/>
        <v>1.3525498309576076</v>
      </c>
      <c r="BI23" s="363">
        <f t="shared" ca="1" si="247"/>
        <v>1.3405305156296297</v>
      </c>
      <c r="BJ23" s="363">
        <f t="shared" ca="1" si="247"/>
        <v>1.3723090388151902</v>
      </c>
      <c r="BK23" s="363">
        <f t="shared" ca="1" si="247"/>
        <v>1.3462183763694584</v>
      </c>
      <c r="BL23" s="363">
        <f t="shared" ca="1" si="247"/>
        <v>1.378765561578905</v>
      </c>
      <c r="BM23" s="363">
        <f t="shared" ca="1" si="247"/>
        <v>1.4028953559901323</v>
      </c>
      <c r="BN23" s="363">
        <f t="shared" ca="1" si="247"/>
        <v>1.3294121947021533</v>
      </c>
      <c r="BO23" s="363">
        <f t="shared" ca="1" si="247"/>
        <v>1.2446727712157135</v>
      </c>
      <c r="BP23" s="363">
        <f t="shared" ca="1" si="247"/>
        <v>1.3259869049787774</v>
      </c>
      <c r="BQ23" s="363">
        <f t="shared" ca="1" si="247"/>
        <v>1.4482752028409613</v>
      </c>
      <c r="BR23" s="363">
        <f t="shared" ca="1" si="247"/>
        <v>1.3848881949437801</v>
      </c>
      <c r="BS23" s="363">
        <f t="shared" ca="1" si="247"/>
        <v>1.3823981750851355</v>
      </c>
      <c r="BT23" s="363">
        <f t="shared" ca="1" si="247"/>
        <v>1.4460674611703614</v>
      </c>
      <c r="BU23" s="363">
        <f t="shared" ca="1" si="247"/>
        <v>1.2814994860809996</v>
      </c>
      <c r="BV23" s="363">
        <f t="shared" ca="1" si="247"/>
        <v>1.3149098452924888</v>
      </c>
      <c r="BW23" s="363">
        <f t="shared" ca="1" si="247"/>
        <v>1.3738848952542346</v>
      </c>
      <c r="BX23" s="363">
        <f t="shared" ca="1" si="247"/>
        <v>1.3386424045290812</v>
      </c>
      <c r="BY23" s="363">
        <f t="shared" ca="1" si="247"/>
        <v>1.329474590630213</v>
      </c>
      <c r="BZ23" s="363">
        <f t="shared" ref="BZ23:DH23" ca="1" si="248">_xlfn.LOGNORM.INV(RAND(),$I$23,$J$23)</f>
        <v>1.4006067304985366</v>
      </c>
      <c r="CA23" s="363">
        <f t="shared" ca="1" si="248"/>
        <v>1.392204322674925</v>
      </c>
      <c r="CB23" s="363">
        <f t="shared" ca="1" si="248"/>
        <v>1.3470924452661222</v>
      </c>
      <c r="CC23" s="363">
        <f t="shared" ca="1" si="248"/>
        <v>1.3511477166428694</v>
      </c>
      <c r="CD23" s="363">
        <f t="shared" ca="1" si="248"/>
        <v>1.438288338476456</v>
      </c>
      <c r="CE23" s="363">
        <f t="shared" ca="1" si="248"/>
        <v>1.3338172334305756</v>
      </c>
      <c r="CF23" s="363">
        <f t="shared" ca="1" si="248"/>
        <v>1.305842334005239</v>
      </c>
      <c r="CG23" s="363">
        <f t="shared" ca="1" si="248"/>
        <v>1.2958078578719536</v>
      </c>
      <c r="CH23" s="363">
        <f t="shared" ca="1" si="248"/>
        <v>1.3303065902372773</v>
      </c>
      <c r="CI23" s="363">
        <f t="shared" ca="1" si="248"/>
        <v>1.3103535906738446</v>
      </c>
      <c r="CJ23" s="363">
        <f t="shared" ca="1" si="248"/>
        <v>1.4095300497023551</v>
      </c>
      <c r="CK23" s="363">
        <f t="shared" ca="1" si="248"/>
        <v>1.3708301954154081</v>
      </c>
      <c r="CL23" s="363">
        <f t="shared" ca="1" si="248"/>
        <v>1.4121445783861004</v>
      </c>
      <c r="CM23" s="363">
        <f t="shared" ca="1" si="248"/>
        <v>1.3798984609943719</v>
      </c>
      <c r="CN23" s="363">
        <f t="shared" ca="1" si="248"/>
        <v>1.3234171209191974</v>
      </c>
      <c r="CO23" s="363">
        <f t="shared" ca="1" si="248"/>
        <v>1.331646314258855</v>
      </c>
      <c r="CP23" s="363">
        <f t="shared" ca="1" si="248"/>
        <v>1.4192645298202959</v>
      </c>
      <c r="CQ23" s="363">
        <f t="shared" ca="1" si="248"/>
        <v>1.3833871221353176</v>
      </c>
      <c r="CR23" s="363">
        <f t="shared" ca="1" si="248"/>
        <v>1.2496370419492224</v>
      </c>
      <c r="CS23" s="363">
        <f t="shared" ca="1" si="248"/>
        <v>1.2843485834262307</v>
      </c>
      <c r="CT23" s="363">
        <f t="shared" ca="1" si="248"/>
        <v>1.4155945528106291</v>
      </c>
      <c r="CU23" s="363">
        <f t="shared" ca="1" si="248"/>
        <v>1.4141931925562299</v>
      </c>
      <c r="CV23" s="363">
        <f t="shared" ca="1" si="248"/>
        <v>1.499449344844241</v>
      </c>
      <c r="CW23" s="363">
        <f t="shared" ca="1" si="248"/>
        <v>1.3293539265736052</v>
      </c>
      <c r="CX23" s="363">
        <f t="shared" ca="1" si="248"/>
        <v>1.5378784549957683</v>
      </c>
      <c r="CY23" s="363">
        <f t="shared" ca="1" si="248"/>
        <v>1.2916146248878235</v>
      </c>
      <c r="CZ23" s="363">
        <f t="shared" ca="1" si="248"/>
        <v>1.353448619546765</v>
      </c>
      <c r="DA23" s="363">
        <f t="shared" ca="1" si="248"/>
        <v>1.381167418466658</v>
      </c>
      <c r="DB23" s="363">
        <f t="shared" ca="1" si="248"/>
        <v>1.2764428039002857</v>
      </c>
      <c r="DC23" s="363">
        <f t="shared" ca="1" si="248"/>
        <v>1.3515223495741029</v>
      </c>
      <c r="DD23" s="363">
        <f t="shared" ca="1" si="248"/>
        <v>1.4935863399905152</v>
      </c>
      <c r="DE23" s="363">
        <f t="shared" ca="1" si="248"/>
        <v>1.3325937637798533</v>
      </c>
      <c r="DF23" s="363">
        <f t="shared" ca="1" si="248"/>
        <v>1.2825211038927047</v>
      </c>
      <c r="DG23" s="363">
        <f t="shared" ca="1" si="248"/>
        <v>1.3590377658774093</v>
      </c>
      <c r="DH23" s="363">
        <f t="shared" ca="1" si="248"/>
        <v>1.3375189236816176</v>
      </c>
      <c r="DI23" s="363">
        <f ca="1">_xlfn.LOGNORM.INV(RAND(),$I$23,$J$23)</f>
        <v>1.4747136197946593</v>
      </c>
      <c r="DJ23" s="363">
        <f t="shared" ref="DJ23:FU23" ca="1" si="249">_xlfn.LOGNORM.INV(RAND(),$I$23,$J$23)</f>
        <v>1.3127634722645489</v>
      </c>
      <c r="DK23" s="363">
        <f t="shared" ca="1" si="249"/>
        <v>1.4698361445825161</v>
      </c>
      <c r="DL23" s="363">
        <f t="shared" ca="1" si="249"/>
        <v>1.4459886673138347</v>
      </c>
      <c r="DM23" s="363">
        <f t="shared" ca="1" si="249"/>
        <v>1.3767641931144421</v>
      </c>
      <c r="DN23" s="363">
        <f t="shared" ca="1" si="249"/>
        <v>1.2829945880726157</v>
      </c>
      <c r="DO23" s="363">
        <f t="shared" ca="1" si="249"/>
        <v>1.3627426980204635</v>
      </c>
      <c r="DP23" s="363">
        <f t="shared" ca="1" si="249"/>
        <v>1.445946448070879</v>
      </c>
      <c r="DQ23" s="363">
        <f t="shared" ca="1" si="249"/>
        <v>1.4600325387388031</v>
      </c>
      <c r="DR23" s="363">
        <f t="shared" ca="1" si="249"/>
        <v>1.3884092420431873</v>
      </c>
      <c r="DS23" s="363">
        <f t="shared" ca="1" si="249"/>
        <v>1.3316197418913907</v>
      </c>
      <c r="DT23" s="363">
        <f t="shared" ca="1" si="249"/>
        <v>1.377417438620214</v>
      </c>
      <c r="DU23" s="363">
        <f t="shared" ca="1" si="249"/>
        <v>1.3313548763217251</v>
      </c>
      <c r="DV23" s="363">
        <f t="shared" ca="1" si="249"/>
        <v>1.3712097167800865</v>
      </c>
      <c r="DW23" s="363">
        <f t="shared" ca="1" si="249"/>
        <v>1.3094043776903614</v>
      </c>
      <c r="DX23" s="363">
        <f t="shared" ca="1" si="249"/>
        <v>1.3564771755801257</v>
      </c>
      <c r="DY23" s="363">
        <f t="shared" ca="1" si="249"/>
        <v>1.3007129212522583</v>
      </c>
      <c r="DZ23" s="363">
        <f t="shared" ca="1" si="249"/>
        <v>1.299269467356694</v>
      </c>
      <c r="EA23" s="363">
        <f t="shared" ca="1" si="249"/>
        <v>1.279111727825657</v>
      </c>
      <c r="EB23" s="363">
        <f t="shared" ca="1" si="249"/>
        <v>1.4417272930591718</v>
      </c>
      <c r="EC23" s="363">
        <f t="shared" ca="1" si="249"/>
        <v>1.2645316910620295</v>
      </c>
      <c r="ED23" s="363">
        <f t="shared" ca="1" si="249"/>
        <v>1.4486674978928096</v>
      </c>
      <c r="EE23" s="363">
        <f t="shared" ca="1" si="249"/>
        <v>1.4217244949169483</v>
      </c>
      <c r="EF23" s="363">
        <f t="shared" ca="1" si="249"/>
        <v>1.3322716769524832</v>
      </c>
      <c r="EG23" s="363">
        <f t="shared" ca="1" si="249"/>
        <v>1.3399687580076087</v>
      </c>
      <c r="EH23" s="363">
        <f t="shared" ca="1" si="249"/>
        <v>1.3704710343117563</v>
      </c>
      <c r="EI23" s="363">
        <f t="shared" ca="1" si="249"/>
        <v>1.31137108149302</v>
      </c>
      <c r="EJ23" s="363">
        <f t="shared" ca="1" si="249"/>
        <v>1.4260566129209296</v>
      </c>
      <c r="EK23" s="363">
        <f t="shared" ca="1" si="249"/>
        <v>1.4401446043598995</v>
      </c>
      <c r="EL23" s="363">
        <f t="shared" ca="1" si="249"/>
        <v>1.4023899436499314</v>
      </c>
      <c r="EM23" s="363">
        <f t="shared" ca="1" si="249"/>
        <v>1.4768895359795899</v>
      </c>
      <c r="EN23" s="363">
        <f t="shared" ca="1" si="249"/>
        <v>1.3089573788957554</v>
      </c>
      <c r="EO23" s="363">
        <f t="shared" ca="1" si="249"/>
        <v>1.3708755491957749</v>
      </c>
      <c r="EP23" s="363">
        <f t="shared" ca="1" si="249"/>
        <v>1.3173841353261662</v>
      </c>
      <c r="EQ23" s="363">
        <f t="shared" ca="1" si="249"/>
        <v>1.425110994027645</v>
      </c>
      <c r="ER23" s="363">
        <f t="shared" ca="1" si="249"/>
        <v>1.3692326499423579</v>
      </c>
      <c r="ES23" s="363">
        <f t="shared" ca="1" si="249"/>
        <v>1.3298808818626646</v>
      </c>
      <c r="ET23" s="363">
        <f t="shared" ca="1" si="249"/>
        <v>1.4017102170055395</v>
      </c>
      <c r="EU23" s="363">
        <f t="shared" ca="1" si="249"/>
        <v>1.3488131071860148</v>
      </c>
      <c r="EV23" s="363">
        <f t="shared" ca="1" si="249"/>
        <v>1.3175244212552806</v>
      </c>
      <c r="EW23" s="363">
        <f t="shared" ca="1" si="249"/>
        <v>1.3031391853718675</v>
      </c>
      <c r="EX23" s="363">
        <f t="shared" ca="1" si="249"/>
        <v>1.3096008770223517</v>
      </c>
      <c r="EY23" s="363">
        <f t="shared" ca="1" si="249"/>
        <v>1.2999763676901861</v>
      </c>
      <c r="EZ23" s="363">
        <f t="shared" ca="1" si="249"/>
        <v>1.3591602195037982</v>
      </c>
      <c r="FA23" s="363">
        <f t="shared" ca="1" si="249"/>
        <v>1.2886137920382723</v>
      </c>
      <c r="FB23" s="363">
        <f t="shared" ca="1" si="249"/>
        <v>1.3169013944308765</v>
      </c>
      <c r="FC23" s="363">
        <f t="shared" ca="1" si="249"/>
        <v>1.5567814889766571</v>
      </c>
      <c r="FD23" s="363">
        <f t="shared" ca="1" si="249"/>
        <v>1.359337264126351</v>
      </c>
      <c r="FE23" s="363">
        <f t="shared" ca="1" si="249"/>
        <v>1.4125596044365578</v>
      </c>
      <c r="FF23" s="363">
        <f t="shared" ca="1" si="249"/>
        <v>1.3408484979471791</v>
      </c>
      <c r="FG23" s="363">
        <f t="shared" ca="1" si="249"/>
        <v>1.3029330654637248</v>
      </c>
      <c r="FH23" s="363">
        <f t="shared" ca="1" si="249"/>
        <v>1.3931210027002439</v>
      </c>
      <c r="FI23" s="363">
        <f t="shared" ca="1" si="249"/>
        <v>1.3108652181851697</v>
      </c>
      <c r="FJ23" s="363">
        <f t="shared" ca="1" si="249"/>
        <v>1.278157824717421</v>
      </c>
      <c r="FK23" s="363">
        <f t="shared" ca="1" si="249"/>
        <v>1.288403000782659</v>
      </c>
      <c r="FL23" s="363">
        <f t="shared" ca="1" si="249"/>
        <v>1.3946751585431592</v>
      </c>
      <c r="FM23" s="363">
        <f t="shared" ca="1" si="249"/>
        <v>1.368628424230333</v>
      </c>
      <c r="FN23" s="363">
        <f t="shared" ca="1" si="249"/>
        <v>1.4515119390561848</v>
      </c>
      <c r="FO23" s="363">
        <f t="shared" ca="1" si="249"/>
        <v>1.3760538092409564</v>
      </c>
      <c r="FP23" s="363">
        <f t="shared" ca="1" si="249"/>
        <v>1.367341729387973</v>
      </c>
      <c r="FQ23" s="363">
        <f t="shared" ca="1" si="249"/>
        <v>1.2267300490902222</v>
      </c>
      <c r="FR23" s="363">
        <f t="shared" ca="1" si="249"/>
        <v>1.3001376949291974</v>
      </c>
      <c r="FS23" s="363">
        <f t="shared" ca="1" si="249"/>
        <v>1.3739107797513552</v>
      </c>
      <c r="FT23" s="363">
        <f t="shared" ca="1" si="249"/>
        <v>1.4728065098694441</v>
      </c>
      <c r="FU23" s="363">
        <f t="shared" ca="1" si="249"/>
        <v>1.3669754714679474</v>
      </c>
      <c r="FV23" s="363">
        <f t="shared" ref="FV23:HD23" ca="1" si="250">_xlfn.LOGNORM.INV(RAND(),$I$23,$J$23)</f>
        <v>1.3377646093807229</v>
      </c>
      <c r="FW23" s="363">
        <f t="shared" ca="1" si="250"/>
        <v>1.3162905479259346</v>
      </c>
      <c r="FX23" s="363">
        <f t="shared" ca="1" si="250"/>
        <v>1.411444485289423</v>
      </c>
      <c r="FY23" s="363">
        <f t="shared" ca="1" si="250"/>
        <v>1.3886483893459569</v>
      </c>
      <c r="FZ23" s="363">
        <f t="shared" ca="1" si="250"/>
        <v>1.4331871976595099</v>
      </c>
      <c r="GA23" s="363">
        <f t="shared" ca="1" si="250"/>
        <v>1.3061816473570018</v>
      </c>
      <c r="GB23" s="363">
        <f t="shared" ca="1" si="250"/>
        <v>1.3337870968960903</v>
      </c>
      <c r="GC23" s="363">
        <f t="shared" ca="1" si="250"/>
        <v>1.4654647204176816</v>
      </c>
      <c r="GD23" s="363">
        <f t="shared" ca="1" si="250"/>
        <v>1.497326014637353</v>
      </c>
      <c r="GE23" s="363">
        <f t="shared" ca="1" si="250"/>
        <v>1.3210566194421169</v>
      </c>
      <c r="GF23" s="363">
        <f t="shared" ca="1" si="250"/>
        <v>1.405204899926122</v>
      </c>
      <c r="GG23" s="363">
        <f t="shared" ca="1" si="250"/>
        <v>1.2958051123188328</v>
      </c>
      <c r="GH23" s="363">
        <f t="shared" ca="1" si="250"/>
        <v>1.3275658146342946</v>
      </c>
      <c r="GI23" s="363">
        <f t="shared" ca="1" si="250"/>
        <v>1.3353567852150217</v>
      </c>
      <c r="GJ23" s="363">
        <f t="shared" ca="1" si="250"/>
        <v>1.4064322214874978</v>
      </c>
      <c r="GK23" s="363">
        <f t="shared" ca="1" si="250"/>
        <v>1.2775057049462557</v>
      </c>
      <c r="GL23" s="363">
        <f t="shared" ca="1" si="250"/>
        <v>1.3095225822378778</v>
      </c>
      <c r="GM23" s="363">
        <f t="shared" ca="1" si="250"/>
        <v>1.4668864483417821</v>
      </c>
      <c r="GN23" s="363">
        <f t="shared" ca="1" si="250"/>
        <v>1.3602919168264991</v>
      </c>
      <c r="GO23" s="363">
        <f t="shared" ca="1" si="250"/>
        <v>1.4404667278050658</v>
      </c>
      <c r="GP23" s="363">
        <f t="shared" ca="1" si="250"/>
        <v>1.365525820512276</v>
      </c>
      <c r="GQ23" s="363">
        <f t="shared" ca="1" si="250"/>
        <v>1.4129583954435634</v>
      </c>
      <c r="GR23" s="363">
        <f t="shared" ca="1" si="250"/>
        <v>1.3349878362982424</v>
      </c>
      <c r="GS23" s="363">
        <f t="shared" ca="1" si="250"/>
        <v>1.3013049355142887</v>
      </c>
      <c r="GT23" s="363">
        <f t="shared" ca="1" si="250"/>
        <v>1.2867870023011776</v>
      </c>
      <c r="GU23" s="363">
        <f t="shared" ca="1" si="250"/>
        <v>1.3116500572862038</v>
      </c>
      <c r="GV23" s="363">
        <f t="shared" ca="1" si="250"/>
        <v>1.3110364405762236</v>
      </c>
      <c r="GW23" s="363">
        <f t="shared" ca="1" si="250"/>
        <v>1.3226386416547795</v>
      </c>
      <c r="GX23" s="363">
        <f t="shared" ca="1" si="250"/>
        <v>1.4388889743725721</v>
      </c>
      <c r="GY23" s="363">
        <f t="shared" ca="1" si="250"/>
        <v>1.3110933335162631</v>
      </c>
      <c r="GZ23" s="363">
        <f t="shared" ca="1" si="250"/>
        <v>1.3595690496701904</v>
      </c>
      <c r="HA23" s="363">
        <f t="shared" ca="1" si="250"/>
        <v>1.2626353281753178</v>
      </c>
      <c r="HB23" s="363">
        <f t="shared" ca="1" si="250"/>
        <v>1.3665366320349988</v>
      </c>
      <c r="HC23" s="363">
        <f t="shared" ca="1" si="250"/>
        <v>1.261225918793287</v>
      </c>
      <c r="HD23" s="363">
        <f t="shared" ca="1" si="250"/>
        <v>1.3828396774770166</v>
      </c>
      <c r="HE23" s="363">
        <f ca="1">_xlfn.LOGNORM.INV(RAND(),$I$23,$J$23)</f>
        <v>1.338121839085608</v>
      </c>
      <c r="HF23" s="363">
        <f t="shared" ref="HF23:JQ23" ca="1" si="251">_xlfn.LOGNORM.INV(RAND(),$I$23,$J$23)</f>
        <v>1.3131673978365006</v>
      </c>
      <c r="HG23" s="363">
        <f t="shared" ca="1" si="251"/>
        <v>1.2409576895013805</v>
      </c>
      <c r="HH23" s="363">
        <f t="shared" ca="1" si="251"/>
        <v>1.3897214041771888</v>
      </c>
      <c r="HI23" s="363">
        <f t="shared" ca="1" si="251"/>
        <v>1.346704024896701</v>
      </c>
      <c r="HJ23" s="363">
        <f t="shared" ca="1" si="251"/>
        <v>1.2556646077978826</v>
      </c>
      <c r="HK23" s="363">
        <f t="shared" ca="1" si="251"/>
        <v>1.4291285068200466</v>
      </c>
      <c r="HL23" s="363">
        <f t="shared" ca="1" si="251"/>
        <v>1.3676375099421714</v>
      </c>
      <c r="HM23" s="363">
        <f t="shared" ca="1" si="251"/>
        <v>1.3708359334186089</v>
      </c>
      <c r="HN23" s="363">
        <f t="shared" ca="1" si="251"/>
        <v>1.2836996067186701</v>
      </c>
      <c r="HO23" s="363">
        <f t="shared" ca="1" si="251"/>
        <v>1.4012617423209999</v>
      </c>
      <c r="HP23" s="363">
        <f t="shared" ca="1" si="251"/>
        <v>1.4410071355035206</v>
      </c>
      <c r="HQ23" s="363">
        <f t="shared" ca="1" si="251"/>
        <v>1.3974759410833104</v>
      </c>
      <c r="HR23" s="363">
        <f t="shared" ca="1" si="251"/>
        <v>1.4132835948491311</v>
      </c>
      <c r="HS23" s="363">
        <f t="shared" ca="1" si="251"/>
        <v>1.2625267522948702</v>
      </c>
      <c r="HT23" s="363">
        <f t="shared" ca="1" si="251"/>
        <v>1.3110201648576896</v>
      </c>
      <c r="HU23" s="363">
        <f t="shared" ca="1" si="251"/>
        <v>1.366308110481294</v>
      </c>
      <c r="HV23" s="363">
        <f t="shared" ca="1" si="251"/>
        <v>1.3299153310435996</v>
      </c>
      <c r="HW23" s="363">
        <f t="shared" ca="1" si="251"/>
        <v>1.2609438346986992</v>
      </c>
      <c r="HX23" s="363">
        <f t="shared" ca="1" si="251"/>
        <v>1.4171372767238848</v>
      </c>
      <c r="HY23" s="363">
        <f t="shared" ca="1" si="251"/>
        <v>1.3281883105840484</v>
      </c>
      <c r="HZ23" s="363">
        <f t="shared" ca="1" si="251"/>
        <v>1.3150372095149128</v>
      </c>
      <c r="IA23" s="363">
        <f t="shared" ca="1" si="251"/>
        <v>1.3476613450218109</v>
      </c>
      <c r="IB23" s="363">
        <f t="shared" ca="1" si="251"/>
        <v>1.2908661270920145</v>
      </c>
      <c r="IC23" s="363">
        <f t="shared" ca="1" si="251"/>
        <v>1.4462752821932439</v>
      </c>
      <c r="ID23" s="363">
        <f t="shared" ca="1" si="251"/>
        <v>1.3687965759868599</v>
      </c>
      <c r="IE23" s="363">
        <f t="shared" ca="1" si="251"/>
        <v>1.34678186913612</v>
      </c>
      <c r="IF23" s="363">
        <f t="shared" ca="1" si="251"/>
        <v>1.4629926552309991</v>
      </c>
      <c r="IG23" s="363">
        <f t="shared" ca="1" si="251"/>
        <v>1.3467899651257218</v>
      </c>
      <c r="IH23" s="363">
        <f t="shared" ca="1" si="251"/>
        <v>1.3329148748872222</v>
      </c>
      <c r="II23" s="363">
        <f t="shared" ca="1" si="251"/>
        <v>1.2856434201538123</v>
      </c>
      <c r="IJ23" s="363">
        <f t="shared" ca="1" si="251"/>
        <v>1.3627860635053926</v>
      </c>
      <c r="IK23" s="363">
        <f t="shared" ca="1" si="251"/>
        <v>1.2263848212783572</v>
      </c>
      <c r="IL23" s="363">
        <f t="shared" ca="1" si="251"/>
        <v>1.5008799260995997</v>
      </c>
      <c r="IM23" s="363">
        <f t="shared" ca="1" si="251"/>
        <v>1.3636216465516839</v>
      </c>
      <c r="IN23" s="363">
        <f t="shared" ca="1" si="251"/>
        <v>1.4713147223478522</v>
      </c>
      <c r="IO23" s="363">
        <f t="shared" ca="1" si="251"/>
        <v>1.4622137301248213</v>
      </c>
      <c r="IP23" s="363">
        <f t="shared" ca="1" si="251"/>
        <v>1.3059651735243722</v>
      </c>
      <c r="IQ23" s="363">
        <f t="shared" ca="1" si="251"/>
        <v>1.4187418470285398</v>
      </c>
      <c r="IR23" s="363">
        <f t="shared" ca="1" si="251"/>
        <v>1.3306730494941752</v>
      </c>
      <c r="IS23" s="363">
        <f t="shared" ca="1" si="251"/>
        <v>1.3187135705164146</v>
      </c>
      <c r="IT23" s="363">
        <f t="shared" ca="1" si="251"/>
        <v>1.3656162378436436</v>
      </c>
      <c r="IU23" s="363">
        <f t="shared" ca="1" si="251"/>
        <v>1.3342062208879804</v>
      </c>
      <c r="IV23" s="363">
        <f t="shared" ca="1" si="251"/>
        <v>1.4024354533708567</v>
      </c>
      <c r="IW23" s="363">
        <f t="shared" ca="1" si="251"/>
        <v>1.3643914479082693</v>
      </c>
      <c r="IX23" s="363">
        <f t="shared" ca="1" si="251"/>
        <v>1.3411347237558302</v>
      </c>
      <c r="IY23" s="363">
        <f t="shared" ca="1" si="251"/>
        <v>1.3485984536699438</v>
      </c>
      <c r="IZ23" s="363">
        <f t="shared" ca="1" si="251"/>
        <v>1.4332307861831639</v>
      </c>
      <c r="JA23" s="363">
        <f t="shared" ca="1" si="251"/>
        <v>1.2867590490433771</v>
      </c>
      <c r="JB23" s="363">
        <f t="shared" ca="1" si="251"/>
        <v>1.3743575178670595</v>
      </c>
      <c r="JC23" s="363">
        <f t="shared" ca="1" si="251"/>
        <v>1.2993231460525796</v>
      </c>
      <c r="JD23" s="363">
        <f t="shared" ca="1" si="251"/>
        <v>1.4478612861819316</v>
      </c>
      <c r="JE23" s="363">
        <f t="shared" ca="1" si="251"/>
        <v>1.4008671562844457</v>
      </c>
      <c r="JF23" s="363">
        <f t="shared" ca="1" si="251"/>
        <v>1.3375625372035234</v>
      </c>
      <c r="JG23" s="363">
        <f t="shared" ca="1" si="251"/>
        <v>1.3249520759306519</v>
      </c>
      <c r="JH23" s="363">
        <f t="shared" ca="1" si="251"/>
        <v>1.398183067229591</v>
      </c>
      <c r="JI23" s="363">
        <f t="shared" ca="1" si="251"/>
        <v>1.3534805415147153</v>
      </c>
      <c r="JJ23" s="363">
        <f t="shared" ca="1" si="251"/>
        <v>1.231599979873121</v>
      </c>
      <c r="JK23" s="363">
        <f t="shared" ca="1" si="251"/>
        <v>1.2304016349887461</v>
      </c>
      <c r="JL23" s="363">
        <f t="shared" ca="1" si="251"/>
        <v>1.3602082348797269</v>
      </c>
      <c r="JM23" s="363">
        <f t="shared" ca="1" si="251"/>
        <v>1.3855683572985893</v>
      </c>
      <c r="JN23" s="363">
        <f t="shared" ca="1" si="251"/>
        <v>1.2274438727593997</v>
      </c>
      <c r="JO23" s="363">
        <f t="shared" ca="1" si="251"/>
        <v>1.3258365961907488</v>
      </c>
      <c r="JP23" s="363">
        <f t="shared" ca="1" si="251"/>
        <v>1.4560759951365625</v>
      </c>
      <c r="JQ23" s="363">
        <f t="shared" ca="1" si="251"/>
        <v>1.4485042857939903</v>
      </c>
      <c r="JR23" s="363">
        <f t="shared" ref="JR23:KZ23" ca="1" si="252">_xlfn.LOGNORM.INV(RAND(),$I$23,$J$23)</f>
        <v>1.4286663499584662</v>
      </c>
      <c r="JS23" s="363">
        <f t="shared" ca="1" si="252"/>
        <v>1.4055692280036418</v>
      </c>
      <c r="JT23" s="363">
        <f t="shared" ca="1" si="252"/>
        <v>1.2915255139288913</v>
      </c>
      <c r="JU23" s="363">
        <f t="shared" ca="1" si="252"/>
        <v>1.4294079716999861</v>
      </c>
      <c r="JV23" s="363">
        <f t="shared" ca="1" si="252"/>
        <v>1.2609136876951161</v>
      </c>
      <c r="JW23" s="363">
        <f t="shared" ca="1" si="252"/>
        <v>1.350762491322373</v>
      </c>
      <c r="JX23" s="363">
        <f t="shared" ca="1" si="252"/>
        <v>1.3423755178095491</v>
      </c>
      <c r="JY23" s="363">
        <f t="shared" ca="1" si="252"/>
        <v>1.4447504882733395</v>
      </c>
      <c r="JZ23" s="363">
        <f t="shared" ca="1" si="252"/>
        <v>1.2105840148255551</v>
      </c>
      <c r="KA23" s="363">
        <f t="shared" ca="1" si="252"/>
        <v>1.5094614649387064</v>
      </c>
      <c r="KB23" s="363">
        <f t="shared" ca="1" si="252"/>
        <v>1.4257931546049654</v>
      </c>
      <c r="KC23" s="363">
        <f t="shared" ca="1" si="252"/>
        <v>1.3141382664944672</v>
      </c>
      <c r="KD23" s="363">
        <f t="shared" ca="1" si="252"/>
        <v>1.2119350650526635</v>
      </c>
      <c r="KE23" s="363">
        <f t="shared" ca="1" si="252"/>
        <v>1.4525464125586069</v>
      </c>
      <c r="KF23" s="363">
        <f t="shared" ca="1" si="252"/>
        <v>1.3106605738653521</v>
      </c>
      <c r="KG23" s="363">
        <f t="shared" ca="1" si="252"/>
        <v>1.3600431977978005</v>
      </c>
      <c r="KH23" s="363">
        <f t="shared" ca="1" si="252"/>
        <v>1.2556378894092772</v>
      </c>
      <c r="KI23" s="363">
        <f t="shared" ca="1" si="252"/>
        <v>1.3546460920228032</v>
      </c>
      <c r="KJ23" s="363">
        <f t="shared" ca="1" si="252"/>
        <v>1.2541825842149184</v>
      </c>
      <c r="KK23" s="363">
        <f t="shared" ca="1" si="252"/>
        <v>1.3703575097359795</v>
      </c>
      <c r="KL23" s="363">
        <f t="shared" ca="1" si="252"/>
        <v>1.4420664553262925</v>
      </c>
      <c r="KM23" s="363">
        <f t="shared" ca="1" si="252"/>
        <v>1.4100540927896748</v>
      </c>
      <c r="KN23" s="363">
        <f t="shared" ca="1" si="252"/>
        <v>1.2686656463142603</v>
      </c>
      <c r="KO23" s="363">
        <f t="shared" ca="1" si="252"/>
        <v>1.3553770998959089</v>
      </c>
      <c r="KP23" s="363">
        <f t="shared" ca="1" si="252"/>
        <v>1.4454066553762757</v>
      </c>
      <c r="KQ23" s="363">
        <f t="shared" ca="1" si="252"/>
        <v>1.3953713809952415</v>
      </c>
      <c r="KR23" s="363">
        <f t="shared" ca="1" si="252"/>
        <v>1.3513473999954153</v>
      </c>
      <c r="KS23" s="363">
        <f t="shared" ca="1" si="252"/>
        <v>1.3624115289711805</v>
      </c>
      <c r="KT23" s="363">
        <f t="shared" ca="1" si="252"/>
        <v>1.4919222954220301</v>
      </c>
      <c r="KU23" s="363">
        <f t="shared" ca="1" si="252"/>
        <v>1.484463264098498</v>
      </c>
      <c r="KV23" s="363">
        <f t="shared" ca="1" si="252"/>
        <v>1.2863556429627152</v>
      </c>
      <c r="KW23" s="363">
        <f t="shared" ca="1" si="252"/>
        <v>1.4267238373681019</v>
      </c>
      <c r="KX23" s="363">
        <f t="shared" ca="1" si="252"/>
        <v>1.3420046861020611</v>
      </c>
      <c r="KY23" s="363">
        <f t="shared" ca="1" si="252"/>
        <v>1.3229602259360136</v>
      </c>
      <c r="KZ23" s="363">
        <f t="shared" ca="1" si="252"/>
        <v>1.4416585857763182</v>
      </c>
      <c r="LA23" s="363">
        <f ca="1">_xlfn.LOGNORM.INV(RAND(),$I$23,$J$23)</f>
        <v>1.364547400758179</v>
      </c>
      <c r="LB23" s="363">
        <f t="shared" ref="LB23:NM23" ca="1" si="253">_xlfn.LOGNORM.INV(RAND(),$I$23,$J$23)</f>
        <v>1.3817994257773345</v>
      </c>
      <c r="LC23" s="363">
        <f t="shared" ca="1" si="253"/>
        <v>1.288066468532173</v>
      </c>
      <c r="LD23" s="363">
        <f t="shared" ca="1" si="253"/>
        <v>1.4445880465193612</v>
      </c>
      <c r="LE23" s="363">
        <f t="shared" ca="1" si="253"/>
        <v>1.3004112742639864</v>
      </c>
      <c r="LF23" s="363">
        <f t="shared" ca="1" si="253"/>
        <v>1.335495879498753</v>
      </c>
      <c r="LG23" s="363">
        <f t="shared" ca="1" si="253"/>
        <v>1.3253677434951905</v>
      </c>
      <c r="LH23" s="363">
        <f t="shared" ca="1" si="253"/>
        <v>1.4536130885662892</v>
      </c>
      <c r="LI23" s="363">
        <f t="shared" ca="1" si="253"/>
        <v>1.4239179119959022</v>
      </c>
      <c r="LJ23" s="363">
        <f t="shared" ca="1" si="253"/>
        <v>1.3806627829388955</v>
      </c>
      <c r="LK23" s="363">
        <f t="shared" ca="1" si="253"/>
        <v>1.3768021774250954</v>
      </c>
      <c r="LL23" s="363">
        <f t="shared" ca="1" si="253"/>
        <v>1.3759583129624142</v>
      </c>
      <c r="LM23" s="363">
        <f t="shared" ca="1" si="253"/>
        <v>1.3528908273186631</v>
      </c>
      <c r="LN23" s="363">
        <f t="shared" ca="1" si="253"/>
        <v>1.3660440882489524</v>
      </c>
      <c r="LO23" s="363">
        <f t="shared" ca="1" si="253"/>
        <v>1.3716444314763756</v>
      </c>
      <c r="LP23" s="363">
        <f t="shared" ca="1" si="253"/>
        <v>1.4270691775901487</v>
      </c>
      <c r="LQ23" s="363">
        <f t="shared" ca="1" si="253"/>
        <v>1.3904267870213911</v>
      </c>
      <c r="LR23" s="363">
        <f t="shared" ca="1" si="253"/>
        <v>1.3816733164771022</v>
      </c>
      <c r="LS23" s="363">
        <f t="shared" ca="1" si="253"/>
        <v>1.5013424380654863</v>
      </c>
      <c r="LT23" s="363">
        <f t="shared" ca="1" si="253"/>
        <v>1.3201801870620165</v>
      </c>
      <c r="LU23" s="363">
        <f t="shared" ca="1" si="253"/>
        <v>1.2738957055037288</v>
      </c>
      <c r="LV23" s="363">
        <f t="shared" ca="1" si="253"/>
        <v>1.3920896820084827</v>
      </c>
      <c r="LW23" s="363">
        <f t="shared" ca="1" si="253"/>
        <v>1.4310092394486749</v>
      </c>
      <c r="LX23" s="363">
        <f t="shared" ca="1" si="253"/>
        <v>1.3409995630899771</v>
      </c>
      <c r="LY23" s="363">
        <f t="shared" ca="1" si="253"/>
        <v>1.3273409625100456</v>
      </c>
      <c r="LZ23" s="363">
        <f t="shared" ca="1" si="253"/>
        <v>1.5011587137006472</v>
      </c>
      <c r="MA23" s="363">
        <f t="shared" ca="1" si="253"/>
        <v>1.4486535181711158</v>
      </c>
      <c r="MB23" s="363">
        <f t="shared" ca="1" si="253"/>
        <v>1.4136108026497167</v>
      </c>
      <c r="MC23" s="363">
        <f t="shared" ca="1" si="253"/>
        <v>1.2156552918064154</v>
      </c>
      <c r="MD23" s="363">
        <f t="shared" ca="1" si="253"/>
        <v>1.3561429181157119</v>
      </c>
      <c r="ME23" s="363">
        <f t="shared" ca="1" si="253"/>
        <v>1.281487739687853</v>
      </c>
      <c r="MF23" s="363">
        <f t="shared" ca="1" si="253"/>
        <v>1.4395155296912772</v>
      </c>
      <c r="MG23" s="363">
        <f t="shared" ca="1" si="253"/>
        <v>1.387839570406447</v>
      </c>
      <c r="MH23" s="363">
        <f t="shared" ca="1" si="253"/>
        <v>1.3369124437286155</v>
      </c>
      <c r="MI23" s="363">
        <f t="shared" ca="1" si="253"/>
        <v>1.3996496681187085</v>
      </c>
      <c r="MJ23" s="363">
        <f t="shared" ca="1" si="253"/>
        <v>1.3778084628095448</v>
      </c>
      <c r="MK23" s="363">
        <f t="shared" ca="1" si="253"/>
        <v>1.2315597887720111</v>
      </c>
      <c r="ML23" s="363">
        <f t="shared" ca="1" si="253"/>
        <v>1.3812734378678706</v>
      </c>
      <c r="MM23" s="363">
        <f t="shared" ca="1" si="253"/>
        <v>1.4105713276444536</v>
      </c>
      <c r="MN23" s="363">
        <f t="shared" ca="1" si="253"/>
        <v>1.3734818900295438</v>
      </c>
      <c r="MO23" s="363">
        <f t="shared" ca="1" si="253"/>
        <v>1.22185806831577</v>
      </c>
      <c r="MP23" s="363">
        <f t="shared" ca="1" si="253"/>
        <v>1.3751578272627163</v>
      </c>
      <c r="MQ23" s="363">
        <f t="shared" ca="1" si="253"/>
        <v>1.280907417903812</v>
      </c>
      <c r="MR23" s="363">
        <f t="shared" ca="1" si="253"/>
        <v>1.3977888738488251</v>
      </c>
      <c r="MS23" s="363">
        <f t="shared" ca="1" si="253"/>
        <v>1.2173495480428762</v>
      </c>
      <c r="MT23" s="363">
        <f t="shared" ca="1" si="253"/>
        <v>1.3785928008780663</v>
      </c>
      <c r="MU23" s="363">
        <f t="shared" ca="1" si="253"/>
        <v>1.3537577366600426</v>
      </c>
      <c r="MV23" s="363">
        <f t="shared" ca="1" si="253"/>
        <v>1.3749463314908148</v>
      </c>
      <c r="MW23" s="363">
        <f t="shared" ca="1" si="253"/>
        <v>1.4017636183807365</v>
      </c>
      <c r="MX23" s="363">
        <f t="shared" ca="1" si="253"/>
        <v>1.3609369752490921</v>
      </c>
      <c r="MY23" s="363">
        <f t="shared" ca="1" si="253"/>
        <v>1.2796678262730625</v>
      </c>
      <c r="MZ23" s="363">
        <f t="shared" ca="1" si="253"/>
        <v>1.3092717872121851</v>
      </c>
      <c r="NA23" s="363">
        <f t="shared" ca="1" si="253"/>
        <v>1.3648106090430885</v>
      </c>
      <c r="NB23" s="363">
        <f t="shared" ca="1" si="253"/>
        <v>1.2575168480345928</v>
      </c>
      <c r="NC23" s="363">
        <f t="shared" ca="1" si="253"/>
        <v>1.483907434897948</v>
      </c>
      <c r="ND23" s="363">
        <f t="shared" ca="1" si="253"/>
        <v>1.3321176734956208</v>
      </c>
      <c r="NE23" s="363">
        <f t="shared" ca="1" si="253"/>
        <v>1.3759718581797153</v>
      </c>
      <c r="NF23" s="363">
        <f t="shared" ca="1" si="253"/>
        <v>1.2778453163134018</v>
      </c>
      <c r="NG23" s="363">
        <f t="shared" ca="1" si="253"/>
        <v>1.4294513436849763</v>
      </c>
      <c r="NH23" s="363">
        <f t="shared" ca="1" si="253"/>
        <v>1.4805094632419817</v>
      </c>
      <c r="NI23" s="363">
        <f t="shared" ca="1" si="253"/>
        <v>1.3713370324738257</v>
      </c>
      <c r="NJ23" s="363">
        <f t="shared" ca="1" si="253"/>
        <v>1.4662565657136466</v>
      </c>
      <c r="NK23" s="363">
        <f t="shared" ca="1" si="253"/>
        <v>1.4051822824517557</v>
      </c>
      <c r="NL23" s="363">
        <f t="shared" ca="1" si="253"/>
        <v>1.3532641272909527</v>
      </c>
      <c r="NM23" s="363">
        <f t="shared" ca="1" si="253"/>
        <v>1.3115172473828982</v>
      </c>
      <c r="NN23" s="363">
        <f t="shared" ref="NN23:OV23" ca="1" si="254">_xlfn.LOGNORM.INV(RAND(),$I$23,$J$23)</f>
        <v>1.2742942228209255</v>
      </c>
      <c r="NO23" s="363">
        <f t="shared" ca="1" si="254"/>
        <v>1.3676659525260684</v>
      </c>
      <c r="NP23" s="363">
        <f t="shared" ca="1" si="254"/>
        <v>1.3338162702797851</v>
      </c>
      <c r="NQ23" s="363">
        <f t="shared" ca="1" si="254"/>
        <v>1.2769725380038488</v>
      </c>
      <c r="NR23" s="363">
        <f t="shared" ca="1" si="254"/>
        <v>1.471898887113315</v>
      </c>
      <c r="NS23" s="363">
        <f t="shared" ca="1" si="254"/>
        <v>1.236247007992</v>
      </c>
      <c r="NT23" s="363">
        <f t="shared" ca="1" si="254"/>
        <v>1.3875548775282425</v>
      </c>
      <c r="NU23" s="363">
        <f t="shared" ca="1" si="254"/>
        <v>1.3048790004984947</v>
      </c>
      <c r="NV23" s="363">
        <f t="shared" ca="1" si="254"/>
        <v>1.4192108869496687</v>
      </c>
      <c r="NW23" s="363">
        <f t="shared" ca="1" si="254"/>
        <v>1.3770657622837494</v>
      </c>
      <c r="NX23" s="363">
        <f t="shared" ca="1" si="254"/>
        <v>1.4264112108863223</v>
      </c>
      <c r="NY23" s="363">
        <f t="shared" ca="1" si="254"/>
        <v>1.3011819728470209</v>
      </c>
      <c r="NZ23" s="363">
        <f t="shared" ca="1" si="254"/>
        <v>1.4621291706738888</v>
      </c>
      <c r="OA23" s="363">
        <f t="shared" ca="1" si="254"/>
        <v>1.3012026466784787</v>
      </c>
      <c r="OB23" s="363">
        <f t="shared" ca="1" si="254"/>
        <v>1.3999555131673713</v>
      </c>
      <c r="OC23" s="363">
        <f t="shared" ca="1" si="254"/>
        <v>1.3597642888461432</v>
      </c>
      <c r="OD23" s="363">
        <f t="shared" ca="1" si="254"/>
        <v>1.4448816736745518</v>
      </c>
      <c r="OE23" s="363">
        <f t="shared" ca="1" si="254"/>
        <v>1.4034248579828625</v>
      </c>
      <c r="OF23" s="363">
        <f t="shared" ca="1" si="254"/>
        <v>1.3238235173717341</v>
      </c>
      <c r="OG23" s="363">
        <f t="shared" ca="1" si="254"/>
        <v>1.3360889254900663</v>
      </c>
      <c r="OH23" s="363">
        <f t="shared" ca="1" si="254"/>
        <v>1.3186366344183145</v>
      </c>
      <c r="OI23" s="363">
        <f t="shared" ca="1" si="254"/>
        <v>1.4467251784897908</v>
      </c>
      <c r="OJ23" s="363">
        <f t="shared" ca="1" si="254"/>
        <v>1.2665700375720665</v>
      </c>
      <c r="OK23" s="363">
        <f t="shared" ca="1" si="254"/>
        <v>1.4071802965669613</v>
      </c>
      <c r="OL23" s="363">
        <f t="shared" ca="1" si="254"/>
        <v>1.317593430311812</v>
      </c>
      <c r="OM23" s="363">
        <f t="shared" ca="1" si="254"/>
        <v>1.3905084447186318</v>
      </c>
      <c r="ON23" s="363">
        <f t="shared" ca="1" si="254"/>
        <v>1.2928794229100906</v>
      </c>
      <c r="OO23" s="363">
        <f t="shared" ca="1" si="254"/>
        <v>1.3147643568571261</v>
      </c>
      <c r="OP23" s="363">
        <f t="shared" ca="1" si="254"/>
        <v>1.4503470802696719</v>
      </c>
      <c r="OQ23" s="363">
        <f t="shared" ca="1" si="254"/>
        <v>1.3961616833638528</v>
      </c>
      <c r="OR23" s="363">
        <f t="shared" ca="1" si="254"/>
        <v>1.3370878290144217</v>
      </c>
      <c r="OS23" s="363">
        <f t="shared" ca="1" si="254"/>
        <v>1.4011809558555202</v>
      </c>
      <c r="OT23" s="363">
        <f t="shared" ca="1" si="254"/>
        <v>1.4777570913348488</v>
      </c>
      <c r="OU23" s="363">
        <f t="shared" ca="1" si="254"/>
        <v>1.383859423865015</v>
      </c>
      <c r="OV23" s="363">
        <f t="shared" ca="1" si="254"/>
        <v>1.3498364367007285</v>
      </c>
      <c r="OW23" s="363">
        <f ca="1">_xlfn.LOGNORM.INV(RAND(),$I$23,$J$23)</f>
        <v>1.3669045610740755</v>
      </c>
      <c r="OX23" s="363">
        <f t="shared" ref="OX23:RI23" ca="1" si="255">_xlfn.LOGNORM.INV(RAND(),$I$23,$J$23)</f>
        <v>1.4362011499353533</v>
      </c>
      <c r="OY23" s="363">
        <f t="shared" ca="1" si="255"/>
        <v>1.4128110334564381</v>
      </c>
      <c r="OZ23" s="363">
        <f t="shared" ca="1" si="255"/>
        <v>1.2617052505727939</v>
      </c>
      <c r="PA23" s="363">
        <f t="shared" ca="1" si="255"/>
        <v>1.3164210398007457</v>
      </c>
      <c r="PB23" s="363">
        <f t="shared" ca="1" si="255"/>
        <v>1.2666150511968546</v>
      </c>
      <c r="PC23" s="363">
        <f t="shared" ca="1" si="255"/>
        <v>1.4063836970692976</v>
      </c>
      <c r="PD23" s="363">
        <f t="shared" ca="1" si="255"/>
        <v>1.3393240301848324</v>
      </c>
      <c r="PE23" s="363">
        <f t="shared" ca="1" si="255"/>
        <v>1.3518102717061309</v>
      </c>
      <c r="PF23" s="363">
        <f t="shared" ca="1" si="255"/>
        <v>1.2648632286380657</v>
      </c>
      <c r="PG23" s="363">
        <f t="shared" ca="1" si="255"/>
        <v>1.4449409236677708</v>
      </c>
      <c r="PH23" s="363">
        <f t="shared" ca="1" si="255"/>
        <v>1.3788036953151201</v>
      </c>
      <c r="PI23" s="363">
        <f t="shared" ca="1" si="255"/>
        <v>1.3032750832589812</v>
      </c>
      <c r="PJ23" s="363">
        <f t="shared" ca="1" si="255"/>
        <v>1.2111139347414235</v>
      </c>
      <c r="PK23" s="363">
        <f t="shared" ca="1" si="255"/>
        <v>1.4490930743337354</v>
      </c>
      <c r="PL23" s="363">
        <f t="shared" ca="1" si="255"/>
        <v>1.2689564564740681</v>
      </c>
      <c r="PM23" s="363">
        <f t="shared" ca="1" si="255"/>
        <v>1.3506998902460177</v>
      </c>
      <c r="PN23" s="363">
        <f t="shared" ca="1" si="255"/>
        <v>1.4402898769200587</v>
      </c>
      <c r="PO23" s="363">
        <f t="shared" ca="1" si="255"/>
        <v>1.3940968087296657</v>
      </c>
      <c r="PP23" s="363">
        <f t="shared" ca="1" si="255"/>
        <v>1.3511433533085533</v>
      </c>
      <c r="PQ23" s="363">
        <f t="shared" ca="1" si="255"/>
        <v>1.3776051639303732</v>
      </c>
      <c r="PR23" s="363">
        <f t="shared" ca="1" si="255"/>
        <v>1.190811658267716</v>
      </c>
      <c r="PS23" s="363">
        <f t="shared" ca="1" si="255"/>
        <v>1.4520386112147989</v>
      </c>
      <c r="PT23" s="363">
        <f t="shared" ca="1" si="255"/>
        <v>1.3367988139288376</v>
      </c>
      <c r="PU23" s="363">
        <f t="shared" ca="1" si="255"/>
        <v>1.2790683266217064</v>
      </c>
      <c r="PV23" s="363">
        <f t="shared" ca="1" si="255"/>
        <v>1.4341388172500358</v>
      </c>
      <c r="PW23" s="363">
        <f t="shared" ca="1" si="255"/>
        <v>1.3405225331818258</v>
      </c>
      <c r="PX23" s="363">
        <f t="shared" ca="1" si="255"/>
        <v>1.3902405729108822</v>
      </c>
      <c r="PY23" s="363">
        <f t="shared" ca="1" si="255"/>
        <v>1.3333564543835603</v>
      </c>
      <c r="PZ23" s="363">
        <f t="shared" ca="1" si="255"/>
        <v>1.4761484769489746</v>
      </c>
      <c r="QA23" s="363">
        <f t="shared" ca="1" si="255"/>
        <v>1.2929524364954412</v>
      </c>
      <c r="QB23" s="363">
        <f t="shared" ca="1" si="255"/>
        <v>1.3549359027247903</v>
      </c>
      <c r="QC23" s="363">
        <f t="shared" ca="1" si="255"/>
        <v>1.4809042315581924</v>
      </c>
      <c r="QD23" s="363">
        <f t="shared" ca="1" si="255"/>
        <v>1.346923568702262</v>
      </c>
      <c r="QE23" s="363">
        <f t="shared" ca="1" si="255"/>
        <v>1.3636131604827746</v>
      </c>
      <c r="QF23" s="363">
        <f t="shared" ca="1" si="255"/>
        <v>1.4844253389731841</v>
      </c>
      <c r="QG23" s="363">
        <f t="shared" ca="1" si="255"/>
        <v>1.3586733636779247</v>
      </c>
      <c r="QH23" s="363">
        <f t="shared" ca="1" si="255"/>
        <v>1.3729684300156664</v>
      </c>
      <c r="QI23" s="363">
        <f t="shared" ca="1" si="255"/>
        <v>1.2462595323261993</v>
      </c>
      <c r="QJ23" s="363">
        <f t="shared" ca="1" si="255"/>
        <v>1.3515422957168568</v>
      </c>
      <c r="QK23" s="363">
        <f t="shared" ca="1" si="255"/>
        <v>1.3213946168133091</v>
      </c>
      <c r="QL23" s="363">
        <f t="shared" ca="1" si="255"/>
        <v>1.4926050837842439</v>
      </c>
      <c r="QM23" s="363">
        <f t="shared" ca="1" si="255"/>
        <v>1.4040440182848746</v>
      </c>
      <c r="QN23" s="363">
        <f t="shared" ca="1" si="255"/>
        <v>1.3096513126379292</v>
      </c>
      <c r="QO23" s="363">
        <f t="shared" ca="1" si="255"/>
        <v>1.4217521307204393</v>
      </c>
      <c r="QP23" s="363">
        <f t="shared" ca="1" si="255"/>
        <v>1.3984512874460735</v>
      </c>
      <c r="QQ23" s="363">
        <f t="shared" ca="1" si="255"/>
        <v>1.2471847808048382</v>
      </c>
      <c r="QR23" s="363">
        <f t="shared" ca="1" si="255"/>
        <v>1.3288924989135584</v>
      </c>
      <c r="QS23" s="363">
        <f t="shared" ca="1" si="255"/>
        <v>1.3493117586397911</v>
      </c>
      <c r="QT23" s="363">
        <f t="shared" ca="1" si="255"/>
        <v>1.3218828796397375</v>
      </c>
      <c r="QU23" s="363">
        <f t="shared" ca="1" si="255"/>
        <v>1.2560256443720448</v>
      </c>
      <c r="QV23" s="363">
        <f t="shared" ca="1" si="255"/>
        <v>1.2701838290397662</v>
      </c>
      <c r="QW23" s="363">
        <f t="shared" ca="1" si="255"/>
        <v>1.3040354616283987</v>
      </c>
      <c r="QX23" s="363">
        <f t="shared" ca="1" si="255"/>
        <v>1.3100955095662885</v>
      </c>
      <c r="QY23" s="363">
        <f t="shared" ca="1" si="255"/>
        <v>1.3505000997031624</v>
      </c>
      <c r="QZ23" s="363">
        <f t="shared" ca="1" si="255"/>
        <v>1.4037197032194142</v>
      </c>
      <c r="RA23" s="363">
        <f t="shared" ca="1" si="255"/>
        <v>1.3659420114633729</v>
      </c>
      <c r="RB23" s="363">
        <f t="shared" ca="1" si="255"/>
        <v>1.343941560753197</v>
      </c>
      <c r="RC23" s="363">
        <f t="shared" ca="1" si="255"/>
        <v>1.2322345587677994</v>
      </c>
      <c r="RD23" s="363">
        <f t="shared" ca="1" si="255"/>
        <v>1.2621923524086784</v>
      </c>
      <c r="RE23" s="363">
        <f t="shared" ca="1" si="255"/>
        <v>1.3521746485444583</v>
      </c>
      <c r="RF23" s="363">
        <f t="shared" ca="1" si="255"/>
        <v>1.4288923812384091</v>
      </c>
      <c r="RG23" s="363">
        <f t="shared" ca="1" si="255"/>
        <v>1.464141345449727</v>
      </c>
      <c r="RH23" s="363">
        <f t="shared" ca="1" si="255"/>
        <v>1.3228134971831524</v>
      </c>
      <c r="RI23" s="363">
        <f t="shared" ca="1" si="255"/>
        <v>1.2303610831373153</v>
      </c>
      <c r="RJ23" s="363">
        <f t="shared" ref="RJ23:SR23" ca="1" si="256">_xlfn.LOGNORM.INV(RAND(),$I$23,$J$23)</f>
        <v>1.3976064265780692</v>
      </c>
      <c r="RK23" s="363">
        <f t="shared" ca="1" si="256"/>
        <v>1.4146784428784327</v>
      </c>
      <c r="RL23" s="363">
        <f t="shared" ca="1" si="256"/>
        <v>1.4228971014180005</v>
      </c>
      <c r="RM23" s="363">
        <f t="shared" ca="1" si="256"/>
        <v>1.2225705849091746</v>
      </c>
      <c r="RN23" s="363">
        <f t="shared" ca="1" si="256"/>
        <v>1.4980683221591626</v>
      </c>
      <c r="RO23" s="363">
        <f t="shared" ca="1" si="256"/>
        <v>1.3479304703625805</v>
      </c>
      <c r="RP23" s="363">
        <f t="shared" ca="1" si="256"/>
        <v>1.2912776457501833</v>
      </c>
      <c r="RQ23" s="363">
        <f t="shared" ca="1" si="256"/>
        <v>1.3051672125658629</v>
      </c>
      <c r="RR23" s="363">
        <f t="shared" ca="1" si="256"/>
        <v>1.3921392645498638</v>
      </c>
      <c r="RS23" s="363">
        <f t="shared" ca="1" si="256"/>
        <v>1.3389152725898077</v>
      </c>
      <c r="RT23" s="363">
        <f t="shared" ca="1" si="256"/>
        <v>1.379731103524092</v>
      </c>
      <c r="RU23" s="363">
        <f t="shared" ca="1" si="256"/>
        <v>1.3927296331335457</v>
      </c>
      <c r="RV23" s="363">
        <f t="shared" ca="1" si="256"/>
        <v>1.3707211287488936</v>
      </c>
      <c r="RW23" s="363">
        <f t="shared" ca="1" si="256"/>
        <v>1.3516568287699255</v>
      </c>
      <c r="RX23" s="363">
        <f t="shared" ca="1" si="256"/>
        <v>1.31241874804727</v>
      </c>
      <c r="RY23" s="363">
        <f t="shared" ca="1" si="256"/>
        <v>1.2610688526015501</v>
      </c>
      <c r="RZ23" s="363">
        <f t="shared" ca="1" si="256"/>
        <v>1.2790459012307265</v>
      </c>
      <c r="SA23" s="363">
        <f t="shared" ca="1" si="256"/>
        <v>1.3457321037680998</v>
      </c>
      <c r="SB23" s="363">
        <f t="shared" ca="1" si="256"/>
        <v>1.3591625868941664</v>
      </c>
      <c r="SC23" s="363">
        <f t="shared" ca="1" si="256"/>
        <v>1.4466950000255472</v>
      </c>
      <c r="SD23" s="363">
        <f t="shared" ca="1" si="256"/>
        <v>1.391776598995867</v>
      </c>
      <c r="SE23" s="363">
        <f t="shared" ca="1" si="256"/>
        <v>1.3663734787222082</v>
      </c>
      <c r="SF23" s="363">
        <f t="shared" ca="1" si="256"/>
        <v>1.3067870977228222</v>
      </c>
      <c r="SG23" s="363">
        <f t="shared" ca="1" si="256"/>
        <v>1.2955871208624068</v>
      </c>
      <c r="SH23" s="363">
        <f t="shared" ca="1" si="256"/>
        <v>1.2451830440983993</v>
      </c>
      <c r="SI23" s="363">
        <f t="shared" ca="1" si="256"/>
        <v>1.4157104173298607</v>
      </c>
      <c r="SJ23" s="363">
        <f t="shared" ca="1" si="256"/>
        <v>1.4639826194823378</v>
      </c>
      <c r="SK23" s="363">
        <f t="shared" ca="1" si="256"/>
        <v>1.312494140350976</v>
      </c>
      <c r="SL23" s="363">
        <f t="shared" ca="1" si="256"/>
        <v>1.3368396792069226</v>
      </c>
      <c r="SM23" s="363">
        <f t="shared" ca="1" si="256"/>
        <v>1.4138310101712046</v>
      </c>
      <c r="SN23" s="363">
        <f t="shared" ca="1" si="256"/>
        <v>1.3247166766969003</v>
      </c>
      <c r="SO23" s="363">
        <f t="shared" ca="1" si="256"/>
        <v>1.4418264569996837</v>
      </c>
      <c r="SP23" s="363">
        <f t="shared" ca="1" si="256"/>
        <v>1.3372393447164526</v>
      </c>
      <c r="SQ23" s="363">
        <f t="shared" ca="1" si="256"/>
        <v>1.339867360773378</v>
      </c>
      <c r="SR23" s="363">
        <f t="shared" ca="1" si="256"/>
        <v>1.3990159827691548</v>
      </c>
      <c r="SS23" s="363">
        <f ca="1">_xlfn.LOGNORM.INV(RAND(),$I$23,$J$23)</f>
        <v>1.4146147258887218</v>
      </c>
      <c r="ST23" s="363">
        <f t="shared" ref="ST23:VE23" ca="1" si="257">_xlfn.LOGNORM.INV(RAND(),$I$23,$J$23)</f>
        <v>1.1990516847907355</v>
      </c>
      <c r="SU23" s="363">
        <f t="shared" ca="1" si="257"/>
        <v>1.3277005467207048</v>
      </c>
      <c r="SV23" s="363">
        <f t="shared" ca="1" si="257"/>
        <v>1.3871548713666111</v>
      </c>
      <c r="SW23" s="363">
        <f t="shared" ca="1" si="257"/>
        <v>1.3023148534518973</v>
      </c>
      <c r="SX23" s="363">
        <f t="shared" ca="1" si="257"/>
        <v>1.3969265801342059</v>
      </c>
      <c r="SY23" s="363">
        <f t="shared" ca="1" si="257"/>
        <v>1.2995144255073103</v>
      </c>
      <c r="SZ23" s="363">
        <f t="shared" ca="1" si="257"/>
        <v>1.260910947718322</v>
      </c>
      <c r="TA23" s="363">
        <f t="shared" ca="1" si="257"/>
        <v>1.3591821087497657</v>
      </c>
      <c r="TB23" s="363">
        <f t="shared" ca="1" si="257"/>
        <v>1.2446250284467271</v>
      </c>
      <c r="TC23" s="363">
        <f t="shared" ca="1" si="257"/>
        <v>1.3843507423673562</v>
      </c>
      <c r="TD23" s="363">
        <f t="shared" ca="1" si="257"/>
        <v>1.5231101455155864</v>
      </c>
      <c r="TE23" s="363">
        <f t="shared" ca="1" si="257"/>
        <v>1.2965712146452084</v>
      </c>
      <c r="TF23" s="363">
        <f t="shared" ca="1" si="257"/>
        <v>1.3264468761520716</v>
      </c>
      <c r="TG23" s="363">
        <f t="shared" ca="1" si="257"/>
        <v>1.3109407723419306</v>
      </c>
      <c r="TH23" s="363">
        <f t="shared" ca="1" si="257"/>
        <v>1.4090764417335706</v>
      </c>
      <c r="TI23" s="363">
        <f t="shared" ca="1" si="257"/>
        <v>1.3894691232029366</v>
      </c>
      <c r="TJ23" s="363">
        <f t="shared" ca="1" si="257"/>
        <v>1.3730295551746381</v>
      </c>
      <c r="TK23" s="363">
        <f t="shared" ca="1" si="257"/>
        <v>1.3115967818943901</v>
      </c>
      <c r="TL23" s="363">
        <f t="shared" ca="1" si="257"/>
        <v>1.4371246150796686</v>
      </c>
      <c r="TM23" s="363">
        <f t="shared" ca="1" si="257"/>
        <v>1.2833235744955447</v>
      </c>
      <c r="TN23" s="363">
        <f t="shared" ca="1" si="257"/>
        <v>1.3412686352990568</v>
      </c>
      <c r="TO23" s="363">
        <f t="shared" ca="1" si="257"/>
        <v>1.4307485476630357</v>
      </c>
      <c r="TP23" s="363">
        <f t="shared" ca="1" si="257"/>
        <v>1.3337892285993296</v>
      </c>
      <c r="TQ23" s="363">
        <f t="shared" ca="1" si="257"/>
        <v>1.3077293201730391</v>
      </c>
      <c r="TR23" s="363">
        <f t="shared" ca="1" si="257"/>
        <v>1.3521005649666882</v>
      </c>
      <c r="TS23" s="363">
        <f t="shared" ca="1" si="257"/>
        <v>1.3784839764125605</v>
      </c>
      <c r="TT23" s="363">
        <f t="shared" ca="1" si="257"/>
        <v>1.309121867246456</v>
      </c>
      <c r="TU23" s="363">
        <f t="shared" ca="1" si="257"/>
        <v>1.2679020635862122</v>
      </c>
      <c r="TV23" s="363">
        <f t="shared" ca="1" si="257"/>
        <v>1.4275857515281962</v>
      </c>
      <c r="TW23" s="363">
        <f t="shared" ca="1" si="257"/>
        <v>1.4165781818932126</v>
      </c>
      <c r="TX23" s="363">
        <f t="shared" ca="1" si="257"/>
        <v>1.3078466137572367</v>
      </c>
      <c r="TY23" s="363">
        <f t="shared" ca="1" si="257"/>
        <v>1.170403192356215</v>
      </c>
      <c r="TZ23" s="363">
        <f t="shared" ca="1" si="257"/>
        <v>1.2603818244125109</v>
      </c>
      <c r="UA23" s="363">
        <f t="shared" ca="1" si="257"/>
        <v>1.3201001231467648</v>
      </c>
      <c r="UB23" s="363">
        <f t="shared" ca="1" si="257"/>
        <v>1.2867557543239101</v>
      </c>
      <c r="UC23" s="363">
        <f t="shared" ca="1" si="257"/>
        <v>1.3132248277985197</v>
      </c>
      <c r="UD23" s="363">
        <f t="shared" ca="1" si="257"/>
        <v>1.4532661760647991</v>
      </c>
      <c r="UE23" s="363">
        <f t="shared" ca="1" si="257"/>
        <v>1.3028840679781115</v>
      </c>
      <c r="UF23" s="363">
        <f t="shared" ca="1" si="257"/>
        <v>1.2940612374914928</v>
      </c>
      <c r="UG23" s="363">
        <f t="shared" ca="1" si="257"/>
        <v>1.4313445558744264</v>
      </c>
      <c r="UH23" s="363">
        <f t="shared" ca="1" si="257"/>
        <v>1.3951365723535305</v>
      </c>
      <c r="UI23" s="363">
        <f t="shared" ca="1" si="257"/>
        <v>1.3757581203123324</v>
      </c>
      <c r="UJ23" s="363">
        <f t="shared" ca="1" si="257"/>
        <v>1.3585607345478343</v>
      </c>
      <c r="UK23" s="363">
        <f t="shared" ca="1" si="257"/>
        <v>1.2742438047780553</v>
      </c>
      <c r="UL23" s="363">
        <f t="shared" ca="1" si="257"/>
        <v>1.365059578247823</v>
      </c>
      <c r="UM23" s="363">
        <f t="shared" ca="1" si="257"/>
        <v>1.3702391137789258</v>
      </c>
      <c r="UN23" s="363">
        <f t="shared" ca="1" si="257"/>
        <v>1.3386736373689712</v>
      </c>
      <c r="UO23" s="363">
        <f t="shared" ca="1" si="257"/>
        <v>1.4180643571615801</v>
      </c>
      <c r="UP23" s="363">
        <f t="shared" ca="1" si="257"/>
        <v>1.3388469444260724</v>
      </c>
      <c r="UQ23" s="363">
        <f t="shared" ca="1" si="257"/>
        <v>1.3454216208915262</v>
      </c>
      <c r="UR23" s="363">
        <f t="shared" ca="1" si="257"/>
        <v>1.3227764677846492</v>
      </c>
      <c r="US23" s="363">
        <f t="shared" ca="1" si="257"/>
        <v>1.3920633042065114</v>
      </c>
      <c r="UT23" s="363">
        <f t="shared" ca="1" si="257"/>
        <v>1.2576582897935167</v>
      </c>
      <c r="UU23" s="363">
        <f t="shared" ca="1" si="257"/>
        <v>1.4743402180618244</v>
      </c>
      <c r="UV23" s="363">
        <f t="shared" ca="1" si="257"/>
        <v>1.3090513820983269</v>
      </c>
      <c r="UW23" s="363">
        <f t="shared" ca="1" si="257"/>
        <v>1.3188421384913394</v>
      </c>
      <c r="UX23" s="363">
        <f t="shared" ca="1" si="257"/>
        <v>1.3260308087499992</v>
      </c>
      <c r="UY23" s="363">
        <f t="shared" ca="1" si="257"/>
        <v>1.3896146558160312</v>
      </c>
      <c r="UZ23" s="363">
        <f t="shared" ca="1" si="257"/>
        <v>1.2852121732912274</v>
      </c>
      <c r="VA23" s="363">
        <f t="shared" ca="1" si="257"/>
        <v>1.3830558025094783</v>
      </c>
      <c r="VB23" s="363">
        <f t="shared" ca="1" si="257"/>
        <v>1.3274418162946349</v>
      </c>
      <c r="VC23" s="363">
        <f t="shared" ca="1" si="257"/>
        <v>1.4145118267450201</v>
      </c>
      <c r="VD23" s="363">
        <f t="shared" ca="1" si="257"/>
        <v>1.4158528642179391</v>
      </c>
      <c r="VE23" s="363">
        <f t="shared" ca="1" si="257"/>
        <v>1.3920705777947682</v>
      </c>
      <c r="VF23" s="363">
        <f t="shared" ref="VF23:WN23" ca="1" si="258">_xlfn.LOGNORM.INV(RAND(),$I$23,$J$23)</f>
        <v>1.2405912526246738</v>
      </c>
      <c r="VG23" s="363">
        <f t="shared" ca="1" si="258"/>
        <v>1.303773663730093</v>
      </c>
      <c r="VH23" s="363">
        <f t="shared" ca="1" si="258"/>
        <v>1.353480916929519</v>
      </c>
      <c r="VI23" s="363">
        <f t="shared" ca="1" si="258"/>
        <v>1.3946858339641732</v>
      </c>
      <c r="VJ23" s="363">
        <f t="shared" ca="1" si="258"/>
        <v>1.6195157668113815</v>
      </c>
      <c r="VK23" s="363">
        <f t="shared" ca="1" si="258"/>
        <v>1.4388060911942102</v>
      </c>
      <c r="VL23" s="363">
        <f t="shared" ca="1" si="258"/>
        <v>1.3567632279866475</v>
      </c>
      <c r="VM23" s="363">
        <f t="shared" ca="1" si="258"/>
        <v>1.3465296743780844</v>
      </c>
      <c r="VN23" s="363">
        <f t="shared" ca="1" si="258"/>
        <v>1.3299104266491937</v>
      </c>
      <c r="VO23" s="363">
        <f t="shared" ca="1" si="258"/>
        <v>1.4519539093515954</v>
      </c>
      <c r="VP23" s="363">
        <f t="shared" ca="1" si="258"/>
        <v>1.4052712008155772</v>
      </c>
      <c r="VQ23" s="363">
        <f t="shared" ca="1" si="258"/>
        <v>1.3749162546706666</v>
      </c>
      <c r="VR23" s="363">
        <f t="shared" ca="1" si="258"/>
        <v>1.3049873282295459</v>
      </c>
      <c r="VS23" s="363">
        <f t="shared" ca="1" si="258"/>
        <v>1.3398505275062034</v>
      </c>
      <c r="VT23" s="363">
        <f t="shared" ca="1" si="258"/>
        <v>1.2621930870640736</v>
      </c>
      <c r="VU23" s="363">
        <f t="shared" ca="1" si="258"/>
        <v>1.3575924170762439</v>
      </c>
      <c r="VV23" s="363">
        <f t="shared" ca="1" si="258"/>
        <v>1.3538317908498749</v>
      </c>
      <c r="VW23" s="363">
        <f t="shared" ca="1" si="258"/>
        <v>1.5024578973525209</v>
      </c>
      <c r="VX23" s="363">
        <f t="shared" ca="1" si="258"/>
        <v>1.3200004022682859</v>
      </c>
      <c r="VY23" s="363">
        <f t="shared" ca="1" si="258"/>
        <v>1.2792871973544531</v>
      </c>
      <c r="VZ23" s="363">
        <f t="shared" ca="1" si="258"/>
        <v>1.3803537270382786</v>
      </c>
      <c r="WA23" s="363">
        <f t="shared" ca="1" si="258"/>
        <v>1.3553809934557246</v>
      </c>
      <c r="WB23" s="363">
        <f t="shared" ca="1" si="258"/>
        <v>1.4403325880883053</v>
      </c>
      <c r="WC23" s="363">
        <f t="shared" ca="1" si="258"/>
        <v>1.3424133393861104</v>
      </c>
      <c r="WD23" s="363">
        <f t="shared" ca="1" si="258"/>
        <v>1.2790160435469453</v>
      </c>
      <c r="WE23" s="363">
        <f t="shared" ca="1" si="258"/>
        <v>1.3304706045185057</v>
      </c>
      <c r="WF23" s="363">
        <f t="shared" ca="1" si="258"/>
        <v>1.4221956541266616</v>
      </c>
      <c r="WG23" s="363">
        <f t="shared" ca="1" si="258"/>
        <v>1.3180242314446569</v>
      </c>
      <c r="WH23" s="363">
        <f t="shared" ca="1" si="258"/>
        <v>1.2553126882543835</v>
      </c>
      <c r="WI23" s="363">
        <f t="shared" ca="1" si="258"/>
        <v>1.4404761533986266</v>
      </c>
      <c r="WJ23" s="363">
        <f t="shared" ca="1" si="258"/>
        <v>1.3568857676043753</v>
      </c>
      <c r="WK23" s="363">
        <f t="shared" ca="1" si="258"/>
        <v>1.3003671265712191</v>
      </c>
      <c r="WL23" s="363">
        <f t="shared" ca="1" si="258"/>
        <v>1.4835953419710104</v>
      </c>
      <c r="WM23" s="363">
        <f t="shared" ca="1" si="258"/>
        <v>1.4074853480524079</v>
      </c>
      <c r="WN23" s="363">
        <f t="shared" ca="1" si="258"/>
        <v>1.3272697394555626</v>
      </c>
    </row>
    <row r="24" spans="2:612" x14ac:dyDescent="0.15">
      <c r="B24" s="469" t="s">
        <v>907</v>
      </c>
      <c r="D24" s="363">
        <f t="shared" si="0"/>
        <v>1</v>
      </c>
      <c r="F24" s="367">
        <v>1</v>
      </c>
      <c r="G24" s="367" t="s">
        <v>350</v>
      </c>
      <c r="H24" s="363">
        <v>9.616069841840387E-2</v>
      </c>
      <c r="I24" s="363">
        <f t="shared" si="197"/>
        <v>-4.6234399601576106E-3</v>
      </c>
      <c r="J24" s="367">
        <f t="shared" si="198"/>
        <v>9.593950835120886E-2</v>
      </c>
      <c r="K24" s="367" t="s">
        <v>1274</v>
      </c>
      <c r="M24" s="363">
        <f ca="1">_xlfn.LOGNORM.INV(RAND(),$I$24,$J$24)</f>
        <v>1.0812000243841187</v>
      </c>
      <c r="N24" s="363">
        <f t="shared" ref="N24:BY24" ca="1" si="259">_xlfn.LOGNORM.INV(RAND(),$I$24,$J$24)</f>
        <v>1.0399909419255506</v>
      </c>
      <c r="O24" s="363">
        <f t="shared" ca="1" si="259"/>
        <v>1.2079685717896083</v>
      </c>
      <c r="P24" s="363">
        <f t="shared" ca="1" si="259"/>
        <v>1.1676764108806648</v>
      </c>
      <c r="Q24" s="363">
        <f t="shared" ca="1" si="259"/>
        <v>0.96511109166053966</v>
      </c>
      <c r="R24" s="363">
        <f t="shared" ca="1" si="259"/>
        <v>0.93250393109947682</v>
      </c>
      <c r="S24" s="363">
        <f t="shared" ca="1" si="259"/>
        <v>0.9668512720890492</v>
      </c>
      <c r="T24" s="363">
        <f t="shared" ca="1" si="259"/>
        <v>0.89741309124550628</v>
      </c>
      <c r="U24" s="363">
        <f t="shared" ca="1" si="259"/>
        <v>1.0675533477909365</v>
      </c>
      <c r="V24" s="363">
        <f t="shared" ca="1" si="259"/>
        <v>0.89235856999256602</v>
      </c>
      <c r="W24" s="363">
        <f t="shared" ca="1" si="259"/>
        <v>0.80836109028623937</v>
      </c>
      <c r="X24" s="363">
        <f t="shared" ca="1" si="259"/>
        <v>0.99680035021266333</v>
      </c>
      <c r="Y24" s="363">
        <f t="shared" ca="1" si="259"/>
        <v>1.0582383939219608</v>
      </c>
      <c r="Z24" s="363">
        <f t="shared" ca="1" si="259"/>
        <v>0.93257358210064134</v>
      </c>
      <c r="AA24" s="363">
        <f t="shared" ca="1" si="259"/>
        <v>1.0510822092945677</v>
      </c>
      <c r="AB24" s="363">
        <f t="shared" ca="1" si="259"/>
        <v>0.91588298105374077</v>
      </c>
      <c r="AC24" s="363">
        <f t="shared" ca="1" si="259"/>
        <v>1.0445553738515709</v>
      </c>
      <c r="AD24" s="363">
        <f t="shared" ca="1" si="259"/>
        <v>1.0375778270042231</v>
      </c>
      <c r="AE24" s="363">
        <f t="shared" ca="1" si="259"/>
        <v>0.80940769745272512</v>
      </c>
      <c r="AF24" s="363">
        <f t="shared" ca="1" si="259"/>
        <v>1.0650144530067958</v>
      </c>
      <c r="AG24" s="363">
        <f t="shared" ca="1" si="259"/>
        <v>0.95394456313734166</v>
      </c>
      <c r="AH24" s="363">
        <f t="shared" ca="1" si="259"/>
        <v>0.98946294151905956</v>
      </c>
      <c r="AI24" s="363">
        <f t="shared" ca="1" si="259"/>
        <v>1.0387639810813121</v>
      </c>
      <c r="AJ24" s="363">
        <f t="shared" ca="1" si="259"/>
        <v>0.96381925085099263</v>
      </c>
      <c r="AK24" s="363">
        <f t="shared" ca="1" si="259"/>
        <v>1.0916885884949104</v>
      </c>
      <c r="AL24" s="363">
        <f t="shared" ca="1" si="259"/>
        <v>1.1021963352901307</v>
      </c>
      <c r="AM24" s="363">
        <f t="shared" ca="1" si="259"/>
        <v>1.033405535243509</v>
      </c>
      <c r="AN24" s="363">
        <f t="shared" ca="1" si="259"/>
        <v>1.1366355718502503</v>
      </c>
      <c r="AO24" s="363">
        <f t="shared" ca="1" si="259"/>
        <v>0.99057441256227641</v>
      </c>
      <c r="AP24" s="363">
        <f t="shared" ca="1" si="259"/>
        <v>0.9185591474285939</v>
      </c>
      <c r="AQ24" s="363">
        <f t="shared" ca="1" si="259"/>
        <v>0.94176715567122915</v>
      </c>
      <c r="AR24" s="363">
        <f t="shared" ca="1" si="259"/>
        <v>1.0883042012135189</v>
      </c>
      <c r="AS24" s="363">
        <f t="shared" ca="1" si="259"/>
        <v>0.99126925605023752</v>
      </c>
      <c r="AT24" s="363">
        <f t="shared" ca="1" si="259"/>
        <v>1.0049333497969648</v>
      </c>
      <c r="AU24" s="363">
        <f t="shared" ca="1" si="259"/>
        <v>0.99410672333487982</v>
      </c>
      <c r="AV24" s="363">
        <f t="shared" ca="1" si="259"/>
        <v>0.94751977562446132</v>
      </c>
      <c r="AW24" s="363">
        <f t="shared" ca="1" si="259"/>
        <v>1.056098999310241</v>
      </c>
      <c r="AX24" s="363">
        <f t="shared" ca="1" si="259"/>
        <v>1.0092141974027202</v>
      </c>
      <c r="AY24" s="363">
        <f t="shared" ca="1" si="259"/>
        <v>0.86490014247543323</v>
      </c>
      <c r="AZ24" s="363">
        <f t="shared" ca="1" si="259"/>
        <v>1.0274759732429801</v>
      </c>
      <c r="BA24" s="363">
        <f t="shared" ca="1" si="259"/>
        <v>0.88786808758430169</v>
      </c>
      <c r="BB24" s="363">
        <f t="shared" ca="1" si="259"/>
        <v>1.0640369007352981</v>
      </c>
      <c r="BC24" s="363">
        <f t="shared" ca="1" si="259"/>
        <v>1.0316497261914119</v>
      </c>
      <c r="BD24" s="363">
        <f t="shared" ca="1" si="259"/>
        <v>0.89019849207122759</v>
      </c>
      <c r="BE24" s="363">
        <f t="shared" ca="1" si="259"/>
        <v>0.84913163469058017</v>
      </c>
      <c r="BF24" s="363">
        <f t="shared" ca="1" si="259"/>
        <v>0.87208962596449402</v>
      </c>
      <c r="BG24" s="363">
        <f t="shared" ca="1" si="259"/>
        <v>0.955796341313077</v>
      </c>
      <c r="BH24" s="363">
        <f t="shared" ca="1" si="259"/>
        <v>0.9519227446601265</v>
      </c>
      <c r="BI24" s="363">
        <f t="shared" ca="1" si="259"/>
        <v>1.013198740280751</v>
      </c>
      <c r="BJ24" s="363">
        <f t="shared" ca="1" si="259"/>
        <v>0.84423119756509302</v>
      </c>
      <c r="BK24" s="363">
        <f t="shared" ca="1" si="259"/>
        <v>0.87814710249368633</v>
      </c>
      <c r="BL24" s="363">
        <f t="shared" ca="1" si="259"/>
        <v>0.94060274953273737</v>
      </c>
      <c r="BM24" s="363">
        <f t="shared" ca="1" si="259"/>
        <v>0.90283266187955191</v>
      </c>
      <c r="BN24" s="363">
        <f t="shared" ca="1" si="259"/>
        <v>1.0953867703610949</v>
      </c>
      <c r="BO24" s="363">
        <f t="shared" ca="1" si="259"/>
        <v>0.93511335847508792</v>
      </c>
      <c r="BP24" s="363">
        <f t="shared" ca="1" si="259"/>
        <v>0.86065474648743823</v>
      </c>
      <c r="BQ24" s="363">
        <f t="shared" ca="1" si="259"/>
        <v>1.0677766840355469</v>
      </c>
      <c r="BR24" s="363">
        <f t="shared" ca="1" si="259"/>
        <v>0.95460498760337265</v>
      </c>
      <c r="BS24" s="363">
        <f t="shared" ca="1" si="259"/>
        <v>0.80063855821937036</v>
      </c>
      <c r="BT24" s="363">
        <f t="shared" ca="1" si="259"/>
        <v>0.85137491416550415</v>
      </c>
      <c r="BU24" s="363">
        <f t="shared" ca="1" si="259"/>
        <v>1.0271474038382484</v>
      </c>
      <c r="BV24" s="363">
        <f t="shared" ca="1" si="259"/>
        <v>0.7761543822092406</v>
      </c>
      <c r="BW24" s="363">
        <f t="shared" ca="1" si="259"/>
        <v>1.1816284005226427</v>
      </c>
      <c r="BX24" s="363">
        <f t="shared" ca="1" si="259"/>
        <v>1.0791215412811042</v>
      </c>
      <c r="BY24" s="363">
        <f t="shared" ca="1" si="259"/>
        <v>0.95472305396356183</v>
      </c>
      <c r="BZ24" s="363">
        <f t="shared" ref="BZ24:DH24" ca="1" si="260">_xlfn.LOGNORM.INV(RAND(),$I$24,$J$24)</f>
        <v>0.94524484336226144</v>
      </c>
      <c r="CA24" s="363">
        <f t="shared" ca="1" si="260"/>
        <v>1.1257321613956532</v>
      </c>
      <c r="CB24" s="363">
        <f t="shared" ca="1" si="260"/>
        <v>0.91830390244568327</v>
      </c>
      <c r="CC24" s="363">
        <f t="shared" ca="1" si="260"/>
        <v>0.92879681671684011</v>
      </c>
      <c r="CD24" s="363">
        <f t="shared" ca="1" si="260"/>
        <v>0.92265877927989204</v>
      </c>
      <c r="CE24" s="363">
        <f t="shared" ca="1" si="260"/>
        <v>1.131480482702</v>
      </c>
      <c r="CF24" s="363">
        <f t="shared" ca="1" si="260"/>
        <v>1.0898833094035267</v>
      </c>
      <c r="CG24" s="363">
        <f t="shared" ca="1" si="260"/>
        <v>0.89614644044394853</v>
      </c>
      <c r="CH24" s="363">
        <f t="shared" ca="1" si="260"/>
        <v>1.0954696849595325</v>
      </c>
      <c r="CI24" s="363">
        <f t="shared" ca="1" si="260"/>
        <v>0.97490604444686968</v>
      </c>
      <c r="CJ24" s="363">
        <f t="shared" ca="1" si="260"/>
        <v>1.1558356192210846</v>
      </c>
      <c r="CK24" s="363">
        <f t="shared" ca="1" si="260"/>
        <v>0.91746194889556298</v>
      </c>
      <c r="CL24" s="363">
        <f t="shared" ca="1" si="260"/>
        <v>1.2141204478942333</v>
      </c>
      <c r="CM24" s="363">
        <f t="shared" ca="1" si="260"/>
        <v>1.2173777301062576</v>
      </c>
      <c r="CN24" s="363">
        <f t="shared" ca="1" si="260"/>
        <v>0.86485285029692094</v>
      </c>
      <c r="CO24" s="363">
        <f t="shared" ca="1" si="260"/>
        <v>0.96868644510493973</v>
      </c>
      <c r="CP24" s="363">
        <f t="shared" ca="1" si="260"/>
        <v>1.0772277253810263</v>
      </c>
      <c r="CQ24" s="363">
        <f t="shared" ca="1" si="260"/>
        <v>0.86377422022861861</v>
      </c>
      <c r="CR24" s="363">
        <f t="shared" ca="1" si="260"/>
        <v>1.0753204411294839</v>
      </c>
      <c r="CS24" s="363">
        <f t="shared" ca="1" si="260"/>
        <v>1.0120397763496904</v>
      </c>
      <c r="CT24" s="363">
        <f t="shared" ca="1" si="260"/>
        <v>1.0501247561125746</v>
      </c>
      <c r="CU24" s="363">
        <f t="shared" ca="1" si="260"/>
        <v>1.0655709971144112</v>
      </c>
      <c r="CV24" s="363">
        <f t="shared" ca="1" si="260"/>
        <v>0.93833039437765042</v>
      </c>
      <c r="CW24" s="363">
        <f t="shared" ca="1" si="260"/>
        <v>0.96180950529062681</v>
      </c>
      <c r="CX24" s="363">
        <f t="shared" ca="1" si="260"/>
        <v>1.0582276134629218</v>
      </c>
      <c r="CY24" s="363">
        <f t="shared" ca="1" si="260"/>
        <v>0.95506267292771829</v>
      </c>
      <c r="CZ24" s="363">
        <f t="shared" ca="1" si="260"/>
        <v>1.0316551664110638</v>
      </c>
      <c r="DA24" s="363">
        <f t="shared" ca="1" si="260"/>
        <v>0.98703558423605431</v>
      </c>
      <c r="DB24" s="363">
        <f t="shared" ca="1" si="260"/>
        <v>0.94926502503397037</v>
      </c>
      <c r="DC24" s="363">
        <f t="shared" ca="1" si="260"/>
        <v>0.95821324029262267</v>
      </c>
      <c r="DD24" s="363">
        <f t="shared" ca="1" si="260"/>
        <v>0.94320961106721735</v>
      </c>
      <c r="DE24" s="363">
        <f t="shared" ca="1" si="260"/>
        <v>1.0303923324254465</v>
      </c>
      <c r="DF24" s="363">
        <f t="shared" ca="1" si="260"/>
        <v>1.027248211517084</v>
      </c>
      <c r="DG24" s="363">
        <f t="shared" ca="1" si="260"/>
        <v>1.043459766484292</v>
      </c>
      <c r="DH24" s="363">
        <f t="shared" ca="1" si="260"/>
        <v>1.0883158083502187</v>
      </c>
      <c r="DI24" s="363">
        <f ca="1">_xlfn.LOGNORM.INV(RAND(),$I$24,$J$24)</f>
        <v>1.0299969549882937</v>
      </c>
      <c r="DJ24" s="363">
        <f t="shared" ref="DJ24:FU24" ca="1" si="261">_xlfn.LOGNORM.INV(RAND(),$I$24,$J$24)</f>
        <v>1.1705363419199641</v>
      </c>
      <c r="DK24" s="363">
        <f t="shared" ca="1" si="261"/>
        <v>1.0956979482732867</v>
      </c>
      <c r="DL24" s="363">
        <f t="shared" ca="1" si="261"/>
        <v>0.94992250360796904</v>
      </c>
      <c r="DM24" s="363">
        <f t="shared" ca="1" si="261"/>
        <v>1.1833417239942139</v>
      </c>
      <c r="DN24" s="363">
        <f t="shared" ca="1" si="261"/>
        <v>0.89999517377313198</v>
      </c>
      <c r="DO24" s="363">
        <f t="shared" ca="1" si="261"/>
        <v>1.0356537863359661</v>
      </c>
      <c r="DP24" s="363">
        <f t="shared" ca="1" si="261"/>
        <v>0.79605981517730429</v>
      </c>
      <c r="DQ24" s="363">
        <f t="shared" ca="1" si="261"/>
        <v>1.0522667006959798</v>
      </c>
      <c r="DR24" s="363">
        <f t="shared" ca="1" si="261"/>
        <v>1.0486956497807576</v>
      </c>
      <c r="DS24" s="363">
        <f t="shared" ca="1" si="261"/>
        <v>0.95090446053934241</v>
      </c>
      <c r="DT24" s="363">
        <f t="shared" ca="1" si="261"/>
        <v>1.0011374486386824</v>
      </c>
      <c r="DU24" s="363">
        <f t="shared" ca="1" si="261"/>
        <v>0.89682990613323921</v>
      </c>
      <c r="DV24" s="363">
        <f t="shared" ca="1" si="261"/>
        <v>0.93981900702795695</v>
      </c>
      <c r="DW24" s="363">
        <f t="shared" ca="1" si="261"/>
        <v>0.95420786057027629</v>
      </c>
      <c r="DX24" s="363">
        <f t="shared" ca="1" si="261"/>
        <v>1.044206202907235</v>
      </c>
      <c r="DY24" s="363">
        <f t="shared" ca="1" si="261"/>
        <v>1.0632277030341892</v>
      </c>
      <c r="DZ24" s="363">
        <f t="shared" ca="1" si="261"/>
        <v>0.96381328583923254</v>
      </c>
      <c r="EA24" s="363">
        <f t="shared" ca="1" si="261"/>
        <v>0.95862424466490448</v>
      </c>
      <c r="EB24" s="363">
        <f t="shared" ca="1" si="261"/>
        <v>0.90064990963287883</v>
      </c>
      <c r="EC24" s="363">
        <f t="shared" ca="1" si="261"/>
        <v>1.0948603188052017</v>
      </c>
      <c r="ED24" s="363">
        <f t="shared" ca="1" si="261"/>
        <v>0.99684505985941108</v>
      </c>
      <c r="EE24" s="363">
        <f t="shared" ca="1" si="261"/>
        <v>0.93823564272650617</v>
      </c>
      <c r="EF24" s="363">
        <f t="shared" ca="1" si="261"/>
        <v>1.0631365606318972</v>
      </c>
      <c r="EG24" s="363">
        <f t="shared" ca="1" si="261"/>
        <v>0.96184337603576953</v>
      </c>
      <c r="EH24" s="363">
        <f t="shared" ca="1" si="261"/>
        <v>1.0558083441134207</v>
      </c>
      <c r="EI24" s="363">
        <f t="shared" ca="1" si="261"/>
        <v>1.0072525347818193</v>
      </c>
      <c r="EJ24" s="363">
        <f t="shared" ca="1" si="261"/>
        <v>1.0225208117464082</v>
      </c>
      <c r="EK24" s="363">
        <f t="shared" ca="1" si="261"/>
        <v>0.854694914330002</v>
      </c>
      <c r="EL24" s="363">
        <f t="shared" ca="1" si="261"/>
        <v>1.1467003539455705</v>
      </c>
      <c r="EM24" s="363">
        <f t="shared" ca="1" si="261"/>
        <v>0.96352493469458456</v>
      </c>
      <c r="EN24" s="363">
        <f t="shared" ca="1" si="261"/>
        <v>1.0220721322115933</v>
      </c>
      <c r="EO24" s="363">
        <f t="shared" ca="1" si="261"/>
        <v>0.94121347329253957</v>
      </c>
      <c r="EP24" s="363">
        <f t="shared" ca="1" si="261"/>
        <v>1.0151134052754158</v>
      </c>
      <c r="EQ24" s="363">
        <f t="shared" ca="1" si="261"/>
        <v>0.99207216179057933</v>
      </c>
      <c r="ER24" s="363">
        <f t="shared" ca="1" si="261"/>
        <v>0.95289514363285399</v>
      </c>
      <c r="ES24" s="363">
        <f t="shared" ca="1" si="261"/>
        <v>1.1435863902263852</v>
      </c>
      <c r="ET24" s="363">
        <f t="shared" ca="1" si="261"/>
        <v>1.0293853696567148</v>
      </c>
      <c r="EU24" s="363">
        <f t="shared" ca="1" si="261"/>
        <v>1.0586785811347177</v>
      </c>
      <c r="EV24" s="363">
        <f t="shared" ca="1" si="261"/>
        <v>1.175871134877851</v>
      </c>
      <c r="EW24" s="363">
        <f t="shared" ca="1" si="261"/>
        <v>1.0345592090384963</v>
      </c>
      <c r="EX24" s="363">
        <f t="shared" ca="1" si="261"/>
        <v>1.0428492528960203</v>
      </c>
      <c r="EY24" s="363">
        <f t="shared" ca="1" si="261"/>
        <v>1.0582164365407667</v>
      </c>
      <c r="EZ24" s="363">
        <f t="shared" ca="1" si="261"/>
        <v>1.1337190129096146</v>
      </c>
      <c r="FA24" s="363">
        <f t="shared" ca="1" si="261"/>
        <v>0.82696594274551405</v>
      </c>
      <c r="FB24" s="363">
        <f t="shared" ca="1" si="261"/>
        <v>1.0381227548692527</v>
      </c>
      <c r="FC24" s="363">
        <f t="shared" ca="1" si="261"/>
        <v>0.75817406688437983</v>
      </c>
      <c r="FD24" s="363">
        <f t="shared" ca="1" si="261"/>
        <v>1.1028140771241461</v>
      </c>
      <c r="FE24" s="363">
        <f t="shared" ca="1" si="261"/>
        <v>0.94179999717052532</v>
      </c>
      <c r="FF24" s="363">
        <f t="shared" ca="1" si="261"/>
        <v>1.1331869626955744</v>
      </c>
      <c r="FG24" s="363">
        <f t="shared" ca="1" si="261"/>
        <v>1.0319966657876161</v>
      </c>
      <c r="FH24" s="363">
        <f t="shared" ca="1" si="261"/>
        <v>1.0505465195516672</v>
      </c>
      <c r="FI24" s="363">
        <f t="shared" ca="1" si="261"/>
        <v>1.0455495698313204</v>
      </c>
      <c r="FJ24" s="363">
        <f t="shared" ca="1" si="261"/>
        <v>1.0791843217881645</v>
      </c>
      <c r="FK24" s="363">
        <f t="shared" ca="1" si="261"/>
        <v>0.92092646486863305</v>
      </c>
      <c r="FL24" s="363">
        <f t="shared" ca="1" si="261"/>
        <v>0.89536999221333657</v>
      </c>
      <c r="FM24" s="363">
        <f t="shared" ca="1" si="261"/>
        <v>0.88714576333786788</v>
      </c>
      <c r="FN24" s="363">
        <f t="shared" ca="1" si="261"/>
        <v>0.84251504990811366</v>
      </c>
      <c r="FO24" s="363">
        <f t="shared" ca="1" si="261"/>
        <v>1.0250748403037873</v>
      </c>
      <c r="FP24" s="363">
        <f t="shared" ca="1" si="261"/>
        <v>1.089470940353543</v>
      </c>
      <c r="FQ24" s="363">
        <f t="shared" ca="1" si="261"/>
        <v>0.86501345820721309</v>
      </c>
      <c r="FR24" s="363">
        <f t="shared" ca="1" si="261"/>
        <v>1.1673885223942728</v>
      </c>
      <c r="FS24" s="363">
        <f t="shared" ca="1" si="261"/>
        <v>1.0830951837836669</v>
      </c>
      <c r="FT24" s="363">
        <f t="shared" ca="1" si="261"/>
        <v>1.2384346632270129</v>
      </c>
      <c r="FU24" s="363">
        <f t="shared" ca="1" si="261"/>
        <v>0.90685702859924278</v>
      </c>
      <c r="FV24" s="363">
        <f t="shared" ref="FV24:HD24" ca="1" si="262">_xlfn.LOGNORM.INV(RAND(),$I$24,$J$24)</f>
        <v>0.94706678936374511</v>
      </c>
      <c r="FW24" s="363">
        <f t="shared" ca="1" si="262"/>
        <v>1.217513737135081</v>
      </c>
      <c r="FX24" s="363">
        <f t="shared" ca="1" si="262"/>
        <v>1.1449923058663882</v>
      </c>
      <c r="FY24" s="363">
        <f t="shared" ca="1" si="262"/>
        <v>0.89064189915187264</v>
      </c>
      <c r="FZ24" s="363">
        <f t="shared" ca="1" si="262"/>
        <v>1.0231093340067272</v>
      </c>
      <c r="GA24" s="363">
        <f t="shared" ca="1" si="262"/>
        <v>1.0604163840877272</v>
      </c>
      <c r="GB24" s="363">
        <f t="shared" ca="1" si="262"/>
        <v>0.85800774451330608</v>
      </c>
      <c r="GC24" s="363">
        <f t="shared" ca="1" si="262"/>
        <v>0.90538507095386733</v>
      </c>
      <c r="GD24" s="363">
        <f t="shared" ca="1" si="262"/>
        <v>0.90842777176195466</v>
      </c>
      <c r="GE24" s="363">
        <f t="shared" ca="1" si="262"/>
        <v>0.89520265828257839</v>
      </c>
      <c r="GF24" s="363">
        <f t="shared" ca="1" si="262"/>
        <v>0.90184701118384025</v>
      </c>
      <c r="GG24" s="363">
        <f t="shared" ca="1" si="262"/>
        <v>0.89913997595536821</v>
      </c>
      <c r="GH24" s="363">
        <f t="shared" ca="1" si="262"/>
        <v>0.91992185620897571</v>
      </c>
      <c r="GI24" s="363">
        <f t="shared" ca="1" si="262"/>
        <v>1.1401095746725116</v>
      </c>
      <c r="GJ24" s="363">
        <f t="shared" ca="1" si="262"/>
        <v>0.98605823703308482</v>
      </c>
      <c r="GK24" s="363">
        <f t="shared" ca="1" si="262"/>
        <v>0.96995135648925601</v>
      </c>
      <c r="GL24" s="363">
        <f t="shared" ca="1" si="262"/>
        <v>1.0442928025123406</v>
      </c>
      <c r="GM24" s="363">
        <f t="shared" ca="1" si="262"/>
        <v>1.0493752508705838</v>
      </c>
      <c r="GN24" s="363">
        <f t="shared" ca="1" si="262"/>
        <v>0.94440411945296465</v>
      </c>
      <c r="GO24" s="363">
        <f t="shared" ca="1" si="262"/>
        <v>0.92625933914586456</v>
      </c>
      <c r="GP24" s="363">
        <f t="shared" ca="1" si="262"/>
        <v>1.0648546771526388</v>
      </c>
      <c r="GQ24" s="363">
        <f t="shared" ca="1" si="262"/>
        <v>0.81021860164556447</v>
      </c>
      <c r="GR24" s="363">
        <f t="shared" ca="1" si="262"/>
        <v>0.99553854871214342</v>
      </c>
      <c r="GS24" s="363">
        <f t="shared" ca="1" si="262"/>
        <v>0.9092925875643989</v>
      </c>
      <c r="GT24" s="363">
        <f t="shared" ca="1" si="262"/>
        <v>1.0187723139254805</v>
      </c>
      <c r="GU24" s="363">
        <f t="shared" ca="1" si="262"/>
        <v>1.104698011850366</v>
      </c>
      <c r="GV24" s="363">
        <f t="shared" ca="1" si="262"/>
        <v>0.93318290837380802</v>
      </c>
      <c r="GW24" s="363">
        <f t="shared" ca="1" si="262"/>
        <v>0.98354846027771659</v>
      </c>
      <c r="GX24" s="363">
        <f t="shared" ca="1" si="262"/>
        <v>0.96459694054050638</v>
      </c>
      <c r="GY24" s="363">
        <f t="shared" ca="1" si="262"/>
        <v>0.94145847449486797</v>
      </c>
      <c r="GZ24" s="363">
        <f t="shared" ca="1" si="262"/>
        <v>1.0436404254997291</v>
      </c>
      <c r="HA24" s="363">
        <f t="shared" ca="1" si="262"/>
        <v>1.1683491619400186</v>
      </c>
      <c r="HB24" s="363">
        <f t="shared" ca="1" si="262"/>
        <v>1.0918321921037226</v>
      </c>
      <c r="HC24" s="363">
        <f t="shared" ca="1" si="262"/>
        <v>1.1653496623218729</v>
      </c>
      <c r="HD24" s="363">
        <f t="shared" ca="1" si="262"/>
        <v>1.0093113380634966</v>
      </c>
      <c r="HE24" s="363">
        <f ca="1">_xlfn.LOGNORM.INV(RAND(),$I$24,$J$24)</f>
        <v>0.83477701488217848</v>
      </c>
      <c r="HF24" s="363">
        <f t="shared" ref="HF24:JQ24" ca="1" si="263">_xlfn.LOGNORM.INV(RAND(),$I$24,$J$24)</f>
        <v>1.0888664269180826</v>
      </c>
      <c r="HG24" s="363">
        <f t="shared" ca="1" si="263"/>
        <v>0.83846551478340492</v>
      </c>
      <c r="HH24" s="363">
        <f t="shared" ca="1" si="263"/>
        <v>1.0859458769241463</v>
      </c>
      <c r="HI24" s="363">
        <f t="shared" ca="1" si="263"/>
        <v>0.9518475633102792</v>
      </c>
      <c r="HJ24" s="363">
        <f t="shared" ca="1" si="263"/>
        <v>1.0710063551744518</v>
      </c>
      <c r="HK24" s="363">
        <f t="shared" ca="1" si="263"/>
        <v>0.95287701426962101</v>
      </c>
      <c r="HL24" s="363">
        <f t="shared" ca="1" si="263"/>
        <v>1.059390660907108</v>
      </c>
      <c r="HM24" s="363">
        <f t="shared" ca="1" si="263"/>
        <v>0.95116300616852267</v>
      </c>
      <c r="HN24" s="363">
        <f t="shared" ca="1" si="263"/>
        <v>1.0189581746734655</v>
      </c>
      <c r="HO24" s="363">
        <f t="shared" ca="1" si="263"/>
        <v>0.84058630777700116</v>
      </c>
      <c r="HP24" s="363">
        <f t="shared" ca="1" si="263"/>
        <v>1.0278031544366568</v>
      </c>
      <c r="HQ24" s="363">
        <f t="shared" ca="1" si="263"/>
        <v>0.94652802327447527</v>
      </c>
      <c r="HR24" s="363">
        <f t="shared" ca="1" si="263"/>
        <v>0.94216294489935071</v>
      </c>
      <c r="HS24" s="363">
        <f t="shared" ca="1" si="263"/>
        <v>1.1941763388496121</v>
      </c>
      <c r="HT24" s="363">
        <f t="shared" ca="1" si="263"/>
        <v>1.1509290334226618</v>
      </c>
      <c r="HU24" s="363">
        <f t="shared" ca="1" si="263"/>
        <v>0.76453701161040044</v>
      </c>
      <c r="HV24" s="363">
        <f t="shared" ca="1" si="263"/>
        <v>0.99351931910812952</v>
      </c>
      <c r="HW24" s="363">
        <f t="shared" ca="1" si="263"/>
        <v>0.91410316981866313</v>
      </c>
      <c r="HX24" s="363">
        <f t="shared" ca="1" si="263"/>
        <v>1.0646579851851175</v>
      </c>
      <c r="HY24" s="363">
        <f t="shared" ca="1" si="263"/>
        <v>1.0039279767002429</v>
      </c>
      <c r="HZ24" s="363">
        <f t="shared" ca="1" si="263"/>
        <v>1.0528155638690222</v>
      </c>
      <c r="IA24" s="363">
        <f t="shared" ca="1" si="263"/>
        <v>0.96003262535992751</v>
      </c>
      <c r="IB24" s="363">
        <f t="shared" ca="1" si="263"/>
        <v>1.094165631063257</v>
      </c>
      <c r="IC24" s="363">
        <f t="shared" ca="1" si="263"/>
        <v>1.1124709284013872</v>
      </c>
      <c r="ID24" s="363">
        <f t="shared" ca="1" si="263"/>
        <v>1.0219384876749475</v>
      </c>
      <c r="IE24" s="363">
        <f t="shared" ca="1" si="263"/>
        <v>1.0428174836576489</v>
      </c>
      <c r="IF24" s="363">
        <f t="shared" ca="1" si="263"/>
        <v>1.0994700701201521</v>
      </c>
      <c r="IG24" s="363">
        <f t="shared" ca="1" si="263"/>
        <v>0.9601536807196438</v>
      </c>
      <c r="IH24" s="363">
        <f t="shared" ca="1" si="263"/>
        <v>0.98829155892641429</v>
      </c>
      <c r="II24" s="363">
        <f t="shared" ca="1" si="263"/>
        <v>0.93554445602514968</v>
      </c>
      <c r="IJ24" s="363">
        <f t="shared" ca="1" si="263"/>
        <v>0.98746786037972845</v>
      </c>
      <c r="IK24" s="363">
        <f t="shared" ca="1" si="263"/>
        <v>0.92556333799674195</v>
      </c>
      <c r="IL24" s="363">
        <f t="shared" ca="1" si="263"/>
        <v>1.0351256037187564</v>
      </c>
      <c r="IM24" s="363">
        <f t="shared" ca="1" si="263"/>
        <v>1.0145397375010137</v>
      </c>
      <c r="IN24" s="363">
        <f t="shared" ca="1" si="263"/>
        <v>0.94174391455836892</v>
      </c>
      <c r="IO24" s="363">
        <f t="shared" ca="1" si="263"/>
        <v>0.96302110968098642</v>
      </c>
      <c r="IP24" s="363">
        <f t="shared" ca="1" si="263"/>
        <v>1.0609384031047493</v>
      </c>
      <c r="IQ24" s="363">
        <f t="shared" ca="1" si="263"/>
        <v>1.2866093582199873</v>
      </c>
      <c r="IR24" s="363">
        <f t="shared" ca="1" si="263"/>
        <v>1.0856192149298791</v>
      </c>
      <c r="IS24" s="363">
        <f t="shared" ca="1" si="263"/>
        <v>0.96661169864115859</v>
      </c>
      <c r="IT24" s="363">
        <f t="shared" ca="1" si="263"/>
        <v>0.88505856777721481</v>
      </c>
      <c r="IU24" s="363">
        <f t="shared" ca="1" si="263"/>
        <v>0.97260052396063013</v>
      </c>
      <c r="IV24" s="363">
        <f t="shared" ca="1" si="263"/>
        <v>0.93091801900884097</v>
      </c>
      <c r="IW24" s="363">
        <f t="shared" ca="1" si="263"/>
        <v>1.0044215167130122</v>
      </c>
      <c r="IX24" s="363">
        <f t="shared" ca="1" si="263"/>
        <v>1.0336427207516894</v>
      </c>
      <c r="IY24" s="363">
        <f t="shared" ca="1" si="263"/>
        <v>1.0970568307648594</v>
      </c>
      <c r="IZ24" s="363">
        <f t="shared" ca="1" si="263"/>
        <v>0.97109978638341021</v>
      </c>
      <c r="JA24" s="363">
        <f t="shared" ca="1" si="263"/>
        <v>0.95236773116608997</v>
      </c>
      <c r="JB24" s="363">
        <f t="shared" ca="1" si="263"/>
        <v>0.9592875421019107</v>
      </c>
      <c r="JC24" s="363">
        <f t="shared" ca="1" si="263"/>
        <v>0.91941984087115436</v>
      </c>
      <c r="JD24" s="363">
        <f t="shared" ca="1" si="263"/>
        <v>1.0849864882249254</v>
      </c>
      <c r="JE24" s="363">
        <f t="shared" ca="1" si="263"/>
        <v>0.96651371112273177</v>
      </c>
      <c r="JF24" s="363">
        <f t="shared" ca="1" si="263"/>
        <v>0.94202821051957952</v>
      </c>
      <c r="JG24" s="363">
        <f t="shared" ca="1" si="263"/>
        <v>0.81097250026886203</v>
      </c>
      <c r="JH24" s="363">
        <f t="shared" ca="1" si="263"/>
        <v>1.0364412483127805</v>
      </c>
      <c r="JI24" s="363">
        <f t="shared" ca="1" si="263"/>
        <v>1.0330388020616188</v>
      </c>
      <c r="JJ24" s="363">
        <f t="shared" ca="1" si="263"/>
        <v>0.80880774339592998</v>
      </c>
      <c r="JK24" s="363">
        <f t="shared" ca="1" si="263"/>
        <v>0.95711848594254856</v>
      </c>
      <c r="JL24" s="363">
        <f t="shared" ca="1" si="263"/>
        <v>1.0389177469718036</v>
      </c>
      <c r="JM24" s="363">
        <f t="shared" ca="1" si="263"/>
        <v>0.98354596900840274</v>
      </c>
      <c r="JN24" s="363">
        <f t="shared" ca="1" si="263"/>
        <v>0.98687872757961581</v>
      </c>
      <c r="JO24" s="363">
        <f t="shared" ca="1" si="263"/>
        <v>1.069234602029415</v>
      </c>
      <c r="JP24" s="363">
        <f t="shared" ca="1" si="263"/>
        <v>0.96793117142348828</v>
      </c>
      <c r="JQ24" s="363">
        <f t="shared" ca="1" si="263"/>
        <v>1.0617786871268344</v>
      </c>
      <c r="JR24" s="363">
        <f t="shared" ref="JR24:KZ24" ca="1" si="264">_xlfn.LOGNORM.INV(RAND(),$I$24,$J$24)</f>
        <v>1.2184079337495217</v>
      </c>
      <c r="JS24" s="363">
        <f t="shared" ca="1" si="264"/>
        <v>1.0902443535030297</v>
      </c>
      <c r="JT24" s="363">
        <f t="shared" ca="1" si="264"/>
        <v>1.0200531139776325</v>
      </c>
      <c r="JU24" s="363">
        <f t="shared" ca="1" si="264"/>
        <v>0.98093744762148583</v>
      </c>
      <c r="JV24" s="363">
        <f t="shared" ca="1" si="264"/>
        <v>1.1753530479303982</v>
      </c>
      <c r="JW24" s="363">
        <f t="shared" ca="1" si="264"/>
        <v>1.1906024118953615</v>
      </c>
      <c r="JX24" s="363">
        <f t="shared" ca="1" si="264"/>
        <v>0.96433851789239755</v>
      </c>
      <c r="JY24" s="363">
        <f t="shared" ca="1" si="264"/>
        <v>0.86419711033436408</v>
      </c>
      <c r="JZ24" s="363">
        <f t="shared" ca="1" si="264"/>
        <v>1.0640211062422773</v>
      </c>
      <c r="KA24" s="363">
        <f t="shared" ca="1" si="264"/>
        <v>1.1021308784710637</v>
      </c>
      <c r="KB24" s="363">
        <f t="shared" ca="1" si="264"/>
        <v>1.0827250054596982</v>
      </c>
      <c r="KC24" s="363">
        <f t="shared" ca="1" si="264"/>
        <v>0.75867584129683419</v>
      </c>
      <c r="KD24" s="363">
        <f t="shared" ca="1" si="264"/>
        <v>0.84205520353655106</v>
      </c>
      <c r="KE24" s="363">
        <f t="shared" ca="1" si="264"/>
        <v>1.0372030676062993</v>
      </c>
      <c r="KF24" s="363">
        <f t="shared" ca="1" si="264"/>
        <v>1.0995806247243023</v>
      </c>
      <c r="KG24" s="363">
        <f t="shared" ca="1" si="264"/>
        <v>0.79058456227025509</v>
      </c>
      <c r="KH24" s="363">
        <f t="shared" ca="1" si="264"/>
        <v>1.2239339516900749</v>
      </c>
      <c r="KI24" s="363">
        <f t="shared" ca="1" si="264"/>
        <v>0.92047134832578781</v>
      </c>
      <c r="KJ24" s="363">
        <f t="shared" ca="1" si="264"/>
        <v>0.98497299161623963</v>
      </c>
      <c r="KK24" s="363">
        <f t="shared" ca="1" si="264"/>
        <v>0.981835141682185</v>
      </c>
      <c r="KL24" s="363">
        <f t="shared" ca="1" si="264"/>
        <v>1.0115681430747712</v>
      </c>
      <c r="KM24" s="363">
        <f t="shared" ca="1" si="264"/>
        <v>0.98293861311278019</v>
      </c>
      <c r="KN24" s="363">
        <f t="shared" ca="1" si="264"/>
        <v>1.0523206679709276</v>
      </c>
      <c r="KO24" s="363">
        <f t="shared" ca="1" si="264"/>
        <v>1.1369642732730381</v>
      </c>
      <c r="KP24" s="363">
        <f t="shared" ca="1" si="264"/>
        <v>1.1098321345325353</v>
      </c>
      <c r="KQ24" s="363">
        <f t="shared" ca="1" si="264"/>
        <v>0.97510948890009475</v>
      </c>
      <c r="KR24" s="363">
        <f t="shared" ca="1" si="264"/>
        <v>0.90998635294588714</v>
      </c>
      <c r="KS24" s="363">
        <f t="shared" ca="1" si="264"/>
        <v>0.94867365037707696</v>
      </c>
      <c r="KT24" s="363">
        <f t="shared" ca="1" si="264"/>
        <v>1.0742481395607233</v>
      </c>
      <c r="KU24" s="363">
        <f t="shared" ca="1" si="264"/>
        <v>1.0421514804928047</v>
      </c>
      <c r="KV24" s="363">
        <f t="shared" ca="1" si="264"/>
        <v>1.0302553675368116</v>
      </c>
      <c r="KW24" s="363">
        <f t="shared" ca="1" si="264"/>
        <v>0.92383389179036302</v>
      </c>
      <c r="KX24" s="363">
        <f t="shared" ca="1" si="264"/>
        <v>0.95202759174789076</v>
      </c>
      <c r="KY24" s="363">
        <f t="shared" ca="1" si="264"/>
        <v>0.98320406268119631</v>
      </c>
      <c r="KZ24" s="363">
        <f t="shared" ca="1" si="264"/>
        <v>1.1418355201937807</v>
      </c>
      <c r="LA24" s="363">
        <f ca="1">_xlfn.LOGNORM.INV(RAND(),$I$24,$J$24)</f>
        <v>0.85227946475596994</v>
      </c>
      <c r="LB24" s="363">
        <f t="shared" ref="LB24:NM24" ca="1" si="265">_xlfn.LOGNORM.INV(RAND(),$I$24,$J$24)</f>
        <v>1.0430669292145021</v>
      </c>
      <c r="LC24" s="363">
        <f t="shared" ca="1" si="265"/>
        <v>0.9321865889485399</v>
      </c>
      <c r="LD24" s="363">
        <f t="shared" ca="1" si="265"/>
        <v>0.99153200340310932</v>
      </c>
      <c r="LE24" s="363">
        <f t="shared" ca="1" si="265"/>
        <v>0.92499109983676564</v>
      </c>
      <c r="LF24" s="363">
        <f t="shared" ca="1" si="265"/>
        <v>1.1671563199810038</v>
      </c>
      <c r="LG24" s="363">
        <f t="shared" ca="1" si="265"/>
        <v>0.827618230924556</v>
      </c>
      <c r="LH24" s="363">
        <f t="shared" ca="1" si="265"/>
        <v>1.028466942171222</v>
      </c>
      <c r="LI24" s="363">
        <f t="shared" ca="1" si="265"/>
        <v>0.89185004867637885</v>
      </c>
      <c r="LJ24" s="363">
        <f t="shared" ca="1" si="265"/>
        <v>0.8745720440069461</v>
      </c>
      <c r="LK24" s="363">
        <f t="shared" ca="1" si="265"/>
        <v>1.1874156587679787</v>
      </c>
      <c r="LL24" s="363">
        <f t="shared" ca="1" si="265"/>
        <v>1.0114387531146094</v>
      </c>
      <c r="LM24" s="363">
        <f t="shared" ca="1" si="265"/>
        <v>1.1196553912976805</v>
      </c>
      <c r="LN24" s="363">
        <f t="shared" ca="1" si="265"/>
        <v>0.96711326155797417</v>
      </c>
      <c r="LO24" s="363">
        <f t="shared" ca="1" si="265"/>
        <v>1.0381826169578663</v>
      </c>
      <c r="LP24" s="363">
        <f t="shared" ca="1" si="265"/>
        <v>1.0828316223034673</v>
      </c>
      <c r="LQ24" s="363">
        <f t="shared" ca="1" si="265"/>
        <v>0.96048701617443422</v>
      </c>
      <c r="LR24" s="363">
        <f t="shared" ca="1" si="265"/>
        <v>1.0269901621567163</v>
      </c>
      <c r="LS24" s="363">
        <f t="shared" ca="1" si="265"/>
        <v>1.1476429975165683</v>
      </c>
      <c r="LT24" s="363">
        <f t="shared" ca="1" si="265"/>
        <v>0.87024024308381653</v>
      </c>
      <c r="LU24" s="363">
        <f t="shared" ca="1" si="265"/>
        <v>0.82473562170361148</v>
      </c>
      <c r="LV24" s="363">
        <f t="shared" ca="1" si="265"/>
        <v>0.91316260233342994</v>
      </c>
      <c r="LW24" s="363">
        <f t="shared" ca="1" si="265"/>
        <v>1.0686303983500465</v>
      </c>
      <c r="LX24" s="363">
        <f t="shared" ca="1" si="265"/>
        <v>1.0734523377428782</v>
      </c>
      <c r="LY24" s="363">
        <f t="shared" ca="1" si="265"/>
        <v>0.96672024816641333</v>
      </c>
      <c r="LZ24" s="363">
        <f t="shared" ca="1" si="265"/>
        <v>0.97636883179176592</v>
      </c>
      <c r="MA24" s="363">
        <f t="shared" ca="1" si="265"/>
        <v>0.91781705068655817</v>
      </c>
      <c r="MB24" s="363">
        <f t="shared" ca="1" si="265"/>
        <v>1.0318728568349094</v>
      </c>
      <c r="MC24" s="363">
        <f t="shared" ca="1" si="265"/>
        <v>0.96366437216806033</v>
      </c>
      <c r="MD24" s="363">
        <f t="shared" ca="1" si="265"/>
        <v>1.0726974009194152</v>
      </c>
      <c r="ME24" s="363">
        <f t="shared" ca="1" si="265"/>
        <v>0.93411140485869959</v>
      </c>
      <c r="MF24" s="363">
        <f t="shared" ca="1" si="265"/>
        <v>1.0500830651352702</v>
      </c>
      <c r="MG24" s="363">
        <f t="shared" ca="1" si="265"/>
        <v>0.89162576616777267</v>
      </c>
      <c r="MH24" s="363">
        <f t="shared" ca="1" si="265"/>
        <v>1.1172433156543682</v>
      </c>
      <c r="MI24" s="363">
        <f t="shared" ca="1" si="265"/>
        <v>1.0024743108624536</v>
      </c>
      <c r="MJ24" s="363">
        <f t="shared" ca="1" si="265"/>
        <v>0.9854024393681341</v>
      </c>
      <c r="MK24" s="363">
        <f t="shared" ca="1" si="265"/>
        <v>0.94867318554559499</v>
      </c>
      <c r="ML24" s="363">
        <f t="shared" ca="1" si="265"/>
        <v>1.0392511271693285</v>
      </c>
      <c r="MM24" s="363">
        <f t="shared" ca="1" si="265"/>
        <v>0.97957690792747243</v>
      </c>
      <c r="MN24" s="363">
        <f t="shared" ca="1" si="265"/>
        <v>1.1185975813490392</v>
      </c>
      <c r="MO24" s="363">
        <f t="shared" ca="1" si="265"/>
        <v>1.2546733020857659</v>
      </c>
      <c r="MP24" s="363">
        <f t="shared" ca="1" si="265"/>
        <v>1.0073396132432773</v>
      </c>
      <c r="MQ24" s="363">
        <f t="shared" ca="1" si="265"/>
        <v>0.97881004621201517</v>
      </c>
      <c r="MR24" s="363">
        <f t="shared" ca="1" si="265"/>
        <v>1.0500766604113319</v>
      </c>
      <c r="MS24" s="363">
        <f t="shared" ca="1" si="265"/>
        <v>1.0793731206248045</v>
      </c>
      <c r="MT24" s="363">
        <f t="shared" ca="1" si="265"/>
        <v>0.97030754889240434</v>
      </c>
      <c r="MU24" s="363">
        <f t="shared" ca="1" si="265"/>
        <v>0.88476245449854907</v>
      </c>
      <c r="MV24" s="363">
        <f t="shared" ca="1" si="265"/>
        <v>0.98032803157954196</v>
      </c>
      <c r="MW24" s="363">
        <f t="shared" ca="1" si="265"/>
        <v>0.91031304954775938</v>
      </c>
      <c r="MX24" s="363">
        <f t="shared" ca="1" si="265"/>
        <v>1.0734307691650231</v>
      </c>
      <c r="MY24" s="363">
        <f t="shared" ca="1" si="265"/>
        <v>0.95700108240825743</v>
      </c>
      <c r="MZ24" s="363">
        <f t="shared" ca="1" si="265"/>
        <v>1.0333335989830648</v>
      </c>
      <c r="NA24" s="363">
        <f t="shared" ca="1" si="265"/>
        <v>1.1778552402395956</v>
      </c>
      <c r="NB24" s="363">
        <f t="shared" ca="1" si="265"/>
        <v>0.85162874796880361</v>
      </c>
      <c r="NC24" s="363">
        <f t="shared" ca="1" si="265"/>
        <v>1.0411345852489038</v>
      </c>
      <c r="ND24" s="363">
        <f t="shared" ca="1" si="265"/>
        <v>1.0063565000335353</v>
      </c>
      <c r="NE24" s="363">
        <f t="shared" ca="1" si="265"/>
        <v>0.95012591329933926</v>
      </c>
      <c r="NF24" s="363">
        <f t="shared" ca="1" si="265"/>
        <v>0.92284547352538449</v>
      </c>
      <c r="NG24" s="363">
        <f t="shared" ca="1" si="265"/>
        <v>1.0667339633896431</v>
      </c>
      <c r="NH24" s="363">
        <f t="shared" ca="1" si="265"/>
        <v>1.1346829454502756</v>
      </c>
      <c r="NI24" s="363">
        <f t="shared" ca="1" si="265"/>
        <v>0.96712921569970411</v>
      </c>
      <c r="NJ24" s="363">
        <f t="shared" ca="1" si="265"/>
        <v>0.92828892366988369</v>
      </c>
      <c r="NK24" s="363">
        <f t="shared" ca="1" si="265"/>
        <v>1.1225990007524465</v>
      </c>
      <c r="NL24" s="363">
        <f t="shared" ca="1" si="265"/>
        <v>0.93092890714093224</v>
      </c>
      <c r="NM24" s="363">
        <f t="shared" ca="1" si="265"/>
        <v>1.0327784325758491</v>
      </c>
      <c r="NN24" s="363">
        <f t="shared" ref="NN24:OV24" ca="1" si="266">_xlfn.LOGNORM.INV(RAND(),$I$24,$J$24)</f>
        <v>0.93229894834308558</v>
      </c>
      <c r="NO24" s="363">
        <f t="shared" ca="1" si="266"/>
        <v>0.98116092760953855</v>
      </c>
      <c r="NP24" s="363">
        <f t="shared" ca="1" si="266"/>
        <v>1.1670265942959777</v>
      </c>
      <c r="NQ24" s="363">
        <f t="shared" ca="1" si="266"/>
        <v>1.1106642403441163</v>
      </c>
      <c r="NR24" s="363">
        <f t="shared" ca="1" si="266"/>
        <v>1.0929983522827262</v>
      </c>
      <c r="NS24" s="363">
        <f t="shared" ca="1" si="266"/>
        <v>0.93184911697826234</v>
      </c>
      <c r="NT24" s="363">
        <f t="shared" ca="1" si="266"/>
        <v>1.054734598477582</v>
      </c>
      <c r="NU24" s="363">
        <f t="shared" ca="1" si="266"/>
        <v>1.069368390474734</v>
      </c>
      <c r="NV24" s="363">
        <f t="shared" ca="1" si="266"/>
        <v>1.0565061803333271</v>
      </c>
      <c r="NW24" s="363">
        <f t="shared" ca="1" si="266"/>
        <v>1.1907581153961848</v>
      </c>
      <c r="NX24" s="363">
        <f t="shared" ca="1" si="266"/>
        <v>0.85388210120377106</v>
      </c>
      <c r="NY24" s="363">
        <f t="shared" ca="1" si="266"/>
        <v>0.80122135126578442</v>
      </c>
      <c r="NZ24" s="363">
        <f t="shared" ca="1" si="266"/>
        <v>0.93278145584616612</v>
      </c>
      <c r="OA24" s="363">
        <f t="shared" ca="1" si="266"/>
        <v>0.92283786972095139</v>
      </c>
      <c r="OB24" s="363">
        <f t="shared" ca="1" si="266"/>
        <v>1.0268605292196606</v>
      </c>
      <c r="OC24" s="363">
        <f t="shared" ca="1" si="266"/>
        <v>1.1618418887595192</v>
      </c>
      <c r="OD24" s="363">
        <f t="shared" ca="1" si="266"/>
        <v>1.210451299956669</v>
      </c>
      <c r="OE24" s="363">
        <f t="shared" ca="1" si="266"/>
        <v>1.05782992986814</v>
      </c>
      <c r="OF24" s="363">
        <f t="shared" ca="1" si="266"/>
        <v>1.0567817391388878</v>
      </c>
      <c r="OG24" s="363">
        <f t="shared" ca="1" si="266"/>
        <v>1.0292061358443065</v>
      </c>
      <c r="OH24" s="363">
        <f t="shared" ca="1" si="266"/>
        <v>0.92888539556322569</v>
      </c>
      <c r="OI24" s="363">
        <f t="shared" ca="1" si="266"/>
        <v>0.98691749264746276</v>
      </c>
      <c r="OJ24" s="363">
        <f t="shared" ca="1" si="266"/>
        <v>1.1211572458367052</v>
      </c>
      <c r="OK24" s="363">
        <f t="shared" ca="1" si="266"/>
        <v>1.1427057141846317</v>
      </c>
      <c r="OL24" s="363">
        <f t="shared" ca="1" si="266"/>
        <v>1.1204078703849181</v>
      </c>
      <c r="OM24" s="363">
        <f t="shared" ca="1" si="266"/>
        <v>1.0796804728737315</v>
      </c>
      <c r="ON24" s="363">
        <f t="shared" ca="1" si="266"/>
        <v>1.0887608565167342</v>
      </c>
      <c r="OO24" s="363">
        <f t="shared" ca="1" si="266"/>
        <v>1.0160229426756122</v>
      </c>
      <c r="OP24" s="363">
        <f t="shared" ca="1" si="266"/>
        <v>0.93413588192416175</v>
      </c>
      <c r="OQ24" s="363">
        <f t="shared" ca="1" si="266"/>
        <v>0.94433683641594901</v>
      </c>
      <c r="OR24" s="363">
        <f t="shared" ca="1" si="266"/>
        <v>1.0349375767307634</v>
      </c>
      <c r="OS24" s="363">
        <f t="shared" ca="1" si="266"/>
        <v>1.030572151917956</v>
      </c>
      <c r="OT24" s="363">
        <f t="shared" ca="1" si="266"/>
        <v>0.98024966595485163</v>
      </c>
      <c r="OU24" s="363">
        <f t="shared" ca="1" si="266"/>
        <v>1.0073804541460352</v>
      </c>
      <c r="OV24" s="363">
        <f t="shared" ca="1" si="266"/>
        <v>1.0576312116247697</v>
      </c>
      <c r="OW24" s="363">
        <f ca="1">_xlfn.LOGNORM.INV(RAND(),$I$24,$J$24)</f>
        <v>1.0004932408916392</v>
      </c>
      <c r="OX24" s="363">
        <f t="shared" ref="OX24:RI24" ca="1" si="267">_xlfn.LOGNORM.INV(RAND(),$I$24,$J$24)</f>
        <v>1.1591681648865415</v>
      </c>
      <c r="OY24" s="363">
        <f t="shared" ca="1" si="267"/>
        <v>0.99728011738631395</v>
      </c>
      <c r="OZ24" s="363">
        <f t="shared" ca="1" si="267"/>
        <v>0.96781172594734466</v>
      </c>
      <c r="PA24" s="363">
        <f t="shared" ca="1" si="267"/>
        <v>0.96963096842809271</v>
      </c>
      <c r="PB24" s="363">
        <f t="shared" ca="1" si="267"/>
        <v>1.1070654219515506</v>
      </c>
      <c r="PC24" s="363">
        <f t="shared" ca="1" si="267"/>
        <v>1.0931503661791788</v>
      </c>
      <c r="PD24" s="363">
        <f t="shared" ca="1" si="267"/>
        <v>0.9578618030646211</v>
      </c>
      <c r="PE24" s="363">
        <f t="shared" ca="1" si="267"/>
        <v>0.9751315935275513</v>
      </c>
      <c r="PF24" s="363">
        <f t="shared" ca="1" si="267"/>
        <v>1.0293723076195445</v>
      </c>
      <c r="PG24" s="363">
        <f t="shared" ca="1" si="267"/>
        <v>0.94189492517247608</v>
      </c>
      <c r="PH24" s="363">
        <f t="shared" ca="1" si="267"/>
        <v>0.86992150320499673</v>
      </c>
      <c r="PI24" s="363">
        <f t="shared" ca="1" si="267"/>
        <v>0.88970817327781859</v>
      </c>
      <c r="PJ24" s="363">
        <f t="shared" ca="1" si="267"/>
        <v>0.97136260302321653</v>
      </c>
      <c r="PK24" s="363">
        <f t="shared" ca="1" si="267"/>
        <v>1.0767927519222598</v>
      </c>
      <c r="PL24" s="363">
        <f t="shared" ca="1" si="267"/>
        <v>0.93335434659331862</v>
      </c>
      <c r="PM24" s="363">
        <f t="shared" ca="1" si="267"/>
        <v>0.89655170362797754</v>
      </c>
      <c r="PN24" s="363">
        <f t="shared" ca="1" si="267"/>
        <v>1.0364387486680267</v>
      </c>
      <c r="PO24" s="363">
        <f t="shared" ca="1" si="267"/>
        <v>1.0177440025378977</v>
      </c>
      <c r="PP24" s="363">
        <f t="shared" ca="1" si="267"/>
        <v>0.93587692112554344</v>
      </c>
      <c r="PQ24" s="363">
        <f t="shared" ca="1" si="267"/>
        <v>1.0096502748251688</v>
      </c>
      <c r="PR24" s="363">
        <f t="shared" ca="1" si="267"/>
        <v>0.8847472243038339</v>
      </c>
      <c r="PS24" s="363">
        <f t="shared" ca="1" si="267"/>
        <v>0.91625045044619535</v>
      </c>
      <c r="PT24" s="363">
        <f t="shared" ca="1" si="267"/>
        <v>1.1038832170887953</v>
      </c>
      <c r="PU24" s="363">
        <f t="shared" ca="1" si="267"/>
        <v>1.008236453921691</v>
      </c>
      <c r="PV24" s="363">
        <f t="shared" ca="1" si="267"/>
        <v>1.0091351695893602</v>
      </c>
      <c r="PW24" s="363">
        <f t="shared" ca="1" si="267"/>
        <v>1.0287950425844976</v>
      </c>
      <c r="PX24" s="363">
        <f t="shared" ca="1" si="267"/>
        <v>0.96137273280989766</v>
      </c>
      <c r="PY24" s="363">
        <f t="shared" ca="1" si="267"/>
        <v>0.80183755248889277</v>
      </c>
      <c r="PZ24" s="363">
        <f t="shared" ca="1" si="267"/>
        <v>0.98389243714119967</v>
      </c>
      <c r="QA24" s="363">
        <f t="shared" ca="1" si="267"/>
        <v>1.0355530344955397</v>
      </c>
      <c r="QB24" s="363">
        <f t="shared" ca="1" si="267"/>
        <v>0.98757603653132842</v>
      </c>
      <c r="QC24" s="363">
        <f t="shared" ca="1" si="267"/>
        <v>1.0141483991263935</v>
      </c>
      <c r="QD24" s="363">
        <f t="shared" ca="1" si="267"/>
        <v>1.0313105890873651</v>
      </c>
      <c r="QE24" s="363">
        <f t="shared" ca="1" si="267"/>
        <v>1.014111781473956</v>
      </c>
      <c r="QF24" s="363">
        <f t="shared" ca="1" si="267"/>
        <v>0.85634130815457643</v>
      </c>
      <c r="QG24" s="363">
        <f t="shared" ca="1" si="267"/>
        <v>0.91565710344972684</v>
      </c>
      <c r="QH24" s="363">
        <f t="shared" ca="1" si="267"/>
        <v>1.0012325326636338</v>
      </c>
      <c r="QI24" s="363">
        <f t="shared" ca="1" si="267"/>
        <v>0.91678650362208158</v>
      </c>
      <c r="QJ24" s="363">
        <f t="shared" ca="1" si="267"/>
        <v>1.1197947078397288</v>
      </c>
      <c r="QK24" s="363">
        <f t="shared" ca="1" si="267"/>
        <v>1.1030655992065526</v>
      </c>
      <c r="QL24" s="363">
        <f t="shared" ca="1" si="267"/>
        <v>0.8033360752158023</v>
      </c>
      <c r="QM24" s="363">
        <f t="shared" ca="1" si="267"/>
        <v>1.0686535423080763</v>
      </c>
      <c r="QN24" s="363">
        <f t="shared" ca="1" si="267"/>
        <v>0.92856898281444278</v>
      </c>
      <c r="QO24" s="363">
        <f t="shared" ca="1" si="267"/>
        <v>0.92805104225389901</v>
      </c>
      <c r="QP24" s="363">
        <f t="shared" ca="1" si="267"/>
        <v>0.906361786660696</v>
      </c>
      <c r="QQ24" s="363">
        <f t="shared" ca="1" si="267"/>
        <v>1.0545381165907937</v>
      </c>
      <c r="QR24" s="363">
        <f t="shared" ca="1" si="267"/>
        <v>1.0423371269010626</v>
      </c>
      <c r="QS24" s="363">
        <f t="shared" ca="1" si="267"/>
        <v>1.0358344082582518</v>
      </c>
      <c r="QT24" s="363">
        <f t="shared" ca="1" si="267"/>
        <v>1.1171372570876612</v>
      </c>
      <c r="QU24" s="363">
        <f t="shared" ca="1" si="267"/>
        <v>0.87325853895687455</v>
      </c>
      <c r="QV24" s="363">
        <f t="shared" ca="1" si="267"/>
        <v>0.9958933037805523</v>
      </c>
      <c r="QW24" s="363">
        <f t="shared" ca="1" si="267"/>
        <v>1.1759747449554407</v>
      </c>
      <c r="QX24" s="363">
        <f t="shared" ca="1" si="267"/>
        <v>1.0466931151587959</v>
      </c>
      <c r="QY24" s="363">
        <f t="shared" ca="1" si="267"/>
        <v>1.0223964276871789</v>
      </c>
      <c r="QZ24" s="363">
        <f t="shared" ca="1" si="267"/>
        <v>0.92094006951446794</v>
      </c>
      <c r="RA24" s="363">
        <f t="shared" ca="1" si="267"/>
        <v>0.96947309233599999</v>
      </c>
      <c r="RB24" s="363">
        <f t="shared" ca="1" si="267"/>
        <v>0.93434987203294595</v>
      </c>
      <c r="RC24" s="363">
        <f t="shared" ca="1" si="267"/>
        <v>0.90928445895605581</v>
      </c>
      <c r="RD24" s="363">
        <f t="shared" ca="1" si="267"/>
        <v>1.021206459454729</v>
      </c>
      <c r="RE24" s="363">
        <f t="shared" ca="1" si="267"/>
        <v>0.91310405065877398</v>
      </c>
      <c r="RF24" s="363">
        <f t="shared" ca="1" si="267"/>
        <v>1.022045168694738</v>
      </c>
      <c r="RG24" s="363">
        <f t="shared" ca="1" si="267"/>
        <v>0.93134409227798653</v>
      </c>
      <c r="RH24" s="363">
        <f t="shared" ca="1" si="267"/>
        <v>1.09366115836273</v>
      </c>
      <c r="RI24" s="363">
        <f t="shared" ca="1" si="267"/>
        <v>1.020023426044552</v>
      </c>
      <c r="RJ24" s="363">
        <f t="shared" ref="RJ24:SR24" ca="1" si="268">_xlfn.LOGNORM.INV(RAND(),$I$24,$J$24)</f>
        <v>0.7706932848517235</v>
      </c>
      <c r="RK24" s="363">
        <f t="shared" ca="1" si="268"/>
        <v>1.0077785074982122</v>
      </c>
      <c r="RL24" s="363">
        <f t="shared" ca="1" si="268"/>
        <v>0.95537119075758259</v>
      </c>
      <c r="RM24" s="363">
        <f t="shared" ca="1" si="268"/>
        <v>1.0512578021976255</v>
      </c>
      <c r="RN24" s="363">
        <f t="shared" ca="1" si="268"/>
        <v>0.99209560944640096</v>
      </c>
      <c r="RO24" s="363">
        <f t="shared" ca="1" si="268"/>
        <v>0.91775963729810495</v>
      </c>
      <c r="RP24" s="363">
        <f t="shared" ca="1" si="268"/>
        <v>0.92573608284289322</v>
      </c>
      <c r="RQ24" s="363">
        <f t="shared" ca="1" si="268"/>
        <v>0.89260453477690493</v>
      </c>
      <c r="RR24" s="363">
        <f t="shared" ca="1" si="268"/>
        <v>1.0318030075971147</v>
      </c>
      <c r="RS24" s="363">
        <f t="shared" ca="1" si="268"/>
        <v>1.0835315436359627</v>
      </c>
      <c r="RT24" s="363">
        <f t="shared" ca="1" si="268"/>
        <v>0.87576619158999647</v>
      </c>
      <c r="RU24" s="363">
        <f t="shared" ca="1" si="268"/>
        <v>1.0406938413867166</v>
      </c>
      <c r="RV24" s="363">
        <f t="shared" ca="1" si="268"/>
        <v>0.97244283651087782</v>
      </c>
      <c r="RW24" s="363">
        <f t="shared" ca="1" si="268"/>
        <v>0.99926429910704873</v>
      </c>
      <c r="RX24" s="363">
        <f t="shared" ca="1" si="268"/>
        <v>0.97933695517250796</v>
      </c>
      <c r="RY24" s="363">
        <f t="shared" ca="1" si="268"/>
        <v>1.0177651497173188</v>
      </c>
      <c r="RZ24" s="363">
        <f t="shared" ca="1" si="268"/>
        <v>0.74829920614723899</v>
      </c>
      <c r="SA24" s="363">
        <f t="shared" ca="1" si="268"/>
        <v>1.1615635298392823</v>
      </c>
      <c r="SB24" s="363">
        <f t="shared" ca="1" si="268"/>
        <v>0.9176104734558499</v>
      </c>
      <c r="SC24" s="363">
        <f t="shared" ca="1" si="268"/>
        <v>0.9826467318935006</v>
      </c>
      <c r="SD24" s="363">
        <f t="shared" ca="1" si="268"/>
        <v>1.0757628382293065</v>
      </c>
      <c r="SE24" s="363">
        <f t="shared" ca="1" si="268"/>
        <v>1.0101317715798244</v>
      </c>
      <c r="SF24" s="363">
        <f t="shared" ca="1" si="268"/>
        <v>1.0614406063141721</v>
      </c>
      <c r="SG24" s="363">
        <f t="shared" ca="1" si="268"/>
        <v>0.9872579253532423</v>
      </c>
      <c r="SH24" s="363">
        <f t="shared" ca="1" si="268"/>
        <v>1.1624570172285229</v>
      </c>
      <c r="SI24" s="363">
        <f t="shared" ca="1" si="268"/>
        <v>0.95635064008346315</v>
      </c>
      <c r="SJ24" s="363">
        <f t="shared" ca="1" si="268"/>
        <v>1.0128948306296288</v>
      </c>
      <c r="SK24" s="363">
        <f t="shared" ca="1" si="268"/>
        <v>0.90144272012764615</v>
      </c>
      <c r="SL24" s="363">
        <f t="shared" ca="1" si="268"/>
        <v>1.0075763317351567</v>
      </c>
      <c r="SM24" s="363">
        <f t="shared" ca="1" si="268"/>
        <v>1.0188230058789498</v>
      </c>
      <c r="SN24" s="363">
        <f t="shared" ca="1" si="268"/>
        <v>0.95202657858047623</v>
      </c>
      <c r="SO24" s="363">
        <f t="shared" ca="1" si="268"/>
        <v>1.1451310471134262</v>
      </c>
      <c r="SP24" s="363">
        <f t="shared" ca="1" si="268"/>
        <v>0.8330505414574183</v>
      </c>
      <c r="SQ24" s="363">
        <f t="shared" ca="1" si="268"/>
        <v>0.89570809278740149</v>
      </c>
      <c r="SR24" s="363">
        <f t="shared" ca="1" si="268"/>
        <v>1.0171533602572114</v>
      </c>
      <c r="SS24" s="363">
        <f ca="1">_xlfn.LOGNORM.INV(RAND(),$I$24,$J$24)</f>
        <v>1.1091215232442002</v>
      </c>
      <c r="ST24" s="363">
        <f t="shared" ref="ST24:VE24" ca="1" si="269">_xlfn.LOGNORM.INV(RAND(),$I$24,$J$24)</f>
        <v>1.0132879461291868</v>
      </c>
      <c r="SU24" s="363">
        <f t="shared" ca="1" si="269"/>
        <v>1.0103418504842423</v>
      </c>
      <c r="SV24" s="363">
        <f t="shared" ca="1" si="269"/>
        <v>0.98538809260502069</v>
      </c>
      <c r="SW24" s="363">
        <f t="shared" ca="1" si="269"/>
        <v>0.97973341219066779</v>
      </c>
      <c r="SX24" s="363">
        <f t="shared" ca="1" si="269"/>
        <v>1.0834030907918812</v>
      </c>
      <c r="SY24" s="363">
        <f t="shared" ca="1" si="269"/>
        <v>0.98382855469170793</v>
      </c>
      <c r="SZ24" s="363">
        <f t="shared" ca="1" si="269"/>
        <v>0.95573210598927005</v>
      </c>
      <c r="TA24" s="363">
        <f t="shared" ca="1" si="269"/>
        <v>1.1420487878082319</v>
      </c>
      <c r="TB24" s="363">
        <f t="shared" ca="1" si="269"/>
        <v>1.1893061028253491</v>
      </c>
      <c r="TC24" s="363">
        <f t="shared" ca="1" si="269"/>
        <v>1.1376461456898159</v>
      </c>
      <c r="TD24" s="363">
        <f t="shared" ca="1" si="269"/>
        <v>0.92279960877130351</v>
      </c>
      <c r="TE24" s="363">
        <f t="shared" ca="1" si="269"/>
        <v>1.0398723632945037</v>
      </c>
      <c r="TF24" s="363">
        <f t="shared" ca="1" si="269"/>
        <v>1.0026645742176346</v>
      </c>
      <c r="TG24" s="363">
        <f t="shared" ca="1" si="269"/>
        <v>1.1180813238120284</v>
      </c>
      <c r="TH24" s="363">
        <f t="shared" ca="1" si="269"/>
        <v>1.228689044420566</v>
      </c>
      <c r="TI24" s="363">
        <f t="shared" ca="1" si="269"/>
        <v>0.91720033450777361</v>
      </c>
      <c r="TJ24" s="363">
        <f t="shared" ca="1" si="269"/>
        <v>1.0460005818593863</v>
      </c>
      <c r="TK24" s="363">
        <f t="shared" ca="1" si="269"/>
        <v>1.1710855042270916</v>
      </c>
      <c r="TL24" s="363">
        <f t="shared" ca="1" si="269"/>
        <v>0.96565898793753724</v>
      </c>
      <c r="TM24" s="363">
        <f t="shared" ca="1" si="269"/>
        <v>1.0854141704050804</v>
      </c>
      <c r="TN24" s="363">
        <f t="shared" ca="1" si="269"/>
        <v>1.1019581228479356</v>
      </c>
      <c r="TO24" s="363">
        <f t="shared" ca="1" si="269"/>
        <v>1.056952414026044</v>
      </c>
      <c r="TP24" s="363">
        <f t="shared" ca="1" si="269"/>
        <v>0.90747730959607764</v>
      </c>
      <c r="TQ24" s="363">
        <f t="shared" ca="1" si="269"/>
        <v>0.85612769873057126</v>
      </c>
      <c r="TR24" s="363">
        <f t="shared" ca="1" si="269"/>
        <v>1.0525696727281735</v>
      </c>
      <c r="TS24" s="363">
        <f t="shared" ca="1" si="269"/>
        <v>1.0463061943116132</v>
      </c>
      <c r="TT24" s="363">
        <f t="shared" ca="1" si="269"/>
        <v>1.0959206268765209</v>
      </c>
      <c r="TU24" s="363">
        <f t="shared" ca="1" si="269"/>
        <v>0.93292677123077106</v>
      </c>
      <c r="TV24" s="363">
        <f t="shared" ca="1" si="269"/>
        <v>1.1812586895628332</v>
      </c>
      <c r="TW24" s="363">
        <f t="shared" ca="1" si="269"/>
        <v>1.0001516733105216</v>
      </c>
      <c r="TX24" s="363">
        <f t="shared" ca="1" si="269"/>
        <v>1.0570321834970946</v>
      </c>
      <c r="TY24" s="363">
        <f t="shared" ca="1" si="269"/>
        <v>0.99421740057394725</v>
      </c>
      <c r="TZ24" s="363">
        <f t="shared" ca="1" si="269"/>
        <v>1.0488616559414294</v>
      </c>
      <c r="UA24" s="363">
        <f t="shared" ca="1" si="269"/>
        <v>1.0187612676899649</v>
      </c>
      <c r="UB24" s="363">
        <f t="shared" ca="1" si="269"/>
        <v>0.88376368987419962</v>
      </c>
      <c r="UC24" s="363">
        <f t="shared" ca="1" si="269"/>
        <v>1.0819533596090258</v>
      </c>
      <c r="UD24" s="363">
        <f t="shared" ca="1" si="269"/>
        <v>0.98650244899154449</v>
      </c>
      <c r="UE24" s="363">
        <f t="shared" ca="1" si="269"/>
        <v>0.98454159418319454</v>
      </c>
      <c r="UF24" s="363">
        <f t="shared" ca="1" si="269"/>
        <v>1.0272888801136955</v>
      </c>
      <c r="UG24" s="363">
        <f t="shared" ca="1" si="269"/>
        <v>1.0322626761772893</v>
      </c>
      <c r="UH24" s="363">
        <f t="shared" ca="1" si="269"/>
        <v>1.1145160131597596</v>
      </c>
      <c r="UI24" s="363">
        <f t="shared" ca="1" si="269"/>
        <v>1.0405371979365134</v>
      </c>
      <c r="UJ24" s="363">
        <f t="shared" ca="1" si="269"/>
        <v>0.90027179595002371</v>
      </c>
      <c r="UK24" s="363">
        <f t="shared" ca="1" si="269"/>
        <v>1.0543945979733167</v>
      </c>
      <c r="UL24" s="363">
        <f t="shared" ca="1" si="269"/>
        <v>0.95149829869925784</v>
      </c>
      <c r="UM24" s="363">
        <f t="shared" ca="1" si="269"/>
        <v>0.97467431912458757</v>
      </c>
      <c r="UN24" s="363">
        <f t="shared" ca="1" si="269"/>
        <v>0.86218314984250299</v>
      </c>
      <c r="UO24" s="363">
        <f t="shared" ca="1" si="269"/>
        <v>0.88945012735161921</v>
      </c>
      <c r="UP24" s="363">
        <f t="shared" ca="1" si="269"/>
        <v>0.96834479190075806</v>
      </c>
      <c r="UQ24" s="363">
        <f t="shared" ca="1" si="269"/>
        <v>0.95356644282961533</v>
      </c>
      <c r="UR24" s="363">
        <f t="shared" ca="1" si="269"/>
        <v>1.0545808446127762</v>
      </c>
      <c r="US24" s="363">
        <f t="shared" ca="1" si="269"/>
        <v>1.1025852067126098</v>
      </c>
      <c r="UT24" s="363">
        <f t="shared" ca="1" si="269"/>
        <v>1.0466317512082346</v>
      </c>
      <c r="UU24" s="363">
        <f t="shared" ca="1" si="269"/>
        <v>1.1470274187975278</v>
      </c>
      <c r="UV24" s="363">
        <f t="shared" ca="1" si="269"/>
        <v>1.2087654307022768</v>
      </c>
      <c r="UW24" s="363">
        <f t="shared" ca="1" si="269"/>
        <v>0.91050633217480104</v>
      </c>
      <c r="UX24" s="363">
        <f t="shared" ca="1" si="269"/>
        <v>0.87304289232539778</v>
      </c>
      <c r="UY24" s="363">
        <f t="shared" ca="1" si="269"/>
        <v>0.92404086533006191</v>
      </c>
      <c r="UZ24" s="363">
        <f t="shared" ca="1" si="269"/>
        <v>1.0813925554678201</v>
      </c>
      <c r="VA24" s="363">
        <f t="shared" ca="1" si="269"/>
        <v>1.1955102703543572</v>
      </c>
      <c r="VB24" s="363">
        <f t="shared" ca="1" si="269"/>
        <v>1.1755052964315964</v>
      </c>
      <c r="VC24" s="363">
        <f t="shared" ca="1" si="269"/>
        <v>0.94046538427079773</v>
      </c>
      <c r="VD24" s="363">
        <f t="shared" ca="1" si="269"/>
        <v>1.0802674753042489</v>
      </c>
      <c r="VE24" s="363">
        <f t="shared" ca="1" si="269"/>
        <v>1.0817360704508612</v>
      </c>
      <c r="VF24" s="363">
        <f t="shared" ref="VF24:WN24" ca="1" si="270">_xlfn.LOGNORM.INV(RAND(),$I$24,$J$24)</f>
        <v>1.2058342186367235</v>
      </c>
      <c r="VG24" s="363">
        <f t="shared" ca="1" si="270"/>
        <v>1.0786141018583397</v>
      </c>
      <c r="VH24" s="363">
        <f t="shared" ca="1" si="270"/>
        <v>1.0482263013602886</v>
      </c>
      <c r="VI24" s="363">
        <f t="shared" ca="1" si="270"/>
        <v>1.0747519144116673</v>
      </c>
      <c r="VJ24" s="363">
        <f t="shared" ca="1" si="270"/>
        <v>1.0856819157290027</v>
      </c>
      <c r="VK24" s="363">
        <f t="shared" ca="1" si="270"/>
        <v>1.1508065145496746</v>
      </c>
      <c r="VL24" s="363">
        <f t="shared" ca="1" si="270"/>
        <v>1.1443631411338968</v>
      </c>
      <c r="VM24" s="363">
        <f t="shared" ca="1" si="270"/>
        <v>0.98101424260859338</v>
      </c>
      <c r="VN24" s="363">
        <f t="shared" ca="1" si="270"/>
        <v>1.1372557293320549</v>
      </c>
      <c r="VO24" s="363">
        <f t="shared" ca="1" si="270"/>
        <v>0.84430892029344773</v>
      </c>
      <c r="VP24" s="363">
        <f t="shared" ca="1" si="270"/>
        <v>0.94890185137162886</v>
      </c>
      <c r="VQ24" s="363">
        <f t="shared" ca="1" si="270"/>
        <v>0.91024987169159777</v>
      </c>
      <c r="VR24" s="363">
        <f t="shared" ca="1" si="270"/>
        <v>1.148613300647672</v>
      </c>
      <c r="VS24" s="363">
        <f t="shared" ca="1" si="270"/>
        <v>0.94641166936715648</v>
      </c>
      <c r="VT24" s="363">
        <f t="shared" ca="1" si="270"/>
        <v>0.91670660397185799</v>
      </c>
      <c r="VU24" s="363">
        <f t="shared" ca="1" si="270"/>
        <v>1.0140159198884129</v>
      </c>
      <c r="VV24" s="363">
        <f t="shared" ca="1" si="270"/>
        <v>1.1623447928514736</v>
      </c>
      <c r="VW24" s="363">
        <f t="shared" ca="1" si="270"/>
        <v>0.9945449734355124</v>
      </c>
      <c r="VX24" s="363">
        <f t="shared" ca="1" si="270"/>
        <v>1.0267359141995132</v>
      </c>
      <c r="VY24" s="363">
        <f t="shared" ca="1" si="270"/>
        <v>0.87434300590666147</v>
      </c>
      <c r="VZ24" s="363">
        <f t="shared" ca="1" si="270"/>
        <v>0.85238315691823674</v>
      </c>
      <c r="WA24" s="363">
        <f t="shared" ca="1" si="270"/>
        <v>1.1746959975931912</v>
      </c>
      <c r="WB24" s="363">
        <f t="shared" ca="1" si="270"/>
        <v>0.87588853462101313</v>
      </c>
      <c r="WC24" s="363">
        <f t="shared" ca="1" si="270"/>
        <v>0.98160991466617942</v>
      </c>
      <c r="WD24" s="363">
        <f t="shared" ca="1" si="270"/>
        <v>1.0158725802562882</v>
      </c>
      <c r="WE24" s="363">
        <f t="shared" ca="1" si="270"/>
        <v>0.8947874779198346</v>
      </c>
      <c r="WF24" s="363">
        <f t="shared" ca="1" si="270"/>
        <v>1.0846020067504587</v>
      </c>
      <c r="WG24" s="363">
        <f t="shared" ca="1" si="270"/>
        <v>1.0272713904984132</v>
      </c>
      <c r="WH24" s="363">
        <f t="shared" ca="1" si="270"/>
        <v>1.140263607178192</v>
      </c>
      <c r="WI24" s="363">
        <f t="shared" ca="1" si="270"/>
        <v>0.92824118865280736</v>
      </c>
      <c r="WJ24" s="363">
        <f t="shared" ca="1" si="270"/>
        <v>0.94836401788459135</v>
      </c>
      <c r="WK24" s="363">
        <f t="shared" ca="1" si="270"/>
        <v>0.89904170937619565</v>
      </c>
      <c r="WL24" s="363">
        <f t="shared" ca="1" si="270"/>
        <v>0.98847194196026489</v>
      </c>
      <c r="WM24" s="363">
        <f t="shared" ca="1" si="270"/>
        <v>0.9803432224132842</v>
      </c>
      <c r="WN24" s="363">
        <f t="shared" ca="1" si="270"/>
        <v>1.0432940744292702</v>
      </c>
    </row>
    <row r="25" spans="2:612" x14ac:dyDescent="0.15">
      <c r="B25" s="469" t="s">
        <v>908</v>
      </c>
      <c r="D25" s="363">
        <f t="shared" si="0"/>
        <v>0.75</v>
      </c>
      <c r="F25" s="367">
        <v>0.75</v>
      </c>
      <c r="G25" s="367" t="s">
        <v>350</v>
      </c>
      <c r="H25" s="363">
        <v>6.1520932861451015E-2</v>
      </c>
      <c r="I25" s="363">
        <f t="shared" si="197"/>
        <v>-0.28957448504185246</v>
      </c>
      <c r="J25" s="367">
        <f t="shared" si="198"/>
        <v>8.189042831381553E-2</v>
      </c>
      <c r="K25" s="367" t="s">
        <v>1274</v>
      </c>
      <c r="M25" s="363">
        <f ca="1">_xlfn.LOGNORM.INV(RAND(),$I$25,$J$25)</f>
        <v>0.68405609000852563</v>
      </c>
      <c r="N25" s="363">
        <f t="shared" ref="N25:BY25" ca="1" si="271">_xlfn.LOGNORM.INV(RAND(),$I$25,$J$25)</f>
        <v>0.83798821191537021</v>
      </c>
      <c r="O25" s="363">
        <f t="shared" ca="1" si="271"/>
        <v>0.6994119554413657</v>
      </c>
      <c r="P25" s="363">
        <f t="shared" ca="1" si="271"/>
        <v>0.71468180812173332</v>
      </c>
      <c r="Q25" s="363">
        <f t="shared" ca="1" si="271"/>
        <v>0.78550486472574887</v>
      </c>
      <c r="R25" s="363">
        <f t="shared" ca="1" si="271"/>
        <v>0.66926309179370036</v>
      </c>
      <c r="S25" s="363">
        <f t="shared" ca="1" si="271"/>
        <v>0.88977130439718866</v>
      </c>
      <c r="T25" s="363">
        <f t="shared" ca="1" si="271"/>
        <v>0.6995299243736236</v>
      </c>
      <c r="U25" s="363">
        <f t="shared" ca="1" si="271"/>
        <v>0.68001245918081588</v>
      </c>
      <c r="V25" s="363">
        <f t="shared" ca="1" si="271"/>
        <v>0.77918918146087679</v>
      </c>
      <c r="W25" s="363">
        <f t="shared" ca="1" si="271"/>
        <v>0.7923717086322124</v>
      </c>
      <c r="X25" s="363">
        <f t="shared" ca="1" si="271"/>
        <v>0.76445768798087155</v>
      </c>
      <c r="Y25" s="363">
        <f t="shared" ca="1" si="271"/>
        <v>0.65799897425749954</v>
      </c>
      <c r="Z25" s="363">
        <f t="shared" ca="1" si="271"/>
        <v>0.891746072444216</v>
      </c>
      <c r="AA25" s="363">
        <f t="shared" ca="1" si="271"/>
        <v>0.87922254766893204</v>
      </c>
      <c r="AB25" s="363">
        <f t="shared" ca="1" si="271"/>
        <v>0.90809304805367375</v>
      </c>
      <c r="AC25" s="363">
        <f t="shared" ca="1" si="271"/>
        <v>0.74033237408112729</v>
      </c>
      <c r="AD25" s="363">
        <f t="shared" ca="1" si="271"/>
        <v>0.78886892030250499</v>
      </c>
      <c r="AE25" s="363">
        <f t="shared" ca="1" si="271"/>
        <v>0.78098956995222646</v>
      </c>
      <c r="AF25" s="363">
        <f t="shared" ca="1" si="271"/>
        <v>0.76678940897016679</v>
      </c>
      <c r="AG25" s="363">
        <f t="shared" ca="1" si="271"/>
        <v>0.73378788824914287</v>
      </c>
      <c r="AH25" s="363">
        <f t="shared" ca="1" si="271"/>
        <v>0.75925408265809535</v>
      </c>
      <c r="AI25" s="363">
        <f t="shared" ca="1" si="271"/>
        <v>0.65595355798186927</v>
      </c>
      <c r="AJ25" s="363">
        <f t="shared" ca="1" si="271"/>
        <v>0.78810808129684307</v>
      </c>
      <c r="AK25" s="363">
        <f t="shared" ca="1" si="271"/>
        <v>0.76642431261163468</v>
      </c>
      <c r="AL25" s="363">
        <f t="shared" ca="1" si="271"/>
        <v>0.76027362236949347</v>
      </c>
      <c r="AM25" s="363">
        <f t="shared" ca="1" si="271"/>
        <v>0.73213710354331507</v>
      </c>
      <c r="AN25" s="363">
        <f t="shared" ca="1" si="271"/>
        <v>0.70422431616288628</v>
      </c>
      <c r="AO25" s="363">
        <f t="shared" ca="1" si="271"/>
        <v>0.78091306896468193</v>
      </c>
      <c r="AP25" s="363">
        <f t="shared" ca="1" si="271"/>
        <v>0.69563300387326377</v>
      </c>
      <c r="AQ25" s="363">
        <f t="shared" ca="1" si="271"/>
        <v>0.81425550801538826</v>
      </c>
      <c r="AR25" s="363">
        <f t="shared" ca="1" si="271"/>
        <v>0.86641219688124871</v>
      </c>
      <c r="AS25" s="363">
        <f t="shared" ca="1" si="271"/>
        <v>0.71799260881373772</v>
      </c>
      <c r="AT25" s="363">
        <f t="shared" ca="1" si="271"/>
        <v>0.76585363061362666</v>
      </c>
      <c r="AU25" s="363">
        <f t="shared" ca="1" si="271"/>
        <v>0.76254171130963033</v>
      </c>
      <c r="AV25" s="363">
        <f t="shared" ca="1" si="271"/>
        <v>0.76913119221732429</v>
      </c>
      <c r="AW25" s="363">
        <f t="shared" ca="1" si="271"/>
        <v>0.84066138284384451</v>
      </c>
      <c r="AX25" s="363">
        <f t="shared" ca="1" si="271"/>
        <v>0.80343465138210757</v>
      </c>
      <c r="AY25" s="363">
        <f t="shared" ca="1" si="271"/>
        <v>0.79343738164699074</v>
      </c>
      <c r="AZ25" s="363">
        <f t="shared" ca="1" si="271"/>
        <v>0.94094911651092195</v>
      </c>
      <c r="BA25" s="363">
        <f t="shared" ca="1" si="271"/>
        <v>0.78606313776623382</v>
      </c>
      <c r="BB25" s="363">
        <f t="shared" ca="1" si="271"/>
        <v>0.77211872110176016</v>
      </c>
      <c r="BC25" s="363">
        <f t="shared" ca="1" si="271"/>
        <v>0.72690444814499611</v>
      </c>
      <c r="BD25" s="363">
        <f t="shared" ca="1" si="271"/>
        <v>0.67432127434752065</v>
      </c>
      <c r="BE25" s="363">
        <f t="shared" ca="1" si="271"/>
        <v>0.68562681599663122</v>
      </c>
      <c r="BF25" s="363">
        <f t="shared" ca="1" si="271"/>
        <v>0.75184114517611145</v>
      </c>
      <c r="BG25" s="363">
        <f t="shared" ca="1" si="271"/>
        <v>0.73036586909444978</v>
      </c>
      <c r="BH25" s="363">
        <f t="shared" ca="1" si="271"/>
        <v>0.9109607479940558</v>
      </c>
      <c r="BI25" s="363">
        <f t="shared" ca="1" si="271"/>
        <v>0.78216465864828277</v>
      </c>
      <c r="BJ25" s="363">
        <f t="shared" ca="1" si="271"/>
        <v>0.66255070097874758</v>
      </c>
      <c r="BK25" s="363">
        <f t="shared" ca="1" si="271"/>
        <v>0.73822601136316834</v>
      </c>
      <c r="BL25" s="363">
        <f t="shared" ca="1" si="271"/>
        <v>0.68749693642861509</v>
      </c>
      <c r="BM25" s="363">
        <f t="shared" ca="1" si="271"/>
        <v>0.69410951132274845</v>
      </c>
      <c r="BN25" s="363">
        <f t="shared" ca="1" si="271"/>
        <v>0.7276059229568691</v>
      </c>
      <c r="BO25" s="363">
        <f t="shared" ca="1" si="271"/>
        <v>0.76578432241152949</v>
      </c>
      <c r="BP25" s="363">
        <f t="shared" ca="1" si="271"/>
        <v>0.80616322337321489</v>
      </c>
      <c r="BQ25" s="363">
        <f t="shared" ca="1" si="271"/>
        <v>0.76081140082255305</v>
      </c>
      <c r="BR25" s="363">
        <f t="shared" ca="1" si="271"/>
        <v>0.71922778842810853</v>
      </c>
      <c r="BS25" s="363">
        <f t="shared" ca="1" si="271"/>
        <v>0.78611022896906746</v>
      </c>
      <c r="BT25" s="363">
        <f t="shared" ca="1" si="271"/>
        <v>0.7940670287599817</v>
      </c>
      <c r="BU25" s="363">
        <f t="shared" ca="1" si="271"/>
        <v>0.82197052308392282</v>
      </c>
      <c r="BV25" s="363">
        <f t="shared" ca="1" si="271"/>
        <v>0.6518564120577065</v>
      </c>
      <c r="BW25" s="363">
        <f t="shared" ca="1" si="271"/>
        <v>0.82802713584672238</v>
      </c>
      <c r="BX25" s="363">
        <f t="shared" ca="1" si="271"/>
        <v>0.7656478704963936</v>
      </c>
      <c r="BY25" s="363">
        <f t="shared" ca="1" si="271"/>
        <v>0.75915584899307953</v>
      </c>
      <c r="BZ25" s="363">
        <f t="shared" ref="BZ25:DH25" ca="1" si="272">_xlfn.LOGNORM.INV(RAND(),$I$25,$J$25)</f>
        <v>0.78663051850220256</v>
      </c>
      <c r="CA25" s="363">
        <f t="shared" ca="1" si="272"/>
        <v>0.73565635690050402</v>
      </c>
      <c r="CB25" s="363">
        <f t="shared" ca="1" si="272"/>
        <v>0.87673074944504625</v>
      </c>
      <c r="CC25" s="363">
        <f t="shared" ca="1" si="272"/>
        <v>0.7608089009547998</v>
      </c>
      <c r="CD25" s="363">
        <f t="shared" ca="1" si="272"/>
        <v>0.72983564668179024</v>
      </c>
      <c r="CE25" s="363">
        <f t="shared" ca="1" si="272"/>
        <v>0.73452090764947819</v>
      </c>
      <c r="CF25" s="363">
        <f t="shared" ca="1" si="272"/>
        <v>0.82797704300433195</v>
      </c>
      <c r="CG25" s="363">
        <f t="shared" ca="1" si="272"/>
        <v>0.70794416398818105</v>
      </c>
      <c r="CH25" s="363">
        <f t="shared" ca="1" si="272"/>
        <v>0.68573874028523329</v>
      </c>
      <c r="CI25" s="363">
        <f t="shared" ca="1" si="272"/>
        <v>0.73683357425655349</v>
      </c>
      <c r="CJ25" s="363">
        <f t="shared" ca="1" si="272"/>
        <v>0.70460462151230974</v>
      </c>
      <c r="CK25" s="363">
        <f t="shared" ca="1" si="272"/>
        <v>0.74307434946175543</v>
      </c>
      <c r="CL25" s="363">
        <f t="shared" ca="1" si="272"/>
        <v>0.7784001814159206</v>
      </c>
      <c r="CM25" s="363">
        <f t="shared" ca="1" si="272"/>
        <v>0.64915389542372803</v>
      </c>
      <c r="CN25" s="363">
        <f t="shared" ca="1" si="272"/>
        <v>0.78241748506874464</v>
      </c>
      <c r="CO25" s="363">
        <f t="shared" ca="1" si="272"/>
        <v>0.81772991526429861</v>
      </c>
      <c r="CP25" s="363">
        <f t="shared" ca="1" si="272"/>
        <v>0.73058427664247427</v>
      </c>
      <c r="CQ25" s="363">
        <f t="shared" ca="1" si="272"/>
        <v>0.72608834962043511</v>
      </c>
      <c r="CR25" s="363">
        <f t="shared" ca="1" si="272"/>
        <v>0.81380826216224111</v>
      </c>
      <c r="CS25" s="363">
        <f t="shared" ca="1" si="272"/>
        <v>0.79186161997816673</v>
      </c>
      <c r="CT25" s="363">
        <f t="shared" ca="1" si="272"/>
        <v>0.92979717972129605</v>
      </c>
      <c r="CU25" s="363">
        <f t="shared" ca="1" si="272"/>
        <v>0.81229108702564778</v>
      </c>
      <c r="CV25" s="363">
        <f t="shared" ca="1" si="272"/>
        <v>0.72514845999104061</v>
      </c>
      <c r="CW25" s="363">
        <f t="shared" ca="1" si="272"/>
        <v>0.82997734170777948</v>
      </c>
      <c r="CX25" s="363">
        <f t="shared" ca="1" si="272"/>
        <v>0.78469399202609846</v>
      </c>
      <c r="CY25" s="363">
        <f t="shared" ca="1" si="272"/>
        <v>0.6556643946653965</v>
      </c>
      <c r="CZ25" s="363">
        <f t="shared" ca="1" si="272"/>
        <v>0.70345890969886349</v>
      </c>
      <c r="DA25" s="363">
        <f t="shared" ca="1" si="272"/>
        <v>0.65790131070372304</v>
      </c>
      <c r="DB25" s="363">
        <f t="shared" ca="1" si="272"/>
        <v>0.8282220181209291</v>
      </c>
      <c r="DC25" s="363">
        <f t="shared" ca="1" si="272"/>
        <v>0.77477374937401189</v>
      </c>
      <c r="DD25" s="363">
        <f t="shared" ca="1" si="272"/>
        <v>0.71149898337617112</v>
      </c>
      <c r="DE25" s="363">
        <f t="shared" ca="1" si="272"/>
        <v>0.78778920958965859</v>
      </c>
      <c r="DF25" s="363">
        <f t="shared" ca="1" si="272"/>
        <v>0.86803094277194981</v>
      </c>
      <c r="DG25" s="363">
        <f t="shared" ca="1" si="272"/>
        <v>0.86397685131823465</v>
      </c>
      <c r="DH25" s="363">
        <f t="shared" ca="1" si="272"/>
        <v>0.53560031286268095</v>
      </c>
      <c r="DI25" s="363">
        <f ca="1">_xlfn.LOGNORM.INV(RAND(),$I$25,$J$25)</f>
        <v>0.71258930054994385</v>
      </c>
      <c r="DJ25" s="363">
        <f t="shared" ref="DJ25:FU25" ca="1" si="273">_xlfn.LOGNORM.INV(RAND(),$I$25,$J$25)</f>
        <v>0.71428966872852029</v>
      </c>
      <c r="DK25" s="363">
        <f t="shared" ca="1" si="273"/>
        <v>0.83810887680360657</v>
      </c>
      <c r="DL25" s="363">
        <f t="shared" ca="1" si="273"/>
        <v>0.74235887999795969</v>
      </c>
      <c r="DM25" s="363">
        <f t="shared" ca="1" si="273"/>
        <v>0.80094098951878445</v>
      </c>
      <c r="DN25" s="363">
        <f t="shared" ca="1" si="273"/>
        <v>0.71824332385940715</v>
      </c>
      <c r="DO25" s="363">
        <f t="shared" ca="1" si="273"/>
        <v>0.8673971611820932</v>
      </c>
      <c r="DP25" s="363">
        <f t="shared" ca="1" si="273"/>
        <v>0.7221777210991881</v>
      </c>
      <c r="DQ25" s="363">
        <f t="shared" ca="1" si="273"/>
        <v>0.74064441366047573</v>
      </c>
      <c r="DR25" s="363">
        <f t="shared" ca="1" si="273"/>
        <v>0.76816620220285081</v>
      </c>
      <c r="DS25" s="363">
        <f t="shared" ca="1" si="273"/>
        <v>0.75265318708730133</v>
      </c>
      <c r="DT25" s="363">
        <f t="shared" ca="1" si="273"/>
        <v>0.80067120518519808</v>
      </c>
      <c r="DU25" s="363">
        <f t="shared" ca="1" si="273"/>
        <v>0.77341072564139823</v>
      </c>
      <c r="DV25" s="363">
        <f t="shared" ca="1" si="273"/>
        <v>0.86577933042289201</v>
      </c>
      <c r="DW25" s="363">
        <f t="shared" ca="1" si="273"/>
        <v>0.77410863652064543</v>
      </c>
      <c r="DX25" s="363">
        <f t="shared" ca="1" si="273"/>
        <v>0.76012872861635372</v>
      </c>
      <c r="DY25" s="363">
        <f t="shared" ca="1" si="273"/>
        <v>0.75839681526328251</v>
      </c>
      <c r="DZ25" s="363">
        <f t="shared" ca="1" si="273"/>
        <v>0.82036459851214283</v>
      </c>
      <c r="EA25" s="363">
        <f t="shared" ca="1" si="273"/>
        <v>0.7991025440555739</v>
      </c>
      <c r="EB25" s="363">
        <f t="shared" ca="1" si="273"/>
        <v>0.72718986552316267</v>
      </c>
      <c r="EC25" s="363">
        <f t="shared" ca="1" si="273"/>
        <v>0.79580145003514813</v>
      </c>
      <c r="ED25" s="363">
        <f t="shared" ca="1" si="273"/>
        <v>0.77932952602464223</v>
      </c>
      <c r="EE25" s="363">
        <f t="shared" ca="1" si="273"/>
        <v>0.78676431362605703</v>
      </c>
      <c r="EF25" s="363">
        <f t="shared" ca="1" si="273"/>
        <v>0.67587597256157772</v>
      </c>
      <c r="EG25" s="363">
        <f t="shared" ca="1" si="273"/>
        <v>0.72814566547023984</v>
      </c>
      <c r="EH25" s="363">
        <f t="shared" ca="1" si="273"/>
        <v>0.67269119719134185</v>
      </c>
      <c r="EI25" s="363">
        <f t="shared" ca="1" si="273"/>
        <v>0.71595758043302737</v>
      </c>
      <c r="EJ25" s="363">
        <f t="shared" ca="1" si="273"/>
        <v>0.80413279554419081</v>
      </c>
      <c r="EK25" s="363">
        <f t="shared" ca="1" si="273"/>
        <v>0.73338273750157745</v>
      </c>
      <c r="EL25" s="363">
        <f t="shared" ca="1" si="273"/>
        <v>0.7817990199297763</v>
      </c>
      <c r="EM25" s="363">
        <f t="shared" ca="1" si="273"/>
        <v>0.63680623617840793</v>
      </c>
      <c r="EN25" s="363">
        <f t="shared" ca="1" si="273"/>
        <v>0.74651657335379773</v>
      </c>
      <c r="EO25" s="363">
        <f t="shared" ca="1" si="273"/>
        <v>0.63688919305938008</v>
      </c>
      <c r="EP25" s="363">
        <f t="shared" ca="1" si="273"/>
        <v>0.7040334685099352</v>
      </c>
      <c r="EQ25" s="363">
        <f t="shared" ca="1" si="273"/>
        <v>0.74013077044732356</v>
      </c>
      <c r="ER25" s="363">
        <f t="shared" ca="1" si="273"/>
        <v>0.67356884292548269</v>
      </c>
      <c r="ES25" s="363">
        <f t="shared" ca="1" si="273"/>
        <v>0.75358174047392257</v>
      </c>
      <c r="ET25" s="363">
        <f t="shared" ca="1" si="273"/>
        <v>0.81118643187170147</v>
      </c>
      <c r="EU25" s="363">
        <f t="shared" ca="1" si="273"/>
        <v>0.77504228822546972</v>
      </c>
      <c r="EV25" s="363">
        <f t="shared" ca="1" si="273"/>
        <v>0.83067278851942516</v>
      </c>
      <c r="EW25" s="363">
        <f t="shared" ca="1" si="273"/>
        <v>0.7601692241175162</v>
      </c>
      <c r="EX25" s="363">
        <f t="shared" ca="1" si="273"/>
        <v>0.77833932229985381</v>
      </c>
      <c r="EY25" s="363">
        <f t="shared" ca="1" si="273"/>
        <v>0.75500289668858178</v>
      </c>
      <c r="EZ25" s="363">
        <f t="shared" ca="1" si="273"/>
        <v>0.81953545238266634</v>
      </c>
      <c r="FA25" s="363">
        <f t="shared" ca="1" si="273"/>
        <v>0.72874037193374963</v>
      </c>
      <c r="FB25" s="363">
        <f t="shared" ca="1" si="273"/>
        <v>0.78471246037767017</v>
      </c>
      <c r="FC25" s="363">
        <f t="shared" ca="1" si="273"/>
        <v>0.84805911912479037</v>
      </c>
      <c r="FD25" s="363">
        <f t="shared" ca="1" si="273"/>
        <v>0.79205644845361056</v>
      </c>
      <c r="FE25" s="363">
        <f t="shared" ca="1" si="273"/>
        <v>0.74385560712466747</v>
      </c>
      <c r="FF25" s="363">
        <f t="shared" ca="1" si="273"/>
        <v>0.67662195131797775</v>
      </c>
      <c r="FG25" s="363">
        <f t="shared" ca="1" si="273"/>
        <v>0.78113151632741951</v>
      </c>
      <c r="FH25" s="363">
        <f t="shared" ca="1" si="273"/>
        <v>0.71995315327041054</v>
      </c>
      <c r="FI25" s="363">
        <f t="shared" ca="1" si="273"/>
        <v>0.73105304645318847</v>
      </c>
      <c r="FJ25" s="363">
        <f t="shared" ca="1" si="273"/>
        <v>0.65735300737924718</v>
      </c>
      <c r="FK25" s="363">
        <f t="shared" ca="1" si="273"/>
        <v>0.69697827276936664</v>
      </c>
      <c r="FL25" s="363">
        <f t="shared" ca="1" si="273"/>
        <v>0.72238226956089058</v>
      </c>
      <c r="FM25" s="363">
        <f t="shared" ca="1" si="273"/>
        <v>0.74966295263971516</v>
      </c>
      <c r="FN25" s="363">
        <f t="shared" ca="1" si="273"/>
        <v>0.66584142219821518</v>
      </c>
      <c r="FO25" s="363">
        <f t="shared" ca="1" si="273"/>
        <v>0.68264947431505019</v>
      </c>
      <c r="FP25" s="363">
        <f t="shared" ca="1" si="273"/>
        <v>0.66666055636802635</v>
      </c>
      <c r="FQ25" s="363">
        <f t="shared" ca="1" si="273"/>
        <v>0.7713642369953474</v>
      </c>
      <c r="FR25" s="363">
        <f t="shared" ca="1" si="273"/>
        <v>0.86124563279230526</v>
      </c>
      <c r="FS25" s="363">
        <f t="shared" ca="1" si="273"/>
        <v>0.70663223028814637</v>
      </c>
      <c r="FT25" s="363">
        <f t="shared" ca="1" si="273"/>
        <v>0.7583690797572924</v>
      </c>
      <c r="FU25" s="363">
        <f t="shared" ca="1" si="273"/>
        <v>0.8135589141016919</v>
      </c>
      <c r="FV25" s="363">
        <f t="shared" ref="FV25:HD25" ca="1" si="274">_xlfn.LOGNORM.INV(RAND(),$I$25,$J$25)</f>
        <v>0.64869050718940102</v>
      </c>
      <c r="FW25" s="363">
        <f t="shared" ca="1" si="274"/>
        <v>0.69105727242637205</v>
      </c>
      <c r="FX25" s="363">
        <f t="shared" ca="1" si="274"/>
        <v>0.64289131389601195</v>
      </c>
      <c r="FY25" s="363">
        <f t="shared" ca="1" si="274"/>
        <v>0.82897014613396647</v>
      </c>
      <c r="FZ25" s="363">
        <f t="shared" ca="1" si="274"/>
        <v>0.74815444287207289</v>
      </c>
      <c r="GA25" s="363">
        <f t="shared" ca="1" si="274"/>
        <v>0.65805622984389789</v>
      </c>
      <c r="GB25" s="363">
        <f t="shared" ca="1" si="274"/>
        <v>0.75062739622329233</v>
      </c>
      <c r="GC25" s="363">
        <f t="shared" ca="1" si="274"/>
        <v>0.61413718836128617</v>
      </c>
      <c r="GD25" s="363">
        <f t="shared" ca="1" si="274"/>
        <v>0.74075658860939919</v>
      </c>
      <c r="GE25" s="363">
        <f t="shared" ca="1" si="274"/>
        <v>0.82090789674378639</v>
      </c>
      <c r="GF25" s="363">
        <f t="shared" ca="1" si="274"/>
        <v>0.75713640691084672</v>
      </c>
      <c r="GG25" s="363">
        <f t="shared" ca="1" si="274"/>
        <v>0.67358997795834397</v>
      </c>
      <c r="GH25" s="363">
        <f t="shared" ca="1" si="274"/>
        <v>0.67948563329442169</v>
      </c>
      <c r="GI25" s="363">
        <f t="shared" ca="1" si="274"/>
        <v>0.79935650102235334</v>
      </c>
      <c r="GJ25" s="363">
        <f t="shared" ca="1" si="274"/>
        <v>0.66008122701127181</v>
      </c>
      <c r="GK25" s="363">
        <f t="shared" ca="1" si="274"/>
        <v>0.74603747343170268</v>
      </c>
      <c r="GL25" s="363">
        <f t="shared" ca="1" si="274"/>
        <v>0.76177502427683175</v>
      </c>
      <c r="GM25" s="363">
        <f t="shared" ca="1" si="274"/>
        <v>0.6924280082269767</v>
      </c>
      <c r="GN25" s="363">
        <f t="shared" ca="1" si="274"/>
        <v>0.71938435666830336</v>
      </c>
      <c r="GO25" s="363">
        <f t="shared" ca="1" si="274"/>
        <v>0.78016878652079447</v>
      </c>
      <c r="GP25" s="363">
        <f t="shared" ca="1" si="274"/>
        <v>0.79372068859809375</v>
      </c>
      <c r="GQ25" s="363">
        <f t="shared" ca="1" si="274"/>
        <v>0.78970080951726174</v>
      </c>
      <c r="GR25" s="363">
        <f t="shared" ca="1" si="274"/>
        <v>0.70400757040236583</v>
      </c>
      <c r="GS25" s="363">
        <f t="shared" ca="1" si="274"/>
        <v>0.75806841128118141</v>
      </c>
      <c r="GT25" s="363">
        <f t="shared" ca="1" si="274"/>
        <v>0.65303700719272684</v>
      </c>
      <c r="GU25" s="363">
        <f t="shared" ca="1" si="274"/>
        <v>0.85264813954945018</v>
      </c>
      <c r="GV25" s="363">
        <f t="shared" ca="1" si="274"/>
        <v>0.75354945371248028</v>
      </c>
      <c r="GW25" s="363">
        <f t="shared" ca="1" si="274"/>
        <v>0.80014720388222926</v>
      </c>
      <c r="GX25" s="363">
        <f t="shared" ca="1" si="274"/>
        <v>0.73167094569282143</v>
      </c>
      <c r="GY25" s="363">
        <f t="shared" ca="1" si="274"/>
        <v>0.71028837932598865</v>
      </c>
      <c r="GZ25" s="363">
        <f t="shared" ca="1" si="274"/>
        <v>0.64459342227510152</v>
      </c>
      <c r="HA25" s="363">
        <f t="shared" ca="1" si="274"/>
        <v>0.76392517430056983</v>
      </c>
      <c r="HB25" s="363">
        <f t="shared" ca="1" si="274"/>
        <v>0.70531957941672052</v>
      </c>
      <c r="HC25" s="363">
        <f t="shared" ca="1" si="274"/>
        <v>0.63821396288641996</v>
      </c>
      <c r="HD25" s="363">
        <f t="shared" ca="1" si="274"/>
        <v>0.74247729105362537</v>
      </c>
      <c r="HE25" s="363">
        <f ca="1">_xlfn.LOGNORM.INV(RAND(),$I$25,$J$25)</f>
        <v>0.73416401211070781</v>
      </c>
      <c r="HF25" s="363">
        <f t="shared" ref="HF25:JQ25" ca="1" si="275">_xlfn.LOGNORM.INV(RAND(),$I$25,$J$25)</f>
        <v>0.69542963853174311</v>
      </c>
      <c r="HG25" s="363">
        <f t="shared" ca="1" si="275"/>
        <v>0.7547519146597117</v>
      </c>
      <c r="HH25" s="363">
        <f t="shared" ca="1" si="275"/>
        <v>0.76099098836379031</v>
      </c>
      <c r="HI25" s="363">
        <f t="shared" ca="1" si="275"/>
        <v>0.7998071964039899</v>
      </c>
      <c r="HJ25" s="363">
        <f t="shared" ca="1" si="275"/>
        <v>0.70684775010315859</v>
      </c>
      <c r="HK25" s="363">
        <f t="shared" ca="1" si="275"/>
        <v>0.77059154113385719</v>
      </c>
      <c r="HL25" s="363">
        <f t="shared" ca="1" si="275"/>
        <v>0.79587203499124792</v>
      </c>
      <c r="HM25" s="363">
        <f t="shared" ca="1" si="275"/>
        <v>0.7101017816629045</v>
      </c>
      <c r="HN25" s="363">
        <f t="shared" ca="1" si="275"/>
        <v>0.73290428167798516</v>
      </c>
      <c r="HO25" s="363">
        <f t="shared" ca="1" si="275"/>
        <v>0.69850122521836289</v>
      </c>
      <c r="HP25" s="363">
        <f t="shared" ca="1" si="275"/>
        <v>0.79540158165007169</v>
      </c>
      <c r="HQ25" s="363">
        <f t="shared" ca="1" si="275"/>
        <v>0.64663046487261489</v>
      </c>
      <c r="HR25" s="363">
        <f t="shared" ca="1" si="275"/>
        <v>0.89766275770555415</v>
      </c>
      <c r="HS25" s="363">
        <f t="shared" ca="1" si="275"/>
        <v>0.73351632700405378</v>
      </c>
      <c r="HT25" s="363">
        <f t="shared" ca="1" si="275"/>
        <v>0.78812732379084793</v>
      </c>
      <c r="HU25" s="363">
        <f t="shared" ca="1" si="275"/>
        <v>0.75064928232864869</v>
      </c>
      <c r="HV25" s="363">
        <f t="shared" ca="1" si="275"/>
        <v>0.78500830108444186</v>
      </c>
      <c r="HW25" s="363">
        <f t="shared" ca="1" si="275"/>
        <v>0.72966487126465407</v>
      </c>
      <c r="HX25" s="363">
        <f t="shared" ca="1" si="275"/>
        <v>0.71874254486353717</v>
      </c>
      <c r="HY25" s="363">
        <f t="shared" ca="1" si="275"/>
        <v>0.83997527364429936</v>
      </c>
      <c r="HZ25" s="363">
        <f t="shared" ca="1" si="275"/>
        <v>0.70742386128812795</v>
      </c>
      <c r="IA25" s="363">
        <f t="shared" ca="1" si="275"/>
        <v>0.84628118166661148</v>
      </c>
      <c r="IB25" s="363">
        <f t="shared" ca="1" si="275"/>
        <v>0.86021641212148403</v>
      </c>
      <c r="IC25" s="363">
        <f t="shared" ca="1" si="275"/>
        <v>0.67321263262960496</v>
      </c>
      <c r="ID25" s="363">
        <f t="shared" ca="1" si="275"/>
        <v>0.80720993178345513</v>
      </c>
      <c r="IE25" s="363">
        <f t="shared" ca="1" si="275"/>
        <v>0.79783359711251967</v>
      </c>
      <c r="IF25" s="363">
        <f t="shared" ca="1" si="275"/>
        <v>0.64434959529465863</v>
      </c>
      <c r="IG25" s="363">
        <f t="shared" ca="1" si="275"/>
        <v>0.81666865597559413</v>
      </c>
      <c r="IH25" s="363">
        <f t="shared" ca="1" si="275"/>
        <v>0.80072542933387703</v>
      </c>
      <c r="II25" s="363">
        <f t="shared" ca="1" si="275"/>
        <v>0.6375791524058676</v>
      </c>
      <c r="IJ25" s="363">
        <f t="shared" ca="1" si="275"/>
        <v>0.79487843261038149</v>
      </c>
      <c r="IK25" s="363">
        <f t="shared" ca="1" si="275"/>
        <v>0.72961949327650377</v>
      </c>
      <c r="IL25" s="363">
        <f t="shared" ca="1" si="275"/>
        <v>0.81092060672477673</v>
      </c>
      <c r="IM25" s="363">
        <f t="shared" ca="1" si="275"/>
        <v>0.90221640260251101</v>
      </c>
      <c r="IN25" s="363">
        <f t="shared" ca="1" si="275"/>
        <v>0.83007341124130485</v>
      </c>
      <c r="IO25" s="363">
        <f t="shared" ca="1" si="275"/>
        <v>0.83312902866666738</v>
      </c>
      <c r="IP25" s="363">
        <f t="shared" ca="1" si="275"/>
        <v>0.77383611546711928</v>
      </c>
      <c r="IQ25" s="363">
        <f t="shared" ca="1" si="275"/>
        <v>0.74511722003515568</v>
      </c>
      <c r="IR25" s="363">
        <f t="shared" ca="1" si="275"/>
        <v>0.81160370735122889</v>
      </c>
      <c r="IS25" s="363">
        <f t="shared" ca="1" si="275"/>
        <v>0.7344547444686742</v>
      </c>
      <c r="IT25" s="363">
        <f t="shared" ca="1" si="275"/>
        <v>0.73812589100714265</v>
      </c>
      <c r="IU25" s="363">
        <f t="shared" ca="1" si="275"/>
        <v>0.73297779220284609</v>
      </c>
      <c r="IV25" s="363">
        <f t="shared" ca="1" si="275"/>
        <v>0.80813029709533768</v>
      </c>
      <c r="IW25" s="363">
        <f t="shared" ca="1" si="275"/>
        <v>0.68696151339037503</v>
      </c>
      <c r="IX25" s="363">
        <f t="shared" ca="1" si="275"/>
        <v>0.71824269492577419</v>
      </c>
      <c r="IY25" s="363">
        <f t="shared" ca="1" si="275"/>
        <v>0.72043528191686612</v>
      </c>
      <c r="IZ25" s="363">
        <f t="shared" ca="1" si="275"/>
        <v>0.82418871293516049</v>
      </c>
      <c r="JA25" s="363">
        <f t="shared" ca="1" si="275"/>
        <v>0.81898209427813673</v>
      </c>
      <c r="JB25" s="363">
        <f t="shared" ca="1" si="275"/>
        <v>0.82918986941200001</v>
      </c>
      <c r="JC25" s="363">
        <f t="shared" ca="1" si="275"/>
        <v>0.69523652902192334</v>
      </c>
      <c r="JD25" s="363">
        <f t="shared" ca="1" si="275"/>
        <v>0.7192084210594244</v>
      </c>
      <c r="JE25" s="363">
        <f t="shared" ca="1" si="275"/>
        <v>0.75120762077145864</v>
      </c>
      <c r="JF25" s="363">
        <f t="shared" ca="1" si="275"/>
        <v>0.75383985787889118</v>
      </c>
      <c r="JG25" s="363">
        <f t="shared" ca="1" si="275"/>
        <v>0.76501635589784533</v>
      </c>
      <c r="JH25" s="363">
        <f t="shared" ca="1" si="275"/>
        <v>0.71517822373660245</v>
      </c>
      <c r="JI25" s="363">
        <f t="shared" ca="1" si="275"/>
        <v>0.70377030888585801</v>
      </c>
      <c r="JJ25" s="363">
        <f t="shared" ca="1" si="275"/>
        <v>0.80025168044028649</v>
      </c>
      <c r="JK25" s="363">
        <f t="shared" ca="1" si="275"/>
        <v>0.78957896383674675</v>
      </c>
      <c r="JL25" s="363">
        <f t="shared" ca="1" si="275"/>
        <v>0.82392911615723297</v>
      </c>
      <c r="JM25" s="363">
        <f t="shared" ca="1" si="275"/>
        <v>0.71414950611905859</v>
      </c>
      <c r="JN25" s="363">
        <f t="shared" ca="1" si="275"/>
        <v>0.82749641922402462</v>
      </c>
      <c r="JO25" s="363">
        <f t="shared" ca="1" si="275"/>
        <v>0.75655551793565856</v>
      </c>
      <c r="JP25" s="363">
        <f t="shared" ca="1" si="275"/>
        <v>0.70356526378496032</v>
      </c>
      <c r="JQ25" s="363">
        <f t="shared" ca="1" si="275"/>
        <v>0.68967724414498321</v>
      </c>
      <c r="JR25" s="363">
        <f t="shared" ref="JR25:KZ25" ca="1" si="276">_xlfn.LOGNORM.INV(RAND(),$I$25,$J$25)</f>
        <v>0.66654130144308343</v>
      </c>
      <c r="JS25" s="363">
        <f t="shared" ca="1" si="276"/>
        <v>0.78824092869220586</v>
      </c>
      <c r="JT25" s="363">
        <f t="shared" ca="1" si="276"/>
        <v>0.76144192938539834</v>
      </c>
      <c r="JU25" s="363">
        <f t="shared" ca="1" si="276"/>
        <v>0.72302838464115093</v>
      </c>
      <c r="JV25" s="363">
        <f t="shared" ca="1" si="276"/>
        <v>0.71768868941122832</v>
      </c>
      <c r="JW25" s="363">
        <f t="shared" ca="1" si="276"/>
        <v>0.69838230396849044</v>
      </c>
      <c r="JX25" s="363">
        <f t="shared" ca="1" si="276"/>
        <v>0.7245924319261895</v>
      </c>
      <c r="JY25" s="363">
        <f t="shared" ca="1" si="276"/>
        <v>0.82076452113971921</v>
      </c>
      <c r="JZ25" s="363">
        <f t="shared" ca="1" si="276"/>
        <v>0.82521398321565609</v>
      </c>
      <c r="KA25" s="363">
        <f t="shared" ca="1" si="276"/>
        <v>0.82551967509991775</v>
      </c>
      <c r="KB25" s="363">
        <f t="shared" ca="1" si="276"/>
        <v>0.75629493886848176</v>
      </c>
      <c r="KC25" s="363">
        <f t="shared" ca="1" si="276"/>
        <v>0.7034055901899271</v>
      </c>
      <c r="KD25" s="363">
        <f t="shared" ca="1" si="276"/>
        <v>0.84345546224561441</v>
      </c>
      <c r="KE25" s="363">
        <f t="shared" ca="1" si="276"/>
        <v>0.82780384007811414</v>
      </c>
      <c r="KF25" s="363">
        <f t="shared" ca="1" si="276"/>
        <v>0.75121168176994835</v>
      </c>
      <c r="KG25" s="363">
        <f t="shared" ca="1" si="276"/>
        <v>0.77796816031259464</v>
      </c>
      <c r="KH25" s="363">
        <f t="shared" ca="1" si="276"/>
        <v>0.71591509265934161</v>
      </c>
      <c r="KI25" s="363">
        <f t="shared" ca="1" si="276"/>
        <v>0.75472332649993334</v>
      </c>
      <c r="KJ25" s="363">
        <f t="shared" ca="1" si="276"/>
        <v>0.72541637016138527</v>
      </c>
      <c r="KK25" s="363">
        <f t="shared" ca="1" si="276"/>
        <v>0.68408886462295848</v>
      </c>
      <c r="KL25" s="363">
        <f t="shared" ca="1" si="276"/>
        <v>0.78035083612412726</v>
      </c>
      <c r="KM25" s="363">
        <f t="shared" ca="1" si="276"/>
        <v>0.7623380508680252</v>
      </c>
      <c r="KN25" s="363">
        <f t="shared" ca="1" si="276"/>
        <v>0.74889468780520985</v>
      </c>
      <c r="KO25" s="363">
        <f t="shared" ca="1" si="276"/>
        <v>0.80465544554951207</v>
      </c>
      <c r="KP25" s="363">
        <f t="shared" ca="1" si="276"/>
        <v>0.79057699539240212</v>
      </c>
      <c r="KQ25" s="363">
        <f t="shared" ca="1" si="276"/>
        <v>0.69118695539331532</v>
      </c>
      <c r="KR25" s="363">
        <f t="shared" ca="1" si="276"/>
        <v>0.81640152525559062</v>
      </c>
      <c r="KS25" s="363">
        <f t="shared" ca="1" si="276"/>
        <v>0.7944867285743038</v>
      </c>
      <c r="KT25" s="363">
        <f t="shared" ca="1" si="276"/>
        <v>0.7322695607389812</v>
      </c>
      <c r="KU25" s="363">
        <f t="shared" ca="1" si="276"/>
        <v>0.6377033686775111</v>
      </c>
      <c r="KV25" s="363">
        <f t="shared" ca="1" si="276"/>
        <v>0.6217503367432925</v>
      </c>
      <c r="KW25" s="363">
        <f t="shared" ca="1" si="276"/>
        <v>0.72975185523912733</v>
      </c>
      <c r="KX25" s="363">
        <f t="shared" ca="1" si="276"/>
        <v>0.71672183137613854</v>
      </c>
      <c r="KY25" s="363">
        <f t="shared" ca="1" si="276"/>
        <v>0.76207262864149961</v>
      </c>
      <c r="KZ25" s="363">
        <f t="shared" ca="1" si="276"/>
        <v>0.82900668511440712</v>
      </c>
      <c r="LA25" s="363">
        <f ca="1">_xlfn.LOGNORM.INV(RAND(),$I$25,$J$25)</f>
        <v>0.71588069999473691</v>
      </c>
      <c r="LB25" s="363">
        <f t="shared" ref="LB25:NM25" ca="1" si="277">_xlfn.LOGNORM.INV(RAND(),$I$25,$J$25)</f>
        <v>0.73044659037512993</v>
      </c>
      <c r="LC25" s="363">
        <f t="shared" ca="1" si="277"/>
        <v>0.83311794022202512</v>
      </c>
      <c r="LD25" s="363">
        <f t="shared" ca="1" si="277"/>
        <v>0.74761983953733224</v>
      </c>
      <c r="LE25" s="363">
        <f t="shared" ca="1" si="277"/>
        <v>0.73212033910109975</v>
      </c>
      <c r="LF25" s="363">
        <f t="shared" ca="1" si="277"/>
        <v>0.76739710341067335</v>
      </c>
      <c r="LG25" s="363">
        <f t="shared" ca="1" si="277"/>
        <v>0.83443849140612936</v>
      </c>
      <c r="LH25" s="363">
        <f t="shared" ca="1" si="277"/>
        <v>0.77660108961229868</v>
      </c>
      <c r="LI25" s="363">
        <f t="shared" ca="1" si="277"/>
        <v>0.7693760392975918</v>
      </c>
      <c r="LJ25" s="363">
        <f t="shared" ca="1" si="277"/>
        <v>0.78498801425974662</v>
      </c>
      <c r="LK25" s="363">
        <f t="shared" ca="1" si="277"/>
        <v>0.68101681408714709</v>
      </c>
      <c r="LL25" s="363">
        <f t="shared" ca="1" si="277"/>
        <v>0.62338955932583939</v>
      </c>
      <c r="LM25" s="363">
        <f t="shared" ca="1" si="277"/>
        <v>0.84628238867055727</v>
      </c>
      <c r="LN25" s="363">
        <f t="shared" ca="1" si="277"/>
        <v>0.72894443916894891</v>
      </c>
      <c r="LO25" s="363">
        <f t="shared" ca="1" si="277"/>
        <v>0.82800724735426567</v>
      </c>
      <c r="LP25" s="363">
        <f t="shared" ca="1" si="277"/>
        <v>0.69019597647915099</v>
      </c>
      <c r="LQ25" s="363">
        <f t="shared" ca="1" si="277"/>
        <v>0.61658554338181049</v>
      </c>
      <c r="LR25" s="363">
        <f t="shared" ca="1" si="277"/>
        <v>0.73660036296202369</v>
      </c>
      <c r="LS25" s="363">
        <f t="shared" ca="1" si="277"/>
        <v>0.72820486401535733</v>
      </c>
      <c r="LT25" s="363">
        <f t="shared" ca="1" si="277"/>
        <v>0.76363336711844976</v>
      </c>
      <c r="LU25" s="363">
        <f t="shared" ca="1" si="277"/>
        <v>0.63092478611102309</v>
      </c>
      <c r="LV25" s="363">
        <f t="shared" ca="1" si="277"/>
        <v>0.75846263110246004</v>
      </c>
      <c r="LW25" s="363">
        <f t="shared" ca="1" si="277"/>
        <v>0.76402573530026485</v>
      </c>
      <c r="LX25" s="363">
        <f t="shared" ca="1" si="277"/>
        <v>0.71789048653076526</v>
      </c>
      <c r="LY25" s="363">
        <f t="shared" ca="1" si="277"/>
        <v>0.69399040552065572</v>
      </c>
      <c r="LZ25" s="363">
        <f t="shared" ca="1" si="277"/>
        <v>0.80279012507465886</v>
      </c>
      <c r="MA25" s="363">
        <f t="shared" ca="1" si="277"/>
        <v>0.71298607046391616</v>
      </c>
      <c r="MB25" s="363">
        <f t="shared" ca="1" si="277"/>
        <v>0.77656156067391569</v>
      </c>
      <c r="MC25" s="363">
        <f t="shared" ca="1" si="277"/>
        <v>0.73541665837845338</v>
      </c>
      <c r="MD25" s="363">
        <f t="shared" ca="1" si="277"/>
        <v>0.80705592306204765</v>
      </c>
      <c r="ME25" s="363">
        <f t="shared" ca="1" si="277"/>
        <v>0.71966644056915507</v>
      </c>
      <c r="MF25" s="363">
        <f t="shared" ca="1" si="277"/>
        <v>0.85243534477008931</v>
      </c>
      <c r="MG25" s="363">
        <f t="shared" ca="1" si="277"/>
        <v>0.77918450956829099</v>
      </c>
      <c r="MH25" s="363">
        <f t="shared" ca="1" si="277"/>
        <v>0.8141872740394942</v>
      </c>
      <c r="MI25" s="363">
        <f t="shared" ca="1" si="277"/>
        <v>0.80235305986529082</v>
      </c>
      <c r="MJ25" s="363">
        <f t="shared" ca="1" si="277"/>
        <v>0.760321861641306</v>
      </c>
      <c r="MK25" s="363">
        <f t="shared" ca="1" si="277"/>
        <v>0.77051761658788231</v>
      </c>
      <c r="ML25" s="363">
        <f t="shared" ca="1" si="277"/>
        <v>0.79513070753399739</v>
      </c>
      <c r="MM25" s="363">
        <f t="shared" ca="1" si="277"/>
        <v>0.73340430085149788</v>
      </c>
      <c r="MN25" s="363">
        <f t="shared" ca="1" si="277"/>
        <v>0.75332665061127801</v>
      </c>
      <c r="MO25" s="363">
        <f t="shared" ca="1" si="277"/>
        <v>0.79311517894790617</v>
      </c>
      <c r="MP25" s="363">
        <f t="shared" ca="1" si="277"/>
        <v>0.72785765233351163</v>
      </c>
      <c r="MQ25" s="363">
        <f t="shared" ca="1" si="277"/>
        <v>0.78644609610275884</v>
      </c>
      <c r="MR25" s="363">
        <f t="shared" ca="1" si="277"/>
        <v>0.70005180092983477</v>
      </c>
      <c r="MS25" s="363">
        <f t="shared" ca="1" si="277"/>
        <v>0.66758850787649737</v>
      </c>
      <c r="MT25" s="363">
        <f t="shared" ca="1" si="277"/>
        <v>0.68304041771087687</v>
      </c>
      <c r="MU25" s="363">
        <f t="shared" ca="1" si="277"/>
        <v>0.89472297479318319</v>
      </c>
      <c r="MV25" s="363">
        <f t="shared" ca="1" si="277"/>
        <v>0.80600373672858328</v>
      </c>
      <c r="MW25" s="363">
        <f t="shared" ca="1" si="277"/>
        <v>0.64394397567057049</v>
      </c>
      <c r="MX25" s="363">
        <f t="shared" ca="1" si="277"/>
        <v>0.6530380713805084</v>
      </c>
      <c r="MY25" s="363">
        <f t="shared" ca="1" si="277"/>
        <v>0.77987677106661868</v>
      </c>
      <c r="MZ25" s="363">
        <f t="shared" ca="1" si="277"/>
        <v>0.74174272705476729</v>
      </c>
      <c r="NA25" s="363">
        <f t="shared" ca="1" si="277"/>
        <v>0.77113021337040277</v>
      </c>
      <c r="NB25" s="363">
        <f t="shared" ca="1" si="277"/>
        <v>0.81177340847614354</v>
      </c>
      <c r="NC25" s="363">
        <f t="shared" ca="1" si="277"/>
        <v>0.6998369834740219</v>
      </c>
      <c r="ND25" s="363">
        <f t="shared" ca="1" si="277"/>
        <v>0.67738448443743582</v>
      </c>
      <c r="NE25" s="363">
        <f t="shared" ca="1" si="277"/>
        <v>0.75164391928495966</v>
      </c>
      <c r="NF25" s="363">
        <f t="shared" ca="1" si="277"/>
        <v>0.88007454862907508</v>
      </c>
      <c r="NG25" s="363">
        <f t="shared" ca="1" si="277"/>
        <v>0.81465567599533084</v>
      </c>
      <c r="NH25" s="363">
        <f t="shared" ca="1" si="277"/>
        <v>0.7002597794234654</v>
      </c>
      <c r="NI25" s="363">
        <f t="shared" ca="1" si="277"/>
        <v>0.8244826001971185</v>
      </c>
      <c r="NJ25" s="363">
        <f t="shared" ca="1" si="277"/>
        <v>0.80238421922197767</v>
      </c>
      <c r="NK25" s="363">
        <f t="shared" ca="1" si="277"/>
        <v>0.60842205684073192</v>
      </c>
      <c r="NL25" s="363">
        <f t="shared" ca="1" si="277"/>
        <v>0.64455050308399398</v>
      </c>
      <c r="NM25" s="363">
        <f t="shared" ca="1" si="277"/>
        <v>0.71216306409329577</v>
      </c>
      <c r="NN25" s="363">
        <f t="shared" ref="NN25:OV25" ca="1" si="278">_xlfn.LOGNORM.INV(RAND(),$I$25,$J$25)</f>
        <v>0.7975295152581886</v>
      </c>
      <c r="NO25" s="363">
        <f t="shared" ca="1" si="278"/>
        <v>0.6779407458968103</v>
      </c>
      <c r="NP25" s="363">
        <f t="shared" ca="1" si="278"/>
        <v>0.71845279926250949</v>
      </c>
      <c r="NQ25" s="363">
        <f t="shared" ca="1" si="278"/>
        <v>0.73789477036717344</v>
      </c>
      <c r="NR25" s="363">
        <f t="shared" ca="1" si="278"/>
        <v>0.82371265499537094</v>
      </c>
      <c r="NS25" s="363">
        <f t="shared" ca="1" si="278"/>
        <v>0.72111816362164616</v>
      </c>
      <c r="NT25" s="363">
        <f t="shared" ca="1" si="278"/>
        <v>0.65228390056539864</v>
      </c>
      <c r="NU25" s="363">
        <f t="shared" ca="1" si="278"/>
        <v>0.71734119422355602</v>
      </c>
      <c r="NV25" s="363">
        <f t="shared" ca="1" si="278"/>
        <v>0.82178267102075631</v>
      </c>
      <c r="NW25" s="363">
        <f t="shared" ca="1" si="278"/>
        <v>0.8849132381639897</v>
      </c>
      <c r="NX25" s="363">
        <f t="shared" ca="1" si="278"/>
        <v>0.90725050171955768</v>
      </c>
      <c r="NY25" s="363">
        <f t="shared" ca="1" si="278"/>
        <v>0.8832684763318509</v>
      </c>
      <c r="NZ25" s="363">
        <f t="shared" ca="1" si="278"/>
        <v>0.81898729354788258</v>
      </c>
      <c r="OA25" s="363">
        <f t="shared" ca="1" si="278"/>
        <v>0.7753314631580589</v>
      </c>
      <c r="OB25" s="363">
        <f t="shared" ca="1" si="278"/>
        <v>0.74651380088764385</v>
      </c>
      <c r="OC25" s="363">
        <f t="shared" ca="1" si="278"/>
        <v>0.72521243170212202</v>
      </c>
      <c r="OD25" s="363">
        <f t="shared" ca="1" si="278"/>
        <v>0.86701100232581962</v>
      </c>
      <c r="OE25" s="363">
        <f t="shared" ca="1" si="278"/>
        <v>0.72249718618537062</v>
      </c>
      <c r="OF25" s="363">
        <f t="shared" ca="1" si="278"/>
        <v>0.77977664494122068</v>
      </c>
      <c r="OG25" s="363">
        <f t="shared" ca="1" si="278"/>
        <v>0.80249016548710872</v>
      </c>
      <c r="OH25" s="363">
        <f t="shared" ca="1" si="278"/>
        <v>0.73322924334288808</v>
      </c>
      <c r="OI25" s="363">
        <f t="shared" ca="1" si="278"/>
        <v>0.72270953740246879</v>
      </c>
      <c r="OJ25" s="363">
        <f t="shared" ca="1" si="278"/>
        <v>0.77890704373468422</v>
      </c>
      <c r="OK25" s="363">
        <f t="shared" ca="1" si="278"/>
        <v>0.74325211353899046</v>
      </c>
      <c r="OL25" s="363">
        <f t="shared" ca="1" si="278"/>
        <v>0.71046837540352303</v>
      </c>
      <c r="OM25" s="363">
        <f t="shared" ca="1" si="278"/>
        <v>0.77701790072979748</v>
      </c>
      <c r="ON25" s="363">
        <f t="shared" ca="1" si="278"/>
        <v>0.79538187061357357</v>
      </c>
      <c r="OO25" s="363">
        <f t="shared" ca="1" si="278"/>
        <v>0.70581541201954678</v>
      </c>
      <c r="OP25" s="363">
        <f t="shared" ca="1" si="278"/>
        <v>0.76533343339966031</v>
      </c>
      <c r="OQ25" s="363">
        <f t="shared" ca="1" si="278"/>
        <v>0.77136668792581686</v>
      </c>
      <c r="OR25" s="363">
        <f t="shared" ca="1" si="278"/>
        <v>0.79989162812391568</v>
      </c>
      <c r="OS25" s="363">
        <f t="shared" ca="1" si="278"/>
        <v>0.69745760469228224</v>
      </c>
      <c r="OT25" s="363">
        <f t="shared" ca="1" si="278"/>
        <v>0.82417957982902934</v>
      </c>
      <c r="OU25" s="363">
        <f t="shared" ca="1" si="278"/>
        <v>0.73276788583421371</v>
      </c>
      <c r="OV25" s="363">
        <f t="shared" ca="1" si="278"/>
        <v>0.63973154391656184</v>
      </c>
      <c r="OW25" s="363">
        <f ca="1">_xlfn.LOGNORM.INV(RAND(),$I$25,$J$25)</f>
        <v>0.71315925426749027</v>
      </c>
      <c r="OX25" s="363">
        <f t="shared" ref="OX25:RI25" ca="1" si="279">_xlfn.LOGNORM.INV(RAND(),$I$25,$J$25)</f>
        <v>0.75488534479736946</v>
      </c>
      <c r="OY25" s="363">
        <f t="shared" ca="1" si="279"/>
        <v>0.82032983821889049</v>
      </c>
      <c r="OZ25" s="363">
        <f t="shared" ca="1" si="279"/>
        <v>0.73221887251699314</v>
      </c>
      <c r="PA25" s="363">
        <f t="shared" ca="1" si="279"/>
        <v>0.73445463046206594</v>
      </c>
      <c r="PB25" s="363">
        <f t="shared" ca="1" si="279"/>
        <v>0.84310391617234082</v>
      </c>
      <c r="PC25" s="363">
        <f t="shared" ca="1" si="279"/>
        <v>0.725218984771412</v>
      </c>
      <c r="PD25" s="363">
        <f t="shared" ca="1" si="279"/>
        <v>0.78704864695548837</v>
      </c>
      <c r="PE25" s="363">
        <f t="shared" ca="1" si="279"/>
        <v>0.73556655969777773</v>
      </c>
      <c r="PF25" s="363">
        <f t="shared" ca="1" si="279"/>
        <v>0.79849801407038645</v>
      </c>
      <c r="PG25" s="363">
        <f t="shared" ca="1" si="279"/>
        <v>0.73394956779698228</v>
      </c>
      <c r="PH25" s="363">
        <f t="shared" ca="1" si="279"/>
        <v>0.77436152616197851</v>
      </c>
      <c r="PI25" s="363">
        <f t="shared" ca="1" si="279"/>
        <v>0.85788487601204289</v>
      </c>
      <c r="PJ25" s="363">
        <f t="shared" ca="1" si="279"/>
        <v>0.78221616993540943</v>
      </c>
      <c r="PK25" s="363">
        <f t="shared" ca="1" si="279"/>
        <v>0.7607059928677693</v>
      </c>
      <c r="PL25" s="363">
        <f t="shared" ca="1" si="279"/>
        <v>0.76088919750755712</v>
      </c>
      <c r="PM25" s="363">
        <f t="shared" ca="1" si="279"/>
        <v>0.75669478709004268</v>
      </c>
      <c r="PN25" s="363">
        <f t="shared" ca="1" si="279"/>
        <v>0.66451496047372605</v>
      </c>
      <c r="PO25" s="363">
        <f t="shared" ca="1" si="279"/>
        <v>0.84566170942096486</v>
      </c>
      <c r="PP25" s="363">
        <f t="shared" ca="1" si="279"/>
        <v>0.63749211997588451</v>
      </c>
      <c r="PQ25" s="363">
        <f t="shared" ca="1" si="279"/>
        <v>0.77602973395386399</v>
      </c>
      <c r="PR25" s="363">
        <f t="shared" ca="1" si="279"/>
        <v>0.64335474877129106</v>
      </c>
      <c r="PS25" s="363">
        <f t="shared" ca="1" si="279"/>
        <v>0.82370985504757877</v>
      </c>
      <c r="PT25" s="363">
        <f t="shared" ca="1" si="279"/>
        <v>0.61954845157294725</v>
      </c>
      <c r="PU25" s="363">
        <f t="shared" ca="1" si="279"/>
        <v>0.68625316593074936</v>
      </c>
      <c r="PV25" s="363">
        <f t="shared" ca="1" si="279"/>
        <v>0.87249102776676069</v>
      </c>
      <c r="PW25" s="363">
        <f t="shared" ca="1" si="279"/>
        <v>0.74474487734138728</v>
      </c>
      <c r="PX25" s="363">
        <f t="shared" ca="1" si="279"/>
        <v>0.66782071432964119</v>
      </c>
      <c r="PY25" s="363">
        <f t="shared" ca="1" si="279"/>
        <v>0.67864107787334427</v>
      </c>
      <c r="PZ25" s="363">
        <f t="shared" ca="1" si="279"/>
        <v>0.72121541052257787</v>
      </c>
      <c r="QA25" s="363">
        <f t="shared" ca="1" si="279"/>
        <v>0.76877200943009594</v>
      </c>
      <c r="QB25" s="363">
        <f t="shared" ca="1" si="279"/>
        <v>0.68298347311283325</v>
      </c>
      <c r="QC25" s="363">
        <f t="shared" ca="1" si="279"/>
        <v>0.69472193061638876</v>
      </c>
      <c r="QD25" s="363">
        <f t="shared" ca="1" si="279"/>
        <v>0.6768510471963366</v>
      </c>
      <c r="QE25" s="363">
        <f t="shared" ca="1" si="279"/>
        <v>0.67601835237428531</v>
      </c>
      <c r="QF25" s="363">
        <f t="shared" ca="1" si="279"/>
        <v>0.81856399655554246</v>
      </c>
      <c r="QG25" s="363">
        <f t="shared" ca="1" si="279"/>
        <v>0.68919381749420061</v>
      </c>
      <c r="QH25" s="363">
        <f t="shared" ca="1" si="279"/>
        <v>0.72968195802899627</v>
      </c>
      <c r="QI25" s="363">
        <f t="shared" ca="1" si="279"/>
        <v>0.89070407535314045</v>
      </c>
      <c r="QJ25" s="363">
        <f t="shared" ca="1" si="279"/>
        <v>0.7860130153974092</v>
      </c>
      <c r="QK25" s="363">
        <f t="shared" ca="1" si="279"/>
        <v>0.72588478594871586</v>
      </c>
      <c r="QL25" s="363">
        <f t="shared" ca="1" si="279"/>
        <v>0.80647694532117908</v>
      </c>
      <c r="QM25" s="363">
        <f t="shared" ca="1" si="279"/>
        <v>0.80130526799393453</v>
      </c>
      <c r="QN25" s="363">
        <f t="shared" ca="1" si="279"/>
        <v>0.69715827423946619</v>
      </c>
      <c r="QO25" s="363">
        <f t="shared" ca="1" si="279"/>
        <v>0.77329066758024512</v>
      </c>
      <c r="QP25" s="363">
        <f t="shared" ca="1" si="279"/>
        <v>0.75852446117264527</v>
      </c>
      <c r="QQ25" s="363">
        <f t="shared" ca="1" si="279"/>
        <v>0.76132187439097043</v>
      </c>
      <c r="QR25" s="363">
        <f t="shared" ca="1" si="279"/>
        <v>0.78322443716039858</v>
      </c>
      <c r="QS25" s="363">
        <f t="shared" ca="1" si="279"/>
        <v>0.70697888376823559</v>
      </c>
      <c r="QT25" s="363">
        <f t="shared" ca="1" si="279"/>
        <v>0.71789807398452943</v>
      </c>
      <c r="QU25" s="363">
        <f t="shared" ca="1" si="279"/>
        <v>0.72856254099320761</v>
      </c>
      <c r="QV25" s="363">
        <f t="shared" ca="1" si="279"/>
        <v>0.78963169903440233</v>
      </c>
      <c r="QW25" s="363">
        <f t="shared" ca="1" si="279"/>
        <v>0.72125421586495753</v>
      </c>
      <c r="QX25" s="363">
        <f t="shared" ca="1" si="279"/>
        <v>0.68852752893101377</v>
      </c>
      <c r="QY25" s="363">
        <f t="shared" ca="1" si="279"/>
        <v>0.65584144994789573</v>
      </c>
      <c r="QZ25" s="363">
        <f t="shared" ca="1" si="279"/>
        <v>0.60407811816811774</v>
      </c>
      <c r="RA25" s="363">
        <f t="shared" ca="1" si="279"/>
        <v>0.787392753496724</v>
      </c>
      <c r="RB25" s="363">
        <f t="shared" ca="1" si="279"/>
        <v>0.85798335144611737</v>
      </c>
      <c r="RC25" s="363">
        <f t="shared" ca="1" si="279"/>
        <v>0.74075429411169424</v>
      </c>
      <c r="RD25" s="363">
        <f t="shared" ca="1" si="279"/>
        <v>0.82412776021689516</v>
      </c>
      <c r="RE25" s="363">
        <f t="shared" ca="1" si="279"/>
        <v>0.81435706746351044</v>
      </c>
      <c r="RF25" s="363">
        <f t="shared" ca="1" si="279"/>
        <v>0.89074285689875776</v>
      </c>
      <c r="RG25" s="363">
        <f t="shared" ca="1" si="279"/>
        <v>0.69911610923752154</v>
      </c>
      <c r="RH25" s="363">
        <f t="shared" ca="1" si="279"/>
        <v>0.72189773123790557</v>
      </c>
      <c r="RI25" s="363">
        <f t="shared" ca="1" si="279"/>
        <v>0.93467490943702547</v>
      </c>
      <c r="RJ25" s="363">
        <f t="shared" ref="RJ25:SR25" ca="1" si="280">_xlfn.LOGNORM.INV(RAND(),$I$25,$J$25)</f>
        <v>0.67415247988782667</v>
      </c>
      <c r="RK25" s="363">
        <f t="shared" ca="1" si="280"/>
        <v>0.66856275966408629</v>
      </c>
      <c r="RL25" s="363">
        <f t="shared" ca="1" si="280"/>
        <v>0.72643440165101014</v>
      </c>
      <c r="RM25" s="363">
        <f t="shared" ca="1" si="280"/>
        <v>0.71840104006647798</v>
      </c>
      <c r="RN25" s="363">
        <f t="shared" ca="1" si="280"/>
        <v>0.74853479473355589</v>
      </c>
      <c r="RO25" s="363">
        <f t="shared" ca="1" si="280"/>
        <v>0.72039216277938256</v>
      </c>
      <c r="RP25" s="363">
        <f t="shared" ca="1" si="280"/>
        <v>0.73853478012188734</v>
      </c>
      <c r="RQ25" s="363">
        <f t="shared" ca="1" si="280"/>
        <v>0.72274228838264465</v>
      </c>
      <c r="RR25" s="363">
        <f t="shared" ca="1" si="280"/>
        <v>0.725305706180293</v>
      </c>
      <c r="RS25" s="363">
        <f t="shared" ca="1" si="280"/>
        <v>0.7050132823595342</v>
      </c>
      <c r="RT25" s="363">
        <f t="shared" ca="1" si="280"/>
        <v>0.75150231646639176</v>
      </c>
      <c r="RU25" s="363">
        <f t="shared" ca="1" si="280"/>
        <v>0.75807935657445946</v>
      </c>
      <c r="RV25" s="363">
        <f t="shared" ca="1" si="280"/>
        <v>0.71655789260175939</v>
      </c>
      <c r="RW25" s="363">
        <f t="shared" ca="1" si="280"/>
        <v>0.82993766575672012</v>
      </c>
      <c r="RX25" s="363">
        <f t="shared" ca="1" si="280"/>
        <v>0.7324849477150156</v>
      </c>
      <c r="RY25" s="363">
        <f t="shared" ca="1" si="280"/>
        <v>0.65376412065528655</v>
      </c>
      <c r="RZ25" s="363">
        <f t="shared" ca="1" si="280"/>
        <v>0.81318323960689831</v>
      </c>
      <c r="SA25" s="363">
        <f t="shared" ca="1" si="280"/>
        <v>0.79597802830382391</v>
      </c>
      <c r="SB25" s="363">
        <f t="shared" ca="1" si="280"/>
        <v>0.81317579293826392</v>
      </c>
      <c r="SC25" s="363">
        <f t="shared" ca="1" si="280"/>
        <v>0.81887451435174441</v>
      </c>
      <c r="SD25" s="363">
        <f t="shared" ca="1" si="280"/>
        <v>0.70803297644223973</v>
      </c>
      <c r="SE25" s="363">
        <f t="shared" ca="1" si="280"/>
        <v>0.74384189318928295</v>
      </c>
      <c r="SF25" s="363">
        <f t="shared" ca="1" si="280"/>
        <v>0.80195010074963413</v>
      </c>
      <c r="SG25" s="363">
        <f t="shared" ca="1" si="280"/>
        <v>0.74603910488265301</v>
      </c>
      <c r="SH25" s="363">
        <f t="shared" ca="1" si="280"/>
        <v>0.75165651466929972</v>
      </c>
      <c r="SI25" s="363">
        <f t="shared" ca="1" si="280"/>
        <v>0.79357795644488005</v>
      </c>
      <c r="SJ25" s="363">
        <f t="shared" ca="1" si="280"/>
        <v>0.77887666184357551</v>
      </c>
      <c r="SK25" s="363">
        <f t="shared" ca="1" si="280"/>
        <v>0.79269816638236645</v>
      </c>
      <c r="SL25" s="363">
        <f t="shared" ca="1" si="280"/>
        <v>0.84688251537926051</v>
      </c>
      <c r="SM25" s="363">
        <f t="shared" ca="1" si="280"/>
        <v>0.75468783390222272</v>
      </c>
      <c r="SN25" s="363">
        <f t="shared" ca="1" si="280"/>
        <v>0.76716402132654959</v>
      </c>
      <c r="SO25" s="363">
        <f t="shared" ca="1" si="280"/>
        <v>0.80393100900633896</v>
      </c>
      <c r="SP25" s="363">
        <f t="shared" ca="1" si="280"/>
        <v>0.74578331171820156</v>
      </c>
      <c r="SQ25" s="363">
        <f t="shared" ca="1" si="280"/>
        <v>0.83789278159620595</v>
      </c>
      <c r="SR25" s="363">
        <f t="shared" ca="1" si="280"/>
        <v>0.76250879322129284</v>
      </c>
      <c r="SS25" s="363">
        <f ca="1">_xlfn.LOGNORM.INV(RAND(),$I$25,$J$25)</f>
        <v>0.67348486593329215</v>
      </c>
      <c r="ST25" s="363">
        <f t="shared" ref="ST25:VE25" ca="1" si="281">_xlfn.LOGNORM.INV(RAND(),$I$25,$J$25)</f>
        <v>0.74135295062655793</v>
      </c>
      <c r="SU25" s="363">
        <f t="shared" ca="1" si="281"/>
        <v>0.73670778810703941</v>
      </c>
      <c r="SV25" s="363">
        <f t="shared" ca="1" si="281"/>
        <v>0.86357917040106713</v>
      </c>
      <c r="SW25" s="363">
        <f t="shared" ca="1" si="281"/>
        <v>0.6926030879543712</v>
      </c>
      <c r="SX25" s="363">
        <f t="shared" ca="1" si="281"/>
        <v>0.76873477729135908</v>
      </c>
      <c r="SY25" s="363">
        <f t="shared" ca="1" si="281"/>
        <v>0.69269082228656087</v>
      </c>
      <c r="SZ25" s="363">
        <f t="shared" ca="1" si="281"/>
        <v>0.85074103523495825</v>
      </c>
      <c r="TA25" s="363">
        <f t="shared" ca="1" si="281"/>
        <v>0.69475954279225371</v>
      </c>
      <c r="TB25" s="363">
        <f t="shared" ca="1" si="281"/>
        <v>0.71061844104894778</v>
      </c>
      <c r="TC25" s="363">
        <f t="shared" ca="1" si="281"/>
        <v>0.73088691208038203</v>
      </c>
      <c r="TD25" s="363">
        <f t="shared" ca="1" si="281"/>
        <v>0.73884892021959492</v>
      </c>
      <c r="TE25" s="363">
        <f t="shared" ca="1" si="281"/>
        <v>0.74738135568742514</v>
      </c>
      <c r="TF25" s="363">
        <f t="shared" ca="1" si="281"/>
        <v>0.69804915145993207</v>
      </c>
      <c r="TG25" s="363">
        <f t="shared" ca="1" si="281"/>
        <v>0.79255798179324943</v>
      </c>
      <c r="TH25" s="363">
        <f t="shared" ca="1" si="281"/>
        <v>0.64892203270558091</v>
      </c>
      <c r="TI25" s="363">
        <f t="shared" ca="1" si="281"/>
        <v>0.72991832955424252</v>
      </c>
      <c r="TJ25" s="363">
        <f t="shared" ca="1" si="281"/>
        <v>0.76392678203945563</v>
      </c>
      <c r="TK25" s="363">
        <f t="shared" ca="1" si="281"/>
        <v>0.61655968735108546</v>
      </c>
      <c r="TL25" s="363">
        <f t="shared" ca="1" si="281"/>
        <v>0.80592620656375091</v>
      </c>
      <c r="TM25" s="363">
        <f t="shared" ca="1" si="281"/>
        <v>0.73069684010007219</v>
      </c>
      <c r="TN25" s="363">
        <f t="shared" ca="1" si="281"/>
        <v>0.71030219788852988</v>
      </c>
      <c r="TO25" s="363">
        <f t="shared" ca="1" si="281"/>
        <v>0.85204015527333421</v>
      </c>
      <c r="TP25" s="363">
        <f t="shared" ca="1" si="281"/>
        <v>0.68156984821832489</v>
      </c>
      <c r="TQ25" s="363">
        <f t="shared" ca="1" si="281"/>
        <v>0.71802828983856015</v>
      </c>
      <c r="TR25" s="363">
        <f t="shared" ca="1" si="281"/>
        <v>0.72554411226437965</v>
      </c>
      <c r="TS25" s="363">
        <f t="shared" ca="1" si="281"/>
        <v>0.73209381525686457</v>
      </c>
      <c r="TT25" s="363">
        <f t="shared" ca="1" si="281"/>
        <v>0.80840273776201999</v>
      </c>
      <c r="TU25" s="363">
        <f t="shared" ca="1" si="281"/>
        <v>0.73503579027396748</v>
      </c>
      <c r="TV25" s="363">
        <f t="shared" ca="1" si="281"/>
        <v>0.74757098168684055</v>
      </c>
      <c r="TW25" s="363">
        <f t="shared" ca="1" si="281"/>
        <v>0.6708530386670587</v>
      </c>
      <c r="TX25" s="363">
        <f t="shared" ca="1" si="281"/>
        <v>0.60863491440089901</v>
      </c>
      <c r="TY25" s="363">
        <f t="shared" ca="1" si="281"/>
        <v>0.72121763163267483</v>
      </c>
      <c r="TZ25" s="363">
        <f t="shared" ca="1" si="281"/>
        <v>0.65400834883211401</v>
      </c>
      <c r="UA25" s="363">
        <f t="shared" ca="1" si="281"/>
        <v>0.70789112603896331</v>
      </c>
      <c r="UB25" s="363">
        <f t="shared" ca="1" si="281"/>
        <v>0.79620052830879773</v>
      </c>
      <c r="UC25" s="363">
        <f t="shared" ca="1" si="281"/>
        <v>0.73939542210789699</v>
      </c>
      <c r="UD25" s="363">
        <f t="shared" ca="1" si="281"/>
        <v>0.84245108026294113</v>
      </c>
      <c r="UE25" s="363">
        <f t="shared" ca="1" si="281"/>
        <v>0.7562493814317407</v>
      </c>
      <c r="UF25" s="363">
        <f t="shared" ca="1" si="281"/>
        <v>0.74953054992145551</v>
      </c>
      <c r="UG25" s="363">
        <f t="shared" ca="1" si="281"/>
        <v>0.74642408841070729</v>
      </c>
      <c r="UH25" s="363">
        <f t="shared" ca="1" si="281"/>
        <v>0.67581881976799763</v>
      </c>
      <c r="UI25" s="363">
        <f t="shared" ca="1" si="281"/>
        <v>0.74130156084477605</v>
      </c>
      <c r="UJ25" s="363">
        <f t="shared" ca="1" si="281"/>
        <v>0.75314044698136862</v>
      </c>
      <c r="UK25" s="363">
        <f t="shared" ca="1" si="281"/>
        <v>0.82904820913805122</v>
      </c>
      <c r="UL25" s="363">
        <f t="shared" ca="1" si="281"/>
        <v>0.81252170490761144</v>
      </c>
      <c r="UM25" s="363">
        <f t="shared" ca="1" si="281"/>
        <v>0.79808886967204262</v>
      </c>
      <c r="UN25" s="363">
        <f t="shared" ca="1" si="281"/>
        <v>0.65996189868374944</v>
      </c>
      <c r="UO25" s="363">
        <f t="shared" ca="1" si="281"/>
        <v>0.6576538573804569</v>
      </c>
      <c r="UP25" s="363">
        <f t="shared" ca="1" si="281"/>
        <v>0.80107737096266274</v>
      </c>
      <c r="UQ25" s="363">
        <f t="shared" ca="1" si="281"/>
        <v>0.72115333105378698</v>
      </c>
      <c r="UR25" s="363">
        <f t="shared" ca="1" si="281"/>
        <v>0.77194737263706992</v>
      </c>
      <c r="US25" s="363">
        <f t="shared" ca="1" si="281"/>
        <v>0.68886288736876311</v>
      </c>
      <c r="UT25" s="363">
        <f t="shared" ca="1" si="281"/>
        <v>0.76255667038884922</v>
      </c>
      <c r="UU25" s="363">
        <f t="shared" ca="1" si="281"/>
        <v>0.76805719481628054</v>
      </c>
      <c r="UV25" s="363">
        <f t="shared" ca="1" si="281"/>
        <v>0.69211729803625743</v>
      </c>
      <c r="UW25" s="363">
        <f t="shared" ca="1" si="281"/>
        <v>0.70373104619331339</v>
      </c>
      <c r="UX25" s="363">
        <f t="shared" ca="1" si="281"/>
        <v>0.73536042391685796</v>
      </c>
      <c r="UY25" s="363">
        <f t="shared" ca="1" si="281"/>
        <v>0.74712562524421233</v>
      </c>
      <c r="UZ25" s="363">
        <f t="shared" ca="1" si="281"/>
        <v>0.83394351891426233</v>
      </c>
      <c r="VA25" s="363">
        <f t="shared" ca="1" si="281"/>
        <v>0.68623115819568248</v>
      </c>
      <c r="VB25" s="363">
        <f t="shared" ca="1" si="281"/>
        <v>0.845755401346305</v>
      </c>
      <c r="VC25" s="363">
        <f t="shared" ca="1" si="281"/>
        <v>0.7672015417068192</v>
      </c>
      <c r="VD25" s="363">
        <f t="shared" ca="1" si="281"/>
        <v>0.90117996760839458</v>
      </c>
      <c r="VE25" s="363">
        <f t="shared" ca="1" si="281"/>
        <v>0.85887316127223545</v>
      </c>
      <c r="VF25" s="363">
        <f t="shared" ref="VF25:WN25" ca="1" si="282">_xlfn.LOGNORM.INV(RAND(),$I$25,$J$25)</f>
        <v>0.71338849086085987</v>
      </c>
      <c r="VG25" s="363">
        <f t="shared" ca="1" si="282"/>
        <v>0.741089180843712</v>
      </c>
      <c r="VH25" s="363">
        <f t="shared" ca="1" si="282"/>
        <v>0.74406308273188082</v>
      </c>
      <c r="VI25" s="363">
        <f t="shared" ca="1" si="282"/>
        <v>0.74793512195510437</v>
      </c>
      <c r="VJ25" s="363">
        <f t="shared" ca="1" si="282"/>
        <v>0.78000037425301794</v>
      </c>
      <c r="VK25" s="363">
        <f t="shared" ca="1" si="282"/>
        <v>0.66597113792755258</v>
      </c>
      <c r="VL25" s="363">
        <f t="shared" ca="1" si="282"/>
        <v>0.63538271884502273</v>
      </c>
      <c r="VM25" s="363">
        <f t="shared" ca="1" si="282"/>
        <v>0.8213509856573481</v>
      </c>
      <c r="VN25" s="363">
        <f t="shared" ca="1" si="282"/>
        <v>0.86921584017331122</v>
      </c>
      <c r="VO25" s="363">
        <f t="shared" ca="1" si="282"/>
        <v>0.66230238700585875</v>
      </c>
      <c r="VP25" s="363">
        <f t="shared" ca="1" si="282"/>
        <v>0.76308211788073632</v>
      </c>
      <c r="VQ25" s="363">
        <f t="shared" ca="1" si="282"/>
        <v>0.73869872492850552</v>
      </c>
      <c r="VR25" s="363">
        <f t="shared" ca="1" si="282"/>
        <v>0.69093513039430754</v>
      </c>
      <c r="VS25" s="363">
        <f t="shared" ca="1" si="282"/>
        <v>0.78689385273064938</v>
      </c>
      <c r="VT25" s="363">
        <f t="shared" ca="1" si="282"/>
        <v>0.90446442113610903</v>
      </c>
      <c r="VU25" s="363">
        <f t="shared" ca="1" si="282"/>
        <v>0.70693429599920132</v>
      </c>
      <c r="VV25" s="363">
        <f t="shared" ca="1" si="282"/>
        <v>0.70276095431256347</v>
      </c>
      <c r="VW25" s="363">
        <f t="shared" ca="1" si="282"/>
        <v>0.76110807113093792</v>
      </c>
      <c r="VX25" s="363">
        <f t="shared" ca="1" si="282"/>
        <v>0.67278122866100531</v>
      </c>
      <c r="VY25" s="363">
        <f t="shared" ca="1" si="282"/>
        <v>0.76220819291504016</v>
      </c>
      <c r="VZ25" s="363">
        <f t="shared" ca="1" si="282"/>
        <v>0.79247339241054049</v>
      </c>
      <c r="WA25" s="363">
        <f t="shared" ca="1" si="282"/>
        <v>0.80916510235443173</v>
      </c>
      <c r="WB25" s="363">
        <f t="shared" ca="1" si="282"/>
        <v>0.74069769448970735</v>
      </c>
      <c r="WC25" s="363">
        <f t="shared" ca="1" si="282"/>
        <v>0.73645835918617031</v>
      </c>
      <c r="WD25" s="363">
        <f t="shared" ca="1" si="282"/>
        <v>0.7944821150311131</v>
      </c>
      <c r="WE25" s="363">
        <f t="shared" ca="1" si="282"/>
        <v>0.88340437599247401</v>
      </c>
      <c r="WF25" s="363">
        <f t="shared" ca="1" si="282"/>
        <v>0.84222484693668775</v>
      </c>
      <c r="WG25" s="363">
        <f t="shared" ca="1" si="282"/>
        <v>0.80006860049457784</v>
      </c>
      <c r="WH25" s="363">
        <f t="shared" ca="1" si="282"/>
        <v>0.80014159330712009</v>
      </c>
      <c r="WI25" s="363">
        <f t="shared" ca="1" si="282"/>
        <v>0.72420108458308408</v>
      </c>
      <c r="WJ25" s="363">
        <f t="shared" ca="1" si="282"/>
        <v>0.84146832798545013</v>
      </c>
      <c r="WK25" s="363">
        <f t="shared" ca="1" si="282"/>
        <v>0.74635274764405057</v>
      </c>
      <c r="WL25" s="363">
        <f t="shared" ca="1" si="282"/>
        <v>0.74301421798707712</v>
      </c>
      <c r="WM25" s="363">
        <f t="shared" ca="1" si="282"/>
        <v>0.70785788262520566</v>
      </c>
      <c r="WN25" s="363">
        <f t="shared" ca="1" si="282"/>
        <v>0.67357962623253287</v>
      </c>
    </row>
    <row r="26" spans="2:612" x14ac:dyDescent="0.15">
      <c r="B26" s="469" t="s">
        <v>909</v>
      </c>
      <c r="D26" s="363">
        <f t="shared" si="0"/>
        <v>0.93</v>
      </c>
      <c r="F26" s="367">
        <v>0.93</v>
      </c>
      <c r="G26" s="367" t="s">
        <v>350</v>
      </c>
      <c r="H26" s="363">
        <v>0.16909230384301435</v>
      </c>
      <c r="I26" s="363">
        <f t="shared" si="197"/>
        <v>-8.686679644430452E-2</v>
      </c>
      <c r="J26" s="367">
        <f t="shared" si="198"/>
        <v>0.18034333814635634</v>
      </c>
      <c r="K26" s="367" t="s">
        <v>1274</v>
      </c>
      <c r="M26" s="363">
        <f ca="1">_xlfn.LOGNORM.INV(RAND(),$I$26,$J$26)</f>
        <v>1.0811097513645054</v>
      </c>
      <c r="N26" s="363">
        <f t="shared" ref="N26:BY26" ca="1" si="283">_xlfn.LOGNORM.INV(RAND(),$I$26,$J$26)</f>
        <v>1.0223493147245366</v>
      </c>
      <c r="O26" s="363">
        <f t="shared" ca="1" si="283"/>
        <v>0.67117461440242576</v>
      </c>
      <c r="P26" s="363">
        <f t="shared" ca="1" si="283"/>
        <v>1.0916909503467336</v>
      </c>
      <c r="Q26" s="363">
        <f t="shared" ca="1" si="283"/>
        <v>1.1517468948678695</v>
      </c>
      <c r="R26" s="363">
        <f t="shared" ca="1" si="283"/>
        <v>0.88531037693858305</v>
      </c>
      <c r="S26" s="363">
        <f t="shared" ca="1" si="283"/>
        <v>0.79160844229472527</v>
      </c>
      <c r="T26" s="363">
        <f t="shared" ca="1" si="283"/>
        <v>0.89398763697769379</v>
      </c>
      <c r="U26" s="363">
        <f t="shared" ca="1" si="283"/>
        <v>1.1645164419628595</v>
      </c>
      <c r="V26" s="363">
        <f t="shared" ca="1" si="283"/>
        <v>0.95679982319161982</v>
      </c>
      <c r="W26" s="363">
        <f t="shared" ca="1" si="283"/>
        <v>0.78195864355465294</v>
      </c>
      <c r="X26" s="363">
        <f t="shared" ca="1" si="283"/>
        <v>0.79946625699932383</v>
      </c>
      <c r="Y26" s="363">
        <f t="shared" ca="1" si="283"/>
        <v>0.66608482884073117</v>
      </c>
      <c r="Z26" s="363">
        <f t="shared" ca="1" si="283"/>
        <v>0.84825418454710977</v>
      </c>
      <c r="AA26" s="363">
        <f t="shared" ca="1" si="283"/>
        <v>1.0002578339378942</v>
      </c>
      <c r="AB26" s="363">
        <f t="shared" ca="1" si="283"/>
        <v>0.8953426186644261</v>
      </c>
      <c r="AC26" s="363">
        <f t="shared" ca="1" si="283"/>
        <v>0.76173342380027553</v>
      </c>
      <c r="AD26" s="363">
        <f t="shared" ca="1" si="283"/>
        <v>0.89586338721229664</v>
      </c>
      <c r="AE26" s="363">
        <f t="shared" ca="1" si="283"/>
        <v>1.128534998608403</v>
      </c>
      <c r="AF26" s="363">
        <f t="shared" ca="1" si="283"/>
        <v>0.965751051115876</v>
      </c>
      <c r="AG26" s="363">
        <f t="shared" ca="1" si="283"/>
        <v>1.0990472681601959</v>
      </c>
      <c r="AH26" s="363">
        <f t="shared" ca="1" si="283"/>
        <v>0.8187758013219707</v>
      </c>
      <c r="AI26" s="363">
        <f t="shared" ca="1" si="283"/>
        <v>0.77974715364008007</v>
      </c>
      <c r="AJ26" s="363">
        <f t="shared" ca="1" si="283"/>
        <v>0.99062298896498546</v>
      </c>
      <c r="AK26" s="363">
        <f t="shared" ca="1" si="283"/>
        <v>1.1247433393211541</v>
      </c>
      <c r="AL26" s="363">
        <f t="shared" ca="1" si="283"/>
        <v>0.78424782228867218</v>
      </c>
      <c r="AM26" s="363">
        <f t="shared" ca="1" si="283"/>
        <v>0.94189863481598013</v>
      </c>
      <c r="AN26" s="363">
        <f t="shared" ca="1" si="283"/>
        <v>1.1324199674113085</v>
      </c>
      <c r="AO26" s="363">
        <f t="shared" ca="1" si="283"/>
        <v>0.93517201978691245</v>
      </c>
      <c r="AP26" s="363">
        <f t="shared" ca="1" si="283"/>
        <v>0.90569262172551313</v>
      </c>
      <c r="AQ26" s="363">
        <f t="shared" ca="1" si="283"/>
        <v>1.1731316659229798</v>
      </c>
      <c r="AR26" s="363">
        <f t="shared" ca="1" si="283"/>
        <v>0.96518248773271986</v>
      </c>
      <c r="AS26" s="363">
        <f t="shared" ca="1" si="283"/>
        <v>0.93690989076938724</v>
      </c>
      <c r="AT26" s="363">
        <f t="shared" ca="1" si="283"/>
        <v>0.9275074814287767</v>
      </c>
      <c r="AU26" s="363">
        <f t="shared" ca="1" si="283"/>
        <v>1.0612051656111769</v>
      </c>
      <c r="AV26" s="363">
        <f t="shared" ca="1" si="283"/>
        <v>1.5734421445248359</v>
      </c>
      <c r="AW26" s="363">
        <f t="shared" ca="1" si="283"/>
        <v>0.89646544321893928</v>
      </c>
      <c r="AX26" s="363">
        <f t="shared" ca="1" si="283"/>
        <v>0.91638388090569922</v>
      </c>
      <c r="AY26" s="363">
        <f t="shared" ca="1" si="283"/>
        <v>1.2187916293771668</v>
      </c>
      <c r="AZ26" s="363">
        <f t="shared" ca="1" si="283"/>
        <v>1.0061569377272286</v>
      </c>
      <c r="BA26" s="363">
        <f t="shared" ca="1" si="283"/>
        <v>0.91582861371316637</v>
      </c>
      <c r="BB26" s="363">
        <f t="shared" ca="1" si="283"/>
        <v>1.1698430618068412</v>
      </c>
      <c r="BC26" s="363">
        <f t="shared" ca="1" si="283"/>
        <v>1.0264243755640965</v>
      </c>
      <c r="BD26" s="363">
        <f t="shared" ca="1" si="283"/>
        <v>1.3413277809308817</v>
      </c>
      <c r="BE26" s="363">
        <f t="shared" ca="1" si="283"/>
        <v>0.98598078508772946</v>
      </c>
      <c r="BF26" s="363">
        <f t="shared" ca="1" si="283"/>
        <v>0.88473519590655292</v>
      </c>
      <c r="BG26" s="363">
        <f t="shared" ca="1" si="283"/>
        <v>1.1238538053404346</v>
      </c>
      <c r="BH26" s="363">
        <f t="shared" ca="1" si="283"/>
        <v>0.88514780587612263</v>
      </c>
      <c r="BI26" s="363">
        <f t="shared" ca="1" si="283"/>
        <v>1.1536116438466457</v>
      </c>
      <c r="BJ26" s="363">
        <f t="shared" ca="1" si="283"/>
        <v>0.97239251816085848</v>
      </c>
      <c r="BK26" s="363">
        <f t="shared" ca="1" si="283"/>
        <v>0.97305799046250085</v>
      </c>
      <c r="BL26" s="363">
        <f t="shared" ca="1" si="283"/>
        <v>0.67867901955799037</v>
      </c>
      <c r="BM26" s="363">
        <f t="shared" ca="1" si="283"/>
        <v>0.93696498628315461</v>
      </c>
      <c r="BN26" s="363">
        <f t="shared" ca="1" si="283"/>
        <v>0.6655328235464727</v>
      </c>
      <c r="BO26" s="363">
        <f t="shared" ca="1" si="283"/>
        <v>0.66144406264640332</v>
      </c>
      <c r="BP26" s="363">
        <f t="shared" ca="1" si="283"/>
        <v>1.1217513999040341</v>
      </c>
      <c r="BQ26" s="363">
        <f t="shared" ca="1" si="283"/>
        <v>0.95644318505637738</v>
      </c>
      <c r="BR26" s="363">
        <f t="shared" ca="1" si="283"/>
        <v>1.1074859772176446</v>
      </c>
      <c r="BS26" s="363">
        <f t="shared" ca="1" si="283"/>
        <v>0.82816312750265675</v>
      </c>
      <c r="BT26" s="363">
        <f t="shared" ca="1" si="283"/>
        <v>0.79246647953392579</v>
      </c>
      <c r="BU26" s="363">
        <f t="shared" ca="1" si="283"/>
        <v>0.81967459362105477</v>
      </c>
      <c r="BV26" s="363">
        <f t="shared" ca="1" si="283"/>
        <v>1.0807379627659042</v>
      </c>
      <c r="BW26" s="363">
        <f t="shared" ca="1" si="283"/>
        <v>0.80679406101469631</v>
      </c>
      <c r="BX26" s="363">
        <f t="shared" ca="1" si="283"/>
        <v>0.89680666180111279</v>
      </c>
      <c r="BY26" s="363">
        <f t="shared" ca="1" si="283"/>
        <v>0.82762609310004742</v>
      </c>
      <c r="BZ26" s="363">
        <f t="shared" ref="BZ26:DH26" ca="1" si="284">_xlfn.LOGNORM.INV(RAND(),$I$26,$J$26)</f>
        <v>0.78301978104009762</v>
      </c>
      <c r="CA26" s="363">
        <f t="shared" ca="1" si="284"/>
        <v>0.93619216748804823</v>
      </c>
      <c r="CB26" s="363">
        <f t="shared" ca="1" si="284"/>
        <v>0.95646739284378224</v>
      </c>
      <c r="CC26" s="363">
        <f t="shared" ca="1" si="284"/>
        <v>0.83044759936326307</v>
      </c>
      <c r="CD26" s="363">
        <f t="shared" ca="1" si="284"/>
        <v>0.76704180494538232</v>
      </c>
      <c r="CE26" s="363">
        <f t="shared" ca="1" si="284"/>
        <v>1.1252087674005591</v>
      </c>
      <c r="CF26" s="363">
        <f t="shared" ca="1" si="284"/>
        <v>0.93164747664109204</v>
      </c>
      <c r="CG26" s="363">
        <f t="shared" ca="1" si="284"/>
        <v>1.2955362776864925</v>
      </c>
      <c r="CH26" s="363">
        <f t="shared" ca="1" si="284"/>
        <v>0.98903957867657877</v>
      </c>
      <c r="CI26" s="363">
        <f t="shared" ca="1" si="284"/>
        <v>1.3207887825588724</v>
      </c>
      <c r="CJ26" s="363">
        <f t="shared" ca="1" si="284"/>
        <v>0.64509431974041109</v>
      </c>
      <c r="CK26" s="363">
        <f t="shared" ca="1" si="284"/>
        <v>1.2665061691656414</v>
      </c>
      <c r="CL26" s="363">
        <f t="shared" ca="1" si="284"/>
        <v>0.85662702207226316</v>
      </c>
      <c r="CM26" s="363">
        <f t="shared" ca="1" si="284"/>
        <v>0.76637948463082772</v>
      </c>
      <c r="CN26" s="363">
        <f t="shared" ca="1" si="284"/>
        <v>0.83079616678502799</v>
      </c>
      <c r="CO26" s="363">
        <f t="shared" ca="1" si="284"/>
        <v>1.3173049161037824</v>
      </c>
      <c r="CP26" s="363">
        <f t="shared" ca="1" si="284"/>
        <v>1.0739691042530266</v>
      </c>
      <c r="CQ26" s="363">
        <f t="shared" ca="1" si="284"/>
        <v>1.077665473206215</v>
      </c>
      <c r="CR26" s="363">
        <f t="shared" ca="1" si="284"/>
        <v>0.85445439968664827</v>
      </c>
      <c r="CS26" s="363">
        <f t="shared" ca="1" si="284"/>
        <v>0.49749502962490127</v>
      </c>
      <c r="CT26" s="363">
        <f t="shared" ca="1" si="284"/>
        <v>0.87804676749423005</v>
      </c>
      <c r="CU26" s="363">
        <f t="shared" ca="1" si="284"/>
        <v>0.99920719773201305</v>
      </c>
      <c r="CV26" s="363">
        <f t="shared" ca="1" si="284"/>
        <v>0.87210287541057951</v>
      </c>
      <c r="CW26" s="363">
        <f t="shared" ca="1" si="284"/>
        <v>1.1402632529659313</v>
      </c>
      <c r="CX26" s="363">
        <f t="shared" ca="1" si="284"/>
        <v>1.1223786425470763</v>
      </c>
      <c r="CY26" s="363">
        <f t="shared" ca="1" si="284"/>
        <v>1.1305898536909937</v>
      </c>
      <c r="CZ26" s="363">
        <f t="shared" ca="1" si="284"/>
        <v>0.93060639899787378</v>
      </c>
      <c r="DA26" s="363">
        <f t="shared" ca="1" si="284"/>
        <v>0.84119633436842611</v>
      </c>
      <c r="DB26" s="363">
        <f t="shared" ca="1" si="284"/>
        <v>0.99882858983963874</v>
      </c>
      <c r="DC26" s="363">
        <f t="shared" ca="1" si="284"/>
        <v>1.2768587421365083</v>
      </c>
      <c r="DD26" s="363">
        <f t="shared" ca="1" si="284"/>
        <v>0.90184489960242509</v>
      </c>
      <c r="DE26" s="363">
        <f t="shared" ca="1" si="284"/>
        <v>1.1180202166907389</v>
      </c>
      <c r="DF26" s="363">
        <f t="shared" ca="1" si="284"/>
        <v>1.0546425009641194</v>
      </c>
      <c r="DG26" s="363">
        <f t="shared" ca="1" si="284"/>
        <v>0.98656858242300993</v>
      </c>
      <c r="DH26" s="363">
        <f t="shared" ca="1" si="284"/>
        <v>0.94258659405982381</v>
      </c>
      <c r="DI26" s="363">
        <f ca="1">_xlfn.LOGNORM.INV(RAND(),$I$26,$J$26)</f>
        <v>0.90695393797874035</v>
      </c>
      <c r="DJ26" s="363">
        <f t="shared" ref="DJ26:FU26" ca="1" si="285">_xlfn.LOGNORM.INV(RAND(),$I$26,$J$26)</f>
        <v>0.84016489099382397</v>
      </c>
      <c r="DK26" s="363">
        <f t="shared" ca="1" si="285"/>
        <v>0.99793406820390518</v>
      </c>
      <c r="DL26" s="363">
        <f t="shared" ca="1" si="285"/>
        <v>0.7605255771532784</v>
      </c>
      <c r="DM26" s="363">
        <f t="shared" ca="1" si="285"/>
        <v>1.0076227561932296</v>
      </c>
      <c r="DN26" s="363">
        <f t="shared" ca="1" si="285"/>
        <v>0.9315422708657608</v>
      </c>
      <c r="DO26" s="363">
        <f t="shared" ca="1" si="285"/>
        <v>1.1083956225613003</v>
      </c>
      <c r="DP26" s="363">
        <f t="shared" ca="1" si="285"/>
        <v>1.0070615728077204</v>
      </c>
      <c r="DQ26" s="363">
        <f t="shared" ca="1" si="285"/>
        <v>0.83641400373752117</v>
      </c>
      <c r="DR26" s="363">
        <f t="shared" ca="1" si="285"/>
        <v>0.77140446599625512</v>
      </c>
      <c r="DS26" s="363">
        <f t="shared" ca="1" si="285"/>
        <v>0.6988578046087659</v>
      </c>
      <c r="DT26" s="363">
        <f t="shared" ca="1" si="285"/>
        <v>0.80074566727440222</v>
      </c>
      <c r="DU26" s="363">
        <f t="shared" ca="1" si="285"/>
        <v>1.1156462148995352</v>
      </c>
      <c r="DV26" s="363">
        <f t="shared" ca="1" si="285"/>
        <v>1.0909057666668169</v>
      </c>
      <c r="DW26" s="363">
        <f t="shared" ca="1" si="285"/>
        <v>0.80859682221515305</v>
      </c>
      <c r="DX26" s="363">
        <f t="shared" ca="1" si="285"/>
        <v>0.85012732694987636</v>
      </c>
      <c r="DY26" s="363">
        <f t="shared" ca="1" si="285"/>
        <v>1.0151618316466819</v>
      </c>
      <c r="DZ26" s="363">
        <f t="shared" ca="1" si="285"/>
        <v>0.78909804095495018</v>
      </c>
      <c r="EA26" s="363">
        <f t="shared" ca="1" si="285"/>
        <v>0.99250738632538527</v>
      </c>
      <c r="EB26" s="363">
        <f t="shared" ca="1" si="285"/>
        <v>0.91007703830034814</v>
      </c>
      <c r="EC26" s="363">
        <f t="shared" ca="1" si="285"/>
        <v>1.1871666700529995</v>
      </c>
      <c r="ED26" s="363">
        <f t="shared" ca="1" si="285"/>
        <v>1.1523075424060263</v>
      </c>
      <c r="EE26" s="363">
        <f t="shared" ca="1" si="285"/>
        <v>0.9644295600237357</v>
      </c>
      <c r="EF26" s="363">
        <f t="shared" ca="1" si="285"/>
        <v>0.9893855640327005</v>
      </c>
      <c r="EG26" s="363">
        <f t="shared" ca="1" si="285"/>
        <v>0.7555803186816048</v>
      </c>
      <c r="EH26" s="363">
        <f t="shared" ca="1" si="285"/>
        <v>1.0693426788948588</v>
      </c>
      <c r="EI26" s="363">
        <f t="shared" ca="1" si="285"/>
        <v>0.78753927924869405</v>
      </c>
      <c r="EJ26" s="363">
        <f t="shared" ca="1" si="285"/>
        <v>1.0959051992331206</v>
      </c>
      <c r="EK26" s="363">
        <f t="shared" ca="1" si="285"/>
        <v>0.90975679619461269</v>
      </c>
      <c r="EL26" s="363">
        <f t="shared" ca="1" si="285"/>
        <v>0.9664059750060271</v>
      </c>
      <c r="EM26" s="363">
        <f t="shared" ca="1" si="285"/>
        <v>0.98148374337004773</v>
      </c>
      <c r="EN26" s="363">
        <f t="shared" ca="1" si="285"/>
        <v>0.81801620444171441</v>
      </c>
      <c r="EO26" s="363">
        <f t="shared" ca="1" si="285"/>
        <v>0.97433096588565615</v>
      </c>
      <c r="EP26" s="363">
        <f t="shared" ca="1" si="285"/>
        <v>1.1770648027508288</v>
      </c>
      <c r="EQ26" s="363">
        <f t="shared" ca="1" si="285"/>
        <v>0.94919922237037613</v>
      </c>
      <c r="ER26" s="363">
        <f t="shared" ca="1" si="285"/>
        <v>0.63118786674941052</v>
      </c>
      <c r="ES26" s="363">
        <f t="shared" ca="1" si="285"/>
        <v>0.81516825600726917</v>
      </c>
      <c r="ET26" s="363">
        <f t="shared" ca="1" si="285"/>
        <v>0.77306021179850148</v>
      </c>
      <c r="EU26" s="363">
        <f t="shared" ca="1" si="285"/>
        <v>0.90833193653106414</v>
      </c>
      <c r="EV26" s="363">
        <f t="shared" ca="1" si="285"/>
        <v>1.1079274935699541</v>
      </c>
      <c r="EW26" s="363">
        <f t="shared" ca="1" si="285"/>
        <v>1.1098962513857573</v>
      </c>
      <c r="EX26" s="363">
        <f t="shared" ca="1" si="285"/>
        <v>0.94777232420972413</v>
      </c>
      <c r="EY26" s="363">
        <f t="shared" ca="1" si="285"/>
        <v>1.1530848413411963</v>
      </c>
      <c r="EZ26" s="363">
        <f t="shared" ca="1" si="285"/>
        <v>0.99335503511499068</v>
      </c>
      <c r="FA26" s="363">
        <f t="shared" ca="1" si="285"/>
        <v>1.0710468704433007</v>
      </c>
      <c r="FB26" s="363">
        <f t="shared" ca="1" si="285"/>
        <v>1.208627268069576</v>
      </c>
      <c r="FC26" s="363">
        <f t="shared" ca="1" si="285"/>
        <v>0.77185142844060717</v>
      </c>
      <c r="FD26" s="363">
        <f t="shared" ca="1" si="285"/>
        <v>0.89321662242116251</v>
      </c>
      <c r="FE26" s="363">
        <f t="shared" ca="1" si="285"/>
        <v>0.87809923032397319</v>
      </c>
      <c r="FF26" s="363">
        <f t="shared" ca="1" si="285"/>
        <v>0.85229493337489448</v>
      </c>
      <c r="FG26" s="363">
        <f t="shared" ca="1" si="285"/>
        <v>1.07414103445919</v>
      </c>
      <c r="FH26" s="363">
        <f t="shared" ca="1" si="285"/>
        <v>1.0420602538076091</v>
      </c>
      <c r="FI26" s="363">
        <f t="shared" ca="1" si="285"/>
        <v>1.3041018058771536</v>
      </c>
      <c r="FJ26" s="363">
        <f t="shared" ca="1" si="285"/>
        <v>0.93630323175948882</v>
      </c>
      <c r="FK26" s="363">
        <f t="shared" ca="1" si="285"/>
        <v>0.94462165512055529</v>
      </c>
      <c r="FL26" s="363">
        <f t="shared" ca="1" si="285"/>
        <v>0.8519216388224804</v>
      </c>
      <c r="FM26" s="363">
        <f t="shared" ca="1" si="285"/>
        <v>0.97825564790260844</v>
      </c>
      <c r="FN26" s="363">
        <f t="shared" ca="1" si="285"/>
        <v>0.96312750131455738</v>
      </c>
      <c r="FO26" s="363">
        <f t="shared" ca="1" si="285"/>
        <v>1.0523829600909642</v>
      </c>
      <c r="FP26" s="363">
        <f t="shared" ca="1" si="285"/>
        <v>1.1070068011235168</v>
      </c>
      <c r="FQ26" s="363">
        <f t="shared" ca="1" si="285"/>
        <v>0.67386716165205451</v>
      </c>
      <c r="FR26" s="363">
        <f t="shared" ca="1" si="285"/>
        <v>1.2159546876035661</v>
      </c>
      <c r="FS26" s="363">
        <f t="shared" ca="1" si="285"/>
        <v>1.1833508653253333</v>
      </c>
      <c r="FT26" s="363">
        <f t="shared" ca="1" si="285"/>
        <v>1.3019901938525267</v>
      </c>
      <c r="FU26" s="363">
        <f t="shared" ca="1" si="285"/>
        <v>1.0786475965878426</v>
      </c>
      <c r="FV26" s="363">
        <f t="shared" ref="FV26:HD26" ca="1" si="286">_xlfn.LOGNORM.INV(RAND(),$I$26,$J$26)</f>
        <v>1.0667574932525477</v>
      </c>
      <c r="FW26" s="363">
        <f t="shared" ca="1" si="286"/>
        <v>1.0342784002956464</v>
      </c>
      <c r="FX26" s="363">
        <f t="shared" ca="1" si="286"/>
        <v>0.78831944981331714</v>
      </c>
      <c r="FY26" s="363">
        <f t="shared" ca="1" si="286"/>
        <v>1.1744352903521333</v>
      </c>
      <c r="FZ26" s="363">
        <f t="shared" ca="1" si="286"/>
        <v>0.7712440416617703</v>
      </c>
      <c r="GA26" s="363">
        <f t="shared" ca="1" si="286"/>
        <v>0.96439489277880852</v>
      </c>
      <c r="GB26" s="363">
        <f t="shared" ca="1" si="286"/>
        <v>1.2356979475062242</v>
      </c>
      <c r="GC26" s="363">
        <f t="shared" ca="1" si="286"/>
        <v>0.8849964396208716</v>
      </c>
      <c r="GD26" s="363">
        <f t="shared" ca="1" si="286"/>
        <v>0.92556575979136246</v>
      </c>
      <c r="GE26" s="363">
        <f t="shared" ca="1" si="286"/>
        <v>0.9363405500903843</v>
      </c>
      <c r="GF26" s="363">
        <f t="shared" ca="1" si="286"/>
        <v>0.81948167852644338</v>
      </c>
      <c r="GG26" s="363">
        <f t="shared" ca="1" si="286"/>
        <v>0.87571524212067353</v>
      </c>
      <c r="GH26" s="363">
        <f t="shared" ca="1" si="286"/>
        <v>0.68432275909806894</v>
      </c>
      <c r="GI26" s="363">
        <f t="shared" ca="1" si="286"/>
        <v>0.83980982593403453</v>
      </c>
      <c r="GJ26" s="363">
        <f t="shared" ca="1" si="286"/>
        <v>0.96942349538600259</v>
      </c>
      <c r="GK26" s="363">
        <f t="shared" ca="1" si="286"/>
        <v>0.86540570355425284</v>
      </c>
      <c r="GL26" s="363">
        <f t="shared" ca="1" si="286"/>
        <v>1.3086346689171504</v>
      </c>
      <c r="GM26" s="363">
        <f t="shared" ca="1" si="286"/>
        <v>1.040653932731618</v>
      </c>
      <c r="GN26" s="363">
        <f t="shared" ca="1" si="286"/>
        <v>0.88323215802677046</v>
      </c>
      <c r="GO26" s="363">
        <f t="shared" ca="1" si="286"/>
        <v>0.94214986599406414</v>
      </c>
      <c r="GP26" s="363">
        <f t="shared" ca="1" si="286"/>
        <v>1.059273626965703</v>
      </c>
      <c r="GQ26" s="363">
        <f t="shared" ca="1" si="286"/>
        <v>0.69255119924375197</v>
      </c>
      <c r="GR26" s="363">
        <f t="shared" ca="1" si="286"/>
        <v>1.1918050200265897</v>
      </c>
      <c r="GS26" s="363">
        <f t="shared" ca="1" si="286"/>
        <v>0.74029457017912781</v>
      </c>
      <c r="GT26" s="363">
        <f t="shared" ca="1" si="286"/>
        <v>0.88109098226756166</v>
      </c>
      <c r="GU26" s="363">
        <f t="shared" ca="1" si="286"/>
        <v>0.97317142788784095</v>
      </c>
      <c r="GV26" s="363">
        <f t="shared" ca="1" si="286"/>
        <v>0.83617520274432189</v>
      </c>
      <c r="GW26" s="363">
        <f t="shared" ca="1" si="286"/>
        <v>1.0188008543013372</v>
      </c>
      <c r="GX26" s="363">
        <f t="shared" ca="1" si="286"/>
        <v>0.69453126527832587</v>
      </c>
      <c r="GY26" s="363">
        <f t="shared" ca="1" si="286"/>
        <v>0.86187186374861091</v>
      </c>
      <c r="GZ26" s="363">
        <f t="shared" ca="1" si="286"/>
        <v>0.82938573589219999</v>
      </c>
      <c r="HA26" s="363">
        <f t="shared" ca="1" si="286"/>
        <v>0.93044265037486229</v>
      </c>
      <c r="HB26" s="363">
        <f t="shared" ca="1" si="286"/>
        <v>1.0046234379515651</v>
      </c>
      <c r="HC26" s="363">
        <f t="shared" ca="1" si="286"/>
        <v>0.9833116464887115</v>
      </c>
      <c r="HD26" s="363">
        <f t="shared" ca="1" si="286"/>
        <v>1.066116428444017</v>
      </c>
      <c r="HE26" s="363">
        <f ca="1">_xlfn.LOGNORM.INV(RAND(),$I$26,$J$26)</f>
        <v>0.94621458661714053</v>
      </c>
      <c r="HF26" s="363">
        <f t="shared" ref="HF26:JQ26" ca="1" si="287">_xlfn.LOGNORM.INV(RAND(),$I$26,$J$26)</f>
        <v>1.2248150792081132</v>
      </c>
      <c r="HG26" s="363">
        <f t="shared" ca="1" si="287"/>
        <v>0.82743843921158011</v>
      </c>
      <c r="HH26" s="363">
        <f t="shared" ca="1" si="287"/>
        <v>0.69294801578481546</v>
      </c>
      <c r="HI26" s="363">
        <f t="shared" ca="1" si="287"/>
        <v>1.2732194051759209</v>
      </c>
      <c r="HJ26" s="363">
        <f t="shared" ca="1" si="287"/>
        <v>1.0209870044975105</v>
      </c>
      <c r="HK26" s="363">
        <f t="shared" ca="1" si="287"/>
        <v>1.024252191479579</v>
      </c>
      <c r="HL26" s="363">
        <f t="shared" ca="1" si="287"/>
        <v>0.89253671019167069</v>
      </c>
      <c r="HM26" s="363">
        <f t="shared" ca="1" si="287"/>
        <v>0.94669108973739802</v>
      </c>
      <c r="HN26" s="363">
        <f t="shared" ca="1" si="287"/>
        <v>0.84863135218993113</v>
      </c>
      <c r="HO26" s="363">
        <f t="shared" ca="1" si="287"/>
        <v>0.92166763318457945</v>
      </c>
      <c r="HP26" s="363">
        <f t="shared" ca="1" si="287"/>
        <v>1.1467013843371696</v>
      </c>
      <c r="HQ26" s="363">
        <f t="shared" ca="1" si="287"/>
        <v>0.97915882278158861</v>
      </c>
      <c r="HR26" s="363">
        <f t="shared" ca="1" si="287"/>
        <v>0.99177692860067579</v>
      </c>
      <c r="HS26" s="363">
        <f t="shared" ca="1" si="287"/>
        <v>0.69821793875182514</v>
      </c>
      <c r="HT26" s="363">
        <f t="shared" ca="1" si="287"/>
        <v>1.0084105973944386</v>
      </c>
      <c r="HU26" s="363">
        <f t="shared" ca="1" si="287"/>
        <v>1.0616328628185181</v>
      </c>
      <c r="HV26" s="363">
        <f t="shared" ca="1" si="287"/>
        <v>0.78977807759835084</v>
      </c>
      <c r="HW26" s="363">
        <f t="shared" ca="1" si="287"/>
        <v>0.99855044150413685</v>
      </c>
      <c r="HX26" s="363">
        <f t="shared" ca="1" si="287"/>
        <v>0.93797534134932936</v>
      </c>
      <c r="HY26" s="363">
        <f t="shared" ca="1" si="287"/>
        <v>0.99426277677944486</v>
      </c>
      <c r="HZ26" s="363">
        <f t="shared" ca="1" si="287"/>
        <v>1.1204612127976006</v>
      </c>
      <c r="IA26" s="363">
        <f t="shared" ca="1" si="287"/>
        <v>0.79026293560099292</v>
      </c>
      <c r="IB26" s="363">
        <f t="shared" ca="1" si="287"/>
        <v>0.85234546104732289</v>
      </c>
      <c r="IC26" s="363">
        <f t="shared" ca="1" si="287"/>
        <v>0.74256435567692503</v>
      </c>
      <c r="ID26" s="363">
        <f t="shared" ca="1" si="287"/>
        <v>0.94711865323072286</v>
      </c>
      <c r="IE26" s="363">
        <f t="shared" ca="1" si="287"/>
        <v>0.76776335101746696</v>
      </c>
      <c r="IF26" s="363">
        <f t="shared" ca="1" si="287"/>
        <v>1.0796538278322525</v>
      </c>
      <c r="IG26" s="363">
        <f t="shared" ca="1" si="287"/>
        <v>0.71330190119041181</v>
      </c>
      <c r="IH26" s="363">
        <f t="shared" ca="1" si="287"/>
        <v>0.97476301684170941</v>
      </c>
      <c r="II26" s="363">
        <f t="shared" ca="1" si="287"/>
        <v>1.0059789457215798</v>
      </c>
      <c r="IJ26" s="363">
        <f t="shared" ca="1" si="287"/>
        <v>0.78013584281400794</v>
      </c>
      <c r="IK26" s="363">
        <f t="shared" ca="1" si="287"/>
        <v>0.85095624876938381</v>
      </c>
      <c r="IL26" s="363">
        <f t="shared" ca="1" si="287"/>
        <v>0.69855216943434773</v>
      </c>
      <c r="IM26" s="363">
        <f t="shared" ca="1" si="287"/>
        <v>0.79628905674824468</v>
      </c>
      <c r="IN26" s="363">
        <f t="shared" ca="1" si="287"/>
        <v>1.0798511512385536</v>
      </c>
      <c r="IO26" s="363">
        <f t="shared" ca="1" si="287"/>
        <v>1.1078113864567549</v>
      </c>
      <c r="IP26" s="363">
        <f t="shared" ca="1" si="287"/>
        <v>1.0767733565646944</v>
      </c>
      <c r="IQ26" s="363">
        <f t="shared" ca="1" si="287"/>
        <v>0.87259048099193981</v>
      </c>
      <c r="IR26" s="363">
        <f t="shared" ca="1" si="287"/>
        <v>1.0034773257067886</v>
      </c>
      <c r="IS26" s="363">
        <f t="shared" ca="1" si="287"/>
        <v>0.85931749665583879</v>
      </c>
      <c r="IT26" s="363">
        <f t="shared" ca="1" si="287"/>
        <v>1.2068540763695623</v>
      </c>
      <c r="IU26" s="363">
        <f t="shared" ca="1" si="287"/>
        <v>1.2122988443320217</v>
      </c>
      <c r="IV26" s="363">
        <f t="shared" ca="1" si="287"/>
        <v>0.87528676049025689</v>
      </c>
      <c r="IW26" s="363">
        <f t="shared" ca="1" si="287"/>
        <v>0.88727738650716403</v>
      </c>
      <c r="IX26" s="363">
        <f t="shared" ca="1" si="287"/>
        <v>1.168763694229475</v>
      </c>
      <c r="IY26" s="363">
        <f t="shared" ca="1" si="287"/>
        <v>0.98361960148492256</v>
      </c>
      <c r="IZ26" s="363">
        <f t="shared" ca="1" si="287"/>
        <v>1.0017605135801575</v>
      </c>
      <c r="JA26" s="363">
        <f t="shared" ca="1" si="287"/>
        <v>0.7320537378373666</v>
      </c>
      <c r="JB26" s="363">
        <f t="shared" ca="1" si="287"/>
        <v>1.0052835488231349</v>
      </c>
      <c r="JC26" s="363">
        <f t="shared" ca="1" si="287"/>
        <v>0.81686746761211959</v>
      </c>
      <c r="JD26" s="363">
        <f t="shared" ca="1" si="287"/>
        <v>1.2329569492401602</v>
      </c>
      <c r="JE26" s="363">
        <f t="shared" ca="1" si="287"/>
        <v>1.0402409670825037</v>
      </c>
      <c r="JF26" s="363">
        <f t="shared" ca="1" si="287"/>
        <v>1.1149485502486618</v>
      </c>
      <c r="JG26" s="363">
        <f t="shared" ca="1" si="287"/>
        <v>1.4172622556316095</v>
      </c>
      <c r="JH26" s="363">
        <f t="shared" ca="1" si="287"/>
        <v>0.89541885709216595</v>
      </c>
      <c r="JI26" s="363">
        <f t="shared" ca="1" si="287"/>
        <v>0.81424134526967751</v>
      </c>
      <c r="JJ26" s="363">
        <f t="shared" ca="1" si="287"/>
        <v>1.1446811915945043</v>
      </c>
      <c r="JK26" s="363">
        <f t="shared" ca="1" si="287"/>
        <v>0.8968492346717678</v>
      </c>
      <c r="JL26" s="363">
        <f t="shared" ca="1" si="287"/>
        <v>1.0404884868966684</v>
      </c>
      <c r="JM26" s="363">
        <f t="shared" ca="1" si="287"/>
        <v>0.78439397205074546</v>
      </c>
      <c r="JN26" s="363">
        <f t="shared" ca="1" si="287"/>
        <v>0.87699480969202348</v>
      </c>
      <c r="JO26" s="363">
        <f t="shared" ca="1" si="287"/>
        <v>0.97029260897131653</v>
      </c>
      <c r="JP26" s="363">
        <f t="shared" ca="1" si="287"/>
        <v>0.891946211613169</v>
      </c>
      <c r="JQ26" s="363">
        <f t="shared" ca="1" si="287"/>
        <v>0.67873421597635408</v>
      </c>
      <c r="JR26" s="363">
        <f t="shared" ref="JR26:KZ26" ca="1" si="288">_xlfn.LOGNORM.INV(RAND(),$I$26,$J$26)</f>
        <v>1.0202003281308525</v>
      </c>
      <c r="JS26" s="363">
        <f t="shared" ca="1" si="288"/>
        <v>0.85799644592548452</v>
      </c>
      <c r="JT26" s="363">
        <f t="shared" ca="1" si="288"/>
        <v>0.81530709033901672</v>
      </c>
      <c r="JU26" s="363">
        <f t="shared" ca="1" si="288"/>
        <v>0.80720138544771391</v>
      </c>
      <c r="JV26" s="363">
        <f t="shared" ca="1" si="288"/>
        <v>0.68723204123422921</v>
      </c>
      <c r="JW26" s="363">
        <f t="shared" ca="1" si="288"/>
        <v>1.0453567533788808</v>
      </c>
      <c r="JX26" s="363">
        <f t="shared" ca="1" si="288"/>
        <v>1.1271479743187032</v>
      </c>
      <c r="JY26" s="363">
        <f t="shared" ca="1" si="288"/>
        <v>0.96760444139835633</v>
      </c>
      <c r="JZ26" s="363">
        <f t="shared" ca="1" si="288"/>
        <v>1.1877547330689107</v>
      </c>
      <c r="KA26" s="363">
        <f t="shared" ca="1" si="288"/>
        <v>1.346552791491989</v>
      </c>
      <c r="KB26" s="363">
        <f t="shared" ca="1" si="288"/>
        <v>0.86797788752401417</v>
      </c>
      <c r="KC26" s="363">
        <f t="shared" ca="1" si="288"/>
        <v>1.3936574294373139</v>
      </c>
      <c r="KD26" s="363">
        <f t="shared" ca="1" si="288"/>
        <v>0.88814006448357452</v>
      </c>
      <c r="KE26" s="363">
        <f t="shared" ca="1" si="288"/>
        <v>1.0043771987270484</v>
      </c>
      <c r="KF26" s="363">
        <f t="shared" ca="1" si="288"/>
        <v>1.2185073953021694</v>
      </c>
      <c r="KG26" s="363">
        <f t="shared" ca="1" si="288"/>
        <v>0.95977984652660175</v>
      </c>
      <c r="KH26" s="363">
        <f t="shared" ca="1" si="288"/>
        <v>0.87862775223260492</v>
      </c>
      <c r="KI26" s="363">
        <f t="shared" ca="1" si="288"/>
        <v>0.72393134325338937</v>
      </c>
      <c r="KJ26" s="363">
        <f t="shared" ca="1" si="288"/>
        <v>0.94762905005171061</v>
      </c>
      <c r="KK26" s="363">
        <f t="shared" ca="1" si="288"/>
        <v>0.75065800890253642</v>
      </c>
      <c r="KL26" s="363">
        <f t="shared" ca="1" si="288"/>
        <v>0.83569110477619701</v>
      </c>
      <c r="KM26" s="363">
        <f t="shared" ca="1" si="288"/>
        <v>0.79047178832653664</v>
      </c>
      <c r="KN26" s="363">
        <f t="shared" ca="1" si="288"/>
        <v>1.0596942127804905</v>
      </c>
      <c r="KO26" s="363">
        <f t="shared" ca="1" si="288"/>
        <v>0.6794465256988349</v>
      </c>
      <c r="KP26" s="363">
        <f t="shared" ca="1" si="288"/>
        <v>1.1683401913339979</v>
      </c>
      <c r="KQ26" s="363">
        <f t="shared" ca="1" si="288"/>
        <v>1.0295358037062898</v>
      </c>
      <c r="KR26" s="363">
        <f t="shared" ca="1" si="288"/>
        <v>1.092465082930087</v>
      </c>
      <c r="KS26" s="363">
        <f t="shared" ca="1" si="288"/>
        <v>0.80398092386470521</v>
      </c>
      <c r="KT26" s="363">
        <f t="shared" ca="1" si="288"/>
        <v>0.88459713166762244</v>
      </c>
      <c r="KU26" s="363">
        <f t="shared" ca="1" si="288"/>
        <v>0.9013365196427704</v>
      </c>
      <c r="KV26" s="363">
        <f t="shared" ca="1" si="288"/>
        <v>0.84042776127586416</v>
      </c>
      <c r="KW26" s="363">
        <f t="shared" ca="1" si="288"/>
        <v>0.76785237157206732</v>
      </c>
      <c r="KX26" s="363">
        <f t="shared" ca="1" si="288"/>
        <v>1.0987021311378697</v>
      </c>
      <c r="KY26" s="363">
        <f t="shared" ca="1" si="288"/>
        <v>0.83135016132378048</v>
      </c>
      <c r="KZ26" s="363">
        <f t="shared" ca="1" si="288"/>
        <v>0.74774209952028192</v>
      </c>
      <c r="LA26" s="363">
        <f ca="1">_xlfn.LOGNORM.INV(RAND(),$I$26,$J$26)</f>
        <v>0.70933617261833859</v>
      </c>
      <c r="LB26" s="363">
        <f t="shared" ref="LB26:NM26" ca="1" si="289">_xlfn.LOGNORM.INV(RAND(),$I$26,$J$26)</f>
        <v>0.88097253504912665</v>
      </c>
      <c r="LC26" s="363">
        <f t="shared" ca="1" si="289"/>
        <v>0.71186744003516844</v>
      </c>
      <c r="LD26" s="363">
        <f t="shared" ca="1" si="289"/>
        <v>0.86751870682699639</v>
      </c>
      <c r="LE26" s="363">
        <f t="shared" ca="1" si="289"/>
        <v>0.6848309925246342</v>
      </c>
      <c r="LF26" s="363">
        <f t="shared" ca="1" si="289"/>
        <v>0.91406498599711017</v>
      </c>
      <c r="LG26" s="363">
        <f t="shared" ca="1" si="289"/>
        <v>1.0520019513940333</v>
      </c>
      <c r="LH26" s="363">
        <f t="shared" ca="1" si="289"/>
        <v>1.3824558221249583</v>
      </c>
      <c r="LI26" s="363">
        <f t="shared" ca="1" si="289"/>
        <v>1.1319699441837334</v>
      </c>
      <c r="LJ26" s="363">
        <f t="shared" ca="1" si="289"/>
        <v>0.89496472062806975</v>
      </c>
      <c r="LK26" s="363">
        <f t="shared" ca="1" si="289"/>
        <v>1.0284731084953367</v>
      </c>
      <c r="LL26" s="363">
        <f t="shared" ca="1" si="289"/>
        <v>0.98349031325949343</v>
      </c>
      <c r="LM26" s="363">
        <f t="shared" ca="1" si="289"/>
        <v>1.1169932764348087</v>
      </c>
      <c r="LN26" s="363">
        <f t="shared" ca="1" si="289"/>
        <v>0.99426371905684097</v>
      </c>
      <c r="LO26" s="363">
        <f t="shared" ca="1" si="289"/>
        <v>0.90636747654516914</v>
      </c>
      <c r="LP26" s="363">
        <f t="shared" ca="1" si="289"/>
        <v>0.68919807267121425</v>
      </c>
      <c r="LQ26" s="363">
        <f t="shared" ca="1" si="289"/>
        <v>0.70009118615048982</v>
      </c>
      <c r="LR26" s="363">
        <f t="shared" ca="1" si="289"/>
        <v>1.341178302520742</v>
      </c>
      <c r="LS26" s="363">
        <f t="shared" ca="1" si="289"/>
        <v>0.92003149888270297</v>
      </c>
      <c r="LT26" s="363">
        <f t="shared" ca="1" si="289"/>
        <v>0.6199327853716029</v>
      </c>
      <c r="LU26" s="363">
        <f t="shared" ca="1" si="289"/>
        <v>0.98729085337172773</v>
      </c>
      <c r="LV26" s="363">
        <f t="shared" ca="1" si="289"/>
        <v>0.84514699702858953</v>
      </c>
      <c r="LW26" s="363">
        <f t="shared" ca="1" si="289"/>
        <v>0.72733172387541589</v>
      </c>
      <c r="LX26" s="363">
        <f t="shared" ca="1" si="289"/>
        <v>0.83487704310207711</v>
      </c>
      <c r="LY26" s="363">
        <f t="shared" ca="1" si="289"/>
        <v>1.0971072503552812</v>
      </c>
      <c r="LZ26" s="363">
        <f t="shared" ca="1" si="289"/>
        <v>0.91457590092091157</v>
      </c>
      <c r="MA26" s="363">
        <f t="shared" ca="1" si="289"/>
        <v>0.8300487564113378</v>
      </c>
      <c r="MB26" s="363">
        <f t="shared" ca="1" si="289"/>
        <v>0.81472966370403366</v>
      </c>
      <c r="MC26" s="363">
        <f t="shared" ca="1" si="289"/>
        <v>0.99953367506820001</v>
      </c>
      <c r="MD26" s="363">
        <f t="shared" ca="1" si="289"/>
        <v>0.86420888633367465</v>
      </c>
      <c r="ME26" s="363">
        <f t="shared" ca="1" si="289"/>
        <v>0.99598177709764002</v>
      </c>
      <c r="MF26" s="363">
        <f t="shared" ca="1" si="289"/>
        <v>0.87439092645546712</v>
      </c>
      <c r="MG26" s="363">
        <f t="shared" ca="1" si="289"/>
        <v>1.3269018288504704</v>
      </c>
      <c r="MH26" s="363">
        <f t="shared" ca="1" si="289"/>
        <v>1.0235118542632284</v>
      </c>
      <c r="MI26" s="363">
        <f t="shared" ca="1" si="289"/>
        <v>0.74372861709100102</v>
      </c>
      <c r="MJ26" s="363">
        <f t="shared" ca="1" si="289"/>
        <v>0.97079675703394075</v>
      </c>
      <c r="MK26" s="363">
        <f t="shared" ca="1" si="289"/>
        <v>1.0722743611061172</v>
      </c>
      <c r="ML26" s="363">
        <f t="shared" ca="1" si="289"/>
        <v>0.91260706488257781</v>
      </c>
      <c r="MM26" s="363">
        <f t="shared" ca="1" si="289"/>
        <v>0.72999337287683963</v>
      </c>
      <c r="MN26" s="363">
        <f t="shared" ca="1" si="289"/>
        <v>0.72662875150196171</v>
      </c>
      <c r="MO26" s="363">
        <f t="shared" ca="1" si="289"/>
        <v>0.94521712409588932</v>
      </c>
      <c r="MP26" s="363">
        <f t="shared" ca="1" si="289"/>
        <v>1.0716435034931873</v>
      </c>
      <c r="MQ26" s="363">
        <f t="shared" ca="1" si="289"/>
        <v>0.99858714733534681</v>
      </c>
      <c r="MR26" s="363">
        <f t="shared" ca="1" si="289"/>
        <v>0.86866302965653086</v>
      </c>
      <c r="MS26" s="363">
        <f t="shared" ca="1" si="289"/>
        <v>1.1687201360735249</v>
      </c>
      <c r="MT26" s="363">
        <f t="shared" ca="1" si="289"/>
        <v>0.89961128062036932</v>
      </c>
      <c r="MU26" s="363">
        <f t="shared" ca="1" si="289"/>
        <v>1.2514647626646074</v>
      </c>
      <c r="MV26" s="363">
        <f t="shared" ca="1" si="289"/>
        <v>0.81234192032459873</v>
      </c>
      <c r="MW26" s="363">
        <f t="shared" ca="1" si="289"/>
        <v>0.72028633117647267</v>
      </c>
      <c r="MX26" s="363">
        <f t="shared" ca="1" si="289"/>
        <v>1.0825121777711091</v>
      </c>
      <c r="MY26" s="363">
        <f t="shared" ca="1" si="289"/>
        <v>0.75415674066776683</v>
      </c>
      <c r="MZ26" s="363">
        <f t="shared" ca="1" si="289"/>
        <v>1.0126209730388347</v>
      </c>
      <c r="NA26" s="363">
        <f t="shared" ca="1" si="289"/>
        <v>0.65180160802035325</v>
      </c>
      <c r="NB26" s="363">
        <f t="shared" ca="1" si="289"/>
        <v>1.1068522056630483</v>
      </c>
      <c r="NC26" s="363">
        <f t="shared" ca="1" si="289"/>
        <v>0.74712906347940911</v>
      </c>
      <c r="ND26" s="363">
        <f t="shared" ca="1" si="289"/>
        <v>1.0585483791332428</v>
      </c>
      <c r="NE26" s="363">
        <f t="shared" ca="1" si="289"/>
        <v>0.97532372124366573</v>
      </c>
      <c r="NF26" s="363">
        <f t="shared" ca="1" si="289"/>
        <v>0.85344924654020327</v>
      </c>
      <c r="NG26" s="363">
        <f t="shared" ca="1" si="289"/>
        <v>0.85492489172820563</v>
      </c>
      <c r="NH26" s="363">
        <f t="shared" ca="1" si="289"/>
        <v>1.0281976874023124</v>
      </c>
      <c r="NI26" s="363">
        <f t="shared" ca="1" si="289"/>
        <v>1.0165404679959045</v>
      </c>
      <c r="NJ26" s="363">
        <f t="shared" ca="1" si="289"/>
        <v>1.0237656173878034</v>
      </c>
      <c r="NK26" s="363">
        <f t="shared" ca="1" si="289"/>
        <v>0.90978625326652718</v>
      </c>
      <c r="NL26" s="363">
        <f t="shared" ca="1" si="289"/>
        <v>0.8551016834170152</v>
      </c>
      <c r="NM26" s="363">
        <f t="shared" ca="1" si="289"/>
        <v>1.0725902986511939</v>
      </c>
      <c r="NN26" s="363">
        <f t="shared" ref="NN26:OV26" ca="1" si="290">_xlfn.LOGNORM.INV(RAND(),$I$26,$J$26)</f>
        <v>1.2694422686800462</v>
      </c>
      <c r="NO26" s="363">
        <f t="shared" ca="1" si="290"/>
        <v>0.88159663091077267</v>
      </c>
      <c r="NP26" s="363">
        <f t="shared" ca="1" si="290"/>
        <v>0.91766310413042285</v>
      </c>
      <c r="NQ26" s="363">
        <f t="shared" ca="1" si="290"/>
        <v>0.8875205255111317</v>
      </c>
      <c r="NR26" s="363">
        <f t="shared" ca="1" si="290"/>
        <v>0.89856976881307915</v>
      </c>
      <c r="NS26" s="363">
        <f t="shared" ca="1" si="290"/>
        <v>0.88791898742319464</v>
      </c>
      <c r="NT26" s="363">
        <f t="shared" ca="1" si="290"/>
        <v>0.8924631293607197</v>
      </c>
      <c r="NU26" s="363">
        <f t="shared" ca="1" si="290"/>
        <v>0.83726752375306157</v>
      </c>
      <c r="NV26" s="363">
        <f t="shared" ca="1" si="290"/>
        <v>1.1502365265309866</v>
      </c>
      <c r="NW26" s="363">
        <f t="shared" ca="1" si="290"/>
        <v>0.65420155543819591</v>
      </c>
      <c r="NX26" s="363">
        <f t="shared" ca="1" si="290"/>
        <v>1.0827292358014931</v>
      </c>
      <c r="NY26" s="363">
        <f t="shared" ca="1" si="290"/>
        <v>0.98064755149691196</v>
      </c>
      <c r="NZ26" s="363">
        <f t="shared" ca="1" si="290"/>
        <v>0.78762536734813859</v>
      </c>
      <c r="OA26" s="363">
        <f t="shared" ca="1" si="290"/>
        <v>1.2577712449531337</v>
      </c>
      <c r="OB26" s="363">
        <f t="shared" ca="1" si="290"/>
        <v>0.86453539553519454</v>
      </c>
      <c r="OC26" s="363">
        <f t="shared" ca="1" si="290"/>
        <v>1.0906202897884871</v>
      </c>
      <c r="OD26" s="363">
        <f t="shared" ca="1" si="290"/>
        <v>0.89002951928617724</v>
      </c>
      <c r="OE26" s="363">
        <f t="shared" ca="1" si="290"/>
        <v>1.2081604563769615</v>
      </c>
      <c r="OF26" s="363">
        <f t="shared" ca="1" si="290"/>
        <v>0.89548857825714168</v>
      </c>
      <c r="OG26" s="363">
        <f t="shared" ca="1" si="290"/>
        <v>1.0947431462489197</v>
      </c>
      <c r="OH26" s="363">
        <f t="shared" ca="1" si="290"/>
        <v>0.73280407818767257</v>
      </c>
      <c r="OI26" s="363">
        <f t="shared" ca="1" si="290"/>
        <v>1.0829990919822936</v>
      </c>
      <c r="OJ26" s="363">
        <f t="shared" ca="1" si="290"/>
        <v>1.1783880057272735</v>
      </c>
      <c r="OK26" s="363">
        <f t="shared" ca="1" si="290"/>
        <v>0.92877879849859535</v>
      </c>
      <c r="OL26" s="363">
        <f t="shared" ca="1" si="290"/>
        <v>0.79925090269284049</v>
      </c>
      <c r="OM26" s="363">
        <f t="shared" ca="1" si="290"/>
        <v>1.1270665248534291</v>
      </c>
      <c r="ON26" s="363">
        <f t="shared" ca="1" si="290"/>
        <v>0.74406810307214577</v>
      </c>
      <c r="OO26" s="363">
        <f t="shared" ca="1" si="290"/>
        <v>1.3105474202684788</v>
      </c>
      <c r="OP26" s="363">
        <f t="shared" ca="1" si="290"/>
        <v>0.91315324578069645</v>
      </c>
      <c r="OQ26" s="363">
        <f t="shared" ca="1" si="290"/>
        <v>1.2941338269114575</v>
      </c>
      <c r="OR26" s="363">
        <f t="shared" ca="1" si="290"/>
        <v>0.90322111979570074</v>
      </c>
      <c r="OS26" s="363">
        <f t="shared" ca="1" si="290"/>
        <v>0.79769233367723125</v>
      </c>
      <c r="OT26" s="363">
        <f t="shared" ca="1" si="290"/>
        <v>0.95918704423335432</v>
      </c>
      <c r="OU26" s="363">
        <f t="shared" ca="1" si="290"/>
        <v>0.91034941932794344</v>
      </c>
      <c r="OV26" s="363">
        <f t="shared" ca="1" si="290"/>
        <v>1.034175638334669</v>
      </c>
      <c r="OW26" s="363">
        <f ca="1">_xlfn.LOGNORM.INV(RAND(),$I$26,$J$26)</f>
        <v>0.75689472797747792</v>
      </c>
      <c r="OX26" s="363">
        <f t="shared" ref="OX26:RI26" ca="1" si="291">_xlfn.LOGNORM.INV(RAND(),$I$26,$J$26)</f>
        <v>0.97612700251306361</v>
      </c>
      <c r="OY26" s="363">
        <f t="shared" ca="1" si="291"/>
        <v>0.81252146985080653</v>
      </c>
      <c r="OZ26" s="363">
        <f t="shared" ca="1" si="291"/>
        <v>0.81551974289258855</v>
      </c>
      <c r="PA26" s="363">
        <f t="shared" ca="1" si="291"/>
        <v>0.99832509437455208</v>
      </c>
      <c r="PB26" s="363">
        <f t="shared" ca="1" si="291"/>
        <v>0.7796935558646596</v>
      </c>
      <c r="PC26" s="363">
        <f t="shared" ca="1" si="291"/>
        <v>0.8564925584088523</v>
      </c>
      <c r="PD26" s="363">
        <f t="shared" ca="1" si="291"/>
        <v>0.84529374370391863</v>
      </c>
      <c r="PE26" s="363">
        <f t="shared" ca="1" si="291"/>
        <v>0.75405354060419005</v>
      </c>
      <c r="PF26" s="363">
        <f t="shared" ca="1" si="291"/>
        <v>0.96594741273042739</v>
      </c>
      <c r="PG26" s="363">
        <f t="shared" ca="1" si="291"/>
        <v>0.7792679427366066</v>
      </c>
      <c r="PH26" s="363">
        <f t="shared" ca="1" si="291"/>
        <v>1.0232679607856414</v>
      </c>
      <c r="PI26" s="363">
        <f t="shared" ca="1" si="291"/>
        <v>0.96411295425757593</v>
      </c>
      <c r="PJ26" s="363">
        <f t="shared" ca="1" si="291"/>
        <v>1.0945985163306347</v>
      </c>
      <c r="PK26" s="363">
        <f t="shared" ca="1" si="291"/>
        <v>0.93290637418081901</v>
      </c>
      <c r="PL26" s="363">
        <f t="shared" ca="1" si="291"/>
        <v>0.7090027120988448</v>
      </c>
      <c r="PM26" s="363">
        <f t="shared" ca="1" si="291"/>
        <v>1.1376658283397105</v>
      </c>
      <c r="PN26" s="363">
        <f t="shared" ca="1" si="291"/>
        <v>0.9690176144240189</v>
      </c>
      <c r="PO26" s="363">
        <f t="shared" ca="1" si="291"/>
        <v>0.92160410646786817</v>
      </c>
      <c r="PP26" s="363">
        <f t="shared" ca="1" si="291"/>
        <v>1.2123918831965843</v>
      </c>
      <c r="PQ26" s="363">
        <f t="shared" ca="1" si="291"/>
        <v>0.845164054103405</v>
      </c>
      <c r="PR26" s="363">
        <f t="shared" ca="1" si="291"/>
        <v>1.1137769135792204</v>
      </c>
      <c r="PS26" s="363">
        <f t="shared" ca="1" si="291"/>
        <v>0.82063040624434724</v>
      </c>
      <c r="PT26" s="363">
        <f t="shared" ca="1" si="291"/>
        <v>0.91552673332174006</v>
      </c>
      <c r="PU26" s="363">
        <f t="shared" ca="1" si="291"/>
        <v>1.0383113304467881</v>
      </c>
      <c r="PV26" s="363">
        <f t="shared" ca="1" si="291"/>
        <v>0.88225949870360265</v>
      </c>
      <c r="PW26" s="363">
        <f t="shared" ca="1" si="291"/>
        <v>0.88494683862149015</v>
      </c>
      <c r="PX26" s="363">
        <f t="shared" ca="1" si="291"/>
        <v>1.3194283317582263</v>
      </c>
      <c r="PY26" s="363">
        <f t="shared" ca="1" si="291"/>
        <v>0.57426655384722891</v>
      </c>
      <c r="PZ26" s="363">
        <f t="shared" ca="1" si="291"/>
        <v>0.90555849061306515</v>
      </c>
      <c r="QA26" s="363">
        <f t="shared" ca="1" si="291"/>
        <v>0.82763149193728491</v>
      </c>
      <c r="QB26" s="363">
        <f t="shared" ca="1" si="291"/>
        <v>0.85238181871015373</v>
      </c>
      <c r="QC26" s="363">
        <f t="shared" ca="1" si="291"/>
        <v>1.0546910977049904</v>
      </c>
      <c r="QD26" s="363">
        <f t="shared" ca="1" si="291"/>
        <v>1.3606245109750983</v>
      </c>
      <c r="QE26" s="363">
        <f t="shared" ca="1" si="291"/>
        <v>1.5567238153729794</v>
      </c>
      <c r="QF26" s="363">
        <f t="shared" ca="1" si="291"/>
        <v>1.0759055133840492</v>
      </c>
      <c r="QG26" s="363">
        <f t="shared" ca="1" si="291"/>
        <v>0.94588218960148274</v>
      </c>
      <c r="QH26" s="363">
        <f t="shared" ca="1" si="291"/>
        <v>0.86827223835598311</v>
      </c>
      <c r="QI26" s="363">
        <f t="shared" ca="1" si="291"/>
        <v>0.74866529350919164</v>
      </c>
      <c r="QJ26" s="363">
        <f t="shared" ca="1" si="291"/>
        <v>1.1400916069515694</v>
      </c>
      <c r="QK26" s="363">
        <f t="shared" ca="1" si="291"/>
        <v>0.81598902065493473</v>
      </c>
      <c r="QL26" s="363">
        <f t="shared" ca="1" si="291"/>
        <v>0.64792859675344483</v>
      </c>
      <c r="QM26" s="363">
        <f t="shared" ca="1" si="291"/>
        <v>1.0618791874926334</v>
      </c>
      <c r="QN26" s="363">
        <f t="shared" ca="1" si="291"/>
        <v>0.88540853052398172</v>
      </c>
      <c r="QO26" s="363">
        <f t="shared" ca="1" si="291"/>
        <v>0.94697582466263663</v>
      </c>
      <c r="QP26" s="363">
        <f t="shared" ca="1" si="291"/>
        <v>0.90301527385741931</v>
      </c>
      <c r="QQ26" s="363">
        <f t="shared" ca="1" si="291"/>
        <v>0.94662562341918788</v>
      </c>
      <c r="QR26" s="363">
        <f t="shared" ca="1" si="291"/>
        <v>1.0182407017801296</v>
      </c>
      <c r="QS26" s="363">
        <f t="shared" ca="1" si="291"/>
        <v>0.91969412608018553</v>
      </c>
      <c r="QT26" s="363">
        <f t="shared" ca="1" si="291"/>
        <v>0.94238203621007566</v>
      </c>
      <c r="QU26" s="363">
        <f t="shared" ca="1" si="291"/>
        <v>0.95616642824317499</v>
      </c>
      <c r="QV26" s="363">
        <f t="shared" ca="1" si="291"/>
        <v>0.77114028035035342</v>
      </c>
      <c r="QW26" s="363">
        <f t="shared" ca="1" si="291"/>
        <v>0.74943583011299653</v>
      </c>
      <c r="QX26" s="363">
        <f t="shared" ca="1" si="291"/>
        <v>1.3061746792945252</v>
      </c>
      <c r="QY26" s="363">
        <f t="shared" ca="1" si="291"/>
        <v>0.74871752785571299</v>
      </c>
      <c r="QZ26" s="363">
        <f t="shared" ca="1" si="291"/>
        <v>1.1360372961479008</v>
      </c>
      <c r="RA26" s="363">
        <f t="shared" ca="1" si="291"/>
        <v>1.1993962022607656</v>
      </c>
      <c r="RB26" s="363">
        <f t="shared" ca="1" si="291"/>
        <v>0.8675246300615238</v>
      </c>
      <c r="RC26" s="363">
        <f t="shared" ca="1" si="291"/>
        <v>0.77312919437308558</v>
      </c>
      <c r="RD26" s="363">
        <f t="shared" ca="1" si="291"/>
        <v>0.86126515117892766</v>
      </c>
      <c r="RE26" s="363">
        <f t="shared" ca="1" si="291"/>
        <v>0.90054664873326329</v>
      </c>
      <c r="RF26" s="363">
        <f t="shared" ca="1" si="291"/>
        <v>1.0064649046232508</v>
      </c>
      <c r="RG26" s="363">
        <f t="shared" ca="1" si="291"/>
        <v>0.80581504372126533</v>
      </c>
      <c r="RH26" s="363">
        <f t="shared" ca="1" si="291"/>
        <v>0.89134576497335183</v>
      </c>
      <c r="RI26" s="363">
        <f t="shared" ca="1" si="291"/>
        <v>0.91174236789433682</v>
      </c>
      <c r="RJ26" s="363">
        <f t="shared" ref="RJ26:SR26" ca="1" si="292">_xlfn.LOGNORM.INV(RAND(),$I$26,$J$26)</f>
        <v>0.79891062999319562</v>
      </c>
      <c r="RK26" s="363">
        <f t="shared" ca="1" si="292"/>
        <v>0.750342784459201</v>
      </c>
      <c r="RL26" s="363">
        <f t="shared" ca="1" si="292"/>
        <v>1.0298956158065684</v>
      </c>
      <c r="RM26" s="363">
        <f t="shared" ca="1" si="292"/>
        <v>0.81828626907767721</v>
      </c>
      <c r="RN26" s="363">
        <f t="shared" ca="1" si="292"/>
        <v>0.69734459899714685</v>
      </c>
      <c r="RO26" s="363">
        <f t="shared" ca="1" si="292"/>
        <v>0.89071998694052013</v>
      </c>
      <c r="RP26" s="363">
        <f t="shared" ca="1" si="292"/>
        <v>0.73234966378974375</v>
      </c>
      <c r="RQ26" s="363">
        <f t="shared" ca="1" si="292"/>
        <v>1.2025190303608404</v>
      </c>
      <c r="RR26" s="363">
        <f t="shared" ca="1" si="292"/>
        <v>0.99730367773861417</v>
      </c>
      <c r="RS26" s="363">
        <f t="shared" ca="1" si="292"/>
        <v>0.55474357163012511</v>
      </c>
      <c r="RT26" s="363">
        <f t="shared" ca="1" si="292"/>
        <v>0.94969553744798552</v>
      </c>
      <c r="RU26" s="363">
        <f t="shared" ca="1" si="292"/>
        <v>0.77945019272687965</v>
      </c>
      <c r="RV26" s="363">
        <f t="shared" ca="1" si="292"/>
        <v>1.3829443800515941</v>
      </c>
      <c r="RW26" s="363">
        <f t="shared" ca="1" si="292"/>
        <v>0.89037421983946263</v>
      </c>
      <c r="RX26" s="363">
        <f t="shared" ca="1" si="292"/>
        <v>0.87611727776501602</v>
      </c>
      <c r="RY26" s="363">
        <f t="shared" ca="1" si="292"/>
        <v>0.70994110875739391</v>
      </c>
      <c r="RZ26" s="363">
        <f t="shared" ca="1" si="292"/>
        <v>0.92177798499038288</v>
      </c>
      <c r="SA26" s="363">
        <f t="shared" ca="1" si="292"/>
        <v>0.94237795585395823</v>
      </c>
      <c r="SB26" s="363">
        <f t="shared" ca="1" si="292"/>
        <v>0.9659759855413167</v>
      </c>
      <c r="SC26" s="363">
        <f t="shared" ca="1" si="292"/>
        <v>0.9336081558747148</v>
      </c>
      <c r="SD26" s="363">
        <f t="shared" ca="1" si="292"/>
        <v>0.66742333861011505</v>
      </c>
      <c r="SE26" s="363">
        <f t="shared" ca="1" si="292"/>
        <v>0.65600937783102964</v>
      </c>
      <c r="SF26" s="363">
        <f t="shared" ca="1" si="292"/>
        <v>0.92325152535712285</v>
      </c>
      <c r="SG26" s="363">
        <f t="shared" ca="1" si="292"/>
        <v>1.0086946843824347</v>
      </c>
      <c r="SH26" s="363">
        <f t="shared" ca="1" si="292"/>
        <v>0.66582388046646324</v>
      </c>
      <c r="SI26" s="363">
        <f t="shared" ca="1" si="292"/>
        <v>0.75690036135721872</v>
      </c>
      <c r="SJ26" s="363">
        <f t="shared" ca="1" si="292"/>
        <v>0.77294272873081082</v>
      </c>
      <c r="SK26" s="363">
        <f t="shared" ca="1" si="292"/>
        <v>0.9686555951782061</v>
      </c>
      <c r="SL26" s="363">
        <f t="shared" ca="1" si="292"/>
        <v>0.91009257462229032</v>
      </c>
      <c r="SM26" s="363">
        <f t="shared" ca="1" si="292"/>
        <v>0.95766841181385709</v>
      </c>
      <c r="SN26" s="363">
        <f t="shared" ca="1" si="292"/>
        <v>0.8120342058403841</v>
      </c>
      <c r="SO26" s="363">
        <f t="shared" ca="1" si="292"/>
        <v>0.78516470517011516</v>
      </c>
      <c r="SP26" s="363">
        <f t="shared" ca="1" si="292"/>
        <v>0.79349111678123241</v>
      </c>
      <c r="SQ26" s="363">
        <f t="shared" ca="1" si="292"/>
        <v>0.84345205443164506</v>
      </c>
      <c r="SR26" s="363">
        <f t="shared" ca="1" si="292"/>
        <v>0.93995069404894827</v>
      </c>
      <c r="SS26" s="363">
        <f ca="1">_xlfn.LOGNORM.INV(RAND(),$I$26,$J$26)</f>
        <v>0.97021230760049693</v>
      </c>
      <c r="ST26" s="363">
        <f t="shared" ref="ST26:VE26" ca="1" si="293">_xlfn.LOGNORM.INV(RAND(),$I$26,$J$26)</f>
        <v>0.89490588910589641</v>
      </c>
      <c r="SU26" s="363">
        <f t="shared" ca="1" si="293"/>
        <v>0.93163824298493669</v>
      </c>
      <c r="SV26" s="363">
        <f t="shared" ca="1" si="293"/>
        <v>1.2416968732731184</v>
      </c>
      <c r="SW26" s="363">
        <f t="shared" ca="1" si="293"/>
        <v>1.0653155173372375</v>
      </c>
      <c r="SX26" s="363">
        <f t="shared" ca="1" si="293"/>
        <v>0.77898568670069757</v>
      </c>
      <c r="SY26" s="363">
        <f t="shared" ca="1" si="293"/>
        <v>0.92011735952517737</v>
      </c>
      <c r="SZ26" s="363">
        <f t="shared" ca="1" si="293"/>
        <v>0.96772287415425629</v>
      </c>
      <c r="TA26" s="363">
        <f t="shared" ca="1" si="293"/>
        <v>0.74570779816925781</v>
      </c>
      <c r="TB26" s="363">
        <f t="shared" ca="1" si="293"/>
        <v>1.1026329102803687</v>
      </c>
      <c r="TC26" s="363">
        <f t="shared" ca="1" si="293"/>
        <v>1.21217099159921</v>
      </c>
      <c r="TD26" s="363">
        <f t="shared" ca="1" si="293"/>
        <v>1.0712768683638327</v>
      </c>
      <c r="TE26" s="363">
        <f t="shared" ca="1" si="293"/>
        <v>0.65798743728052478</v>
      </c>
      <c r="TF26" s="363">
        <f t="shared" ca="1" si="293"/>
        <v>1.2062838113270682</v>
      </c>
      <c r="TG26" s="363">
        <f t="shared" ca="1" si="293"/>
        <v>0.61595134796191309</v>
      </c>
      <c r="TH26" s="363">
        <f t="shared" ca="1" si="293"/>
        <v>0.83358478264862745</v>
      </c>
      <c r="TI26" s="363">
        <f t="shared" ca="1" si="293"/>
        <v>1.0358382793431751</v>
      </c>
      <c r="TJ26" s="363">
        <f t="shared" ca="1" si="293"/>
        <v>0.99131786757476459</v>
      </c>
      <c r="TK26" s="363">
        <f t="shared" ca="1" si="293"/>
        <v>0.78830909502467805</v>
      </c>
      <c r="TL26" s="363">
        <f t="shared" ca="1" si="293"/>
        <v>1.3570684452321518</v>
      </c>
      <c r="TM26" s="363">
        <f t="shared" ca="1" si="293"/>
        <v>0.60358559054419392</v>
      </c>
      <c r="TN26" s="363">
        <f t="shared" ca="1" si="293"/>
        <v>0.92308147467068402</v>
      </c>
      <c r="TO26" s="363">
        <f t="shared" ca="1" si="293"/>
        <v>0.76455138296434599</v>
      </c>
      <c r="TP26" s="363">
        <f t="shared" ca="1" si="293"/>
        <v>0.74361563103315231</v>
      </c>
      <c r="TQ26" s="363">
        <f t="shared" ca="1" si="293"/>
        <v>1.1468116875509125</v>
      </c>
      <c r="TR26" s="363">
        <f t="shared" ca="1" si="293"/>
        <v>1.0961947564987669</v>
      </c>
      <c r="TS26" s="363">
        <f t="shared" ca="1" si="293"/>
        <v>0.72756433705342061</v>
      </c>
      <c r="TT26" s="363">
        <f t="shared" ca="1" si="293"/>
        <v>0.8203427996003495</v>
      </c>
      <c r="TU26" s="363">
        <f t="shared" ca="1" si="293"/>
        <v>1.1152570004042355</v>
      </c>
      <c r="TV26" s="363">
        <f t="shared" ca="1" si="293"/>
        <v>0.68364258025455338</v>
      </c>
      <c r="TW26" s="363">
        <f t="shared" ca="1" si="293"/>
        <v>0.85350701888980274</v>
      </c>
      <c r="TX26" s="363">
        <f t="shared" ca="1" si="293"/>
        <v>1.0307654833754747</v>
      </c>
      <c r="TY26" s="363">
        <f t="shared" ca="1" si="293"/>
        <v>0.92072750839120243</v>
      </c>
      <c r="TZ26" s="363">
        <f t="shared" ca="1" si="293"/>
        <v>0.71088324494849442</v>
      </c>
      <c r="UA26" s="363">
        <f t="shared" ca="1" si="293"/>
        <v>0.99180791396381662</v>
      </c>
      <c r="UB26" s="363">
        <f t="shared" ca="1" si="293"/>
        <v>0.94439061984441897</v>
      </c>
      <c r="UC26" s="363">
        <f t="shared" ca="1" si="293"/>
        <v>0.97498001810884982</v>
      </c>
      <c r="UD26" s="363">
        <f t="shared" ca="1" si="293"/>
        <v>0.95854837724343223</v>
      </c>
      <c r="UE26" s="363">
        <f t="shared" ca="1" si="293"/>
        <v>0.84376524559197241</v>
      </c>
      <c r="UF26" s="363">
        <f t="shared" ca="1" si="293"/>
        <v>0.96445009298179663</v>
      </c>
      <c r="UG26" s="363">
        <f t="shared" ca="1" si="293"/>
        <v>1.3428213584804896</v>
      </c>
      <c r="UH26" s="363">
        <f t="shared" ca="1" si="293"/>
        <v>0.98352883387386658</v>
      </c>
      <c r="UI26" s="363">
        <f t="shared" ca="1" si="293"/>
        <v>0.89643420933946205</v>
      </c>
      <c r="UJ26" s="363">
        <f t="shared" ca="1" si="293"/>
        <v>1.0461240856516119</v>
      </c>
      <c r="UK26" s="363">
        <f t="shared" ca="1" si="293"/>
        <v>0.88395450098013439</v>
      </c>
      <c r="UL26" s="363">
        <f t="shared" ca="1" si="293"/>
        <v>0.81708137858048524</v>
      </c>
      <c r="UM26" s="363">
        <f t="shared" ca="1" si="293"/>
        <v>0.89959832530839756</v>
      </c>
      <c r="UN26" s="363">
        <f t="shared" ca="1" si="293"/>
        <v>0.80270523077296074</v>
      </c>
      <c r="UO26" s="363">
        <f t="shared" ca="1" si="293"/>
        <v>0.77065490458289421</v>
      </c>
      <c r="UP26" s="363">
        <f t="shared" ca="1" si="293"/>
        <v>1.0178652572807865</v>
      </c>
      <c r="UQ26" s="363">
        <f t="shared" ca="1" si="293"/>
        <v>1.0637075528793254</v>
      </c>
      <c r="UR26" s="363">
        <f t="shared" ca="1" si="293"/>
        <v>0.57744223407817308</v>
      </c>
      <c r="US26" s="363">
        <f t="shared" ca="1" si="293"/>
        <v>0.83264599799964356</v>
      </c>
      <c r="UT26" s="363">
        <f t="shared" ca="1" si="293"/>
        <v>0.97258544109593725</v>
      </c>
      <c r="UU26" s="363">
        <f t="shared" ca="1" si="293"/>
        <v>1.0096121730044438</v>
      </c>
      <c r="UV26" s="363">
        <f t="shared" ca="1" si="293"/>
        <v>1.0464802972283715</v>
      </c>
      <c r="UW26" s="363">
        <f t="shared" ca="1" si="293"/>
        <v>0.82077042213056661</v>
      </c>
      <c r="UX26" s="363">
        <f t="shared" ca="1" si="293"/>
        <v>1.1383550902681707</v>
      </c>
      <c r="UY26" s="363">
        <f t="shared" ca="1" si="293"/>
        <v>0.79772547812230499</v>
      </c>
      <c r="UZ26" s="363">
        <f t="shared" ca="1" si="293"/>
        <v>0.70320309823942306</v>
      </c>
      <c r="VA26" s="363">
        <f t="shared" ca="1" si="293"/>
        <v>0.8218341723632181</v>
      </c>
      <c r="VB26" s="363">
        <f t="shared" ca="1" si="293"/>
        <v>0.75688426764686167</v>
      </c>
      <c r="VC26" s="363">
        <f t="shared" ca="1" si="293"/>
        <v>1.1975098099137915</v>
      </c>
      <c r="VD26" s="363">
        <f t="shared" ca="1" si="293"/>
        <v>1.0283848002618377</v>
      </c>
      <c r="VE26" s="363">
        <f t="shared" ca="1" si="293"/>
        <v>1.0499747805452679</v>
      </c>
      <c r="VF26" s="363">
        <f t="shared" ref="VF26:WN26" ca="1" si="294">_xlfn.LOGNORM.INV(RAND(),$I$26,$J$26)</f>
        <v>1.2311967187737429</v>
      </c>
      <c r="VG26" s="363">
        <f t="shared" ca="1" si="294"/>
        <v>1.0921124678347518</v>
      </c>
      <c r="VH26" s="363">
        <f t="shared" ca="1" si="294"/>
        <v>1.1152955222779943</v>
      </c>
      <c r="VI26" s="363">
        <f t="shared" ca="1" si="294"/>
        <v>0.87859355782555359</v>
      </c>
      <c r="VJ26" s="363">
        <f t="shared" ca="1" si="294"/>
        <v>1.0118354865633985</v>
      </c>
      <c r="VK26" s="363">
        <f t="shared" ca="1" si="294"/>
        <v>0.75443496559437639</v>
      </c>
      <c r="VL26" s="363">
        <f t="shared" ca="1" si="294"/>
        <v>1.0522113777187641</v>
      </c>
      <c r="VM26" s="363">
        <f t="shared" ca="1" si="294"/>
        <v>0.98202614851589487</v>
      </c>
      <c r="VN26" s="363">
        <f t="shared" ca="1" si="294"/>
        <v>0.83980924488492603</v>
      </c>
      <c r="VO26" s="363">
        <f t="shared" ca="1" si="294"/>
        <v>0.85639273062897048</v>
      </c>
      <c r="VP26" s="363">
        <f t="shared" ca="1" si="294"/>
        <v>0.83148344556333054</v>
      </c>
      <c r="VQ26" s="363">
        <f t="shared" ca="1" si="294"/>
        <v>0.84482333173385549</v>
      </c>
      <c r="VR26" s="363">
        <f t="shared" ca="1" si="294"/>
        <v>0.98652115869036239</v>
      </c>
      <c r="VS26" s="363">
        <f t="shared" ca="1" si="294"/>
        <v>0.86219856569096875</v>
      </c>
      <c r="VT26" s="363">
        <f t="shared" ca="1" si="294"/>
        <v>0.83506797647991293</v>
      </c>
      <c r="VU26" s="363">
        <f t="shared" ca="1" si="294"/>
        <v>0.97830214542049854</v>
      </c>
      <c r="VV26" s="363">
        <f t="shared" ca="1" si="294"/>
        <v>1.2098110504635882</v>
      </c>
      <c r="VW26" s="363">
        <f t="shared" ca="1" si="294"/>
        <v>0.99524625326744331</v>
      </c>
      <c r="VX26" s="363">
        <f t="shared" ca="1" si="294"/>
        <v>0.95096577647965919</v>
      </c>
      <c r="VY26" s="363">
        <f t="shared" ca="1" si="294"/>
        <v>0.95851218082335343</v>
      </c>
      <c r="VZ26" s="363">
        <f t="shared" ca="1" si="294"/>
        <v>0.88799679841586543</v>
      </c>
      <c r="WA26" s="363">
        <f t="shared" ca="1" si="294"/>
        <v>1.2919904594832647</v>
      </c>
      <c r="WB26" s="363">
        <f t="shared" ca="1" si="294"/>
        <v>0.94502023300455296</v>
      </c>
      <c r="WC26" s="363">
        <f t="shared" ca="1" si="294"/>
        <v>0.95017595549381539</v>
      </c>
      <c r="WD26" s="363">
        <f t="shared" ca="1" si="294"/>
        <v>0.75637526000334177</v>
      </c>
      <c r="WE26" s="363">
        <f t="shared" ca="1" si="294"/>
        <v>0.7567286909394958</v>
      </c>
      <c r="WF26" s="363">
        <f t="shared" ca="1" si="294"/>
        <v>0.82838252432857185</v>
      </c>
      <c r="WG26" s="363">
        <f t="shared" ca="1" si="294"/>
        <v>1.129943465416072</v>
      </c>
      <c r="WH26" s="363">
        <f t="shared" ca="1" si="294"/>
        <v>1.0057628281688327</v>
      </c>
      <c r="WI26" s="363">
        <f t="shared" ca="1" si="294"/>
        <v>0.85706412481827121</v>
      </c>
      <c r="WJ26" s="363">
        <f t="shared" ca="1" si="294"/>
        <v>0.88594873876466895</v>
      </c>
      <c r="WK26" s="363">
        <f t="shared" ca="1" si="294"/>
        <v>0.96276461291204163</v>
      </c>
      <c r="WL26" s="363">
        <f t="shared" ca="1" si="294"/>
        <v>1.0346147696788408</v>
      </c>
      <c r="WM26" s="363">
        <f t="shared" ca="1" si="294"/>
        <v>0.89507279021000807</v>
      </c>
      <c r="WN26" s="363">
        <f t="shared" ca="1" si="294"/>
        <v>0.76801267669861273</v>
      </c>
    </row>
    <row r="27" spans="2:612" x14ac:dyDescent="0.15">
      <c r="B27" s="469" t="s">
        <v>910</v>
      </c>
      <c r="D27" s="363">
        <f t="shared" si="0"/>
        <v>1.43</v>
      </c>
      <c r="F27" s="367">
        <v>1.43</v>
      </c>
      <c r="G27" s="367" t="s">
        <v>350</v>
      </c>
      <c r="H27" s="363">
        <v>0.11509881567506626</v>
      </c>
      <c r="I27" s="363">
        <f t="shared" si="197"/>
        <v>0.35105057558691444</v>
      </c>
      <c r="J27" s="367">
        <f t="shared" si="198"/>
        <v>8.0358777725060504E-2</v>
      </c>
      <c r="K27" s="367" t="s">
        <v>1274</v>
      </c>
      <c r="M27" s="363">
        <f ca="1">_xlfn.LOGNORM.INV(RAND(),$I$27,$J$27)</f>
        <v>1.3684822828874321</v>
      </c>
      <c r="N27" s="363">
        <f t="shared" ref="N27:BY27" ca="1" si="295">_xlfn.LOGNORM.INV(RAND(),$I$27,$J$27)</f>
        <v>1.43663896670989</v>
      </c>
      <c r="O27" s="363">
        <f t="shared" ca="1" si="295"/>
        <v>1.2235846190078601</v>
      </c>
      <c r="P27" s="363">
        <f t="shared" ca="1" si="295"/>
        <v>1.3699301774151329</v>
      </c>
      <c r="Q27" s="363">
        <f t="shared" ca="1" si="295"/>
        <v>1.3085969568247833</v>
      </c>
      <c r="R27" s="363">
        <f t="shared" ca="1" si="295"/>
        <v>1.4127179656552085</v>
      </c>
      <c r="S27" s="363">
        <f t="shared" ca="1" si="295"/>
        <v>1.5378121419056912</v>
      </c>
      <c r="T27" s="363">
        <f t="shared" ca="1" si="295"/>
        <v>1.377135572109093</v>
      </c>
      <c r="U27" s="363">
        <f t="shared" ca="1" si="295"/>
        <v>1.4384831536565854</v>
      </c>
      <c r="V27" s="363">
        <f t="shared" ca="1" si="295"/>
        <v>1.5104539593399042</v>
      </c>
      <c r="W27" s="363">
        <f t="shared" ca="1" si="295"/>
        <v>1.4347095154649196</v>
      </c>
      <c r="X27" s="363">
        <f t="shared" ca="1" si="295"/>
        <v>1.2841197059274172</v>
      </c>
      <c r="Y27" s="363">
        <f t="shared" ca="1" si="295"/>
        <v>1.4702547359080602</v>
      </c>
      <c r="Z27" s="363">
        <f t="shared" ca="1" si="295"/>
        <v>1.3429375225996156</v>
      </c>
      <c r="AA27" s="363">
        <f t="shared" ca="1" si="295"/>
        <v>1.5519216048416629</v>
      </c>
      <c r="AB27" s="363">
        <f t="shared" ca="1" si="295"/>
        <v>1.2727121700602941</v>
      </c>
      <c r="AC27" s="363">
        <f t="shared" ca="1" si="295"/>
        <v>1.4949022834558787</v>
      </c>
      <c r="AD27" s="363">
        <f t="shared" ca="1" si="295"/>
        <v>1.2760819944096822</v>
      </c>
      <c r="AE27" s="363">
        <f t="shared" ca="1" si="295"/>
        <v>1.3009075584088616</v>
      </c>
      <c r="AF27" s="363">
        <f t="shared" ca="1" si="295"/>
        <v>1.321036556948999</v>
      </c>
      <c r="AG27" s="363">
        <f t="shared" ca="1" si="295"/>
        <v>1.5242354402096312</v>
      </c>
      <c r="AH27" s="363">
        <f t="shared" ca="1" si="295"/>
        <v>1.4837022469844947</v>
      </c>
      <c r="AI27" s="363">
        <f t="shared" ca="1" si="295"/>
        <v>1.3613444395028855</v>
      </c>
      <c r="AJ27" s="363">
        <f t="shared" ca="1" si="295"/>
        <v>1.3620257030660541</v>
      </c>
      <c r="AK27" s="363">
        <f t="shared" ca="1" si="295"/>
        <v>1.2978130306614826</v>
      </c>
      <c r="AL27" s="363">
        <f t="shared" ca="1" si="295"/>
        <v>1.5297542803465649</v>
      </c>
      <c r="AM27" s="363">
        <f t="shared" ca="1" si="295"/>
        <v>1.2460646046469903</v>
      </c>
      <c r="AN27" s="363">
        <f t="shared" ca="1" si="295"/>
        <v>1.5207554418301126</v>
      </c>
      <c r="AO27" s="363">
        <f t="shared" ca="1" si="295"/>
        <v>1.2768358502432315</v>
      </c>
      <c r="AP27" s="363">
        <f t="shared" ca="1" si="295"/>
        <v>1.4849015835027166</v>
      </c>
      <c r="AQ27" s="363">
        <f t="shared" ca="1" si="295"/>
        <v>1.6617251135611533</v>
      </c>
      <c r="AR27" s="363">
        <f t="shared" ca="1" si="295"/>
        <v>1.4527589573972595</v>
      </c>
      <c r="AS27" s="363">
        <f t="shared" ca="1" si="295"/>
        <v>1.4010837895289057</v>
      </c>
      <c r="AT27" s="363">
        <f t="shared" ca="1" si="295"/>
        <v>1.331531886395328</v>
      </c>
      <c r="AU27" s="363">
        <f t="shared" ca="1" si="295"/>
        <v>1.624670171124152</v>
      </c>
      <c r="AV27" s="363">
        <f t="shared" ca="1" si="295"/>
        <v>1.4140461465249945</v>
      </c>
      <c r="AW27" s="363">
        <f t="shared" ca="1" si="295"/>
        <v>1.5170435700018781</v>
      </c>
      <c r="AX27" s="363">
        <f t="shared" ca="1" si="295"/>
        <v>1.5214966407997841</v>
      </c>
      <c r="AY27" s="363">
        <f t="shared" ca="1" si="295"/>
        <v>1.3582213558918492</v>
      </c>
      <c r="AZ27" s="363">
        <f t="shared" ca="1" si="295"/>
        <v>1.3839843155799143</v>
      </c>
      <c r="BA27" s="363">
        <f t="shared" ca="1" si="295"/>
        <v>1.3645962094710462</v>
      </c>
      <c r="BB27" s="363">
        <f t="shared" ca="1" si="295"/>
        <v>1.4756982591206178</v>
      </c>
      <c r="BC27" s="363">
        <f t="shared" ca="1" si="295"/>
        <v>1.3399476970148603</v>
      </c>
      <c r="BD27" s="363">
        <f t="shared" ca="1" si="295"/>
        <v>1.3678862008145436</v>
      </c>
      <c r="BE27" s="363">
        <f t="shared" ca="1" si="295"/>
        <v>1.2623846964903376</v>
      </c>
      <c r="BF27" s="363">
        <f t="shared" ca="1" si="295"/>
        <v>1.337900312277293</v>
      </c>
      <c r="BG27" s="363">
        <f t="shared" ca="1" si="295"/>
        <v>1.5100268970738349</v>
      </c>
      <c r="BH27" s="363">
        <f t="shared" ca="1" si="295"/>
        <v>1.4001085925874199</v>
      </c>
      <c r="BI27" s="363">
        <f t="shared" ca="1" si="295"/>
        <v>1.4945033706708137</v>
      </c>
      <c r="BJ27" s="363">
        <f t="shared" ca="1" si="295"/>
        <v>1.5575436209075573</v>
      </c>
      <c r="BK27" s="363">
        <f t="shared" ca="1" si="295"/>
        <v>1.5335641472177239</v>
      </c>
      <c r="BL27" s="363">
        <f t="shared" ca="1" si="295"/>
        <v>1.5317076870269815</v>
      </c>
      <c r="BM27" s="363">
        <f t="shared" ca="1" si="295"/>
        <v>1.3659758735821135</v>
      </c>
      <c r="BN27" s="363">
        <f t="shared" ca="1" si="295"/>
        <v>1.4604781928224013</v>
      </c>
      <c r="BO27" s="363">
        <f t="shared" ca="1" si="295"/>
        <v>1.4113572909146037</v>
      </c>
      <c r="BP27" s="363">
        <f t="shared" ca="1" si="295"/>
        <v>1.3447802335306849</v>
      </c>
      <c r="BQ27" s="363">
        <f t="shared" ca="1" si="295"/>
        <v>1.311003823480235</v>
      </c>
      <c r="BR27" s="363">
        <f t="shared" ca="1" si="295"/>
        <v>1.3673157570078629</v>
      </c>
      <c r="BS27" s="363">
        <f t="shared" ca="1" si="295"/>
        <v>1.3408049492585787</v>
      </c>
      <c r="BT27" s="363">
        <f t="shared" ca="1" si="295"/>
        <v>1.4265182852349434</v>
      </c>
      <c r="BU27" s="363">
        <f t="shared" ca="1" si="295"/>
        <v>1.3298409543911778</v>
      </c>
      <c r="BV27" s="363">
        <f t="shared" ca="1" si="295"/>
        <v>1.5515977068175959</v>
      </c>
      <c r="BW27" s="363">
        <f t="shared" ca="1" si="295"/>
        <v>1.6042461476883936</v>
      </c>
      <c r="BX27" s="363">
        <f t="shared" ca="1" si="295"/>
        <v>1.4378033724458144</v>
      </c>
      <c r="BY27" s="363">
        <f t="shared" ca="1" si="295"/>
        <v>1.2872441673484176</v>
      </c>
      <c r="BZ27" s="363">
        <f t="shared" ref="BZ27:DH27" ca="1" si="296">_xlfn.LOGNORM.INV(RAND(),$I$27,$J$27)</f>
        <v>1.2366196053551266</v>
      </c>
      <c r="CA27" s="363">
        <f t="shared" ca="1" si="296"/>
        <v>1.6103991528238768</v>
      </c>
      <c r="CB27" s="363">
        <f t="shared" ca="1" si="296"/>
        <v>1.295748287208093</v>
      </c>
      <c r="CC27" s="363">
        <f t="shared" ca="1" si="296"/>
        <v>1.3764041241403318</v>
      </c>
      <c r="CD27" s="363">
        <f t="shared" ca="1" si="296"/>
        <v>1.3802605300119344</v>
      </c>
      <c r="CE27" s="363">
        <f t="shared" ca="1" si="296"/>
        <v>1.3535617476386195</v>
      </c>
      <c r="CF27" s="363">
        <f t="shared" ca="1" si="296"/>
        <v>1.5486224091403489</v>
      </c>
      <c r="CG27" s="363">
        <f t="shared" ca="1" si="296"/>
        <v>1.4081040403603013</v>
      </c>
      <c r="CH27" s="363">
        <f t="shared" ca="1" si="296"/>
        <v>1.395700790079871</v>
      </c>
      <c r="CI27" s="363">
        <f t="shared" ca="1" si="296"/>
        <v>1.3397775852677163</v>
      </c>
      <c r="CJ27" s="363">
        <f t="shared" ca="1" si="296"/>
        <v>1.5045273301158699</v>
      </c>
      <c r="CK27" s="363">
        <f t="shared" ca="1" si="296"/>
        <v>1.381608216131309</v>
      </c>
      <c r="CL27" s="363">
        <f t="shared" ca="1" si="296"/>
        <v>1.6118861205230692</v>
      </c>
      <c r="CM27" s="363">
        <f t="shared" ca="1" si="296"/>
        <v>1.2657373591236922</v>
      </c>
      <c r="CN27" s="363">
        <f t="shared" ca="1" si="296"/>
        <v>1.1658791729363642</v>
      </c>
      <c r="CO27" s="363">
        <f t="shared" ca="1" si="296"/>
        <v>1.4917280844339402</v>
      </c>
      <c r="CP27" s="363">
        <f t="shared" ca="1" si="296"/>
        <v>1.3107087127247674</v>
      </c>
      <c r="CQ27" s="363">
        <f t="shared" ca="1" si="296"/>
        <v>1.5031110753809416</v>
      </c>
      <c r="CR27" s="363">
        <f t="shared" ca="1" si="296"/>
        <v>1.4259520728852961</v>
      </c>
      <c r="CS27" s="363">
        <f t="shared" ca="1" si="296"/>
        <v>1.4777207021162961</v>
      </c>
      <c r="CT27" s="363">
        <f t="shared" ca="1" si="296"/>
        <v>1.2238495231877824</v>
      </c>
      <c r="CU27" s="363">
        <f t="shared" ca="1" si="296"/>
        <v>1.4191985499136384</v>
      </c>
      <c r="CV27" s="363">
        <f t="shared" ca="1" si="296"/>
        <v>1.3927759076218122</v>
      </c>
      <c r="CW27" s="363">
        <f t="shared" ca="1" si="296"/>
        <v>1.2802783570355436</v>
      </c>
      <c r="CX27" s="363">
        <f t="shared" ca="1" si="296"/>
        <v>1.3562413329415892</v>
      </c>
      <c r="CY27" s="363">
        <f t="shared" ca="1" si="296"/>
        <v>1.4570442815524034</v>
      </c>
      <c r="CZ27" s="363">
        <f t="shared" ca="1" si="296"/>
        <v>1.2779621747094707</v>
      </c>
      <c r="DA27" s="363">
        <f t="shared" ca="1" si="296"/>
        <v>1.4195144805205868</v>
      </c>
      <c r="DB27" s="363">
        <f t="shared" ca="1" si="296"/>
        <v>1.6258888794600939</v>
      </c>
      <c r="DC27" s="363">
        <f t="shared" ca="1" si="296"/>
        <v>1.3960475733884097</v>
      </c>
      <c r="DD27" s="363">
        <f t="shared" ca="1" si="296"/>
        <v>1.4428747172129446</v>
      </c>
      <c r="DE27" s="363">
        <f t="shared" ca="1" si="296"/>
        <v>1.2995489967763385</v>
      </c>
      <c r="DF27" s="363">
        <f t="shared" ca="1" si="296"/>
        <v>1.6315243963615356</v>
      </c>
      <c r="DG27" s="363">
        <f t="shared" ca="1" si="296"/>
        <v>1.3025814952159172</v>
      </c>
      <c r="DH27" s="363">
        <f t="shared" ca="1" si="296"/>
        <v>1.1847133196099713</v>
      </c>
      <c r="DI27" s="363">
        <f ca="1">_xlfn.LOGNORM.INV(RAND(),$I$27,$J$27)</f>
        <v>1.3999442138060636</v>
      </c>
      <c r="DJ27" s="363">
        <f t="shared" ref="DJ27:FU27" ca="1" si="297">_xlfn.LOGNORM.INV(RAND(),$I$27,$J$27)</f>
        <v>1.5957023788155982</v>
      </c>
      <c r="DK27" s="363">
        <f t="shared" ca="1" si="297"/>
        <v>1.515402936699221</v>
      </c>
      <c r="DL27" s="363">
        <f t="shared" ca="1" si="297"/>
        <v>1.4624782307486848</v>
      </c>
      <c r="DM27" s="363">
        <f t="shared" ca="1" si="297"/>
        <v>1.4989004422783858</v>
      </c>
      <c r="DN27" s="363">
        <f t="shared" ca="1" si="297"/>
        <v>1.1705757317434693</v>
      </c>
      <c r="DO27" s="363">
        <f t="shared" ca="1" si="297"/>
        <v>1.5673823134195952</v>
      </c>
      <c r="DP27" s="363">
        <f t="shared" ca="1" si="297"/>
        <v>1.4948085635800774</v>
      </c>
      <c r="DQ27" s="363">
        <f t="shared" ca="1" si="297"/>
        <v>1.6791449596375108</v>
      </c>
      <c r="DR27" s="363">
        <f t="shared" ca="1" si="297"/>
        <v>1.411557469615119</v>
      </c>
      <c r="DS27" s="363">
        <f t="shared" ca="1" si="297"/>
        <v>1.3100712349621366</v>
      </c>
      <c r="DT27" s="363">
        <f t="shared" ca="1" si="297"/>
        <v>1.4438332921659354</v>
      </c>
      <c r="DU27" s="363">
        <f t="shared" ca="1" si="297"/>
        <v>1.4770177592608529</v>
      </c>
      <c r="DV27" s="363">
        <f t="shared" ca="1" si="297"/>
        <v>1.6194586265942932</v>
      </c>
      <c r="DW27" s="363">
        <f t="shared" ca="1" si="297"/>
        <v>1.3919183168372118</v>
      </c>
      <c r="DX27" s="363">
        <f t="shared" ca="1" si="297"/>
        <v>1.3004064160816162</v>
      </c>
      <c r="DY27" s="363">
        <f t="shared" ca="1" si="297"/>
        <v>1.5397242699646077</v>
      </c>
      <c r="DZ27" s="363">
        <f t="shared" ca="1" si="297"/>
        <v>1.4409918111207667</v>
      </c>
      <c r="EA27" s="363">
        <f t="shared" ca="1" si="297"/>
        <v>1.5718065456320787</v>
      </c>
      <c r="EB27" s="363">
        <f t="shared" ca="1" si="297"/>
        <v>1.4317448264945942</v>
      </c>
      <c r="EC27" s="363">
        <f t="shared" ca="1" si="297"/>
        <v>1.3992993166078096</v>
      </c>
      <c r="ED27" s="363">
        <f t="shared" ca="1" si="297"/>
        <v>1.3217619341031082</v>
      </c>
      <c r="EE27" s="363">
        <f t="shared" ca="1" si="297"/>
        <v>1.3196557514544132</v>
      </c>
      <c r="EF27" s="363">
        <f t="shared" ca="1" si="297"/>
        <v>1.3637416398946405</v>
      </c>
      <c r="EG27" s="363">
        <f t="shared" ca="1" si="297"/>
        <v>1.3807148605696773</v>
      </c>
      <c r="EH27" s="363">
        <f t="shared" ca="1" si="297"/>
        <v>1.5478440580622104</v>
      </c>
      <c r="EI27" s="363">
        <f t="shared" ca="1" si="297"/>
        <v>1.4160114256448906</v>
      </c>
      <c r="EJ27" s="363">
        <f t="shared" ca="1" si="297"/>
        <v>1.3082305463168244</v>
      </c>
      <c r="EK27" s="363">
        <f t="shared" ca="1" si="297"/>
        <v>1.4066668348925542</v>
      </c>
      <c r="EL27" s="363">
        <f t="shared" ca="1" si="297"/>
        <v>1.4987519296861738</v>
      </c>
      <c r="EM27" s="363">
        <f t="shared" ca="1" si="297"/>
        <v>1.5589489578395137</v>
      </c>
      <c r="EN27" s="363">
        <f t="shared" ca="1" si="297"/>
        <v>1.8615510522662524</v>
      </c>
      <c r="EO27" s="363">
        <f t="shared" ca="1" si="297"/>
        <v>1.4806533936557498</v>
      </c>
      <c r="EP27" s="363">
        <f t="shared" ca="1" si="297"/>
        <v>1.3706770186681281</v>
      </c>
      <c r="EQ27" s="363">
        <f t="shared" ca="1" si="297"/>
        <v>1.3306784480531297</v>
      </c>
      <c r="ER27" s="363">
        <f t="shared" ca="1" si="297"/>
        <v>1.4295982229261075</v>
      </c>
      <c r="ES27" s="363">
        <f t="shared" ca="1" si="297"/>
        <v>1.339257882143563</v>
      </c>
      <c r="ET27" s="363">
        <f t="shared" ca="1" si="297"/>
        <v>1.4268242364006427</v>
      </c>
      <c r="EU27" s="363">
        <f t="shared" ca="1" si="297"/>
        <v>1.7371906274401865</v>
      </c>
      <c r="EV27" s="363">
        <f t="shared" ca="1" si="297"/>
        <v>1.3164816709023557</v>
      </c>
      <c r="EW27" s="363">
        <f t="shared" ca="1" si="297"/>
        <v>1.4322640029854299</v>
      </c>
      <c r="EX27" s="363">
        <f t="shared" ca="1" si="297"/>
        <v>1.4338465798184938</v>
      </c>
      <c r="EY27" s="363">
        <f t="shared" ca="1" si="297"/>
        <v>1.4872475522341106</v>
      </c>
      <c r="EZ27" s="363">
        <f t="shared" ca="1" si="297"/>
        <v>1.6216992816461768</v>
      </c>
      <c r="FA27" s="363">
        <f t="shared" ca="1" si="297"/>
        <v>1.4069565732215357</v>
      </c>
      <c r="FB27" s="363">
        <f t="shared" ca="1" si="297"/>
        <v>1.3539057764403981</v>
      </c>
      <c r="FC27" s="363">
        <f t="shared" ca="1" si="297"/>
        <v>1.4144899855233521</v>
      </c>
      <c r="FD27" s="363">
        <f t="shared" ca="1" si="297"/>
        <v>1.404825729620901</v>
      </c>
      <c r="FE27" s="363">
        <f t="shared" ca="1" si="297"/>
        <v>1.3402206009763329</v>
      </c>
      <c r="FF27" s="363">
        <f t="shared" ca="1" si="297"/>
        <v>1.2895183640477041</v>
      </c>
      <c r="FG27" s="363">
        <f t="shared" ca="1" si="297"/>
        <v>1.4053282673287859</v>
      </c>
      <c r="FH27" s="363">
        <f t="shared" ca="1" si="297"/>
        <v>1.4292201444006043</v>
      </c>
      <c r="FI27" s="363">
        <f t="shared" ca="1" si="297"/>
        <v>1.3889346654015629</v>
      </c>
      <c r="FJ27" s="363">
        <f t="shared" ca="1" si="297"/>
        <v>1.3399558620575105</v>
      </c>
      <c r="FK27" s="363">
        <f t="shared" ca="1" si="297"/>
        <v>1.3051788977338328</v>
      </c>
      <c r="FL27" s="363">
        <f t="shared" ca="1" si="297"/>
        <v>1.4681611940262789</v>
      </c>
      <c r="FM27" s="363">
        <f t="shared" ca="1" si="297"/>
        <v>1.5344698959136336</v>
      </c>
      <c r="FN27" s="363">
        <f t="shared" ca="1" si="297"/>
        <v>1.5710224946230018</v>
      </c>
      <c r="FO27" s="363">
        <f t="shared" ca="1" si="297"/>
        <v>1.4005233276779567</v>
      </c>
      <c r="FP27" s="363">
        <f t="shared" ca="1" si="297"/>
        <v>1.2517234483336461</v>
      </c>
      <c r="FQ27" s="363">
        <f t="shared" ca="1" si="297"/>
        <v>1.4758045786472991</v>
      </c>
      <c r="FR27" s="363">
        <f t="shared" ca="1" si="297"/>
        <v>1.5418256844724598</v>
      </c>
      <c r="FS27" s="363">
        <f t="shared" ca="1" si="297"/>
        <v>1.2259976894669087</v>
      </c>
      <c r="FT27" s="363">
        <f t="shared" ca="1" si="297"/>
        <v>1.4375878122522308</v>
      </c>
      <c r="FU27" s="363">
        <f t="shared" ca="1" si="297"/>
        <v>1.1950157212830725</v>
      </c>
      <c r="FV27" s="363">
        <f t="shared" ref="FV27:HD27" ca="1" si="298">_xlfn.LOGNORM.INV(RAND(),$I$27,$J$27)</f>
        <v>1.6313069488469518</v>
      </c>
      <c r="FW27" s="363">
        <f t="shared" ca="1" si="298"/>
        <v>1.3360917514558921</v>
      </c>
      <c r="FX27" s="363">
        <f t="shared" ca="1" si="298"/>
        <v>1.589995954019346</v>
      </c>
      <c r="FY27" s="363">
        <f t="shared" ca="1" si="298"/>
        <v>1.4087110152886415</v>
      </c>
      <c r="FZ27" s="363">
        <f t="shared" ca="1" si="298"/>
        <v>1.6483998689711803</v>
      </c>
      <c r="GA27" s="363">
        <f t="shared" ca="1" si="298"/>
        <v>1.4202638304137458</v>
      </c>
      <c r="GB27" s="363">
        <f t="shared" ca="1" si="298"/>
        <v>1.4292945065017306</v>
      </c>
      <c r="GC27" s="363">
        <f t="shared" ca="1" si="298"/>
        <v>1.7455809550336727</v>
      </c>
      <c r="GD27" s="363">
        <f t="shared" ca="1" si="298"/>
        <v>1.4550993439929216</v>
      </c>
      <c r="GE27" s="363">
        <f t="shared" ca="1" si="298"/>
        <v>1.3331503329797583</v>
      </c>
      <c r="GF27" s="363">
        <f t="shared" ca="1" si="298"/>
        <v>1.4438926387867881</v>
      </c>
      <c r="GG27" s="363">
        <f t="shared" ca="1" si="298"/>
        <v>1.4476234512667685</v>
      </c>
      <c r="GH27" s="363">
        <f t="shared" ca="1" si="298"/>
        <v>1.3697100140633212</v>
      </c>
      <c r="GI27" s="363">
        <f t="shared" ca="1" si="298"/>
        <v>1.4345259564219104</v>
      </c>
      <c r="GJ27" s="363">
        <f t="shared" ca="1" si="298"/>
        <v>1.4109737599917367</v>
      </c>
      <c r="GK27" s="363">
        <f t="shared" ca="1" si="298"/>
        <v>1.6552546335739959</v>
      </c>
      <c r="GL27" s="363">
        <f t="shared" ca="1" si="298"/>
        <v>1.316543640801304</v>
      </c>
      <c r="GM27" s="363">
        <f t="shared" ca="1" si="298"/>
        <v>1.2542465305422128</v>
      </c>
      <c r="GN27" s="363">
        <f t="shared" ca="1" si="298"/>
        <v>1.2730958312688101</v>
      </c>
      <c r="GO27" s="363">
        <f t="shared" ca="1" si="298"/>
        <v>1.4195582655544048</v>
      </c>
      <c r="GP27" s="363">
        <f t="shared" ca="1" si="298"/>
        <v>1.4876779382929146</v>
      </c>
      <c r="GQ27" s="363">
        <f t="shared" ca="1" si="298"/>
        <v>1.4864979011988362</v>
      </c>
      <c r="GR27" s="363">
        <f t="shared" ca="1" si="298"/>
        <v>1.4268033864292582</v>
      </c>
      <c r="GS27" s="363">
        <f t="shared" ca="1" si="298"/>
        <v>1.4328022048538682</v>
      </c>
      <c r="GT27" s="363">
        <f t="shared" ca="1" si="298"/>
        <v>1.5494325280063994</v>
      </c>
      <c r="GU27" s="363">
        <f t="shared" ca="1" si="298"/>
        <v>1.4383232098457726</v>
      </c>
      <c r="GV27" s="363">
        <f t="shared" ca="1" si="298"/>
        <v>1.3824133150250515</v>
      </c>
      <c r="GW27" s="363">
        <f t="shared" ca="1" si="298"/>
        <v>1.3415615215730361</v>
      </c>
      <c r="GX27" s="363">
        <f t="shared" ca="1" si="298"/>
        <v>1.2874287925813823</v>
      </c>
      <c r="GY27" s="363">
        <f t="shared" ca="1" si="298"/>
        <v>1.4695000000490523</v>
      </c>
      <c r="GZ27" s="363">
        <f t="shared" ca="1" si="298"/>
        <v>1.6700861004494363</v>
      </c>
      <c r="HA27" s="363">
        <f t="shared" ca="1" si="298"/>
        <v>1.4937579595952732</v>
      </c>
      <c r="HB27" s="363">
        <f t="shared" ca="1" si="298"/>
        <v>1.7024373301664</v>
      </c>
      <c r="HC27" s="363">
        <f t="shared" ca="1" si="298"/>
        <v>1.1548448713959791</v>
      </c>
      <c r="HD27" s="363">
        <f t="shared" ca="1" si="298"/>
        <v>1.3940608094046274</v>
      </c>
      <c r="HE27" s="363">
        <f ca="1">_xlfn.LOGNORM.INV(RAND(),$I$27,$J$27)</f>
        <v>1.5200615290436033</v>
      </c>
      <c r="HF27" s="363">
        <f t="shared" ref="HF27:JQ27" ca="1" si="299">_xlfn.LOGNORM.INV(RAND(),$I$27,$J$27)</f>
        <v>1.4134999416396274</v>
      </c>
      <c r="HG27" s="363">
        <f t="shared" ca="1" si="299"/>
        <v>1.46493876280681</v>
      </c>
      <c r="HH27" s="363">
        <f t="shared" ca="1" si="299"/>
        <v>1.2735427174051888</v>
      </c>
      <c r="HI27" s="363">
        <f t="shared" ca="1" si="299"/>
        <v>1.3570401841958728</v>
      </c>
      <c r="HJ27" s="363">
        <f t="shared" ca="1" si="299"/>
        <v>1.4701633021930125</v>
      </c>
      <c r="HK27" s="363">
        <f t="shared" ca="1" si="299"/>
        <v>1.4175811951692314</v>
      </c>
      <c r="HL27" s="363">
        <f t="shared" ca="1" si="299"/>
        <v>1.358739378408282</v>
      </c>
      <c r="HM27" s="363">
        <f t="shared" ca="1" si="299"/>
        <v>1.3999967277427976</v>
      </c>
      <c r="HN27" s="363">
        <f t="shared" ca="1" si="299"/>
        <v>1.3865448410268817</v>
      </c>
      <c r="HO27" s="363">
        <f t="shared" ca="1" si="299"/>
        <v>1.6258214280861607</v>
      </c>
      <c r="HP27" s="363">
        <f t="shared" ca="1" si="299"/>
        <v>1.4150945966016009</v>
      </c>
      <c r="HQ27" s="363">
        <f t="shared" ca="1" si="299"/>
        <v>1.6260987603019204</v>
      </c>
      <c r="HR27" s="363">
        <f t="shared" ca="1" si="299"/>
        <v>1.3535372537046171</v>
      </c>
      <c r="HS27" s="363">
        <f t="shared" ca="1" si="299"/>
        <v>1.2711858379494942</v>
      </c>
      <c r="HT27" s="363">
        <f t="shared" ca="1" si="299"/>
        <v>1.2970636453490445</v>
      </c>
      <c r="HU27" s="363">
        <f t="shared" ca="1" si="299"/>
        <v>1.4057248407619194</v>
      </c>
      <c r="HV27" s="363">
        <f t="shared" ca="1" si="299"/>
        <v>1.2808660929446589</v>
      </c>
      <c r="HW27" s="363">
        <f t="shared" ca="1" si="299"/>
        <v>1.4445196287238622</v>
      </c>
      <c r="HX27" s="363">
        <f t="shared" ca="1" si="299"/>
        <v>1.4848647045367842</v>
      </c>
      <c r="HY27" s="363">
        <f t="shared" ca="1" si="299"/>
        <v>1.5583555758022885</v>
      </c>
      <c r="HZ27" s="363">
        <f t="shared" ca="1" si="299"/>
        <v>1.3987111273344595</v>
      </c>
      <c r="IA27" s="363">
        <f t="shared" ca="1" si="299"/>
        <v>1.3724777653334213</v>
      </c>
      <c r="IB27" s="363">
        <f t="shared" ca="1" si="299"/>
        <v>1.5168993061330831</v>
      </c>
      <c r="IC27" s="363">
        <f t="shared" ca="1" si="299"/>
        <v>1.2120863198288419</v>
      </c>
      <c r="ID27" s="363">
        <f t="shared" ca="1" si="299"/>
        <v>1.2508873271910936</v>
      </c>
      <c r="IE27" s="363">
        <f t="shared" ca="1" si="299"/>
        <v>1.5145638387791422</v>
      </c>
      <c r="IF27" s="363">
        <f t="shared" ca="1" si="299"/>
        <v>1.5826425940117153</v>
      </c>
      <c r="IG27" s="363">
        <f t="shared" ca="1" si="299"/>
        <v>1.2188442562202388</v>
      </c>
      <c r="IH27" s="363">
        <f t="shared" ca="1" si="299"/>
        <v>1.4762641405887629</v>
      </c>
      <c r="II27" s="363">
        <f t="shared" ca="1" si="299"/>
        <v>1.6143730995309533</v>
      </c>
      <c r="IJ27" s="363">
        <f t="shared" ca="1" si="299"/>
        <v>1.282100013753118</v>
      </c>
      <c r="IK27" s="363">
        <f t="shared" ca="1" si="299"/>
        <v>1.5282264527410638</v>
      </c>
      <c r="IL27" s="363">
        <f t="shared" ca="1" si="299"/>
        <v>1.472731662500091</v>
      </c>
      <c r="IM27" s="363">
        <f t="shared" ca="1" si="299"/>
        <v>1.3520479309032141</v>
      </c>
      <c r="IN27" s="363">
        <f t="shared" ca="1" si="299"/>
        <v>1.22726541587705</v>
      </c>
      <c r="IO27" s="363">
        <f t="shared" ca="1" si="299"/>
        <v>1.2137891042412674</v>
      </c>
      <c r="IP27" s="363">
        <f t="shared" ca="1" si="299"/>
        <v>1.4139786454627685</v>
      </c>
      <c r="IQ27" s="363">
        <f t="shared" ca="1" si="299"/>
        <v>1.5296462001856697</v>
      </c>
      <c r="IR27" s="363">
        <f t="shared" ca="1" si="299"/>
        <v>1.232593431662973</v>
      </c>
      <c r="IS27" s="363">
        <f t="shared" ca="1" si="299"/>
        <v>1.3453701206757522</v>
      </c>
      <c r="IT27" s="363">
        <f t="shared" ca="1" si="299"/>
        <v>1.5231961604613034</v>
      </c>
      <c r="IU27" s="363">
        <f t="shared" ca="1" si="299"/>
        <v>1.2871884034281709</v>
      </c>
      <c r="IV27" s="363">
        <f t="shared" ca="1" si="299"/>
        <v>1.373242044103125</v>
      </c>
      <c r="IW27" s="363">
        <f t="shared" ca="1" si="299"/>
        <v>1.4279338835198385</v>
      </c>
      <c r="IX27" s="363">
        <f t="shared" ca="1" si="299"/>
        <v>1.3745503857806018</v>
      </c>
      <c r="IY27" s="363">
        <f t="shared" ca="1" si="299"/>
        <v>1.4198770352448571</v>
      </c>
      <c r="IZ27" s="363">
        <f t="shared" ca="1" si="299"/>
        <v>1.6608747751920234</v>
      </c>
      <c r="JA27" s="363">
        <f t="shared" ca="1" si="299"/>
        <v>1.2792352545287742</v>
      </c>
      <c r="JB27" s="363">
        <f t="shared" ca="1" si="299"/>
        <v>1.322756593237193</v>
      </c>
      <c r="JC27" s="363">
        <f t="shared" ca="1" si="299"/>
        <v>1.5074349108820708</v>
      </c>
      <c r="JD27" s="363">
        <f t="shared" ca="1" si="299"/>
        <v>1.3345807932639489</v>
      </c>
      <c r="JE27" s="363">
        <f t="shared" ca="1" si="299"/>
        <v>1.4317119922968193</v>
      </c>
      <c r="JF27" s="363">
        <f t="shared" ca="1" si="299"/>
        <v>1.3795327176482757</v>
      </c>
      <c r="JG27" s="363">
        <f t="shared" ca="1" si="299"/>
        <v>1.2882526360887783</v>
      </c>
      <c r="JH27" s="363">
        <f t="shared" ca="1" si="299"/>
        <v>1.2400191814860118</v>
      </c>
      <c r="JI27" s="363">
        <f t="shared" ca="1" si="299"/>
        <v>1.5563584747977388</v>
      </c>
      <c r="JJ27" s="363">
        <f t="shared" ca="1" si="299"/>
        <v>1.5721242199609076</v>
      </c>
      <c r="JK27" s="363">
        <f t="shared" ca="1" si="299"/>
        <v>1.3642036660288355</v>
      </c>
      <c r="JL27" s="363">
        <f t="shared" ca="1" si="299"/>
        <v>1.3378934299665177</v>
      </c>
      <c r="JM27" s="363">
        <f t="shared" ca="1" si="299"/>
        <v>1.3185494061258756</v>
      </c>
      <c r="JN27" s="363">
        <f t="shared" ca="1" si="299"/>
        <v>1.3956260408839494</v>
      </c>
      <c r="JO27" s="363">
        <f t="shared" ca="1" si="299"/>
        <v>1.3615534863957361</v>
      </c>
      <c r="JP27" s="363">
        <f t="shared" ca="1" si="299"/>
        <v>1.4251403468840553</v>
      </c>
      <c r="JQ27" s="363">
        <f t="shared" ca="1" si="299"/>
        <v>1.343017080619616</v>
      </c>
      <c r="JR27" s="363">
        <f t="shared" ref="JR27:KZ27" ca="1" si="300">_xlfn.LOGNORM.INV(RAND(),$I$27,$J$27)</f>
        <v>1.3505268972948181</v>
      </c>
      <c r="JS27" s="363">
        <f t="shared" ca="1" si="300"/>
        <v>1.2328852626968017</v>
      </c>
      <c r="JT27" s="363">
        <f t="shared" ca="1" si="300"/>
        <v>1.2463615336001101</v>
      </c>
      <c r="JU27" s="363">
        <f t="shared" ca="1" si="300"/>
        <v>1.3406574623176024</v>
      </c>
      <c r="JV27" s="363">
        <f t="shared" ca="1" si="300"/>
        <v>1.367000599272916</v>
      </c>
      <c r="JW27" s="363">
        <f t="shared" ca="1" si="300"/>
        <v>1.4731111897542231</v>
      </c>
      <c r="JX27" s="363">
        <f t="shared" ca="1" si="300"/>
        <v>1.3793708947880785</v>
      </c>
      <c r="JY27" s="363">
        <f t="shared" ca="1" si="300"/>
        <v>1.5520711650505015</v>
      </c>
      <c r="JZ27" s="363">
        <f t="shared" ca="1" si="300"/>
        <v>1.3053960012696713</v>
      </c>
      <c r="KA27" s="363">
        <f t="shared" ca="1" si="300"/>
        <v>1.2297991764147018</v>
      </c>
      <c r="KB27" s="363">
        <f t="shared" ca="1" si="300"/>
        <v>1.5404106349187787</v>
      </c>
      <c r="KC27" s="363">
        <f t="shared" ca="1" si="300"/>
        <v>1.3008318081304726</v>
      </c>
      <c r="KD27" s="363">
        <f t="shared" ca="1" si="300"/>
        <v>1.468937593686938</v>
      </c>
      <c r="KE27" s="363">
        <f t="shared" ca="1" si="300"/>
        <v>1.3826780256713742</v>
      </c>
      <c r="KF27" s="363">
        <f t="shared" ca="1" si="300"/>
        <v>1.6016371619092586</v>
      </c>
      <c r="KG27" s="363">
        <f t="shared" ca="1" si="300"/>
        <v>1.4278928173288807</v>
      </c>
      <c r="KH27" s="363">
        <f t="shared" ca="1" si="300"/>
        <v>1.2198174181400707</v>
      </c>
      <c r="KI27" s="363">
        <f t="shared" ca="1" si="300"/>
        <v>1.6428863451439935</v>
      </c>
      <c r="KJ27" s="363">
        <f t="shared" ca="1" si="300"/>
        <v>1.4047904975348773</v>
      </c>
      <c r="KK27" s="363">
        <f t="shared" ca="1" si="300"/>
        <v>1.3651266008681657</v>
      </c>
      <c r="KL27" s="363">
        <f t="shared" ca="1" si="300"/>
        <v>1.538684822929411</v>
      </c>
      <c r="KM27" s="363">
        <f t="shared" ca="1" si="300"/>
        <v>1.1295006239172347</v>
      </c>
      <c r="KN27" s="363">
        <f t="shared" ca="1" si="300"/>
        <v>1.4519238769953493</v>
      </c>
      <c r="KO27" s="363">
        <f t="shared" ca="1" si="300"/>
        <v>1.3844169174385428</v>
      </c>
      <c r="KP27" s="363">
        <f t="shared" ca="1" si="300"/>
        <v>1.4458957511798067</v>
      </c>
      <c r="KQ27" s="363">
        <f t="shared" ca="1" si="300"/>
        <v>1.3858411746345101</v>
      </c>
      <c r="KR27" s="363">
        <f t="shared" ca="1" si="300"/>
        <v>1.4967306445245543</v>
      </c>
      <c r="KS27" s="363">
        <f t="shared" ca="1" si="300"/>
        <v>1.4488298346114892</v>
      </c>
      <c r="KT27" s="363">
        <f t="shared" ca="1" si="300"/>
        <v>1.4466513149820264</v>
      </c>
      <c r="KU27" s="363">
        <f t="shared" ca="1" si="300"/>
        <v>1.6962938764349056</v>
      </c>
      <c r="KV27" s="363">
        <f t="shared" ca="1" si="300"/>
        <v>1.3473851881426726</v>
      </c>
      <c r="KW27" s="363">
        <f t="shared" ca="1" si="300"/>
        <v>1.6683686284323478</v>
      </c>
      <c r="KX27" s="363">
        <f t="shared" ca="1" si="300"/>
        <v>1.3305830449457827</v>
      </c>
      <c r="KY27" s="363">
        <f t="shared" ca="1" si="300"/>
        <v>1.4607710448347195</v>
      </c>
      <c r="KZ27" s="363">
        <f t="shared" ca="1" si="300"/>
        <v>1.422082402543118</v>
      </c>
      <c r="LA27" s="363">
        <f ca="1">_xlfn.LOGNORM.INV(RAND(),$I$27,$J$27)</f>
        <v>1.4669588880128734</v>
      </c>
      <c r="LB27" s="363">
        <f t="shared" ref="LB27:NM27" ca="1" si="301">_xlfn.LOGNORM.INV(RAND(),$I$27,$J$27)</f>
        <v>1.4501077142340524</v>
      </c>
      <c r="LC27" s="363">
        <f t="shared" ca="1" si="301"/>
        <v>1.4682514252858887</v>
      </c>
      <c r="LD27" s="363">
        <f t="shared" ca="1" si="301"/>
        <v>1.4318738848341142</v>
      </c>
      <c r="LE27" s="363">
        <f t="shared" ca="1" si="301"/>
        <v>1.4676346144153241</v>
      </c>
      <c r="LF27" s="363">
        <f t="shared" ca="1" si="301"/>
        <v>1.4987494267934527</v>
      </c>
      <c r="LG27" s="363">
        <f t="shared" ca="1" si="301"/>
        <v>1.4368968177127155</v>
      </c>
      <c r="LH27" s="363">
        <f t="shared" ca="1" si="301"/>
        <v>1.4288806915949259</v>
      </c>
      <c r="LI27" s="363">
        <f t="shared" ca="1" si="301"/>
        <v>1.583194077755866</v>
      </c>
      <c r="LJ27" s="363">
        <f t="shared" ca="1" si="301"/>
        <v>1.3934856514589891</v>
      </c>
      <c r="LK27" s="363">
        <f t="shared" ca="1" si="301"/>
        <v>1.3879962114909656</v>
      </c>
      <c r="LL27" s="363">
        <f t="shared" ca="1" si="301"/>
        <v>1.465093698324367</v>
      </c>
      <c r="LM27" s="363">
        <f t="shared" ca="1" si="301"/>
        <v>1.1924799149743128</v>
      </c>
      <c r="LN27" s="363">
        <f t="shared" ca="1" si="301"/>
        <v>1.3547292847993024</v>
      </c>
      <c r="LO27" s="363">
        <f t="shared" ca="1" si="301"/>
        <v>1.5767943791248547</v>
      </c>
      <c r="LP27" s="363">
        <f t="shared" ca="1" si="301"/>
        <v>1.2715923117978438</v>
      </c>
      <c r="LQ27" s="363">
        <f t="shared" ca="1" si="301"/>
        <v>1.5860743879810397</v>
      </c>
      <c r="LR27" s="363">
        <f t="shared" ca="1" si="301"/>
        <v>1.4035489229682987</v>
      </c>
      <c r="LS27" s="363">
        <f t="shared" ca="1" si="301"/>
        <v>1.5383017704688442</v>
      </c>
      <c r="LT27" s="363">
        <f t="shared" ca="1" si="301"/>
        <v>1.2190548543692827</v>
      </c>
      <c r="LU27" s="363">
        <f t="shared" ca="1" si="301"/>
        <v>1.368513245851785</v>
      </c>
      <c r="LV27" s="363">
        <f t="shared" ca="1" si="301"/>
        <v>1.4099021008556307</v>
      </c>
      <c r="LW27" s="363">
        <f t="shared" ca="1" si="301"/>
        <v>1.5021561736192368</v>
      </c>
      <c r="LX27" s="363">
        <f t="shared" ca="1" si="301"/>
        <v>1.3895737642755202</v>
      </c>
      <c r="LY27" s="363">
        <f t="shared" ca="1" si="301"/>
        <v>1.2259048343055405</v>
      </c>
      <c r="LZ27" s="363">
        <f t="shared" ca="1" si="301"/>
        <v>1.7352152490068027</v>
      </c>
      <c r="MA27" s="363">
        <f t="shared" ca="1" si="301"/>
        <v>1.2631778946810104</v>
      </c>
      <c r="MB27" s="363">
        <f t="shared" ca="1" si="301"/>
        <v>1.275805664630375</v>
      </c>
      <c r="MC27" s="363">
        <f t="shared" ca="1" si="301"/>
        <v>1.4177842837005519</v>
      </c>
      <c r="MD27" s="363">
        <f t="shared" ca="1" si="301"/>
        <v>1.5883576363315881</v>
      </c>
      <c r="ME27" s="363">
        <f t="shared" ca="1" si="301"/>
        <v>1.4842907781027788</v>
      </c>
      <c r="MF27" s="363">
        <f t="shared" ca="1" si="301"/>
        <v>1.447559257668702</v>
      </c>
      <c r="MG27" s="363">
        <f t="shared" ca="1" si="301"/>
        <v>1.3637441472936667</v>
      </c>
      <c r="MH27" s="363">
        <f t="shared" ca="1" si="301"/>
        <v>1.4352170133165085</v>
      </c>
      <c r="MI27" s="363">
        <f t="shared" ca="1" si="301"/>
        <v>1.5619506954130922</v>
      </c>
      <c r="MJ27" s="363">
        <f t="shared" ca="1" si="301"/>
        <v>1.3196988353991377</v>
      </c>
      <c r="MK27" s="363">
        <f t="shared" ca="1" si="301"/>
        <v>1.4257619115040034</v>
      </c>
      <c r="ML27" s="363">
        <f t="shared" ca="1" si="301"/>
        <v>1.51955756790441</v>
      </c>
      <c r="MM27" s="363">
        <f t="shared" ca="1" si="301"/>
        <v>1.2656106738328659</v>
      </c>
      <c r="MN27" s="363">
        <f t="shared" ca="1" si="301"/>
        <v>1.5562773005954138</v>
      </c>
      <c r="MO27" s="363">
        <f t="shared" ca="1" si="301"/>
        <v>1.5671209744541486</v>
      </c>
      <c r="MP27" s="363">
        <f t="shared" ca="1" si="301"/>
        <v>1.5657629128000896</v>
      </c>
      <c r="MQ27" s="363">
        <f t="shared" ca="1" si="301"/>
        <v>1.3039190919116572</v>
      </c>
      <c r="MR27" s="363">
        <f t="shared" ca="1" si="301"/>
        <v>1.3509940767349644</v>
      </c>
      <c r="MS27" s="363">
        <f t="shared" ca="1" si="301"/>
        <v>1.3128904486624828</v>
      </c>
      <c r="MT27" s="363">
        <f t="shared" ca="1" si="301"/>
        <v>1.4490926824893193</v>
      </c>
      <c r="MU27" s="363">
        <f t="shared" ca="1" si="301"/>
        <v>1.5340027102071212</v>
      </c>
      <c r="MV27" s="363">
        <f t="shared" ca="1" si="301"/>
        <v>1.4746050025838362</v>
      </c>
      <c r="MW27" s="363">
        <f t="shared" ca="1" si="301"/>
        <v>1.3808001435695603</v>
      </c>
      <c r="MX27" s="363">
        <f t="shared" ca="1" si="301"/>
        <v>1.4514657526382657</v>
      </c>
      <c r="MY27" s="363">
        <f t="shared" ca="1" si="301"/>
        <v>1.3119105908724811</v>
      </c>
      <c r="MZ27" s="363">
        <f t="shared" ca="1" si="301"/>
        <v>1.6072071436442954</v>
      </c>
      <c r="NA27" s="363">
        <f t="shared" ca="1" si="301"/>
        <v>1.3832090699884554</v>
      </c>
      <c r="NB27" s="363">
        <f t="shared" ca="1" si="301"/>
        <v>1.3170180039438204</v>
      </c>
      <c r="NC27" s="363">
        <f t="shared" ca="1" si="301"/>
        <v>1.3502557073595229</v>
      </c>
      <c r="ND27" s="363">
        <f t="shared" ca="1" si="301"/>
        <v>1.4515735895395556</v>
      </c>
      <c r="NE27" s="363">
        <f t="shared" ca="1" si="301"/>
        <v>1.4562090323327537</v>
      </c>
      <c r="NF27" s="363">
        <f t="shared" ca="1" si="301"/>
        <v>1.5055559571366206</v>
      </c>
      <c r="NG27" s="363">
        <f t="shared" ca="1" si="301"/>
        <v>1.3147935785323266</v>
      </c>
      <c r="NH27" s="363">
        <f t="shared" ca="1" si="301"/>
        <v>1.2389302601445751</v>
      </c>
      <c r="NI27" s="363">
        <f t="shared" ca="1" si="301"/>
        <v>1.494703593279411</v>
      </c>
      <c r="NJ27" s="363">
        <f t="shared" ca="1" si="301"/>
        <v>1.4928591193324574</v>
      </c>
      <c r="NK27" s="363">
        <f t="shared" ca="1" si="301"/>
        <v>1.2314855723115929</v>
      </c>
      <c r="NL27" s="363">
        <f t="shared" ca="1" si="301"/>
        <v>1.5071871724344255</v>
      </c>
      <c r="NM27" s="363">
        <f t="shared" ca="1" si="301"/>
        <v>1.4324242541926371</v>
      </c>
      <c r="NN27" s="363">
        <f t="shared" ref="NN27:OV27" ca="1" si="302">_xlfn.LOGNORM.INV(RAND(),$I$27,$J$27)</f>
        <v>1.2919721957503332</v>
      </c>
      <c r="NO27" s="363">
        <f t="shared" ca="1" si="302"/>
        <v>1.4515020392262914</v>
      </c>
      <c r="NP27" s="363">
        <f t="shared" ca="1" si="302"/>
        <v>1.6187890736915842</v>
      </c>
      <c r="NQ27" s="363">
        <f t="shared" ca="1" si="302"/>
        <v>1.5213652594278606</v>
      </c>
      <c r="NR27" s="363">
        <f t="shared" ca="1" si="302"/>
        <v>1.4317006162309642</v>
      </c>
      <c r="NS27" s="363">
        <f t="shared" ca="1" si="302"/>
        <v>1.3739289672410571</v>
      </c>
      <c r="NT27" s="363">
        <f t="shared" ca="1" si="302"/>
        <v>1.3821099404977648</v>
      </c>
      <c r="NU27" s="363">
        <f t="shared" ca="1" si="302"/>
        <v>1.5655808177936537</v>
      </c>
      <c r="NV27" s="363">
        <f t="shared" ca="1" si="302"/>
        <v>1.4209517797708522</v>
      </c>
      <c r="NW27" s="363">
        <f t="shared" ca="1" si="302"/>
        <v>1.498049393412604</v>
      </c>
      <c r="NX27" s="363">
        <f t="shared" ca="1" si="302"/>
        <v>1.3561026838827361</v>
      </c>
      <c r="NY27" s="363">
        <f t="shared" ca="1" si="302"/>
        <v>1.4548120964896765</v>
      </c>
      <c r="NZ27" s="363">
        <f t="shared" ca="1" si="302"/>
        <v>1.5237479093311834</v>
      </c>
      <c r="OA27" s="363">
        <f t="shared" ca="1" si="302"/>
        <v>1.4374595315826704</v>
      </c>
      <c r="OB27" s="363">
        <f t="shared" ca="1" si="302"/>
        <v>1.5240097024105768</v>
      </c>
      <c r="OC27" s="363">
        <f t="shared" ca="1" si="302"/>
        <v>1.478104930806994</v>
      </c>
      <c r="OD27" s="363">
        <f t="shared" ca="1" si="302"/>
        <v>1.5663133221895005</v>
      </c>
      <c r="OE27" s="363">
        <f t="shared" ca="1" si="302"/>
        <v>1.3520117119004209</v>
      </c>
      <c r="OF27" s="363">
        <f t="shared" ca="1" si="302"/>
        <v>1.3641437729899608</v>
      </c>
      <c r="OG27" s="363">
        <f t="shared" ca="1" si="302"/>
        <v>1.3699763062390338</v>
      </c>
      <c r="OH27" s="363">
        <f t="shared" ca="1" si="302"/>
        <v>1.5269902928681809</v>
      </c>
      <c r="OI27" s="363">
        <f t="shared" ca="1" si="302"/>
        <v>1.5436179141819497</v>
      </c>
      <c r="OJ27" s="363">
        <f t="shared" ca="1" si="302"/>
        <v>1.3745198575917437</v>
      </c>
      <c r="OK27" s="363">
        <f t="shared" ca="1" si="302"/>
        <v>1.4438831715564029</v>
      </c>
      <c r="OL27" s="363">
        <f t="shared" ca="1" si="302"/>
        <v>1.568176331313698</v>
      </c>
      <c r="OM27" s="363">
        <f t="shared" ca="1" si="302"/>
        <v>1.3822589535027152</v>
      </c>
      <c r="ON27" s="363">
        <f t="shared" ca="1" si="302"/>
        <v>1.4141024776937225</v>
      </c>
      <c r="OO27" s="363">
        <f t="shared" ca="1" si="302"/>
        <v>1.4399557883569978</v>
      </c>
      <c r="OP27" s="363">
        <f t="shared" ca="1" si="302"/>
        <v>1.464046396636479</v>
      </c>
      <c r="OQ27" s="363">
        <f t="shared" ca="1" si="302"/>
        <v>1.2042533736082772</v>
      </c>
      <c r="OR27" s="363">
        <f t="shared" ca="1" si="302"/>
        <v>1.4746447985576498</v>
      </c>
      <c r="OS27" s="363">
        <f t="shared" ca="1" si="302"/>
        <v>1.4930879160727339</v>
      </c>
      <c r="OT27" s="363">
        <f t="shared" ca="1" si="302"/>
        <v>1.1813599345185124</v>
      </c>
      <c r="OU27" s="363">
        <f t="shared" ca="1" si="302"/>
        <v>1.413327825708578</v>
      </c>
      <c r="OV27" s="363">
        <f t="shared" ca="1" si="302"/>
        <v>1.3038145497845666</v>
      </c>
      <c r="OW27" s="363">
        <f ca="1">_xlfn.LOGNORM.INV(RAND(),$I$27,$J$27)</f>
        <v>1.5268022252808826</v>
      </c>
      <c r="OX27" s="363">
        <f t="shared" ref="OX27:RI27" ca="1" si="303">_xlfn.LOGNORM.INV(RAND(),$I$27,$J$27)</f>
        <v>1.4507396921784106</v>
      </c>
      <c r="OY27" s="363">
        <f t="shared" ca="1" si="303"/>
        <v>1.3003512324448239</v>
      </c>
      <c r="OZ27" s="363">
        <f t="shared" ca="1" si="303"/>
        <v>1.5073735032706712</v>
      </c>
      <c r="PA27" s="363">
        <f t="shared" ca="1" si="303"/>
        <v>1.2439351304034578</v>
      </c>
      <c r="PB27" s="363">
        <f t="shared" ca="1" si="303"/>
        <v>1.1540100883224704</v>
      </c>
      <c r="PC27" s="363">
        <f t="shared" ca="1" si="303"/>
        <v>1.2971687968623133</v>
      </c>
      <c r="PD27" s="363">
        <f t="shared" ca="1" si="303"/>
        <v>1.3583995086073695</v>
      </c>
      <c r="PE27" s="363">
        <f t="shared" ca="1" si="303"/>
        <v>1.6301349438245891</v>
      </c>
      <c r="PF27" s="363">
        <f t="shared" ca="1" si="303"/>
        <v>1.4560730751609059</v>
      </c>
      <c r="PG27" s="363">
        <f t="shared" ca="1" si="303"/>
        <v>1.3086287522557187</v>
      </c>
      <c r="PH27" s="363">
        <f t="shared" ca="1" si="303"/>
        <v>1.4456582168239123</v>
      </c>
      <c r="PI27" s="363">
        <f t="shared" ca="1" si="303"/>
        <v>1.2966934010303293</v>
      </c>
      <c r="PJ27" s="363">
        <f t="shared" ca="1" si="303"/>
        <v>1.459482121051608</v>
      </c>
      <c r="PK27" s="363">
        <f t="shared" ca="1" si="303"/>
        <v>1.1647314022602322</v>
      </c>
      <c r="PL27" s="363">
        <f t="shared" ca="1" si="303"/>
        <v>1.4821930760377586</v>
      </c>
      <c r="PM27" s="363">
        <f t="shared" ca="1" si="303"/>
        <v>1.3527789734330433</v>
      </c>
      <c r="PN27" s="363">
        <f t="shared" ca="1" si="303"/>
        <v>1.4607533458676489</v>
      </c>
      <c r="PO27" s="363">
        <f t="shared" ca="1" si="303"/>
        <v>1.5366467499150964</v>
      </c>
      <c r="PP27" s="363">
        <f t="shared" ca="1" si="303"/>
        <v>1.4643258967310402</v>
      </c>
      <c r="PQ27" s="363">
        <f t="shared" ca="1" si="303"/>
        <v>1.2532836167697994</v>
      </c>
      <c r="PR27" s="363">
        <f t="shared" ca="1" si="303"/>
        <v>1.4554327086584973</v>
      </c>
      <c r="PS27" s="363">
        <f t="shared" ca="1" si="303"/>
        <v>1.351311884081656</v>
      </c>
      <c r="PT27" s="363">
        <f t="shared" ca="1" si="303"/>
        <v>1.447033034872006</v>
      </c>
      <c r="PU27" s="363">
        <f t="shared" ca="1" si="303"/>
        <v>1.3284115178256513</v>
      </c>
      <c r="PV27" s="363">
        <f t="shared" ca="1" si="303"/>
        <v>1.3972932249425849</v>
      </c>
      <c r="PW27" s="363">
        <f t="shared" ca="1" si="303"/>
        <v>1.3183187410612376</v>
      </c>
      <c r="PX27" s="363">
        <f t="shared" ca="1" si="303"/>
        <v>1.4540130044983315</v>
      </c>
      <c r="PY27" s="363">
        <f t="shared" ca="1" si="303"/>
        <v>1.5345779364245424</v>
      </c>
      <c r="PZ27" s="363">
        <f t="shared" ca="1" si="303"/>
        <v>1.4219903845398172</v>
      </c>
      <c r="QA27" s="363">
        <f t="shared" ca="1" si="303"/>
        <v>1.4355126638595168</v>
      </c>
      <c r="QB27" s="363">
        <f t="shared" ca="1" si="303"/>
        <v>1.8162212442304628</v>
      </c>
      <c r="QC27" s="363">
        <f t="shared" ca="1" si="303"/>
        <v>1.6893636619200263</v>
      </c>
      <c r="QD27" s="363">
        <f t="shared" ca="1" si="303"/>
        <v>1.4378675269871619</v>
      </c>
      <c r="QE27" s="363">
        <f t="shared" ca="1" si="303"/>
        <v>1.5480748135812918</v>
      </c>
      <c r="QF27" s="363">
        <f t="shared" ca="1" si="303"/>
        <v>1.3663060301790921</v>
      </c>
      <c r="QG27" s="363">
        <f t="shared" ca="1" si="303"/>
        <v>1.4423634315348983</v>
      </c>
      <c r="QH27" s="363">
        <f t="shared" ca="1" si="303"/>
        <v>1.6068063039386393</v>
      </c>
      <c r="QI27" s="363">
        <f t="shared" ca="1" si="303"/>
        <v>1.4835799303905464</v>
      </c>
      <c r="QJ27" s="363">
        <f t="shared" ca="1" si="303"/>
        <v>1.4475667861079569</v>
      </c>
      <c r="QK27" s="363">
        <f t="shared" ca="1" si="303"/>
        <v>1.5950329449334941</v>
      </c>
      <c r="QL27" s="363">
        <f t="shared" ca="1" si="303"/>
        <v>1.2634498152393159</v>
      </c>
      <c r="QM27" s="363">
        <f t="shared" ca="1" si="303"/>
        <v>1.3476505418465108</v>
      </c>
      <c r="QN27" s="363">
        <f t="shared" ca="1" si="303"/>
        <v>1.363509893197177</v>
      </c>
      <c r="QO27" s="363">
        <f t="shared" ca="1" si="303"/>
        <v>1.56666504475049</v>
      </c>
      <c r="QP27" s="363">
        <f t="shared" ca="1" si="303"/>
        <v>1.54822808148416</v>
      </c>
      <c r="QQ27" s="363">
        <f t="shared" ca="1" si="303"/>
        <v>1.4587091736706796</v>
      </c>
      <c r="QR27" s="363">
        <f t="shared" ca="1" si="303"/>
        <v>1.3356263136450472</v>
      </c>
      <c r="QS27" s="363">
        <f t="shared" ca="1" si="303"/>
        <v>1.3027555182100057</v>
      </c>
      <c r="QT27" s="363">
        <f t="shared" ca="1" si="303"/>
        <v>1.4658457579112523</v>
      </c>
      <c r="QU27" s="363">
        <f t="shared" ca="1" si="303"/>
        <v>1.450354635262415</v>
      </c>
      <c r="QV27" s="363">
        <f t="shared" ca="1" si="303"/>
        <v>1.3994425306551372</v>
      </c>
      <c r="QW27" s="363">
        <f t="shared" ca="1" si="303"/>
        <v>1.347974541650415</v>
      </c>
      <c r="QX27" s="363">
        <f t="shared" ca="1" si="303"/>
        <v>1.4663253271280625</v>
      </c>
      <c r="QY27" s="363">
        <f t="shared" ca="1" si="303"/>
        <v>1.7195455336492729</v>
      </c>
      <c r="QZ27" s="363">
        <f t="shared" ca="1" si="303"/>
        <v>1.4702939403836961</v>
      </c>
      <c r="RA27" s="363">
        <f t="shared" ca="1" si="303"/>
        <v>1.5864221576159867</v>
      </c>
      <c r="RB27" s="363">
        <f t="shared" ca="1" si="303"/>
        <v>1.404137486781303</v>
      </c>
      <c r="RC27" s="363">
        <f t="shared" ca="1" si="303"/>
        <v>1.2418602539053338</v>
      </c>
      <c r="RD27" s="363">
        <f t="shared" ca="1" si="303"/>
        <v>1.5291506246590025</v>
      </c>
      <c r="RE27" s="363">
        <f t="shared" ca="1" si="303"/>
        <v>1.3919002852426958</v>
      </c>
      <c r="RF27" s="363">
        <f t="shared" ca="1" si="303"/>
        <v>1.4293090189041202</v>
      </c>
      <c r="RG27" s="363">
        <f t="shared" ca="1" si="303"/>
        <v>1.4493406282303647</v>
      </c>
      <c r="RH27" s="363">
        <f t="shared" ca="1" si="303"/>
        <v>1.2702160659403476</v>
      </c>
      <c r="RI27" s="363">
        <f t="shared" ca="1" si="303"/>
        <v>1.3363022335419654</v>
      </c>
      <c r="RJ27" s="363">
        <f t="shared" ref="RJ27:SR27" ca="1" si="304">_xlfn.LOGNORM.INV(RAND(),$I$27,$J$27)</f>
        <v>1.3774554842945044</v>
      </c>
      <c r="RK27" s="363">
        <f t="shared" ca="1" si="304"/>
        <v>1.3138886371864216</v>
      </c>
      <c r="RL27" s="363">
        <f t="shared" ca="1" si="304"/>
        <v>1.4562101545795609</v>
      </c>
      <c r="RM27" s="363">
        <f t="shared" ca="1" si="304"/>
        <v>1.6802400140831451</v>
      </c>
      <c r="RN27" s="363">
        <f t="shared" ca="1" si="304"/>
        <v>1.3099699928639696</v>
      </c>
      <c r="RO27" s="363">
        <f t="shared" ca="1" si="304"/>
        <v>1.2788031042499408</v>
      </c>
      <c r="RP27" s="363">
        <f t="shared" ca="1" si="304"/>
        <v>1.3495544275803815</v>
      </c>
      <c r="RQ27" s="363">
        <f t="shared" ca="1" si="304"/>
        <v>1.2932923320662939</v>
      </c>
      <c r="RR27" s="363">
        <f t="shared" ca="1" si="304"/>
        <v>1.288780947547475</v>
      </c>
      <c r="RS27" s="363">
        <f t="shared" ca="1" si="304"/>
        <v>1.355081523624075</v>
      </c>
      <c r="RT27" s="363">
        <f t="shared" ca="1" si="304"/>
        <v>1.3344935673808729</v>
      </c>
      <c r="RU27" s="363">
        <f t="shared" ca="1" si="304"/>
        <v>1.4183444281611444</v>
      </c>
      <c r="RV27" s="363">
        <f t="shared" ca="1" si="304"/>
        <v>1.2760137989505997</v>
      </c>
      <c r="RW27" s="363">
        <f t="shared" ca="1" si="304"/>
        <v>1.3367194364690471</v>
      </c>
      <c r="RX27" s="363">
        <f t="shared" ca="1" si="304"/>
        <v>1.3466112681382869</v>
      </c>
      <c r="RY27" s="363">
        <f t="shared" ca="1" si="304"/>
        <v>1.5112362426583636</v>
      </c>
      <c r="RZ27" s="363">
        <f t="shared" ca="1" si="304"/>
        <v>1.2727321175659796</v>
      </c>
      <c r="SA27" s="363">
        <f t="shared" ca="1" si="304"/>
        <v>1.3406950317858572</v>
      </c>
      <c r="SB27" s="363">
        <f t="shared" ca="1" si="304"/>
        <v>1.5134168446652476</v>
      </c>
      <c r="SC27" s="363">
        <f t="shared" ca="1" si="304"/>
        <v>1.394835226760113</v>
      </c>
      <c r="SD27" s="363">
        <f t="shared" ca="1" si="304"/>
        <v>1.3887836936085287</v>
      </c>
      <c r="SE27" s="363">
        <f t="shared" ca="1" si="304"/>
        <v>1.4272788031033841</v>
      </c>
      <c r="SF27" s="363">
        <f t="shared" ca="1" si="304"/>
        <v>1.3843173719251194</v>
      </c>
      <c r="SG27" s="363">
        <f t="shared" ca="1" si="304"/>
        <v>1.4683253821989974</v>
      </c>
      <c r="SH27" s="363">
        <f t="shared" ca="1" si="304"/>
        <v>1.4218110712572516</v>
      </c>
      <c r="SI27" s="363">
        <f t="shared" ca="1" si="304"/>
        <v>1.3294716482013464</v>
      </c>
      <c r="SJ27" s="363">
        <f t="shared" ca="1" si="304"/>
        <v>1.4485777334246621</v>
      </c>
      <c r="SK27" s="363">
        <f t="shared" ca="1" si="304"/>
        <v>1.301669470591212</v>
      </c>
      <c r="SL27" s="363">
        <f t="shared" ca="1" si="304"/>
        <v>1.4243531281774799</v>
      </c>
      <c r="SM27" s="363">
        <f t="shared" ca="1" si="304"/>
        <v>1.4557491570699725</v>
      </c>
      <c r="SN27" s="363">
        <f t="shared" ca="1" si="304"/>
        <v>1.5696104240005466</v>
      </c>
      <c r="SO27" s="363">
        <f t="shared" ca="1" si="304"/>
        <v>1.6678513294192177</v>
      </c>
      <c r="SP27" s="363">
        <f t="shared" ca="1" si="304"/>
        <v>1.7024468543703901</v>
      </c>
      <c r="SQ27" s="363">
        <f t="shared" ca="1" si="304"/>
        <v>1.4266229962835972</v>
      </c>
      <c r="SR27" s="363">
        <f t="shared" ca="1" si="304"/>
        <v>1.2736331761926796</v>
      </c>
      <c r="SS27" s="363">
        <f ca="1">_xlfn.LOGNORM.INV(RAND(),$I$27,$J$27)</f>
        <v>1.3472388481689137</v>
      </c>
      <c r="ST27" s="363">
        <f t="shared" ref="ST27:VE27" ca="1" si="305">_xlfn.LOGNORM.INV(RAND(),$I$27,$J$27)</f>
        <v>1.3641705063000085</v>
      </c>
      <c r="SU27" s="363">
        <f t="shared" ca="1" si="305"/>
        <v>1.3328543243434656</v>
      </c>
      <c r="SV27" s="363">
        <f t="shared" ca="1" si="305"/>
        <v>1.2253312565376846</v>
      </c>
      <c r="SW27" s="363">
        <f t="shared" ca="1" si="305"/>
        <v>1.6105735589625996</v>
      </c>
      <c r="SX27" s="363">
        <f t="shared" ca="1" si="305"/>
        <v>1.3465091460005358</v>
      </c>
      <c r="SY27" s="363">
        <f t="shared" ca="1" si="305"/>
        <v>1.3398943356110795</v>
      </c>
      <c r="SZ27" s="363">
        <f t="shared" ca="1" si="305"/>
        <v>1.3899927324550756</v>
      </c>
      <c r="TA27" s="363">
        <f t="shared" ca="1" si="305"/>
        <v>1.1272876404453211</v>
      </c>
      <c r="TB27" s="363">
        <f t="shared" ca="1" si="305"/>
        <v>1.3951833291736873</v>
      </c>
      <c r="TC27" s="363">
        <f t="shared" ca="1" si="305"/>
        <v>1.3145327676533516</v>
      </c>
      <c r="TD27" s="363">
        <f t="shared" ca="1" si="305"/>
        <v>1.5102244515123717</v>
      </c>
      <c r="TE27" s="363">
        <f t="shared" ca="1" si="305"/>
        <v>1.3129626452894609</v>
      </c>
      <c r="TF27" s="363">
        <f t="shared" ca="1" si="305"/>
        <v>1.4104877201539834</v>
      </c>
      <c r="TG27" s="363">
        <f t="shared" ca="1" si="305"/>
        <v>1.3049617337483772</v>
      </c>
      <c r="TH27" s="363">
        <f t="shared" ca="1" si="305"/>
        <v>1.5616365722961654</v>
      </c>
      <c r="TI27" s="363">
        <f t="shared" ca="1" si="305"/>
        <v>1.5625725563186668</v>
      </c>
      <c r="TJ27" s="363">
        <f t="shared" ca="1" si="305"/>
        <v>1.4835330982317692</v>
      </c>
      <c r="TK27" s="363">
        <f t="shared" ca="1" si="305"/>
        <v>1.2062823614415517</v>
      </c>
      <c r="TL27" s="363">
        <f t="shared" ca="1" si="305"/>
        <v>1.3539139820408002</v>
      </c>
      <c r="TM27" s="363">
        <f t="shared" ca="1" si="305"/>
        <v>1.313396605653246</v>
      </c>
      <c r="TN27" s="363">
        <f t="shared" ca="1" si="305"/>
        <v>1.3632026169274007</v>
      </c>
      <c r="TO27" s="363">
        <f t="shared" ca="1" si="305"/>
        <v>1.5074356775074393</v>
      </c>
      <c r="TP27" s="363">
        <f t="shared" ca="1" si="305"/>
        <v>1.4298945745269509</v>
      </c>
      <c r="TQ27" s="363">
        <f t="shared" ca="1" si="305"/>
        <v>1.2227387891314649</v>
      </c>
      <c r="TR27" s="363">
        <f t="shared" ca="1" si="305"/>
        <v>1.3708435388240645</v>
      </c>
      <c r="TS27" s="363">
        <f t="shared" ca="1" si="305"/>
        <v>1.4373760298084295</v>
      </c>
      <c r="TT27" s="363">
        <f t="shared" ca="1" si="305"/>
        <v>1.4209712922763342</v>
      </c>
      <c r="TU27" s="363">
        <f t="shared" ca="1" si="305"/>
        <v>1.4545063529192261</v>
      </c>
      <c r="TV27" s="363">
        <f t="shared" ca="1" si="305"/>
        <v>1.2860935690045776</v>
      </c>
      <c r="TW27" s="363">
        <f t="shared" ca="1" si="305"/>
        <v>1.5194639590883476</v>
      </c>
      <c r="TX27" s="363">
        <f t="shared" ca="1" si="305"/>
        <v>1.4002990735542353</v>
      </c>
      <c r="TY27" s="363">
        <f t="shared" ca="1" si="305"/>
        <v>1.4937826760736785</v>
      </c>
      <c r="TZ27" s="363">
        <f t="shared" ca="1" si="305"/>
        <v>1.4935033536521827</v>
      </c>
      <c r="UA27" s="363">
        <f t="shared" ca="1" si="305"/>
        <v>1.3622572009095615</v>
      </c>
      <c r="UB27" s="363">
        <f t="shared" ca="1" si="305"/>
        <v>1.4291882333527284</v>
      </c>
      <c r="UC27" s="363">
        <f t="shared" ca="1" si="305"/>
        <v>1.4244660002373701</v>
      </c>
      <c r="UD27" s="363">
        <f t="shared" ca="1" si="305"/>
        <v>1.4432367583882892</v>
      </c>
      <c r="UE27" s="363">
        <f t="shared" ca="1" si="305"/>
        <v>1.3844644196845135</v>
      </c>
      <c r="UF27" s="363">
        <f t="shared" ca="1" si="305"/>
        <v>1.329261040424687</v>
      </c>
      <c r="UG27" s="363">
        <f t="shared" ca="1" si="305"/>
        <v>1.4802261160276744</v>
      </c>
      <c r="UH27" s="363">
        <f t="shared" ca="1" si="305"/>
        <v>1.2583420636381024</v>
      </c>
      <c r="UI27" s="363">
        <f t="shared" ca="1" si="305"/>
        <v>1.5180489069117242</v>
      </c>
      <c r="UJ27" s="363">
        <f t="shared" ca="1" si="305"/>
        <v>1.6297988534432926</v>
      </c>
      <c r="UK27" s="363">
        <f t="shared" ca="1" si="305"/>
        <v>1.4448861906983643</v>
      </c>
      <c r="UL27" s="363">
        <f t="shared" ca="1" si="305"/>
        <v>1.4292012318924439</v>
      </c>
      <c r="UM27" s="363">
        <f t="shared" ca="1" si="305"/>
        <v>1.3874304310827574</v>
      </c>
      <c r="UN27" s="363">
        <f t="shared" ca="1" si="305"/>
        <v>1.4786723659125991</v>
      </c>
      <c r="UO27" s="363">
        <f t="shared" ca="1" si="305"/>
        <v>1.2746299694853054</v>
      </c>
      <c r="UP27" s="363">
        <f t="shared" ca="1" si="305"/>
        <v>1.5217634680080645</v>
      </c>
      <c r="UQ27" s="363">
        <f t="shared" ca="1" si="305"/>
        <v>1.3607333977417295</v>
      </c>
      <c r="UR27" s="363">
        <f t="shared" ca="1" si="305"/>
        <v>1.4050761534854861</v>
      </c>
      <c r="US27" s="363">
        <f t="shared" ca="1" si="305"/>
        <v>1.3820766327773339</v>
      </c>
      <c r="UT27" s="363">
        <f t="shared" ca="1" si="305"/>
        <v>1.2542010058030622</v>
      </c>
      <c r="UU27" s="363">
        <f t="shared" ca="1" si="305"/>
        <v>1.4463355495142147</v>
      </c>
      <c r="UV27" s="363">
        <f t="shared" ca="1" si="305"/>
        <v>1.560346778909069</v>
      </c>
      <c r="UW27" s="363">
        <f t="shared" ca="1" si="305"/>
        <v>1.3690357069035788</v>
      </c>
      <c r="UX27" s="363">
        <f t="shared" ca="1" si="305"/>
        <v>1.6646471227299877</v>
      </c>
      <c r="UY27" s="363">
        <f t="shared" ca="1" si="305"/>
        <v>1.3253140437349034</v>
      </c>
      <c r="UZ27" s="363">
        <f t="shared" ca="1" si="305"/>
        <v>1.3621232276152393</v>
      </c>
      <c r="VA27" s="363">
        <f t="shared" ca="1" si="305"/>
        <v>1.4195626908540986</v>
      </c>
      <c r="VB27" s="363">
        <f t="shared" ca="1" si="305"/>
        <v>1.4008562041513639</v>
      </c>
      <c r="VC27" s="363">
        <f t="shared" ca="1" si="305"/>
        <v>1.4947263919447682</v>
      </c>
      <c r="VD27" s="363">
        <f t="shared" ca="1" si="305"/>
        <v>1.368396981900476</v>
      </c>
      <c r="VE27" s="363">
        <f t="shared" ca="1" si="305"/>
        <v>1.3006753000427365</v>
      </c>
      <c r="VF27" s="363">
        <f t="shared" ref="VF27:WN27" ca="1" si="306">_xlfn.LOGNORM.INV(RAND(),$I$27,$J$27)</f>
        <v>1.601158454102714</v>
      </c>
      <c r="VG27" s="363">
        <f t="shared" ca="1" si="306"/>
        <v>1.6188485490219355</v>
      </c>
      <c r="VH27" s="363">
        <f t="shared" ca="1" si="306"/>
        <v>1.263284263053714</v>
      </c>
      <c r="VI27" s="363">
        <f t="shared" ca="1" si="306"/>
        <v>1.4457635448732424</v>
      </c>
      <c r="VJ27" s="363">
        <f t="shared" ca="1" si="306"/>
        <v>1.2791762510809566</v>
      </c>
      <c r="VK27" s="363">
        <f t="shared" ca="1" si="306"/>
        <v>1.3438947148414973</v>
      </c>
      <c r="VL27" s="363">
        <f t="shared" ca="1" si="306"/>
        <v>1.4236288772075201</v>
      </c>
      <c r="VM27" s="363">
        <f t="shared" ca="1" si="306"/>
        <v>1.198650023267207</v>
      </c>
      <c r="VN27" s="363">
        <f t="shared" ca="1" si="306"/>
        <v>1.2137145712548907</v>
      </c>
      <c r="VO27" s="363">
        <f t="shared" ca="1" si="306"/>
        <v>1.4434242365871022</v>
      </c>
      <c r="VP27" s="363">
        <f t="shared" ca="1" si="306"/>
        <v>1.490164971411517</v>
      </c>
      <c r="VQ27" s="363">
        <f t="shared" ca="1" si="306"/>
        <v>1.443134325031747</v>
      </c>
      <c r="VR27" s="363">
        <f t="shared" ca="1" si="306"/>
        <v>1.3504679193761546</v>
      </c>
      <c r="VS27" s="363">
        <f t="shared" ca="1" si="306"/>
        <v>1.4475325003588357</v>
      </c>
      <c r="VT27" s="363">
        <f t="shared" ca="1" si="306"/>
        <v>1.4094164187732119</v>
      </c>
      <c r="VU27" s="363">
        <f t="shared" ca="1" si="306"/>
        <v>1.6859678127060169</v>
      </c>
      <c r="VV27" s="363">
        <f t="shared" ca="1" si="306"/>
        <v>1.5807559691319859</v>
      </c>
      <c r="VW27" s="363">
        <f t="shared" ca="1" si="306"/>
        <v>1.230206625047696</v>
      </c>
      <c r="VX27" s="363">
        <f t="shared" ca="1" si="306"/>
        <v>1.3255802105091288</v>
      </c>
      <c r="VY27" s="363">
        <f t="shared" ca="1" si="306"/>
        <v>1.6984768420447123</v>
      </c>
      <c r="VZ27" s="363">
        <f t="shared" ca="1" si="306"/>
        <v>1.4108058697063974</v>
      </c>
      <c r="WA27" s="363">
        <f t="shared" ca="1" si="306"/>
        <v>1.3704421642496181</v>
      </c>
      <c r="WB27" s="363">
        <f t="shared" ca="1" si="306"/>
        <v>1.4635860358685844</v>
      </c>
      <c r="WC27" s="363">
        <f t="shared" ca="1" si="306"/>
        <v>1.3411373497300874</v>
      </c>
      <c r="WD27" s="363">
        <f t="shared" ca="1" si="306"/>
        <v>1.4210820563233177</v>
      </c>
      <c r="WE27" s="363">
        <f t="shared" ca="1" si="306"/>
        <v>1.2277158406309403</v>
      </c>
      <c r="WF27" s="363">
        <f t="shared" ca="1" si="306"/>
        <v>1.4342886426594024</v>
      </c>
      <c r="WG27" s="363">
        <f t="shared" ca="1" si="306"/>
        <v>1.4748214747255077</v>
      </c>
      <c r="WH27" s="363">
        <f t="shared" ca="1" si="306"/>
        <v>1.3917302379795469</v>
      </c>
      <c r="WI27" s="363">
        <f t="shared" ca="1" si="306"/>
        <v>1.3387531773934767</v>
      </c>
      <c r="WJ27" s="363">
        <f t="shared" ca="1" si="306"/>
        <v>1.4639022333944578</v>
      </c>
      <c r="WK27" s="363">
        <f t="shared" ca="1" si="306"/>
        <v>1.3608417418886358</v>
      </c>
      <c r="WL27" s="363">
        <f t="shared" ca="1" si="306"/>
        <v>1.3504297353642862</v>
      </c>
      <c r="WM27" s="363">
        <f t="shared" ca="1" si="306"/>
        <v>1.5082196150290783</v>
      </c>
      <c r="WN27" s="363">
        <f t="shared" ca="1" si="306"/>
        <v>1.6847269939218614</v>
      </c>
    </row>
    <row r="28" spans="2:612" x14ac:dyDescent="0.15">
      <c r="B28" s="469" t="s">
        <v>911</v>
      </c>
      <c r="D28" s="363">
        <f t="shared" si="0"/>
        <v>2.0699999999999998</v>
      </c>
      <c r="F28" s="367">
        <v>2.0699999999999998</v>
      </c>
      <c r="G28" s="367" t="s">
        <v>350</v>
      </c>
      <c r="H28" s="363">
        <v>0.43646104811336311</v>
      </c>
      <c r="I28" s="363">
        <f t="shared" si="197"/>
        <v>0.63229948401716995</v>
      </c>
      <c r="J28" s="367">
        <f t="shared" si="198"/>
        <v>0.2085620455604687</v>
      </c>
      <c r="K28" s="367" t="s">
        <v>1274</v>
      </c>
      <c r="M28" s="363">
        <f ca="1">_xlfn.LOGNORM.INV(RAND(),$I$28,$J$28)</f>
        <v>1.9857595211499897</v>
      </c>
      <c r="N28" s="363">
        <f t="shared" ref="N28:BY28" ca="1" si="307">_xlfn.LOGNORM.INV(RAND(),$I$28,$J$28)</f>
        <v>1.9610947772729781</v>
      </c>
      <c r="O28" s="363">
        <f t="shared" ca="1" si="307"/>
        <v>2.2744215517030106</v>
      </c>
      <c r="P28" s="363">
        <f t="shared" ca="1" si="307"/>
        <v>1.9574669262952138</v>
      </c>
      <c r="Q28" s="363">
        <f t="shared" ca="1" si="307"/>
        <v>1.5631257120112769</v>
      </c>
      <c r="R28" s="363">
        <f t="shared" ca="1" si="307"/>
        <v>1.6830532743356283</v>
      </c>
      <c r="S28" s="363">
        <f t="shared" ca="1" si="307"/>
        <v>2.1053767077103389</v>
      </c>
      <c r="T28" s="363">
        <f t="shared" ca="1" si="307"/>
        <v>2.1874210642018563</v>
      </c>
      <c r="U28" s="363">
        <f t="shared" ca="1" si="307"/>
        <v>1.8167968369903877</v>
      </c>
      <c r="V28" s="363">
        <f t="shared" ca="1" si="307"/>
        <v>2.5242485890535225</v>
      </c>
      <c r="W28" s="363">
        <f t="shared" ca="1" si="307"/>
        <v>1.9530570476090372</v>
      </c>
      <c r="X28" s="363">
        <f t="shared" ca="1" si="307"/>
        <v>1.8700727501282082</v>
      </c>
      <c r="Y28" s="363">
        <f t="shared" ca="1" si="307"/>
        <v>2.0760921306151121</v>
      </c>
      <c r="Z28" s="363">
        <f t="shared" ca="1" si="307"/>
        <v>2.3119853637783638</v>
      </c>
      <c r="AA28" s="363">
        <f t="shared" ca="1" si="307"/>
        <v>2.4888710795076361</v>
      </c>
      <c r="AB28" s="363">
        <f t="shared" ca="1" si="307"/>
        <v>2.1547932814707029</v>
      </c>
      <c r="AC28" s="363">
        <f t="shared" ca="1" si="307"/>
        <v>1.6298200101621947</v>
      </c>
      <c r="AD28" s="363">
        <f t="shared" ca="1" si="307"/>
        <v>2.1636860692766455</v>
      </c>
      <c r="AE28" s="363">
        <f t="shared" ca="1" si="307"/>
        <v>1.4428582935290006</v>
      </c>
      <c r="AF28" s="363">
        <f t="shared" ca="1" si="307"/>
        <v>2.3762637816007519</v>
      </c>
      <c r="AG28" s="363">
        <f t="shared" ca="1" si="307"/>
        <v>3.0534402773090052</v>
      </c>
      <c r="AH28" s="363">
        <f t="shared" ca="1" si="307"/>
        <v>2.4702147549708049</v>
      </c>
      <c r="AI28" s="363">
        <f t="shared" ca="1" si="307"/>
        <v>1.8944403801160346</v>
      </c>
      <c r="AJ28" s="363">
        <f t="shared" ca="1" si="307"/>
        <v>2.1061610645429893</v>
      </c>
      <c r="AK28" s="363">
        <f t="shared" ca="1" si="307"/>
        <v>1.4918292828060684</v>
      </c>
      <c r="AL28" s="363">
        <f t="shared" ca="1" si="307"/>
        <v>1.4931440694508009</v>
      </c>
      <c r="AM28" s="363">
        <f t="shared" ca="1" si="307"/>
        <v>1.7217713855439396</v>
      </c>
      <c r="AN28" s="363">
        <f t="shared" ca="1" si="307"/>
        <v>1.7618981153275035</v>
      </c>
      <c r="AO28" s="363">
        <f t="shared" ca="1" si="307"/>
        <v>2.2104014592018331</v>
      </c>
      <c r="AP28" s="363">
        <f t="shared" ca="1" si="307"/>
        <v>2.5833543613807612</v>
      </c>
      <c r="AQ28" s="363">
        <f t="shared" ca="1" si="307"/>
        <v>2.0516035560538501</v>
      </c>
      <c r="AR28" s="363">
        <f t="shared" ca="1" si="307"/>
        <v>2.0540995622647942</v>
      </c>
      <c r="AS28" s="363">
        <f t="shared" ca="1" si="307"/>
        <v>2.3349533424074562</v>
      </c>
      <c r="AT28" s="363">
        <f t="shared" ca="1" si="307"/>
        <v>1.8068094274565254</v>
      </c>
      <c r="AU28" s="363">
        <f t="shared" ca="1" si="307"/>
        <v>1.6951922696149826</v>
      </c>
      <c r="AV28" s="363">
        <f t="shared" ca="1" si="307"/>
        <v>2.2967031756081555</v>
      </c>
      <c r="AW28" s="363">
        <f t="shared" ca="1" si="307"/>
        <v>2.1560328122545966</v>
      </c>
      <c r="AX28" s="363">
        <f t="shared" ca="1" si="307"/>
        <v>2.1816807293351705</v>
      </c>
      <c r="AY28" s="363">
        <f t="shared" ca="1" si="307"/>
        <v>2.0712069237120039</v>
      </c>
      <c r="AZ28" s="363">
        <f t="shared" ca="1" si="307"/>
        <v>1.5464963146676085</v>
      </c>
      <c r="BA28" s="363">
        <f t="shared" ca="1" si="307"/>
        <v>2.414835381985454</v>
      </c>
      <c r="BB28" s="363">
        <f t="shared" ca="1" si="307"/>
        <v>1.5176209771889506</v>
      </c>
      <c r="BC28" s="363">
        <f t="shared" ca="1" si="307"/>
        <v>2.8093750502378811</v>
      </c>
      <c r="BD28" s="363">
        <f t="shared" ca="1" si="307"/>
        <v>2.649838445070277</v>
      </c>
      <c r="BE28" s="363">
        <f t="shared" ca="1" si="307"/>
        <v>2.0710550755876347</v>
      </c>
      <c r="BF28" s="363">
        <f t="shared" ca="1" si="307"/>
        <v>1.9576077366896258</v>
      </c>
      <c r="BG28" s="363">
        <f t="shared" ca="1" si="307"/>
        <v>1.9035518169236418</v>
      </c>
      <c r="BH28" s="363">
        <f t="shared" ca="1" si="307"/>
        <v>2.0676636230400192</v>
      </c>
      <c r="BI28" s="363">
        <f t="shared" ca="1" si="307"/>
        <v>1.4913814197618347</v>
      </c>
      <c r="BJ28" s="363">
        <f t="shared" ca="1" si="307"/>
        <v>1.539331507263362</v>
      </c>
      <c r="BK28" s="363">
        <f t="shared" ca="1" si="307"/>
        <v>1.5906407625799925</v>
      </c>
      <c r="BL28" s="363">
        <f t="shared" ca="1" si="307"/>
        <v>1.5856294386870646</v>
      </c>
      <c r="BM28" s="363">
        <f t="shared" ca="1" si="307"/>
        <v>2.4183227749687783</v>
      </c>
      <c r="BN28" s="363">
        <f t="shared" ca="1" si="307"/>
        <v>2.5030090005366858</v>
      </c>
      <c r="BO28" s="363">
        <f t="shared" ca="1" si="307"/>
        <v>1.5510680889607549</v>
      </c>
      <c r="BP28" s="363">
        <f t="shared" ca="1" si="307"/>
        <v>1.583431448979518</v>
      </c>
      <c r="BQ28" s="363">
        <f t="shared" ca="1" si="307"/>
        <v>1.709913209873634</v>
      </c>
      <c r="BR28" s="363">
        <f t="shared" ca="1" si="307"/>
        <v>1.5828286879480551</v>
      </c>
      <c r="BS28" s="363">
        <f t="shared" ca="1" si="307"/>
        <v>2.5668124315323686</v>
      </c>
      <c r="BT28" s="363">
        <f t="shared" ca="1" si="307"/>
        <v>2.0581451105558202</v>
      </c>
      <c r="BU28" s="363">
        <f t="shared" ca="1" si="307"/>
        <v>1.8213101468858421</v>
      </c>
      <c r="BV28" s="363">
        <f t="shared" ca="1" si="307"/>
        <v>2.1272417033633944</v>
      </c>
      <c r="BW28" s="363">
        <f t="shared" ca="1" si="307"/>
        <v>2.0673730050865733</v>
      </c>
      <c r="BX28" s="363">
        <f t="shared" ca="1" si="307"/>
        <v>2.5236262628018626</v>
      </c>
      <c r="BY28" s="363">
        <f t="shared" ca="1" si="307"/>
        <v>1.386066940783536</v>
      </c>
      <c r="BZ28" s="363">
        <f t="shared" ref="BZ28:DH28" ca="1" si="308">_xlfn.LOGNORM.INV(RAND(),$I$28,$J$28)</f>
        <v>2.2456185479550368</v>
      </c>
      <c r="CA28" s="363">
        <f t="shared" ca="1" si="308"/>
        <v>1.5864932306218651</v>
      </c>
      <c r="CB28" s="363">
        <f t="shared" ca="1" si="308"/>
        <v>1.4733274956026901</v>
      </c>
      <c r="CC28" s="363">
        <f t="shared" ca="1" si="308"/>
        <v>2.4716764225768775</v>
      </c>
      <c r="CD28" s="363">
        <f t="shared" ca="1" si="308"/>
        <v>2.0819976656913575</v>
      </c>
      <c r="CE28" s="363">
        <f t="shared" ca="1" si="308"/>
        <v>1.6033233163169711</v>
      </c>
      <c r="CF28" s="363">
        <f t="shared" ca="1" si="308"/>
        <v>1.7983893914464444</v>
      </c>
      <c r="CG28" s="363">
        <f t="shared" ca="1" si="308"/>
        <v>2.0723267941485455</v>
      </c>
      <c r="CH28" s="363">
        <f t="shared" ca="1" si="308"/>
        <v>1.8486526078860352</v>
      </c>
      <c r="CI28" s="363">
        <f t="shared" ca="1" si="308"/>
        <v>1.7087944910944681</v>
      </c>
      <c r="CJ28" s="363">
        <f t="shared" ca="1" si="308"/>
        <v>2.836989287370169</v>
      </c>
      <c r="CK28" s="363">
        <f t="shared" ca="1" si="308"/>
        <v>1.7093299026756694</v>
      </c>
      <c r="CL28" s="363">
        <f t="shared" ca="1" si="308"/>
        <v>1.8881943622897972</v>
      </c>
      <c r="CM28" s="363">
        <f t="shared" ca="1" si="308"/>
        <v>1.8523713484756656</v>
      </c>
      <c r="CN28" s="363">
        <f t="shared" ca="1" si="308"/>
        <v>1.7698931159727769</v>
      </c>
      <c r="CO28" s="363">
        <f t="shared" ca="1" si="308"/>
        <v>2.1865425912999297</v>
      </c>
      <c r="CP28" s="363">
        <f t="shared" ca="1" si="308"/>
        <v>2.8297070280029728</v>
      </c>
      <c r="CQ28" s="363">
        <f t="shared" ca="1" si="308"/>
        <v>1.7131127968654289</v>
      </c>
      <c r="CR28" s="363">
        <f t="shared" ca="1" si="308"/>
        <v>2.004702481315519</v>
      </c>
      <c r="CS28" s="363">
        <f t="shared" ca="1" si="308"/>
        <v>2.3841445383800881</v>
      </c>
      <c r="CT28" s="363">
        <f t="shared" ca="1" si="308"/>
        <v>1.8887229354312354</v>
      </c>
      <c r="CU28" s="363">
        <f t="shared" ca="1" si="308"/>
        <v>2.2000050816724466</v>
      </c>
      <c r="CV28" s="363">
        <f t="shared" ca="1" si="308"/>
        <v>1.9548476555551251</v>
      </c>
      <c r="CW28" s="363">
        <f t="shared" ca="1" si="308"/>
        <v>1.5733225292831008</v>
      </c>
      <c r="CX28" s="363">
        <f t="shared" ca="1" si="308"/>
        <v>1.6088925413208983</v>
      </c>
      <c r="CY28" s="363">
        <f t="shared" ca="1" si="308"/>
        <v>1.2730315415728988</v>
      </c>
      <c r="CZ28" s="363">
        <f t="shared" ca="1" si="308"/>
        <v>2.5749723276299941</v>
      </c>
      <c r="DA28" s="363">
        <f t="shared" ca="1" si="308"/>
        <v>1.9012905999570886</v>
      </c>
      <c r="DB28" s="363">
        <f t="shared" ca="1" si="308"/>
        <v>1.5368917514581606</v>
      </c>
      <c r="DC28" s="363">
        <f t="shared" ca="1" si="308"/>
        <v>1.7076785578965743</v>
      </c>
      <c r="DD28" s="363">
        <f t="shared" ca="1" si="308"/>
        <v>1.5309622106432415</v>
      </c>
      <c r="DE28" s="363">
        <f t="shared" ca="1" si="308"/>
        <v>2.6232704857874518</v>
      </c>
      <c r="DF28" s="363">
        <f t="shared" ca="1" si="308"/>
        <v>2.3368908235974883</v>
      </c>
      <c r="DG28" s="363">
        <f t="shared" ca="1" si="308"/>
        <v>2.5785199133387442</v>
      </c>
      <c r="DH28" s="363">
        <f t="shared" ca="1" si="308"/>
        <v>1.983321446568092</v>
      </c>
      <c r="DI28" s="363">
        <f ca="1">_xlfn.LOGNORM.INV(RAND(),$I$28,$J$28)</f>
        <v>1.2437060862215992</v>
      </c>
      <c r="DJ28" s="363">
        <f t="shared" ref="DJ28:FU28" ca="1" si="309">_xlfn.LOGNORM.INV(RAND(),$I$28,$J$28)</f>
        <v>2.5812377905980122</v>
      </c>
      <c r="DK28" s="363">
        <f t="shared" ca="1" si="309"/>
        <v>1.517072911703695</v>
      </c>
      <c r="DL28" s="363">
        <f t="shared" ca="1" si="309"/>
        <v>2.1243501611035951</v>
      </c>
      <c r="DM28" s="363">
        <f t="shared" ca="1" si="309"/>
        <v>2.7657276677695042</v>
      </c>
      <c r="DN28" s="363">
        <f t="shared" ca="1" si="309"/>
        <v>1.6211042733890955</v>
      </c>
      <c r="DO28" s="363">
        <f t="shared" ca="1" si="309"/>
        <v>1.8582997863888902</v>
      </c>
      <c r="DP28" s="363">
        <f t="shared" ca="1" si="309"/>
        <v>2.3068488144477897</v>
      </c>
      <c r="DQ28" s="363">
        <f t="shared" ca="1" si="309"/>
        <v>1.6419561973707093</v>
      </c>
      <c r="DR28" s="363">
        <f t="shared" ca="1" si="309"/>
        <v>1.5371564502125428</v>
      </c>
      <c r="DS28" s="363">
        <f t="shared" ca="1" si="309"/>
        <v>2.066226140389873</v>
      </c>
      <c r="DT28" s="363">
        <f t="shared" ca="1" si="309"/>
        <v>1.6913541979581483</v>
      </c>
      <c r="DU28" s="363">
        <f t="shared" ca="1" si="309"/>
        <v>2.4666564355094436</v>
      </c>
      <c r="DV28" s="363">
        <f t="shared" ca="1" si="309"/>
        <v>1.1114045166406281</v>
      </c>
      <c r="DW28" s="363">
        <f t="shared" ca="1" si="309"/>
        <v>1.3570727151624575</v>
      </c>
      <c r="DX28" s="363">
        <f t="shared" ca="1" si="309"/>
        <v>2.015994309360019</v>
      </c>
      <c r="DY28" s="363">
        <f t="shared" ca="1" si="309"/>
        <v>1.5704088494230501</v>
      </c>
      <c r="DZ28" s="363">
        <f t="shared" ca="1" si="309"/>
        <v>1.4294575778210956</v>
      </c>
      <c r="EA28" s="363">
        <f t="shared" ca="1" si="309"/>
        <v>1.7117569432598363</v>
      </c>
      <c r="EB28" s="363">
        <f t="shared" ca="1" si="309"/>
        <v>2.1223424134013129</v>
      </c>
      <c r="EC28" s="363">
        <f t="shared" ca="1" si="309"/>
        <v>1.6753502377019047</v>
      </c>
      <c r="ED28" s="363">
        <f t="shared" ca="1" si="309"/>
        <v>2.2763145592523881</v>
      </c>
      <c r="EE28" s="363">
        <f t="shared" ca="1" si="309"/>
        <v>1.5922308838096639</v>
      </c>
      <c r="EF28" s="363">
        <f t="shared" ca="1" si="309"/>
        <v>1.6990854288642001</v>
      </c>
      <c r="EG28" s="363">
        <f t="shared" ca="1" si="309"/>
        <v>2.1236588157393097</v>
      </c>
      <c r="EH28" s="363">
        <f t="shared" ca="1" si="309"/>
        <v>2.2253723736911182</v>
      </c>
      <c r="EI28" s="363">
        <f t="shared" ca="1" si="309"/>
        <v>2.3917068615104138</v>
      </c>
      <c r="EJ28" s="363">
        <f t="shared" ca="1" si="309"/>
        <v>1.4969625443881043</v>
      </c>
      <c r="EK28" s="363">
        <f t="shared" ca="1" si="309"/>
        <v>2.1600700152766636</v>
      </c>
      <c r="EL28" s="363">
        <f t="shared" ca="1" si="309"/>
        <v>1.8236384496181084</v>
      </c>
      <c r="EM28" s="363">
        <f t="shared" ca="1" si="309"/>
        <v>2.448531473644461</v>
      </c>
      <c r="EN28" s="363">
        <f t="shared" ca="1" si="309"/>
        <v>1.7430365497912879</v>
      </c>
      <c r="EO28" s="363">
        <f t="shared" ca="1" si="309"/>
        <v>2.2148922909659619</v>
      </c>
      <c r="EP28" s="363">
        <f t="shared" ca="1" si="309"/>
        <v>1.7952659598058818</v>
      </c>
      <c r="EQ28" s="363">
        <f t="shared" ca="1" si="309"/>
        <v>2.0816228095384619</v>
      </c>
      <c r="ER28" s="363">
        <f t="shared" ca="1" si="309"/>
        <v>2.2514784055206016</v>
      </c>
      <c r="ES28" s="363">
        <f t="shared" ca="1" si="309"/>
        <v>0.96460915053912755</v>
      </c>
      <c r="ET28" s="363">
        <f t="shared" ca="1" si="309"/>
        <v>2.3058658885374177</v>
      </c>
      <c r="EU28" s="363">
        <f t="shared" ca="1" si="309"/>
        <v>2.0500355133784778</v>
      </c>
      <c r="EV28" s="363">
        <f t="shared" ca="1" si="309"/>
        <v>1.7544749180784287</v>
      </c>
      <c r="EW28" s="363">
        <f t="shared" ca="1" si="309"/>
        <v>1.7892933692501771</v>
      </c>
      <c r="EX28" s="363">
        <f t="shared" ca="1" si="309"/>
        <v>2.2178314039578728</v>
      </c>
      <c r="EY28" s="363">
        <f t="shared" ca="1" si="309"/>
        <v>1.6451325591653461</v>
      </c>
      <c r="EZ28" s="363">
        <f t="shared" ca="1" si="309"/>
        <v>2.4226369443913125</v>
      </c>
      <c r="FA28" s="363">
        <f t="shared" ca="1" si="309"/>
        <v>1.5769922038710171</v>
      </c>
      <c r="FB28" s="363">
        <f t="shared" ca="1" si="309"/>
        <v>2.6858697405276444</v>
      </c>
      <c r="FC28" s="363">
        <f t="shared" ca="1" si="309"/>
        <v>1.1507537177514331</v>
      </c>
      <c r="FD28" s="363">
        <f t="shared" ca="1" si="309"/>
        <v>1.1353735784924337</v>
      </c>
      <c r="FE28" s="363">
        <f t="shared" ca="1" si="309"/>
        <v>1.2169537536928861</v>
      </c>
      <c r="FF28" s="363">
        <f t="shared" ca="1" si="309"/>
        <v>1.7670524135080288</v>
      </c>
      <c r="FG28" s="363">
        <f t="shared" ca="1" si="309"/>
        <v>1.9693468123740474</v>
      </c>
      <c r="FH28" s="363">
        <f t="shared" ca="1" si="309"/>
        <v>1.9042277444203131</v>
      </c>
      <c r="FI28" s="363">
        <f t="shared" ca="1" si="309"/>
        <v>1.868360735199923</v>
      </c>
      <c r="FJ28" s="363">
        <f t="shared" ca="1" si="309"/>
        <v>1.7919682151549372</v>
      </c>
      <c r="FK28" s="363">
        <f t="shared" ca="1" si="309"/>
        <v>1.8717249291461509</v>
      </c>
      <c r="FL28" s="363">
        <f t="shared" ca="1" si="309"/>
        <v>1.9055949437255495</v>
      </c>
      <c r="FM28" s="363">
        <f t="shared" ca="1" si="309"/>
        <v>1.1274207788462494</v>
      </c>
      <c r="FN28" s="363">
        <f t="shared" ca="1" si="309"/>
        <v>2.2276002158936574</v>
      </c>
      <c r="FO28" s="363">
        <f t="shared" ca="1" si="309"/>
        <v>1.7620880126439566</v>
      </c>
      <c r="FP28" s="363">
        <f t="shared" ca="1" si="309"/>
        <v>1.6216021789398569</v>
      </c>
      <c r="FQ28" s="363">
        <f t="shared" ca="1" si="309"/>
        <v>1.8067198099276225</v>
      </c>
      <c r="FR28" s="363">
        <f t="shared" ca="1" si="309"/>
        <v>1.7760512398344561</v>
      </c>
      <c r="FS28" s="363">
        <f t="shared" ca="1" si="309"/>
        <v>1.5581649954622683</v>
      </c>
      <c r="FT28" s="363">
        <f t="shared" ca="1" si="309"/>
        <v>1.9027489515836691</v>
      </c>
      <c r="FU28" s="363">
        <f t="shared" ca="1" si="309"/>
        <v>1.6581119247405565</v>
      </c>
      <c r="FV28" s="363">
        <f t="shared" ref="FV28:HD28" ca="1" si="310">_xlfn.LOGNORM.INV(RAND(),$I$28,$J$28)</f>
        <v>1.9059218477225355</v>
      </c>
      <c r="FW28" s="363">
        <f t="shared" ca="1" si="310"/>
        <v>1.6667462627076908</v>
      </c>
      <c r="FX28" s="363">
        <f t="shared" ca="1" si="310"/>
        <v>1.6178351218319091</v>
      </c>
      <c r="FY28" s="363">
        <f t="shared" ca="1" si="310"/>
        <v>1.4992807729069468</v>
      </c>
      <c r="FZ28" s="363">
        <f t="shared" ca="1" si="310"/>
        <v>1.7262198085593397</v>
      </c>
      <c r="GA28" s="363">
        <f t="shared" ca="1" si="310"/>
        <v>2.6782059311705591</v>
      </c>
      <c r="GB28" s="363">
        <f t="shared" ca="1" si="310"/>
        <v>2.1687892389297598</v>
      </c>
      <c r="GC28" s="363">
        <f t="shared" ca="1" si="310"/>
        <v>1.9789527563714466</v>
      </c>
      <c r="GD28" s="363">
        <f t="shared" ca="1" si="310"/>
        <v>2.0040170440974183</v>
      </c>
      <c r="GE28" s="363">
        <f t="shared" ca="1" si="310"/>
        <v>2.4272621022118468</v>
      </c>
      <c r="GF28" s="363">
        <f t="shared" ca="1" si="310"/>
        <v>1.8464834420296097</v>
      </c>
      <c r="GG28" s="363">
        <f t="shared" ca="1" si="310"/>
        <v>1.4757097123967629</v>
      </c>
      <c r="GH28" s="363">
        <f t="shared" ca="1" si="310"/>
        <v>1.3590934513695034</v>
      </c>
      <c r="GI28" s="363">
        <f t="shared" ca="1" si="310"/>
        <v>2.4917768519411303</v>
      </c>
      <c r="GJ28" s="363">
        <f t="shared" ca="1" si="310"/>
        <v>1.6774103969595178</v>
      </c>
      <c r="GK28" s="363">
        <f t="shared" ca="1" si="310"/>
        <v>1.9387550731534766</v>
      </c>
      <c r="GL28" s="363">
        <f t="shared" ca="1" si="310"/>
        <v>2.0446185926774398</v>
      </c>
      <c r="GM28" s="363">
        <f t="shared" ca="1" si="310"/>
        <v>2.2905824155017842</v>
      </c>
      <c r="GN28" s="363">
        <f t="shared" ca="1" si="310"/>
        <v>2.2162451669322394</v>
      </c>
      <c r="GO28" s="363">
        <f t="shared" ca="1" si="310"/>
        <v>2.6648191899657339</v>
      </c>
      <c r="GP28" s="363">
        <f t="shared" ca="1" si="310"/>
        <v>1.2932224393720928</v>
      </c>
      <c r="GQ28" s="363">
        <f t="shared" ca="1" si="310"/>
        <v>1.5676918347618918</v>
      </c>
      <c r="GR28" s="363">
        <f t="shared" ca="1" si="310"/>
        <v>1.6576204780316055</v>
      </c>
      <c r="GS28" s="363">
        <f t="shared" ca="1" si="310"/>
        <v>1.8726581993859974</v>
      </c>
      <c r="GT28" s="363">
        <f t="shared" ca="1" si="310"/>
        <v>2.1486461213288441</v>
      </c>
      <c r="GU28" s="363">
        <f t="shared" ca="1" si="310"/>
        <v>1.9590279244163504</v>
      </c>
      <c r="GV28" s="363">
        <f t="shared" ca="1" si="310"/>
        <v>1.5293765772881138</v>
      </c>
      <c r="GW28" s="363">
        <f t="shared" ca="1" si="310"/>
        <v>2.1703024901743051</v>
      </c>
      <c r="GX28" s="363">
        <f t="shared" ca="1" si="310"/>
        <v>1.439509099647992</v>
      </c>
      <c r="GY28" s="363">
        <f t="shared" ca="1" si="310"/>
        <v>1.8884174440338077</v>
      </c>
      <c r="GZ28" s="363">
        <f t="shared" ca="1" si="310"/>
        <v>2.5539399653836656</v>
      </c>
      <c r="HA28" s="363">
        <f t="shared" ca="1" si="310"/>
        <v>2.1235791306014531</v>
      </c>
      <c r="HB28" s="363">
        <f t="shared" ca="1" si="310"/>
        <v>1.9464815385060295</v>
      </c>
      <c r="HC28" s="363">
        <f t="shared" ca="1" si="310"/>
        <v>2.1162754192616235</v>
      </c>
      <c r="HD28" s="363">
        <f t="shared" ca="1" si="310"/>
        <v>2.2270067019913387</v>
      </c>
      <c r="HE28" s="363">
        <f ca="1">_xlfn.LOGNORM.INV(RAND(),$I$28,$J$28)</f>
        <v>1.6405629634635914</v>
      </c>
      <c r="HF28" s="363">
        <f t="shared" ref="HF28:JQ28" ca="1" si="311">_xlfn.LOGNORM.INV(RAND(),$I$28,$J$28)</f>
        <v>1.3730237196109298</v>
      </c>
      <c r="HG28" s="363">
        <f t="shared" ca="1" si="311"/>
        <v>2.112621356167836</v>
      </c>
      <c r="HH28" s="363">
        <f t="shared" ca="1" si="311"/>
        <v>2.1577545545043395</v>
      </c>
      <c r="HI28" s="363">
        <f t="shared" ca="1" si="311"/>
        <v>1.7103226868610253</v>
      </c>
      <c r="HJ28" s="363">
        <f t="shared" ca="1" si="311"/>
        <v>1.5380528153233053</v>
      </c>
      <c r="HK28" s="363">
        <f t="shared" ca="1" si="311"/>
        <v>2.4326694499541808</v>
      </c>
      <c r="HL28" s="363">
        <f t="shared" ca="1" si="311"/>
        <v>2.6931741888922742</v>
      </c>
      <c r="HM28" s="363">
        <f t="shared" ca="1" si="311"/>
        <v>1.9895867095558981</v>
      </c>
      <c r="HN28" s="363">
        <f t="shared" ca="1" si="311"/>
        <v>2.0790438071816073</v>
      </c>
      <c r="HO28" s="363">
        <f t="shared" ca="1" si="311"/>
        <v>1.942254583341837</v>
      </c>
      <c r="HP28" s="363">
        <f t="shared" ca="1" si="311"/>
        <v>2.349647204057844</v>
      </c>
      <c r="HQ28" s="363">
        <f t="shared" ca="1" si="311"/>
        <v>1.8614354415470182</v>
      </c>
      <c r="HR28" s="363">
        <f t="shared" ca="1" si="311"/>
        <v>1.7488488347069175</v>
      </c>
      <c r="HS28" s="363">
        <f t="shared" ca="1" si="311"/>
        <v>2.2385893149975931</v>
      </c>
      <c r="HT28" s="363">
        <f t="shared" ca="1" si="311"/>
        <v>1.9520610472521107</v>
      </c>
      <c r="HU28" s="363">
        <f t="shared" ca="1" si="311"/>
        <v>1.4546665443588356</v>
      </c>
      <c r="HV28" s="363">
        <f t="shared" ca="1" si="311"/>
        <v>2.4450824517576368</v>
      </c>
      <c r="HW28" s="363">
        <f t="shared" ca="1" si="311"/>
        <v>1.6480495500535608</v>
      </c>
      <c r="HX28" s="363">
        <f t="shared" ca="1" si="311"/>
        <v>1.4287001663664631</v>
      </c>
      <c r="HY28" s="363">
        <f t="shared" ca="1" si="311"/>
        <v>1.9359234940667569</v>
      </c>
      <c r="HZ28" s="363">
        <f t="shared" ca="1" si="311"/>
        <v>2.1562700135236099</v>
      </c>
      <c r="IA28" s="363">
        <f t="shared" ca="1" si="311"/>
        <v>2.5213169932444042</v>
      </c>
      <c r="IB28" s="363">
        <f t="shared" ca="1" si="311"/>
        <v>1.60865416039386</v>
      </c>
      <c r="IC28" s="363">
        <f t="shared" ca="1" si="311"/>
        <v>2.2020314000338237</v>
      </c>
      <c r="ID28" s="363">
        <f t="shared" ca="1" si="311"/>
        <v>2.0473759719432176</v>
      </c>
      <c r="IE28" s="363">
        <f t="shared" ca="1" si="311"/>
        <v>2.0353226684140648</v>
      </c>
      <c r="IF28" s="363">
        <f t="shared" ca="1" si="311"/>
        <v>2.1285365803136909</v>
      </c>
      <c r="IG28" s="363">
        <f t="shared" ca="1" si="311"/>
        <v>2.0691215565873162</v>
      </c>
      <c r="IH28" s="363">
        <f t="shared" ca="1" si="311"/>
        <v>2.4435961893932543</v>
      </c>
      <c r="II28" s="363">
        <f t="shared" ca="1" si="311"/>
        <v>1.3108088012434911</v>
      </c>
      <c r="IJ28" s="363">
        <f t="shared" ca="1" si="311"/>
        <v>2.0403032478106282</v>
      </c>
      <c r="IK28" s="363">
        <f t="shared" ca="1" si="311"/>
        <v>2.1524521425744148</v>
      </c>
      <c r="IL28" s="363">
        <f t="shared" ca="1" si="311"/>
        <v>1.9856010536360165</v>
      </c>
      <c r="IM28" s="363">
        <f t="shared" ca="1" si="311"/>
        <v>1.807098577758784</v>
      </c>
      <c r="IN28" s="363">
        <f t="shared" ca="1" si="311"/>
        <v>2.2035483972548713</v>
      </c>
      <c r="IO28" s="363">
        <f t="shared" ca="1" si="311"/>
        <v>2.1323182883023546</v>
      </c>
      <c r="IP28" s="363">
        <f t="shared" ca="1" si="311"/>
        <v>2.0515663961858528</v>
      </c>
      <c r="IQ28" s="363">
        <f t="shared" ca="1" si="311"/>
        <v>2.3306599013448559</v>
      </c>
      <c r="IR28" s="363">
        <f t="shared" ca="1" si="311"/>
        <v>1.327588947842065</v>
      </c>
      <c r="IS28" s="363">
        <f t="shared" ca="1" si="311"/>
        <v>2.2533418329541668</v>
      </c>
      <c r="IT28" s="363">
        <f t="shared" ca="1" si="311"/>
        <v>1.9896011870838557</v>
      </c>
      <c r="IU28" s="363">
        <f t="shared" ca="1" si="311"/>
        <v>2.1135973293892509</v>
      </c>
      <c r="IV28" s="363">
        <f t="shared" ca="1" si="311"/>
        <v>1.707079874389867</v>
      </c>
      <c r="IW28" s="363">
        <f t="shared" ca="1" si="311"/>
        <v>1.2296117002432101</v>
      </c>
      <c r="IX28" s="363">
        <f t="shared" ca="1" si="311"/>
        <v>1.7115885257376184</v>
      </c>
      <c r="IY28" s="363">
        <f t="shared" ca="1" si="311"/>
        <v>2.5273959263872086</v>
      </c>
      <c r="IZ28" s="363">
        <f t="shared" ca="1" si="311"/>
        <v>1.8633053258239964</v>
      </c>
      <c r="JA28" s="363">
        <f t="shared" ca="1" si="311"/>
        <v>1.7294320256240463</v>
      </c>
      <c r="JB28" s="363">
        <f t="shared" ca="1" si="311"/>
        <v>1.9888877025230021</v>
      </c>
      <c r="JC28" s="363">
        <f t="shared" ca="1" si="311"/>
        <v>2.2434225111388022</v>
      </c>
      <c r="JD28" s="363">
        <f t="shared" ca="1" si="311"/>
        <v>1.9738453958593571</v>
      </c>
      <c r="JE28" s="363">
        <f t="shared" ca="1" si="311"/>
        <v>1.4528916615750729</v>
      </c>
      <c r="JF28" s="363">
        <f t="shared" ca="1" si="311"/>
        <v>2.0566872440945985</v>
      </c>
      <c r="JG28" s="363">
        <f t="shared" ca="1" si="311"/>
        <v>1.8891181425436601</v>
      </c>
      <c r="JH28" s="363">
        <f t="shared" ca="1" si="311"/>
        <v>1.663928609684302</v>
      </c>
      <c r="JI28" s="363">
        <f t="shared" ca="1" si="311"/>
        <v>1.9208298095145924</v>
      </c>
      <c r="JJ28" s="363">
        <f t="shared" ca="1" si="311"/>
        <v>2.0765238499076339</v>
      </c>
      <c r="JK28" s="363">
        <f t="shared" ca="1" si="311"/>
        <v>1.4593336974144613</v>
      </c>
      <c r="JL28" s="363">
        <f t="shared" ca="1" si="311"/>
        <v>2.7758881685262073</v>
      </c>
      <c r="JM28" s="363">
        <f t="shared" ca="1" si="311"/>
        <v>1.8643839444850605</v>
      </c>
      <c r="JN28" s="363">
        <f t="shared" ca="1" si="311"/>
        <v>1.7856242054699119</v>
      </c>
      <c r="JO28" s="363">
        <f t="shared" ca="1" si="311"/>
        <v>2.030176527724358</v>
      </c>
      <c r="JP28" s="363">
        <f t="shared" ca="1" si="311"/>
        <v>1.43422337484245</v>
      </c>
      <c r="JQ28" s="363">
        <f t="shared" ca="1" si="311"/>
        <v>2.1368086463967093</v>
      </c>
      <c r="JR28" s="363">
        <f t="shared" ref="JR28:KZ28" ca="1" si="312">_xlfn.LOGNORM.INV(RAND(),$I$28,$J$28)</f>
        <v>1.4230398273713747</v>
      </c>
      <c r="JS28" s="363">
        <f t="shared" ca="1" si="312"/>
        <v>1.8302641427534061</v>
      </c>
      <c r="JT28" s="363">
        <f t="shared" ca="1" si="312"/>
        <v>1.6739478217354746</v>
      </c>
      <c r="JU28" s="363">
        <f t="shared" ca="1" si="312"/>
        <v>2.5639028025076311</v>
      </c>
      <c r="JV28" s="363">
        <f t="shared" ca="1" si="312"/>
        <v>1.1801172447525419</v>
      </c>
      <c r="JW28" s="363">
        <f t="shared" ca="1" si="312"/>
        <v>1.5831083082018012</v>
      </c>
      <c r="JX28" s="363">
        <f t="shared" ca="1" si="312"/>
        <v>2.241010230237781</v>
      </c>
      <c r="JY28" s="363">
        <f t="shared" ca="1" si="312"/>
        <v>3.1579383155929213</v>
      </c>
      <c r="JZ28" s="363">
        <f t="shared" ca="1" si="312"/>
        <v>2.4270492893012561</v>
      </c>
      <c r="KA28" s="363">
        <f t="shared" ca="1" si="312"/>
        <v>1.6940377864433116</v>
      </c>
      <c r="KB28" s="363">
        <f t="shared" ca="1" si="312"/>
        <v>1.7396610688259793</v>
      </c>
      <c r="KC28" s="363">
        <f t="shared" ca="1" si="312"/>
        <v>2.9592399761538357</v>
      </c>
      <c r="KD28" s="363">
        <f t="shared" ca="1" si="312"/>
        <v>2.0901398429118476</v>
      </c>
      <c r="KE28" s="363">
        <f t="shared" ca="1" si="312"/>
        <v>1.5264165373602046</v>
      </c>
      <c r="KF28" s="363">
        <f t="shared" ca="1" si="312"/>
        <v>2.73313176922623</v>
      </c>
      <c r="KG28" s="363">
        <f t="shared" ca="1" si="312"/>
        <v>2.1554085883323242</v>
      </c>
      <c r="KH28" s="363">
        <f t="shared" ca="1" si="312"/>
        <v>2.0144678951286332</v>
      </c>
      <c r="KI28" s="363">
        <f t="shared" ca="1" si="312"/>
        <v>1.4723369114408758</v>
      </c>
      <c r="KJ28" s="363">
        <f t="shared" ca="1" si="312"/>
        <v>1.9385838658053347</v>
      </c>
      <c r="KK28" s="363">
        <f t="shared" ca="1" si="312"/>
        <v>1.4762256165474923</v>
      </c>
      <c r="KL28" s="363">
        <f t="shared" ca="1" si="312"/>
        <v>2.1513382858486123</v>
      </c>
      <c r="KM28" s="363">
        <f t="shared" ca="1" si="312"/>
        <v>1.9876735237916288</v>
      </c>
      <c r="KN28" s="363">
        <f t="shared" ca="1" si="312"/>
        <v>1.327632503885515</v>
      </c>
      <c r="KO28" s="363">
        <f t="shared" ca="1" si="312"/>
        <v>2.6658970401494968</v>
      </c>
      <c r="KP28" s="363">
        <f t="shared" ca="1" si="312"/>
        <v>1.721133586239195</v>
      </c>
      <c r="KQ28" s="363">
        <f t="shared" ca="1" si="312"/>
        <v>1.6645866895013841</v>
      </c>
      <c r="KR28" s="363">
        <f t="shared" ca="1" si="312"/>
        <v>2.2624548172368342</v>
      </c>
      <c r="KS28" s="363">
        <f t="shared" ca="1" si="312"/>
        <v>2.5326164781551124</v>
      </c>
      <c r="KT28" s="363">
        <f t="shared" ca="1" si="312"/>
        <v>1.915018002595466</v>
      </c>
      <c r="KU28" s="363">
        <f t="shared" ca="1" si="312"/>
        <v>2.1246445181296347</v>
      </c>
      <c r="KV28" s="363">
        <f t="shared" ca="1" si="312"/>
        <v>3.2714329430146516</v>
      </c>
      <c r="KW28" s="363">
        <f t="shared" ca="1" si="312"/>
        <v>1.2940236012700892</v>
      </c>
      <c r="KX28" s="363">
        <f t="shared" ca="1" si="312"/>
        <v>1.8246212128257679</v>
      </c>
      <c r="KY28" s="363">
        <f t="shared" ca="1" si="312"/>
        <v>1.8046269437182363</v>
      </c>
      <c r="KZ28" s="363">
        <f t="shared" ca="1" si="312"/>
        <v>2.3280200157920712</v>
      </c>
      <c r="LA28" s="363">
        <f ca="1">_xlfn.LOGNORM.INV(RAND(),$I$28,$J$28)</f>
        <v>1.5383011715743804</v>
      </c>
      <c r="LB28" s="363">
        <f t="shared" ref="LB28:NM28" ca="1" si="313">_xlfn.LOGNORM.INV(RAND(),$I$28,$J$28)</f>
        <v>1.3877638458148762</v>
      </c>
      <c r="LC28" s="363">
        <f t="shared" ca="1" si="313"/>
        <v>1.8294136118841395</v>
      </c>
      <c r="LD28" s="363">
        <f t="shared" ca="1" si="313"/>
        <v>1.8116571543965829</v>
      </c>
      <c r="LE28" s="363">
        <f t="shared" ca="1" si="313"/>
        <v>2.2143078676639307</v>
      </c>
      <c r="LF28" s="363">
        <f t="shared" ca="1" si="313"/>
        <v>1.9746793512285654</v>
      </c>
      <c r="LG28" s="363">
        <f t="shared" ca="1" si="313"/>
        <v>1.5473010255286257</v>
      </c>
      <c r="LH28" s="363">
        <f t="shared" ca="1" si="313"/>
        <v>1.5139142113412005</v>
      </c>
      <c r="LI28" s="363">
        <f t="shared" ca="1" si="313"/>
        <v>2.3937158657756483</v>
      </c>
      <c r="LJ28" s="363">
        <f t="shared" ca="1" si="313"/>
        <v>1.5395249745786646</v>
      </c>
      <c r="LK28" s="363">
        <f t="shared" ca="1" si="313"/>
        <v>1.8506958729726519</v>
      </c>
      <c r="LL28" s="363">
        <f t="shared" ca="1" si="313"/>
        <v>2.3515190834435091</v>
      </c>
      <c r="LM28" s="363">
        <f t="shared" ca="1" si="313"/>
        <v>1.3591356892314317</v>
      </c>
      <c r="LN28" s="363">
        <f t="shared" ca="1" si="313"/>
        <v>1.6987018153055762</v>
      </c>
      <c r="LO28" s="363">
        <f t="shared" ca="1" si="313"/>
        <v>1.7224262799184413</v>
      </c>
      <c r="LP28" s="363">
        <f t="shared" ca="1" si="313"/>
        <v>2.1954233329476218</v>
      </c>
      <c r="LQ28" s="363">
        <f t="shared" ca="1" si="313"/>
        <v>2.3996159323363986</v>
      </c>
      <c r="LR28" s="363">
        <f t="shared" ca="1" si="313"/>
        <v>2.4329346459587908</v>
      </c>
      <c r="LS28" s="363">
        <f t="shared" ca="1" si="313"/>
        <v>1.7692336218843905</v>
      </c>
      <c r="LT28" s="363">
        <f t="shared" ca="1" si="313"/>
        <v>2.0847034727118561</v>
      </c>
      <c r="LU28" s="363">
        <f t="shared" ca="1" si="313"/>
        <v>1.9488228894322424</v>
      </c>
      <c r="LV28" s="363">
        <f t="shared" ca="1" si="313"/>
        <v>1.6745733163344834</v>
      </c>
      <c r="LW28" s="363">
        <f t="shared" ca="1" si="313"/>
        <v>2.0985971815383766</v>
      </c>
      <c r="LX28" s="363">
        <f t="shared" ca="1" si="313"/>
        <v>2.2305347042647772</v>
      </c>
      <c r="LY28" s="363">
        <f t="shared" ca="1" si="313"/>
        <v>1.6570927527258399</v>
      </c>
      <c r="LZ28" s="363">
        <f t="shared" ca="1" si="313"/>
        <v>1.8946826260716285</v>
      </c>
      <c r="MA28" s="363">
        <f t="shared" ca="1" si="313"/>
        <v>1.6236441236430221</v>
      </c>
      <c r="MB28" s="363">
        <f t="shared" ca="1" si="313"/>
        <v>1.4326696259184268</v>
      </c>
      <c r="MC28" s="363">
        <f t="shared" ca="1" si="313"/>
        <v>2.09723723538377</v>
      </c>
      <c r="MD28" s="363">
        <f t="shared" ca="1" si="313"/>
        <v>1.5337912161948006</v>
      </c>
      <c r="ME28" s="363">
        <f t="shared" ca="1" si="313"/>
        <v>2.107174946941003</v>
      </c>
      <c r="MF28" s="363">
        <f t="shared" ca="1" si="313"/>
        <v>1.4347416729407918</v>
      </c>
      <c r="MG28" s="363">
        <f t="shared" ca="1" si="313"/>
        <v>1.5655440813342836</v>
      </c>
      <c r="MH28" s="363">
        <f t="shared" ca="1" si="313"/>
        <v>1.9328288928001176</v>
      </c>
      <c r="MI28" s="363">
        <f t="shared" ca="1" si="313"/>
        <v>2.5052126397979153</v>
      </c>
      <c r="MJ28" s="363">
        <f t="shared" ca="1" si="313"/>
        <v>1.7269806062513957</v>
      </c>
      <c r="MK28" s="363">
        <f t="shared" ca="1" si="313"/>
        <v>1.8411557141210841</v>
      </c>
      <c r="ML28" s="363">
        <f t="shared" ca="1" si="313"/>
        <v>1.7306096534451465</v>
      </c>
      <c r="MM28" s="363">
        <f t="shared" ca="1" si="313"/>
        <v>1.6831089592582074</v>
      </c>
      <c r="MN28" s="363">
        <f t="shared" ca="1" si="313"/>
        <v>2.0272066849338377</v>
      </c>
      <c r="MO28" s="363">
        <f t="shared" ca="1" si="313"/>
        <v>1.8266913876594952</v>
      </c>
      <c r="MP28" s="363">
        <f t="shared" ca="1" si="313"/>
        <v>2.0891936930317847</v>
      </c>
      <c r="MQ28" s="363">
        <f t="shared" ca="1" si="313"/>
        <v>1.6410588067314067</v>
      </c>
      <c r="MR28" s="363">
        <f t="shared" ca="1" si="313"/>
        <v>1.6364296308704382</v>
      </c>
      <c r="MS28" s="363">
        <f t="shared" ca="1" si="313"/>
        <v>1.8853328303791583</v>
      </c>
      <c r="MT28" s="363">
        <f t="shared" ca="1" si="313"/>
        <v>1.6569214812535253</v>
      </c>
      <c r="MU28" s="363">
        <f t="shared" ca="1" si="313"/>
        <v>1.3835512823153298</v>
      </c>
      <c r="MV28" s="363">
        <f t="shared" ca="1" si="313"/>
        <v>1.5089222652049659</v>
      </c>
      <c r="MW28" s="363">
        <f t="shared" ca="1" si="313"/>
        <v>1.9656739166436974</v>
      </c>
      <c r="MX28" s="363">
        <f t="shared" ca="1" si="313"/>
        <v>1.5306513427437332</v>
      </c>
      <c r="MY28" s="363">
        <f t="shared" ca="1" si="313"/>
        <v>2.3109890237224642</v>
      </c>
      <c r="MZ28" s="363">
        <f t="shared" ca="1" si="313"/>
        <v>2.5657951030108839</v>
      </c>
      <c r="NA28" s="363">
        <f t="shared" ca="1" si="313"/>
        <v>2.1250192229658813</v>
      </c>
      <c r="NB28" s="363">
        <f t="shared" ca="1" si="313"/>
        <v>1.5452869666293041</v>
      </c>
      <c r="NC28" s="363">
        <f t="shared" ca="1" si="313"/>
        <v>1.6117327330990925</v>
      </c>
      <c r="ND28" s="363">
        <f t="shared" ca="1" si="313"/>
        <v>1.4747617426033286</v>
      </c>
      <c r="NE28" s="363">
        <f t="shared" ca="1" si="313"/>
        <v>2.7562980314406338</v>
      </c>
      <c r="NF28" s="363">
        <f t="shared" ca="1" si="313"/>
        <v>2.3863851749133436</v>
      </c>
      <c r="NG28" s="363">
        <f t="shared" ca="1" si="313"/>
        <v>1.8274450816906147</v>
      </c>
      <c r="NH28" s="363">
        <f t="shared" ca="1" si="313"/>
        <v>2.4952255012665083</v>
      </c>
      <c r="NI28" s="363">
        <f t="shared" ca="1" si="313"/>
        <v>2.7035265533985275</v>
      </c>
      <c r="NJ28" s="363">
        <f t="shared" ca="1" si="313"/>
        <v>1.5561866615196551</v>
      </c>
      <c r="NK28" s="363">
        <f t="shared" ca="1" si="313"/>
        <v>1.8373570400087276</v>
      </c>
      <c r="NL28" s="363">
        <f t="shared" ca="1" si="313"/>
        <v>1.8247383476098005</v>
      </c>
      <c r="NM28" s="363">
        <f t="shared" ca="1" si="313"/>
        <v>1.981975925202482</v>
      </c>
      <c r="NN28" s="363">
        <f t="shared" ref="NN28:OV28" ca="1" si="314">_xlfn.LOGNORM.INV(RAND(),$I$28,$J$28)</f>
        <v>1.7839460897458277</v>
      </c>
      <c r="NO28" s="363">
        <f t="shared" ca="1" si="314"/>
        <v>1.537202151393273</v>
      </c>
      <c r="NP28" s="363">
        <f t="shared" ca="1" si="314"/>
        <v>1.1679107829878763</v>
      </c>
      <c r="NQ28" s="363">
        <f t="shared" ca="1" si="314"/>
        <v>2.010895432476683</v>
      </c>
      <c r="NR28" s="363">
        <f t="shared" ca="1" si="314"/>
        <v>1.9496562411421303</v>
      </c>
      <c r="NS28" s="363">
        <f t="shared" ca="1" si="314"/>
        <v>1.4473941606835641</v>
      </c>
      <c r="NT28" s="363">
        <f t="shared" ca="1" si="314"/>
        <v>1.7564870234329231</v>
      </c>
      <c r="NU28" s="363">
        <f t="shared" ca="1" si="314"/>
        <v>1.6942377176792265</v>
      </c>
      <c r="NV28" s="363">
        <f t="shared" ca="1" si="314"/>
        <v>1.2651944643534785</v>
      </c>
      <c r="NW28" s="363">
        <f t="shared" ca="1" si="314"/>
        <v>1.7817642949265984</v>
      </c>
      <c r="NX28" s="363">
        <f t="shared" ca="1" si="314"/>
        <v>2.0535988066075701</v>
      </c>
      <c r="NY28" s="363">
        <f t="shared" ca="1" si="314"/>
        <v>3.1276366698246623</v>
      </c>
      <c r="NZ28" s="363">
        <f t="shared" ca="1" si="314"/>
        <v>1.8619413568230632</v>
      </c>
      <c r="OA28" s="363">
        <f t="shared" ca="1" si="314"/>
        <v>2.1224008963922745</v>
      </c>
      <c r="OB28" s="363">
        <f t="shared" ca="1" si="314"/>
        <v>1.3259820487736396</v>
      </c>
      <c r="OC28" s="363">
        <f t="shared" ca="1" si="314"/>
        <v>3.2845260003944778</v>
      </c>
      <c r="OD28" s="363">
        <f t="shared" ca="1" si="314"/>
        <v>1.934453046536901</v>
      </c>
      <c r="OE28" s="363">
        <f t="shared" ca="1" si="314"/>
        <v>1.9547498270792556</v>
      </c>
      <c r="OF28" s="363">
        <f t="shared" ca="1" si="314"/>
        <v>1.7736297664290483</v>
      </c>
      <c r="OG28" s="363">
        <f t="shared" ca="1" si="314"/>
        <v>1.9656847074066706</v>
      </c>
      <c r="OH28" s="363">
        <f t="shared" ca="1" si="314"/>
        <v>1.6868580711853731</v>
      </c>
      <c r="OI28" s="363">
        <f t="shared" ca="1" si="314"/>
        <v>2.0590184416188446</v>
      </c>
      <c r="OJ28" s="363">
        <f t="shared" ca="1" si="314"/>
        <v>1.7865712752907084</v>
      </c>
      <c r="OK28" s="363">
        <f t="shared" ca="1" si="314"/>
        <v>2.0587893363975693</v>
      </c>
      <c r="OL28" s="363">
        <f t="shared" ca="1" si="314"/>
        <v>2.2744488920691128</v>
      </c>
      <c r="OM28" s="363">
        <f t="shared" ca="1" si="314"/>
        <v>2.1038430554319718</v>
      </c>
      <c r="ON28" s="363">
        <f t="shared" ca="1" si="314"/>
        <v>2.3508369414247157</v>
      </c>
      <c r="OO28" s="363">
        <f t="shared" ca="1" si="314"/>
        <v>1.4048671667114665</v>
      </c>
      <c r="OP28" s="363">
        <f t="shared" ca="1" si="314"/>
        <v>2.1600255328574538</v>
      </c>
      <c r="OQ28" s="363">
        <f t="shared" ca="1" si="314"/>
        <v>2.111281162886812</v>
      </c>
      <c r="OR28" s="363">
        <f t="shared" ca="1" si="314"/>
        <v>1.4273123843771114</v>
      </c>
      <c r="OS28" s="363">
        <f t="shared" ca="1" si="314"/>
        <v>1.6602581297446111</v>
      </c>
      <c r="OT28" s="363">
        <f t="shared" ca="1" si="314"/>
        <v>2.1457273047474028</v>
      </c>
      <c r="OU28" s="363">
        <f t="shared" ca="1" si="314"/>
        <v>2.0655955139830837</v>
      </c>
      <c r="OV28" s="363">
        <f t="shared" ca="1" si="314"/>
        <v>2.2558401560981629</v>
      </c>
      <c r="OW28" s="363">
        <f ca="1">_xlfn.LOGNORM.INV(RAND(),$I$28,$J$28)</f>
        <v>2.2968339722242392</v>
      </c>
      <c r="OX28" s="363">
        <f t="shared" ref="OX28:RI28" ca="1" si="315">_xlfn.LOGNORM.INV(RAND(),$I$28,$J$28)</f>
        <v>1.442359032334515</v>
      </c>
      <c r="OY28" s="363">
        <f t="shared" ca="1" si="315"/>
        <v>2.2651904934403806</v>
      </c>
      <c r="OZ28" s="363">
        <f t="shared" ca="1" si="315"/>
        <v>1.8112250147077473</v>
      </c>
      <c r="PA28" s="363">
        <f t="shared" ca="1" si="315"/>
        <v>2.1023512886896127</v>
      </c>
      <c r="PB28" s="363">
        <f t="shared" ca="1" si="315"/>
        <v>2.1028869511077439</v>
      </c>
      <c r="PC28" s="363">
        <f t="shared" ca="1" si="315"/>
        <v>2.1139218021037904</v>
      </c>
      <c r="PD28" s="363">
        <f t="shared" ca="1" si="315"/>
        <v>2.0255922453036281</v>
      </c>
      <c r="PE28" s="363">
        <f t="shared" ca="1" si="315"/>
        <v>1.8794294987933935</v>
      </c>
      <c r="PF28" s="363">
        <f t="shared" ca="1" si="315"/>
        <v>2.1436759890960353</v>
      </c>
      <c r="PG28" s="363">
        <f t="shared" ca="1" si="315"/>
        <v>1.8770586007863295</v>
      </c>
      <c r="PH28" s="363">
        <f t="shared" ca="1" si="315"/>
        <v>2.3891403656621977</v>
      </c>
      <c r="PI28" s="363">
        <f t="shared" ca="1" si="315"/>
        <v>1.330879336420447</v>
      </c>
      <c r="PJ28" s="363">
        <f t="shared" ca="1" si="315"/>
        <v>1.7916198346137706</v>
      </c>
      <c r="PK28" s="363">
        <f t="shared" ca="1" si="315"/>
        <v>1.8925339535064662</v>
      </c>
      <c r="PL28" s="363">
        <f t="shared" ca="1" si="315"/>
        <v>2.0429265311818368</v>
      </c>
      <c r="PM28" s="363">
        <f t="shared" ca="1" si="315"/>
        <v>1.755595292776394</v>
      </c>
      <c r="PN28" s="363">
        <f t="shared" ca="1" si="315"/>
        <v>1.9304631212434329</v>
      </c>
      <c r="PO28" s="363">
        <f t="shared" ca="1" si="315"/>
        <v>3.0165879620530527</v>
      </c>
      <c r="PP28" s="363">
        <f t="shared" ca="1" si="315"/>
        <v>2.3288206805370359</v>
      </c>
      <c r="PQ28" s="363">
        <f t="shared" ca="1" si="315"/>
        <v>2.6965693473629142</v>
      </c>
      <c r="PR28" s="363">
        <f t="shared" ca="1" si="315"/>
        <v>1.4497774386695874</v>
      </c>
      <c r="PS28" s="363">
        <f t="shared" ca="1" si="315"/>
        <v>1.7405375520081434</v>
      </c>
      <c r="PT28" s="363">
        <f t="shared" ca="1" si="315"/>
        <v>1.9790233507546171</v>
      </c>
      <c r="PU28" s="363">
        <f t="shared" ca="1" si="315"/>
        <v>1.9586787851384495</v>
      </c>
      <c r="PV28" s="363">
        <f t="shared" ca="1" si="315"/>
        <v>2.2183892527125018</v>
      </c>
      <c r="PW28" s="363">
        <f t="shared" ca="1" si="315"/>
        <v>2.0770260566916479</v>
      </c>
      <c r="PX28" s="363">
        <f t="shared" ca="1" si="315"/>
        <v>1.8119365108571808</v>
      </c>
      <c r="PY28" s="363">
        <f t="shared" ca="1" si="315"/>
        <v>1.9709170728623948</v>
      </c>
      <c r="PZ28" s="363">
        <f t="shared" ca="1" si="315"/>
        <v>1.5164833998455278</v>
      </c>
      <c r="QA28" s="363">
        <f t="shared" ca="1" si="315"/>
        <v>1.732643589232598</v>
      </c>
      <c r="QB28" s="363">
        <f t="shared" ca="1" si="315"/>
        <v>2.4867409217529572</v>
      </c>
      <c r="QC28" s="363">
        <f t="shared" ca="1" si="315"/>
        <v>2.161346637695106</v>
      </c>
      <c r="QD28" s="363">
        <f t="shared" ca="1" si="315"/>
        <v>1.6669215694932684</v>
      </c>
      <c r="QE28" s="363">
        <f t="shared" ca="1" si="315"/>
        <v>1.8458553287013018</v>
      </c>
      <c r="QF28" s="363">
        <f t="shared" ca="1" si="315"/>
        <v>1.8610389752161358</v>
      </c>
      <c r="QG28" s="363">
        <f t="shared" ca="1" si="315"/>
        <v>2.930220659829462</v>
      </c>
      <c r="QH28" s="363">
        <f t="shared" ca="1" si="315"/>
        <v>1.4558793524736127</v>
      </c>
      <c r="QI28" s="363">
        <f t="shared" ca="1" si="315"/>
        <v>1.948288018026672</v>
      </c>
      <c r="QJ28" s="363">
        <f t="shared" ca="1" si="315"/>
        <v>1.7072040573859082</v>
      </c>
      <c r="QK28" s="363">
        <f t="shared" ca="1" si="315"/>
        <v>1.6998217584948927</v>
      </c>
      <c r="QL28" s="363">
        <f t="shared" ca="1" si="315"/>
        <v>2.7988392697805446</v>
      </c>
      <c r="QM28" s="363">
        <f t="shared" ca="1" si="315"/>
        <v>2.1629369217574368</v>
      </c>
      <c r="QN28" s="363">
        <f t="shared" ca="1" si="315"/>
        <v>1.5699042086618402</v>
      </c>
      <c r="QO28" s="363">
        <f t="shared" ca="1" si="315"/>
        <v>2.262239908770467</v>
      </c>
      <c r="QP28" s="363">
        <f t="shared" ca="1" si="315"/>
        <v>2.424519263597694</v>
      </c>
      <c r="QQ28" s="363">
        <f t="shared" ca="1" si="315"/>
        <v>2.1832033121746846</v>
      </c>
      <c r="QR28" s="363">
        <f t="shared" ca="1" si="315"/>
        <v>1.4084944341452732</v>
      </c>
      <c r="QS28" s="363">
        <f t="shared" ca="1" si="315"/>
        <v>2.3539253399363336</v>
      </c>
      <c r="QT28" s="363">
        <f t="shared" ca="1" si="315"/>
        <v>1.5179383464719447</v>
      </c>
      <c r="QU28" s="363">
        <f t="shared" ca="1" si="315"/>
        <v>3.0275373236305483</v>
      </c>
      <c r="QV28" s="363">
        <f t="shared" ca="1" si="315"/>
        <v>2.7237021801969314</v>
      </c>
      <c r="QW28" s="363">
        <f t="shared" ca="1" si="315"/>
        <v>2.05678061539462</v>
      </c>
      <c r="QX28" s="363">
        <f t="shared" ca="1" si="315"/>
        <v>2.1200649426754792</v>
      </c>
      <c r="QY28" s="363">
        <f t="shared" ca="1" si="315"/>
        <v>2.0786804053713968</v>
      </c>
      <c r="QZ28" s="363">
        <f t="shared" ca="1" si="315"/>
        <v>1.9151406866119269</v>
      </c>
      <c r="RA28" s="363">
        <f t="shared" ca="1" si="315"/>
        <v>2.3427764521930303</v>
      </c>
      <c r="RB28" s="363">
        <f t="shared" ca="1" si="315"/>
        <v>1.3965247518370503</v>
      </c>
      <c r="RC28" s="363">
        <f t="shared" ca="1" si="315"/>
        <v>2.0484514944654784</v>
      </c>
      <c r="RD28" s="363">
        <f t="shared" ca="1" si="315"/>
        <v>2.5305738497064425</v>
      </c>
      <c r="RE28" s="363">
        <f t="shared" ca="1" si="315"/>
        <v>1.4633030426993534</v>
      </c>
      <c r="RF28" s="363">
        <f t="shared" ca="1" si="315"/>
        <v>2.0134385166638991</v>
      </c>
      <c r="RG28" s="363">
        <f t="shared" ca="1" si="315"/>
        <v>2.3657575380866303</v>
      </c>
      <c r="RH28" s="363">
        <f t="shared" ca="1" si="315"/>
        <v>1.9983420484224896</v>
      </c>
      <c r="RI28" s="363">
        <f t="shared" ca="1" si="315"/>
        <v>1.5903285073178908</v>
      </c>
      <c r="RJ28" s="363">
        <f t="shared" ref="RJ28:SR28" ca="1" si="316">_xlfn.LOGNORM.INV(RAND(),$I$28,$J$28)</f>
        <v>1.5559321657246219</v>
      </c>
      <c r="RK28" s="363">
        <f t="shared" ca="1" si="316"/>
        <v>2.4430854215083118</v>
      </c>
      <c r="RL28" s="363">
        <f t="shared" ca="1" si="316"/>
        <v>2.0020163770486561</v>
      </c>
      <c r="RM28" s="363">
        <f t="shared" ca="1" si="316"/>
        <v>2.2648635011770777</v>
      </c>
      <c r="RN28" s="363">
        <f t="shared" ca="1" si="316"/>
        <v>1.6934887583041125</v>
      </c>
      <c r="RO28" s="363">
        <f t="shared" ca="1" si="316"/>
        <v>1.7626862974550361</v>
      </c>
      <c r="RP28" s="363">
        <f t="shared" ca="1" si="316"/>
        <v>1.5094888731853509</v>
      </c>
      <c r="RQ28" s="363">
        <f t="shared" ca="1" si="316"/>
        <v>1.6838321864859314</v>
      </c>
      <c r="RR28" s="363">
        <f t="shared" ca="1" si="316"/>
        <v>2.2596953905888655</v>
      </c>
      <c r="RS28" s="363">
        <f t="shared" ca="1" si="316"/>
        <v>2.3817427132049693</v>
      </c>
      <c r="RT28" s="363">
        <f t="shared" ca="1" si="316"/>
        <v>2.1098738598207691</v>
      </c>
      <c r="RU28" s="363">
        <f t="shared" ca="1" si="316"/>
        <v>1.8417954631216913</v>
      </c>
      <c r="RV28" s="363">
        <f t="shared" ca="1" si="316"/>
        <v>1.5326419658815393</v>
      </c>
      <c r="RW28" s="363">
        <f t="shared" ca="1" si="316"/>
        <v>1.7623592854604224</v>
      </c>
      <c r="RX28" s="363">
        <f t="shared" ca="1" si="316"/>
        <v>2.4105799921757116</v>
      </c>
      <c r="RY28" s="363">
        <f t="shared" ca="1" si="316"/>
        <v>1.7270855360024504</v>
      </c>
      <c r="RZ28" s="363">
        <f t="shared" ca="1" si="316"/>
        <v>1.4566950610289953</v>
      </c>
      <c r="SA28" s="363">
        <f t="shared" ca="1" si="316"/>
        <v>2.686720714838958</v>
      </c>
      <c r="SB28" s="363">
        <f t="shared" ca="1" si="316"/>
        <v>1.2489408597012159</v>
      </c>
      <c r="SC28" s="363">
        <f t="shared" ca="1" si="316"/>
        <v>1.4848693753395938</v>
      </c>
      <c r="SD28" s="363">
        <f t="shared" ca="1" si="316"/>
        <v>1.6414652545560919</v>
      </c>
      <c r="SE28" s="363">
        <f t="shared" ca="1" si="316"/>
        <v>1.5249754426268174</v>
      </c>
      <c r="SF28" s="363">
        <f t="shared" ca="1" si="316"/>
        <v>2.5292870486536474</v>
      </c>
      <c r="SG28" s="363">
        <f t="shared" ca="1" si="316"/>
        <v>1.2335069925403788</v>
      </c>
      <c r="SH28" s="363">
        <f t="shared" ca="1" si="316"/>
        <v>1.6105040668183705</v>
      </c>
      <c r="SI28" s="363">
        <f t="shared" ca="1" si="316"/>
        <v>2.2986507725981729</v>
      </c>
      <c r="SJ28" s="363">
        <f t="shared" ca="1" si="316"/>
        <v>2.1646897381412851</v>
      </c>
      <c r="SK28" s="363">
        <f t="shared" ca="1" si="316"/>
        <v>2.2941260483863641</v>
      </c>
      <c r="SL28" s="363">
        <f t="shared" ca="1" si="316"/>
        <v>1.5867317658240587</v>
      </c>
      <c r="SM28" s="363">
        <f t="shared" ca="1" si="316"/>
        <v>1.3981567213343018</v>
      </c>
      <c r="SN28" s="363">
        <f t="shared" ca="1" si="316"/>
        <v>1.3282062474039207</v>
      </c>
      <c r="SO28" s="363">
        <f t="shared" ca="1" si="316"/>
        <v>1.8854976395531367</v>
      </c>
      <c r="SP28" s="363">
        <f t="shared" ca="1" si="316"/>
        <v>1.5594516773133953</v>
      </c>
      <c r="SQ28" s="363">
        <f t="shared" ca="1" si="316"/>
        <v>1.8347991911736077</v>
      </c>
      <c r="SR28" s="363">
        <f t="shared" ca="1" si="316"/>
        <v>2.0242944226404864</v>
      </c>
      <c r="SS28" s="363">
        <f ca="1">_xlfn.LOGNORM.INV(RAND(),$I$28,$J$28)</f>
        <v>1.5942352341054233</v>
      </c>
      <c r="ST28" s="363">
        <f t="shared" ref="ST28:VE28" ca="1" si="317">_xlfn.LOGNORM.INV(RAND(),$I$28,$J$28)</f>
        <v>2.0003526729234933</v>
      </c>
      <c r="SU28" s="363">
        <f t="shared" ca="1" si="317"/>
        <v>1.5321041539660207</v>
      </c>
      <c r="SV28" s="363">
        <f t="shared" ca="1" si="317"/>
        <v>2.1612820574337777</v>
      </c>
      <c r="SW28" s="363">
        <f t="shared" ca="1" si="317"/>
        <v>1.9061060706190922</v>
      </c>
      <c r="SX28" s="363">
        <f t="shared" ca="1" si="317"/>
        <v>2.3429298322518646</v>
      </c>
      <c r="SY28" s="363">
        <f t="shared" ca="1" si="317"/>
        <v>1.817938364595661</v>
      </c>
      <c r="SZ28" s="363">
        <f t="shared" ca="1" si="317"/>
        <v>1.7329476580030785</v>
      </c>
      <c r="TA28" s="363">
        <f t="shared" ca="1" si="317"/>
        <v>1.6274737804422896</v>
      </c>
      <c r="TB28" s="363">
        <f t="shared" ca="1" si="317"/>
        <v>1.9279716378501395</v>
      </c>
      <c r="TC28" s="363">
        <f t="shared" ca="1" si="317"/>
        <v>2.1836374515477908</v>
      </c>
      <c r="TD28" s="363">
        <f t="shared" ca="1" si="317"/>
        <v>2.3255803305806628</v>
      </c>
      <c r="TE28" s="363">
        <f t="shared" ca="1" si="317"/>
        <v>1.866654776606971</v>
      </c>
      <c r="TF28" s="363">
        <f t="shared" ca="1" si="317"/>
        <v>1.3995629205785802</v>
      </c>
      <c r="TG28" s="363">
        <f t="shared" ca="1" si="317"/>
        <v>1.7282613090607619</v>
      </c>
      <c r="TH28" s="363">
        <f t="shared" ca="1" si="317"/>
        <v>1.1874618218942881</v>
      </c>
      <c r="TI28" s="363">
        <f t="shared" ca="1" si="317"/>
        <v>1.6071587929778604</v>
      </c>
      <c r="TJ28" s="363">
        <f t="shared" ca="1" si="317"/>
        <v>2.1455036562914733</v>
      </c>
      <c r="TK28" s="363">
        <f t="shared" ca="1" si="317"/>
        <v>1.5905031668057668</v>
      </c>
      <c r="TL28" s="363">
        <f t="shared" ca="1" si="317"/>
        <v>2.5119161161524439</v>
      </c>
      <c r="TM28" s="363">
        <f t="shared" ca="1" si="317"/>
        <v>1.8843382872000083</v>
      </c>
      <c r="TN28" s="363">
        <f t="shared" ca="1" si="317"/>
        <v>1.5946680424259507</v>
      </c>
      <c r="TO28" s="363">
        <f t="shared" ca="1" si="317"/>
        <v>2.1344037836499208</v>
      </c>
      <c r="TP28" s="363">
        <f t="shared" ca="1" si="317"/>
        <v>2.1926280517818131</v>
      </c>
      <c r="TQ28" s="363">
        <f t="shared" ca="1" si="317"/>
        <v>2.7649107635739818</v>
      </c>
      <c r="TR28" s="363">
        <f t="shared" ca="1" si="317"/>
        <v>2.5263112258819298</v>
      </c>
      <c r="TS28" s="363">
        <f t="shared" ca="1" si="317"/>
        <v>1.8967193242050926</v>
      </c>
      <c r="TT28" s="363">
        <f t="shared" ca="1" si="317"/>
        <v>1.9211939870033627</v>
      </c>
      <c r="TU28" s="363">
        <f t="shared" ca="1" si="317"/>
        <v>1.5822878037957417</v>
      </c>
      <c r="TV28" s="363">
        <f t="shared" ca="1" si="317"/>
        <v>1.6816577246483166</v>
      </c>
      <c r="TW28" s="363">
        <f t="shared" ca="1" si="317"/>
        <v>2.0981906646032389</v>
      </c>
      <c r="TX28" s="363">
        <f t="shared" ca="1" si="317"/>
        <v>2.02824585907574</v>
      </c>
      <c r="TY28" s="363">
        <f t="shared" ca="1" si="317"/>
        <v>1.5597315390860724</v>
      </c>
      <c r="TZ28" s="363">
        <f t="shared" ca="1" si="317"/>
        <v>1.5387422189707747</v>
      </c>
      <c r="UA28" s="363">
        <f t="shared" ca="1" si="317"/>
        <v>2.5846784500049611</v>
      </c>
      <c r="UB28" s="363">
        <f t="shared" ca="1" si="317"/>
        <v>2.2955005207521291</v>
      </c>
      <c r="UC28" s="363">
        <f t="shared" ca="1" si="317"/>
        <v>1.3862591081845284</v>
      </c>
      <c r="UD28" s="363">
        <f t="shared" ca="1" si="317"/>
        <v>1.9667861340258668</v>
      </c>
      <c r="UE28" s="363">
        <f t="shared" ca="1" si="317"/>
        <v>1.5924120532184192</v>
      </c>
      <c r="UF28" s="363">
        <f t="shared" ca="1" si="317"/>
        <v>2.8347043629261255</v>
      </c>
      <c r="UG28" s="363">
        <f t="shared" ca="1" si="317"/>
        <v>1.4707415043032932</v>
      </c>
      <c r="UH28" s="363">
        <f t="shared" ca="1" si="317"/>
        <v>2.211504049346714</v>
      </c>
      <c r="UI28" s="363">
        <f t="shared" ca="1" si="317"/>
        <v>2.3032596107818906</v>
      </c>
      <c r="UJ28" s="363">
        <f t="shared" ca="1" si="317"/>
        <v>1.7680434217212884</v>
      </c>
      <c r="UK28" s="363">
        <f t="shared" ca="1" si="317"/>
        <v>1.5741108586960826</v>
      </c>
      <c r="UL28" s="363">
        <f t="shared" ca="1" si="317"/>
        <v>2.4611781284669707</v>
      </c>
      <c r="UM28" s="363">
        <f t="shared" ca="1" si="317"/>
        <v>1.6880048190021717</v>
      </c>
      <c r="UN28" s="363">
        <f t="shared" ca="1" si="317"/>
        <v>1.6348468360600414</v>
      </c>
      <c r="UO28" s="363">
        <f t="shared" ca="1" si="317"/>
        <v>1.2398913625133443</v>
      </c>
      <c r="UP28" s="363">
        <f t="shared" ca="1" si="317"/>
        <v>1.7669571614616393</v>
      </c>
      <c r="UQ28" s="363">
        <f t="shared" ca="1" si="317"/>
        <v>2.3380869198421439</v>
      </c>
      <c r="UR28" s="363">
        <f t="shared" ca="1" si="317"/>
        <v>2.3912613559249554</v>
      </c>
      <c r="US28" s="363">
        <f t="shared" ca="1" si="317"/>
        <v>2.4191120161849868</v>
      </c>
      <c r="UT28" s="363">
        <f t="shared" ca="1" si="317"/>
        <v>1.8025881672780646</v>
      </c>
      <c r="UU28" s="363">
        <f t="shared" ca="1" si="317"/>
        <v>1.9223074440270698</v>
      </c>
      <c r="UV28" s="363">
        <f t="shared" ca="1" si="317"/>
        <v>2.34289855553354</v>
      </c>
      <c r="UW28" s="363">
        <f t="shared" ca="1" si="317"/>
        <v>1.2591301551577114</v>
      </c>
      <c r="UX28" s="363">
        <f t="shared" ca="1" si="317"/>
        <v>1.7904836916985709</v>
      </c>
      <c r="UY28" s="363">
        <f t="shared" ca="1" si="317"/>
        <v>2.032201744978809</v>
      </c>
      <c r="UZ28" s="363">
        <f t="shared" ca="1" si="317"/>
        <v>2.0938927715237563</v>
      </c>
      <c r="VA28" s="363">
        <f t="shared" ca="1" si="317"/>
        <v>2.7533059744296429</v>
      </c>
      <c r="VB28" s="363">
        <f t="shared" ca="1" si="317"/>
        <v>1.5242704137088889</v>
      </c>
      <c r="VC28" s="363">
        <f t="shared" ca="1" si="317"/>
        <v>1.6658210181207522</v>
      </c>
      <c r="VD28" s="363">
        <f t="shared" ca="1" si="317"/>
        <v>1.7063031138192823</v>
      </c>
      <c r="VE28" s="363">
        <f t="shared" ca="1" si="317"/>
        <v>1.7247485397823512</v>
      </c>
      <c r="VF28" s="363">
        <f t="shared" ref="VF28:WN28" ca="1" si="318">_xlfn.LOGNORM.INV(RAND(),$I$28,$J$28)</f>
        <v>1.4630114609564873</v>
      </c>
      <c r="VG28" s="363">
        <f t="shared" ca="1" si="318"/>
        <v>1.6004688848905486</v>
      </c>
      <c r="VH28" s="363">
        <f t="shared" ca="1" si="318"/>
        <v>2.0582313745660108</v>
      </c>
      <c r="VI28" s="363">
        <f t="shared" ca="1" si="318"/>
        <v>2.0516178515955925</v>
      </c>
      <c r="VJ28" s="363">
        <f t="shared" ca="1" si="318"/>
        <v>1.7234052362689736</v>
      </c>
      <c r="VK28" s="363">
        <f t="shared" ca="1" si="318"/>
        <v>1.640315218984794</v>
      </c>
      <c r="VL28" s="363">
        <f t="shared" ca="1" si="318"/>
        <v>2.3649367573376479</v>
      </c>
      <c r="VM28" s="363">
        <f t="shared" ca="1" si="318"/>
        <v>1.8143121655557131</v>
      </c>
      <c r="VN28" s="363">
        <f t="shared" ca="1" si="318"/>
        <v>1.87822653796783</v>
      </c>
      <c r="VO28" s="363">
        <f t="shared" ca="1" si="318"/>
        <v>1.8828437764427144</v>
      </c>
      <c r="VP28" s="363">
        <f t="shared" ca="1" si="318"/>
        <v>2.0085529318758564</v>
      </c>
      <c r="VQ28" s="363">
        <f t="shared" ca="1" si="318"/>
        <v>2.7391702999748806</v>
      </c>
      <c r="VR28" s="363">
        <f t="shared" ca="1" si="318"/>
        <v>1.5407831429237848</v>
      </c>
      <c r="VS28" s="363">
        <f t="shared" ca="1" si="318"/>
        <v>2.2949992702460529</v>
      </c>
      <c r="VT28" s="363">
        <f t="shared" ca="1" si="318"/>
        <v>1.7092904391615309</v>
      </c>
      <c r="VU28" s="363">
        <f t="shared" ca="1" si="318"/>
        <v>1.8092749322226644</v>
      </c>
      <c r="VV28" s="363">
        <f t="shared" ca="1" si="318"/>
        <v>2.0816366229058194</v>
      </c>
      <c r="VW28" s="363">
        <f t="shared" ca="1" si="318"/>
        <v>2.247298853197182</v>
      </c>
      <c r="VX28" s="363">
        <f t="shared" ca="1" si="318"/>
        <v>1.8561997395470671</v>
      </c>
      <c r="VY28" s="363">
        <f t="shared" ca="1" si="318"/>
        <v>1.6904906849731094</v>
      </c>
      <c r="VZ28" s="363">
        <f t="shared" ca="1" si="318"/>
        <v>1.8805986459726263</v>
      </c>
      <c r="WA28" s="363">
        <f t="shared" ca="1" si="318"/>
        <v>1.8897308169793074</v>
      </c>
      <c r="WB28" s="363">
        <f t="shared" ca="1" si="318"/>
        <v>2.0173419250175875</v>
      </c>
      <c r="WC28" s="363">
        <f t="shared" ca="1" si="318"/>
        <v>1.7756655839204556</v>
      </c>
      <c r="WD28" s="363">
        <f t="shared" ca="1" si="318"/>
        <v>2.5016439609414447</v>
      </c>
      <c r="WE28" s="363">
        <f t="shared" ca="1" si="318"/>
        <v>1.3078154835390849</v>
      </c>
      <c r="WF28" s="363">
        <f t="shared" ca="1" si="318"/>
        <v>1.3751931351412603</v>
      </c>
      <c r="WG28" s="363">
        <f t="shared" ca="1" si="318"/>
        <v>1.9835760189809131</v>
      </c>
      <c r="WH28" s="363">
        <f t="shared" ca="1" si="318"/>
        <v>2.4229287568480262</v>
      </c>
      <c r="WI28" s="363">
        <f t="shared" ca="1" si="318"/>
        <v>1.6999884254056696</v>
      </c>
      <c r="WJ28" s="363">
        <f t="shared" ca="1" si="318"/>
        <v>1.5535395794597004</v>
      </c>
      <c r="WK28" s="363">
        <f t="shared" ca="1" si="318"/>
        <v>2.7417185754369426</v>
      </c>
      <c r="WL28" s="363">
        <f t="shared" ca="1" si="318"/>
        <v>2.0273966674758812</v>
      </c>
      <c r="WM28" s="363">
        <f t="shared" ca="1" si="318"/>
        <v>1.9737566952403189</v>
      </c>
      <c r="WN28" s="363">
        <f t="shared" ca="1" si="318"/>
        <v>1.3406263662047591</v>
      </c>
    </row>
    <row r="29" spans="2:612" x14ac:dyDescent="0.15">
      <c r="B29" s="469" t="s">
        <v>1240</v>
      </c>
      <c r="D29" s="363">
        <f t="shared" si="0"/>
        <v>1</v>
      </c>
      <c r="F29" s="367">
        <v>1</v>
      </c>
      <c r="G29" s="367" t="s">
        <v>350</v>
      </c>
      <c r="H29" s="363">
        <v>0.11384875067051517</v>
      </c>
      <c r="I29" s="363">
        <f t="shared" si="197"/>
        <v>-6.4807690146185641E-3</v>
      </c>
      <c r="J29" s="367">
        <f t="shared" si="198"/>
        <v>0.1134824046446392</v>
      </c>
      <c r="K29" s="367" t="s">
        <v>1274</v>
      </c>
      <c r="M29" s="363">
        <f ca="1">_xlfn.LOGNORM.INV(RAND(),$I$29,$J$29)</f>
        <v>1.1523678735644256</v>
      </c>
      <c r="N29" s="363">
        <f t="shared" ref="N29:BY29" ca="1" si="319">_xlfn.LOGNORM.INV(RAND(),$I$29,$J$29)</f>
        <v>0.82696549221940252</v>
      </c>
      <c r="O29" s="363">
        <f t="shared" ca="1" si="319"/>
        <v>1.1205067977756902</v>
      </c>
      <c r="P29" s="363">
        <f t="shared" ca="1" si="319"/>
        <v>1.1292567460447032</v>
      </c>
      <c r="Q29" s="363">
        <f t="shared" ca="1" si="319"/>
        <v>0.80157745008828729</v>
      </c>
      <c r="R29" s="363">
        <f t="shared" ca="1" si="319"/>
        <v>0.90348924379307327</v>
      </c>
      <c r="S29" s="363">
        <f t="shared" ca="1" si="319"/>
        <v>1.0679694857781326</v>
      </c>
      <c r="T29" s="363">
        <f t="shared" ca="1" si="319"/>
        <v>1.1251099276019569</v>
      </c>
      <c r="U29" s="363">
        <f t="shared" ca="1" si="319"/>
        <v>0.8347139614105914</v>
      </c>
      <c r="V29" s="363">
        <f t="shared" ca="1" si="319"/>
        <v>1.1118770037589847</v>
      </c>
      <c r="W29" s="363">
        <f t="shared" ca="1" si="319"/>
        <v>0.91078922067419632</v>
      </c>
      <c r="X29" s="363">
        <f t="shared" ca="1" si="319"/>
        <v>1.0532767246511594</v>
      </c>
      <c r="Y29" s="363">
        <f t="shared" ca="1" si="319"/>
        <v>0.87190408513782236</v>
      </c>
      <c r="Z29" s="363">
        <f t="shared" ca="1" si="319"/>
        <v>1.0362077740744615</v>
      </c>
      <c r="AA29" s="363">
        <f t="shared" ca="1" si="319"/>
        <v>1.1461166399066602</v>
      </c>
      <c r="AB29" s="363">
        <f t="shared" ca="1" si="319"/>
        <v>0.95503613009225408</v>
      </c>
      <c r="AC29" s="363">
        <f t="shared" ca="1" si="319"/>
        <v>1.0166825453994346</v>
      </c>
      <c r="AD29" s="363">
        <f t="shared" ca="1" si="319"/>
        <v>1.1644092039715364</v>
      </c>
      <c r="AE29" s="363">
        <f t="shared" ca="1" si="319"/>
        <v>1.0247037903061094</v>
      </c>
      <c r="AF29" s="363">
        <f t="shared" ca="1" si="319"/>
        <v>0.85461820473266426</v>
      </c>
      <c r="AG29" s="363">
        <f t="shared" ca="1" si="319"/>
        <v>1.1357688047096777</v>
      </c>
      <c r="AH29" s="363">
        <f t="shared" ca="1" si="319"/>
        <v>0.83051966066435445</v>
      </c>
      <c r="AI29" s="363">
        <f t="shared" ca="1" si="319"/>
        <v>0.93856328714127224</v>
      </c>
      <c r="AJ29" s="363">
        <f t="shared" ca="1" si="319"/>
        <v>0.85422902896519304</v>
      </c>
      <c r="AK29" s="363">
        <f t="shared" ca="1" si="319"/>
        <v>1.0148026631353522</v>
      </c>
      <c r="AL29" s="363">
        <f t="shared" ca="1" si="319"/>
        <v>0.92277791518683439</v>
      </c>
      <c r="AM29" s="363">
        <f t="shared" ca="1" si="319"/>
        <v>1.1052477103862677</v>
      </c>
      <c r="AN29" s="363">
        <f t="shared" ca="1" si="319"/>
        <v>0.90637520519902204</v>
      </c>
      <c r="AO29" s="363">
        <f t="shared" ca="1" si="319"/>
        <v>0.80315806940072931</v>
      </c>
      <c r="AP29" s="363">
        <f t="shared" ca="1" si="319"/>
        <v>0.96364387313161604</v>
      </c>
      <c r="AQ29" s="363">
        <f t="shared" ca="1" si="319"/>
        <v>0.90751748664792109</v>
      </c>
      <c r="AR29" s="363">
        <f t="shared" ca="1" si="319"/>
        <v>1.1487780297680208</v>
      </c>
      <c r="AS29" s="363">
        <f t="shared" ca="1" si="319"/>
        <v>1.1292351998250423</v>
      </c>
      <c r="AT29" s="363">
        <f t="shared" ca="1" si="319"/>
        <v>1.1843823620922624</v>
      </c>
      <c r="AU29" s="363">
        <f t="shared" ca="1" si="319"/>
        <v>0.84340872385751242</v>
      </c>
      <c r="AV29" s="363">
        <f t="shared" ca="1" si="319"/>
        <v>0.96482158458478684</v>
      </c>
      <c r="AW29" s="363">
        <f t="shared" ca="1" si="319"/>
        <v>0.87900908855616011</v>
      </c>
      <c r="AX29" s="363">
        <f t="shared" ca="1" si="319"/>
        <v>1.0785660954222338</v>
      </c>
      <c r="AY29" s="363">
        <f t="shared" ca="1" si="319"/>
        <v>1.1318377272096962</v>
      </c>
      <c r="AZ29" s="363">
        <f t="shared" ca="1" si="319"/>
        <v>0.93353192611261038</v>
      </c>
      <c r="BA29" s="363">
        <f t="shared" ca="1" si="319"/>
        <v>1.1189114230307426</v>
      </c>
      <c r="BB29" s="363">
        <f t="shared" ca="1" si="319"/>
        <v>1.3696528576463234</v>
      </c>
      <c r="BC29" s="363">
        <f t="shared" ca="1" si="319"/>
        <v>0.92913602714981047</v>
      </c>
      <c r="BD29" s="363">
        <f t="shared" ca="1" si="319"/>
        <v>1.2143486049292869</v>
      </c>
      <c r="BE29" s="363">
        <f t="shared" ca="1" si="319"/>
        <v>0.92767228364123111</v>
      </c>
      <c r="BF29" s="363">
        <f t="shared" ca="1" si="319"/>
        <v>0.98398918755835052</v>
      </c>
      <c r="BG29" s="363">
        <f t="shared" ca="1" si="319"/>
        <v>1.0508901133972668</v>
      </c>
      <c r="BH29" s="363">
        <f t="shared" ca="1" si="319"/>
        <v>1.0377333896743011</v>
      </c>
      <c r="BI29" s="363">
        <f t="shared" ca="1" si="319"/>
        <v>1.0422944813780557</v>
      </c>
      <c r="BJ29" s="363">
        <f t="shared" ca="1" si="319"/>
        <v>0.90558346932429679</v>
      </c>
      <c r="BK29" s="363">
        <f t="shared" ca="1" si="319"/>
        <v>0.85783583103317174</v>
      </c>
      <c r="BL29" s="363">
        <f t="shared" ca="1" si="319"/>
        <v>0.89595625814646007</v>
      </c>
      <c r="BM29" s="363">
        <f t="shared" ca="1" si="319"/>
        <v>1.1570697971913877</v>
      </c>
      <c r="BN29" s="363">
        <f t="shared" ca="1" si="319"/>
        <v>0.97648184444235975</v>
      </c>
      <c r="BO29" s="363">
        <f t="shared" ca="1" si="319"/>
        <v>0.86258516338244207</v>
      </c>
      <c r="BP29" s="363">
        <f t="shared" ca="1" si="319"/>
        <v>0.94676606251944495</v>
      </c>
      <c r="BQ29" s="363">
        <f t="shared" ca="1" si="319"/>
        <v>1.0913534410701686</v>
      </c>
      <c r="BR29" s="363">
        <f t="shared" ca="1" si="319"/>
        <v>1.031186819217389</v>
      </c>
      <c r="BS29" s="363">
        <f t="shared" ca="1" si="319"/>
        <v>1.1792666760881365</v>
      </c>
      <c r="BT29" s="363">
        <f t="shared" ca="1" si="319"/>
        <v>1.0714428166988386</v>
      </c>
      <c r="BU29" s="363">
        <f t="shared" ca="1" si="319"/>
        <v>1.0044434993400035</v>
      </c>
      <c r="BV29" s="363">
        <f t="shared" ca="1" si="319"/>
        <v>0.9708916092214106</v>
      </c>
      <c r="BW29" s="363">
        <f t="shared" ca="1" si="319"/>
        <v>1.0910044915075043</v>
      </c>
      <c r="BX29" s="363">
        <f t="shared" ca="1" si="319"/>
        <v>1.0719207386781524</v>
      </c>
      <c r="BY29" s="363">
        <f t="shared" ca="1" si="319"/>
        <v>0.81522711430166828</v>
      </c>
      <c r="BZ29" s="363">
        <f t="shared" ref="BZ29:DH29" ca="1" si="320">_xlfn.LOGNORM.INV(RAND(),$I$29,$J$29)</f>
        <v>0.73349121256162975</v>
      </c>
      <c r="CA29" s="363">
        <f t="shared" ca="1" si="320"/>
        <v>0.92790535780237726</v>
      </c>
      <c r="CB29" s="363">
        <f t="shared" ca="1" si="320"/>
        <v>0.96199656377904863</v>
      </c>
      <c r="CC29" s="363">
        <f t="shared" ca="1" si="320"/>
        <v>0.836762570752413</v>
      </c>
      <c r="CD29" s="363">
        <f t="shared" ca="1" si="320"/>
        <v>0.98757633914261211</v>
      </c>
      <c r="CE29" s="363">
        <f t="shared" ca="1" si="320"/>
        <v>1.1224396811050845</v>
      </c>
      <c r="CF29" s="363">
        <f t="shared" ca="1" si="320"/>
        <v>0.84053848857771862</v>
      </c>
      <c r="CG29" s="363">
        <f t="shared" ca="1" si="320"/>
        <v>1.0374147322188307</v>
      </c>
      <c r="CH29" s="363">
        <f t="shared" ca="1" si="320"/>
        <v>1.0212629389451497</v>
      </c>
      <c r="CI29" s="363">
        <f t="shared" ca="1" si="320"/>
        <v>1.0828839260147529</v>
      </c>
      <c r="CJ29" s="363">
        <f t="shared" ca="1" si="320"/>
        <v>0.92861749171731878</v>
      </c>
      <c r="CK29" s="363">
        <f t="shared" ca="1" si="320"/>
        <v>0.96260128109612186</v>
      </c>
      <c r="CL29" s="363">
        <f t="shared" ca="1" si="320"/>
        <v>0.87894532019050553</v>
      </c>
      <c r="CM29" s="363">
        <f t="shared" ca="1" si="320"/>
        <v>1.0102647189949536</v>
      </c>
      <c r="CN29" s="363">
        <f t="shared" ca="1" si="320"/>
        <v>1.3663084383049513</v>
      </c>
      <c r="CO29" s="363">
        <f t="shared" ca="1" si="320"/>
        <v>0.9967826018542485</v>
      </c>
      <c r="CP29" s="363">
        <f t="shared" ca="1" si="320"/>
        <v>0.97184076277554043</v>
      </c>
      <c r="CQ29" s="363">
        <f t="shared" ca="1" si="320"/>
        <v>0.99564700817059459</v>
      </c>
      <c r="CR29" s="363">
        <f t="shared" ca="1" si="320"/>
        <v>1.0349266277154503</v>
      </c>
      <c r="CS29" s="363">
        <f t="shared" ca="1" si="320"/>
        <v>1.1069989434554492</v>
      </c>
      <c r="CT29" s="363">
        <f t="shared" ca="1" si="320"/>
        <v>0.89555855212927649</v>
      </c>
      <c r="CU29" s="363">
        <f t="shared" ca="1" si="320"/>
        <v>1.1383795715329266</v>
      </c>
      <c r="CV29" s="363">
        <f t="shared" ca="1" si="320"/>
        <v>0.8769273068127208</v>
      </c>
      <c r="CW29" s="363">
        <f t="shared" ca="1" si="320"/>
        <v>1.0355510826733416</v>
      </c>
      <c r="CX29" s="363">
        <f t="shared" ca="1" si="320"/>
        <v>0.87701954295242679</v>
      </c>
      <c r="CY29" s="363">
        <f t="shared" ca="1" si="320"/>
        <v>0.94370850451779775</v>
      </c>
      <c r="CZ29" s="363">
        <f t="shared" ca="1" si="320"/>
        <v>0.93743858737548702</v>
      </c>
      <c r="DA29" s="363">
        <f t="shared" ca="1" si="320"/>
        <v>0.86857444460774169</v>
      </c>
      <c r="DB29" s="363">
        <f t="shared" ca="1" si="320"/>
        <v>0.8584643996168223</v>
      </c>
      <c r="DC29" s="363">
        <f t="shared" ca="1" si="320"/>
        <v>1.0185182172763818</v>
      </c>
      <c r="DD29" s="363">
        <f t="shared" ca="1" si="320"/>
        <v>0.99076978006304806</v>
      </c>
      <c r="DE29" s="363">
        <f t="shared" ca="1" si="320"/>
        <v>0.98810828440558018</v>
      </c>
      <c r="DF29" s="363">
        <f t="shared" ca="1" si="320"/>
        <v>1.1337552945396281</v>
      </c>
      <c r="DG29" s="363">
        <f t="shared" ca="1" si="320"/>
        <v>0.98196783585752223</v>
      </c>
      <c r="DH29" s="363">
        <f t="shared" ca="1" si="320"/>
        <v>1.1438909768616634</v>
      </c>
      <c r="DI29" s="363">
        <f ca="1">_xlfn.LOGNORM.INV(RAND(),$I$29,$J$29)</f>
        <v>0.94038942295773276</v>
      </c>
      <c r="DJ29" s="363">
        <f t="shared" ref="DJ29:FU29" ca="1" si="321">_xlfn.LOGNORM.INV(RAND(),$I$29,$J$29)</f>
        <v>1.1786730181611207</v>
      </c>
      <c r="DK29" s="363">
        <f t="shared" ca="1" si="321"/>
        <v>0.91755551783456324</v>
      </c>
      <c r="DL29" s="363">
        <f t="shared" ca="1" si="321"/>
        <v>0.81896543585414006</v>
      </c>
      <c r="DM29" s="363">
        <f t="shared" ca="1" si="321"/>
        <v>0.94311292313024087</v>
      </c>
      <c r="DN29" s="363">
        <f t="shared" ca="1" si="321"/>
        <v>0.86106192729845521</v>
      </c>
      <c r="DO29" s="363">
        <f t="shared" ca="1" si="321"/>
        <v>1.0014739587487393</v>
      </c>
      <c r="DP29" s="363">
        <f t="shared" ca="1" si="321"/>
        <v>1.1099364791704225</v>
      </c>
      <c r="DQ29" s="363">
        <f t="shared" ca="1" si="321"/>
        <v>0.84198787325233493</v>
      </c>
      <c r="DR29" s="363">
        <f t="shared" ca="1" si="321"/>
        <v>1.076963959813787</v>
      </c>
      <c r="DS29" s="363">
        <f t="shared" ca="1" si="321"/>
        <v>0.97418654891869272</v>
      </c>
      <c r="DT29" s="363">
        <f t="shared" ca="1" si="321"/>
        <v>1.0351388538408193</v>
      </c>
      <c r="DU29" s="363">
        <f t="shared" ca="1" si="321"/>
        <v>1.1912856697569481</v>
      </c>
      <c r="DV29" s="363">
        <f t="shared" ca="1" si="321"/>
        <v>1.1364111185460815</v>
      </c>
      <c r="DW29" s="363">
        <f t="shared" ca="1" si="321"/>
        <v>0.9779969213992965</v>
      </c>
      <c r="DX29" s="363">
        <f t="shared" ca="1" si="321"/>
        <v>0.85413866116312387</v>
      </c>
      <c r="DY29" s="363">
        <f t="shared" ca="1" si="321"/>
        <v>0.78063682800488199</v>
      </c>
      <c r="DZ29" s="363">
        <f t="shared" ca="1" si="321"/>
        <v>1.0614638667328045</v>
      </c>
      <c r="EA29" s="363">
        <f t="shared" ca="1" si="321"/>
        <v>1.082752717895626</v>
      </c>
      <c r="EB29" s="363">
        <f t="shared" ca="1" si="321"/>
        <v>0.86595253116227056</v>
      </c>
      <c r="EC29" s="363">
        <f t="shared" ca="1" si="321"/>
        <v>0.93715749159014994</v>
      </c>
      <c r="ED29" s="363">
        <f t="shared" ca="1" si="321"/>
        <v>0.89739727965560578</v>
      </c>
      <c r="EE29" s="363">
        <f t="shared" ca="1" si="321"/>
        <v>0.93610825358196081</v>
      </c>
      <c r="EF29" s="363">
        <f t="shared" ca="1" si="321"/>
        <v>0.98557224691780776</v>
      </c>
      <c r="EG29" s="363">
        <f t="shared" ca="1" si="321"/>
        <v>0.86331131729513744</v>
      </c>
      <c r="EH29" s="363">
        <f t="shared" ca="1" si="321"/>
        <v>1.2431084733933315</v>
      </c>
      <c r="EI29" s="363">
        <f t="shared" ca="1" si="321"/>
        <v>0.91264000442342486</v>
      </c>
      <c r="EJ29" s="363">
        <f t="shared" ca="1" si="321"/>
        <v>1.0413098071629454</v>
      </c>
      <c r="EK29" s="363">
        <f t="shared" ca="1" si="321"/>
        <v>0.95215682337317165</v>
      </c>
      <c r="EL29" s="363">
        <f t="shared" ca="1" si="321"/>
        <v>0.97373475686877986</v>
      </c>
      <c r="EM29" s="363">
        <f t="shared" ca="1" si="321"/>
        <v>0.89651637111741467</v>
      </c>
      <c r="EN29" s="363">
        <f t="shared" ca="1" si="321"/>
        <v>1.0671924002168094</v>
      </c>
      <c r="EO29" s="363">
        <f t="shared" ca="1" si="321"/>
        <v>0.94176409116732918</v>
      </c>
      <c r="EP29" s="363">
        <f t="shared" ca="1" si="321"/>
        <v>0.87968134119509689</v>
      </c>
      <c r="EQ29" s="363">
        <f t="shared" ca="1" si="321"/>
        <v>0.94131075821641241</v>
      </c>
      <c r="ER29" s="363">
        <f t="shared" ca="1" si="321"/>
        <v>1.3920211064152417</v>
      </c>
      <c r="ES29" s="363">
        <f t="shared" ca="1" si="321"/>
        <v>0.91073246929789298</v>
      </c>
      <c r="ET29" s="363">
        <f t="shared" ca="1" si="321"/>
        <v>1.1557121110962427</v>
      </c>
      <c r="EU29" s="363">
        <f t="shared" ca="1" si="321"/>
        <v>0.97689444848994722</v>
      </c>
      <c r="EV29" s="363">
        <f t="shared" ca="1" si="321"/>
        <v>1.1772188508591459</v>
      </c>
      <c r="EW29" s="363">
        <f t="shared" ca="1" si="321"/>
        <v>0.67121695001297077</v>
      </c>
      <c r="EX29" s="363">
        <f t="shared" ca="1" si="321"/>
        <v>0.92852643061325202</v>
      </c>
      <c r="EY29" s="363">
        <f t="shared" ca="1" si="321"/>
        <v>0.96931048375190376</v>
      </c>
      <c r="EZ29" s="363">
        <f t="shared" ca="1" si="321"/>
        <v>0.89870081932085122</v>
      </c>
      <c r="FA29" s="363">
        <f t="shared" ca="1" si="321"/>
        <v>1.1258089704997787</v>
      </c>
      <c r="FB29" s="363">
        <f t="shared" ca="1" si="321"/>
        <v>0.86426530135368196</v>
      </c>
      <c r="FC29" s="363">
        <f t="shared" ca="1" si="321"/>
        <v>1.119539009408979</v>
      </c>
      <c r="FD29" s="363">
        <f t="shared" ca="1" si="321"/>
        <v>0.97169536849237015</v>
      </c>
      <c r="FE29" s="363">
        <f t="shared" ca="1" si="321"/>
        <v>0.99816970993156995</v>
      </c>
      <c r="FF29" s="363">
        <f t="shared" ca="1" si="321"/>
        <v>0.97974613502587193</v>
      </c>
      <c r="FG29" s="363">
        <f t="shared" ca="1" si="321"/>
        <v>0.83246299728307194</v>
      </c>
      <c r="FH29" s="363">
        <f t="shared" ca="1" si="321"/>
        <v>0.97279580909709273</v>
      </c>
      <c r="FI29" s="363">
        <f t="shared" ca="1" si="321"/>
        <v>0.83576444776748859</v>
      </c>
      <c r="FJ29" s="363">
        <f t="shared" ca="1" si="321"/>
        <v>1.0211888211501903</v>
      </c>
      <c r="FK29" s="363">
        <f t="shared" ca="1" si="321"/>
        <v>0.92271241152224959</v>
      </c>
      <c r="FL29" s="363">
        <f t="shared" ca="1" si="321"/>
        <v>0.99744712727796536</v>
      </c>
      <c r="FM29" s="363">
        <f t="shared" ca="1" si="321"/>
        <v>1.0459420962160162</v>
      </c>
      <c r="FN29" s="363">
        <f t="shared" ca="1" si="321"/>
        <v>0.92001868166998368</v>
      </c>
      <c r="FO29" s="363">
        <f t="shared" ca="1" si="321"/>
        <v>1.1288359913601167</v>
      </c>
      <c r="FP29" s="363">
        <f t="shared" ca="1" si="321"/>
        <v>0.9755328972411571</v>
      </c>
      <c r="FQ29" s="363">
        <f t="shared" ca="1" si="321"/>
        <v>0.8347028346654668</v>
      </c>
      <c r="FR29" s="363">
        <f t="shared" ca="1" si="321"/>
        <v>1.0052108189787945</v>
      </c>
      <c r="FS29" s="363">
        <f t="shared" ca="1" si="321"/>
        <v>0.87446429129913128</v>
      </c>
      <c r="FT29" s="363">
        <f t="shared" ca="1" si="321"/>
        <v>1.0846476487686585</v>
      </c>
      <c r="FU29" s="363">
        <f t="shared" ca="1" si="321"/>
        <v>0.97285151949731785</v>
      </c>
      <c r="FV29" s="363">
        <f t="shared" ref="FV29:HD29" ca="1" si="322">_xlfn.LOGNORM.INV(RAND(),$I$29,$J$29)</f>
        <v>0.87082150749218623</v>
      </c>
      <c r="FW29" s="363">
        <f t="shared" ca="1" si="322"/>
        <v>1.0672116085495928</v>
      </c>
      <c r="FX29" s="363">
        <f t="shared" ca="1" si="322"/>
        <v>0.91397212025749464</v>
      </c>
      <c r="FY29" s="363">
        <f t="shared" ca="1" si="322"/>
        <v>1.0348573065676157</v>
      </c>
      <c r="FZ29" s="363">
        <f t="shared" ca="1" si="322"/>
        <v>1.0608633009219701</v>
      </c>
      <c r="GA29" s="363">
        <f t="shared" ca="1" si="322"/>
        <v>0.76037896978598096</v>
      </c>
      <c r="GB29" s="363">
        <f t="shared" ca="1" si="322"/>
        <v>0.90443403215427498</v>
      </c>
      <c r="GC29" s="363">
        <f t="shared" ca="1" si="322"/>
        <v>1.2530172606086014</v>
      </c>
      <c r="GD29" s="363">
        <f t="shared" ca="1" si="322"/>
        <v>0.90787068249597469</v>
      </c>
      <c r="GE29" s="363">
        <f t="shared" ca="1" si="322"/>
        <v>0.87087043336322678</v>
      </c>
      <c r="GF29" s="363">
        <f t="shared" ca="1" si="322"/>
        <v>0.98300964028506799</v>
      </c>
      <c r="GG29" s="363">
        <f t="shared" ca="1" si="322"/>
        <v>0.89475592360531864</v>
      </c>
      <c r="GH29" s="363">
        <f t="shared" ca="1" si="322"/>
        <v>1.0054692662719236</v>
      </c>
      <c r="GI29" s="363">
        <f t="shared" ca="1" si="322"/>
        <v>0.9307830873346965</v>
      </c>
      <c r="GJ29" s="363">
        <f t="shared" ca="1" si="322"/>
        <v>0.94044891337262815</v>
      </c>
      <c r="GK29" s="363">
        <f t="shared" ca="1" si="322"/>
        <v>0.80111350890589939</v>
      </c>
      <c r="GL29" s="363">
        <f t="shared" ca="1" si="322"/>
        <v>1.0982409214714404</v>
      </c>
      <c r="GM29" s="363">
        <f t="shared" ca="1" si="322"/>
        <v>0.91943118797211931</v>
      </c>
      <c r="GN29" s="363">
        <f t="shared" ca="1" si="322"/>
        <v>1.0277681132815424</v>
      </c>
      <c r="GO29" s="363">
        <f t="shared" ca="1" si="322"/>
        <v>0.91790937792838934</v>
      </c>
      <c r="GP29" s="363">
        <f t="shared" ca="1" si="322"/>
        <v>1.0670799388278369</v>
      </c>
      <c r="GQ29" s="363">
        <f t="shared" ca="1" si="322"/>
        <v>0.99926537270674654</v>
      </c>
      <c r="GR29" s="363">
        <f t="shared" ca="1" si="322"/>
        <v>1.091029271611957</v>
      </c>
      <c r="GS29" s="363">
        <f t="shared" ca="1" si="322"/>
        <v>0.81193547077717521</v>
      </c>
      <c r="GT29" s="363">
        <f t="shared" ca="1" si="322"/>
        <v>0.88085222249867112</v>
      </c>
      <c r="GU29" s="363">
        <f t="shared" ca="1" si="322"/>
        <v>0.85520206255872344</v>
      </c>
      <c r="GV29" s="363">
        <f t="shared" ca="1" si="322"/>
        <v>1.1009842314937017</v>
      </c>
      <c r="GW29" s="363">
        <f t="shared" ca="1" si="322"/>
        <v>0.77894807010642408</v>
      </c>
      <c r="GX29" s="363">
        <f t="shared" ca="1" si="322"/>
        <v>1.2050954577247357</v>
      </c>
      <c r="GY29" s="363">
        <f t="shared" ca="1" si="322"/>
        <v>0.8237108566394622</v>
      </c>
      <c r="GZ29" s="363">
        <f t="shared" ca="1" si="322"/>
        <v>1.1135380010048948</v>
      </c>
      <c r="HA29" s="363">
        <f t="shared" ca="1" si="322"/>
        <v>0.93414458613284956</v>
      </c>
      <c r="HB29" s="363">
        <f t="shared" ca="1" si="322"/>
        <v>1.0896019825603012</v>
      </c>
      <c r="HC29" s="363">
        <f t="shared" ca="1" si="322"/>
        <v>0.98359723977008184</v>
      </c>
      <c r="HD29" s="363">
        <f t="shared" ca="1" si="322"/>
        <v>0.83523718005346093</v>
      </c>
      <c r="HE29" s="363">
        <f ca="1">_xlfn.LOGNORM.INV(RAND(),$I$29,$J$29)</f>
        <v>0.94987104575293346</v>
      </c>
      <c r="HF29" s="363">
        <f t="shared" ref="HF29:JQ29" ca="1" si="323">_xlfn.LOGNORM.INV(RAND(),$I$29,$J$29)</f>
        <v>0.92199036226215625</v>
      </c>
      <c r="HG29" s="363">
        <f t="shared" ca="1" si="323"/>
        <v>0.90415657466596044</v>
      </c>
      <c r="HH29" s="363">
        <f t="shared" ca="1" si="323"/>
        <v>0.9718846252227652</v>
      </c>
      <c r="HI29" s="363">
        <f t="shared" ca="1" si="323"/>
        <v>1.0247774319718317</v>
      </c>
      <c r="HJ29" s="363">
        <f t="shared" ca="1" si="323"/>
        <v>1.2123872647973719</v>
      </c>
      <c r="HK29" s="363">
        <f t="shared" ca="1" si="323"/>
        <v>1.0949032150470885</v>
      </c>
      <c r="HL29" s="363">
        <f t="shared" ca="1" si="323"/>
        <v>0.98074320982072472</v>
      </c>
      <c r="HM29" s="363">
        <f t="shared" ca="1" si="323"/>
        <v>1.2261852188230491</v>
      </c>
      <c r="HN29" s="363">
        <f t="shared" ca="1" si="323"/>
        <v>1.0046620315092758</v>
      </c>
      <c r="HO29" s="363">
        <f t="shared" ca="1" si="323"/>
        <v>1.040669882872622</v>
      </c>
      <c r="HP29" s="363">
        <f t="shared" ca="1" si="323"/>
        <v>0.88471656478477134</v>
      </c>
      <c r="HQ29" s="363">
        <f t="shared" ca="1" si="323"/>
        <v>0.92386671480454419</v>
      </c>
      <c r="HR29" s="363">
        <f t="shared" ca="1" si="323"/>
        <v>1.0495263452184163</v>
      </c>
      <c r="HS29" s="363">
        <f t="shared" ca="1" si="323"/>
        <v>0.89872882271747823</v>
      </c>
      <c r="HT29" s="363">
        <f t="shared" ca="1" si="323"/>
        <v>0.89975972332985266</v>
      </c>
      <c r="HU29" s="363">
        <f t="shared" ca="1" si="323"/>
        <v>1.1095071486224826</v>
      </c>
      <c r="HV29" s="363">
        <f t="shared" ca="1" si="323"/>
        <v>1.0002853967180971</v>
      </c>
      <c r="HW29" s="363">
        <f t="shared" ca="1" si="323"/>
        <v>0.98915161020776976</v>
      </c>
      <c r="HX29" s="363">
        <f t="shared" ca="1" si="323"/>
        <v>1.1275888802431575</v>
      </c>
      <c r="HY29" s="363">
        <f t="shared" ca="1" si="323"/>
        <v>1.0374554690288624</v>
      </c>
      <c r="HZ29" s="363">
        <f t="shared" ca="1" si="323"/>
        <v>1.0309265649075385</v>
      </c>
      <c r="IA29" s="363">
        <f t="shared" ca="1" si="323"/>
        <v>1.0125030306372687</v>
      </c>
      <c r="IB29" s="363">
        <f t="shared" ca="1" si="323"/>
        <v>0.98154974334951894</v>
      </c>
      <c r="IC29" s="363">
        <f t="shared" ca="1" si="323"/>
        <v>0.98913291733485365</v>
      </c>
      <c r="ID29" s="363">
        <f t="shared" ca="1" si="323"/>
        <v>0.90682238369706836</v>
      </c>
      <c r="IE29" s="363">
        <f t="shared" ca="1" si="323"/>
        <v>1.0686064203748482</v>
      </c>
      <c r="IF29" s="363">
        <f t="shared" ca="1" si="323"/>
        <v>1.1250834304385242</v>
      </c>
      <c r="IG29" s="363">
        <f t="shared" ca="1" si="323"/>
        <v>1.0939197416697473</v>
      </c>
      <c r="IH29" s="363">
        <f t="shared" ca="1" si="323"/>
        <v>1.125467452356222</v>
      </c>
      <c r="II29" s="363">
        <f t="shared" ca="1" si="323"/>
        <v>1.1264014025648517</v>
      </c>
      <c r="IJ29" s="363">
        <f t="shared" ca="1" si="323"/>
        <v>0.85801352693784638</v>
      </c>
      <c r="IK29" s="363">
        <f t="shared" ca="1" si="323"/>
        <v>1.1235190499915539</v>
      </c>
      <c r="IL29" s="363">
        <f t="shared" ca="1" si="323"/>
        <v>1.1736712062481365</v>
      </c>
      <c r="IM29" s="363">
        <f t="shared" ca="1" si="323"/>
        <v>1.1246638508706956</v>
      </c>
      <c r="IN29" s="363">
        <f t="shared" ca="1" si="323"/>
        <v>0.95939588774935569</v>
      </c>
      <c r="IO29" s="363">
        <f t="shared" ca="1" si="323"/>
        <v>1.1297226230826993</v>
      </c>
      <c r="IP29" s="363">
        <f t="shared" ca="1" si="323"/>
        <v>0.96188603756581115</v>
      </c>
      <c r="IQ29" s="363">
        <f t="shared" ca="1" si="323"/>
        <v>0.9388229476261033</v>
      </c>
      <c r="IR29" s="363">
        <f t="shared" ca="1" si="323"/>
        <v>1.0069723523049205</v>
      </c>
      <c r="IS29" s="363">
        <f t="shared" ca="1" si="323"/>
        <v>1.0216115724168848</v>
      </c>
      <c r="IT29" s="363">
        <f t="shared" ca="1" si="323"/>
        <v>0.97317589700920482</v>
      </c>
      <c r="IU29" s="363">
        <f t="shared" ca="1" si="323"/>
        <v>0.86443641834128926</v>
      </c>
      <c r="IV29" s="363">
        <f t="shared" ca="1" si="323"/>
        <v>1.0814573678445918</v>
      </c>
      <c r="IW29" s="363">
        <f t="shared" ca="1" si="323"/>
        <v>0.84202328512721714</v>
      </c>
      <c r="IX29" s="363">
        <f t="shared" ca="1" si="323"/>
        <v>0.96368812819109961</v>
      </c>
      <c r="IY29" s="363">
        <f t="shared" ca="1" si="323"/>
        <v>0.91370397343127108</v>
      </c>
      <c r="IZ29" s="363">
        <f t="shared" ca="1" si="323"/>
        <v>1.0751208708614892</v>
      </c>
      <c r="JA29" s="363">
        <f t="shared" ca="1" si="323"/>
        <v>1.0917550234616107</v>
      </c>
      <c r="JB29" s="363">
        <f t="shared" ca="1" si="323"/>
        <v>0.93176851068684741</v>
      </c>
      <c r="JC29" s="363">
        <f t="shared" ca="1" si="323"/>
        <v>0.93481863583326841</v>
      </c>
      <c r="JD29" s="363">
        <f t="shared" ca="1" si="323"/>
        <v>0.94013186576449825</v>
      </c>
      <c r="JE29" s="363">
        <f t="shared" ca="1" si="323"/>
        <v>1.0370412441730843</v>
      </c>
      <c r="JF29" s="363">
        <f t="shared" ca="1" si="323"/>
        <v>0.9631190335701979</v>
      </c>
      <c r="JG29" s="363">
        <f t="shared" ca="1" si="323"/>
        <v>1.2177407339521995</v>
      </c>
      <c r="JH29" s="363">
        <f t="shared" ca="1" si="323"/>
        <v>1.2015475761232275</v>
      </c>
      <c r="JI29" s="363">
        <f t="shared" ca="1" si="323"/>
        <v>1.1248024856684955</v>
      </c>
      <c r="JJ29" s="363">
        <f t="shared" ca="1" si="323"/>
        <v>0.84004088856319203</v>
      </c>
      <c r="JK29" s="363">
        <f t="shared" ca="1" si="323"/>
        <v>0.82828757312883705</v>
      </c>
      <c r="JL29" s="363">
        <f t="shared" ca="1" si="323"/>
        <v>0.98231123748177751</v>
      </c>
      <c r="JM29" s="363">
        <f t="shared" ca="1" si="323"/>
        <v>0.96279900781487437</v>
      </c>
      <c r="JN29" s="363">
        <f t="shared" ca="1" si="323"/>
        <v>0.98479717834039537</v>
      </c>
      <c r="JO29" s="363">
        <f t="shared" ca="1" si="323"/>
        <v>1.0233395224205852</v>
      </c>
      <c r="JP29" s="363">
        <f t="shared" ca="1" si="323"/>
        <v>1.0745145625994315</v>
      </c>
      <c r="JQ29" s="363">
        <f t="shared" ca="1" si="323"/>
        <v>0.96200128885708613</v>
      </c>
      <c r="JR29" s="363">
        <f t="shared" ref="JR29:KZ29" ca="1" si="324">_xlfn.LOGNORM.INV(RAND(),$I$29,$J$29)</f>
        <v>1.1254204851125174</v>
      </c>
      <c r="JS29" s="363">
        <f t="shared" ca="1" si="324"/>
        <v>0.92898099576707971</v>
      </c>
      <c r="JT29" s="363">
        <f t="shared" ca="1" si="324"/>
        <v>1.0645751848768912</v>
      </c>
      <c r="JU29" s="363">
        <f t="shared" ca="1" si="324"/>
        <v>0.91927851264992644</v>
      </c>
      <c r="JV29" s="363">
        <f t="shared" ca="1" si="324"/>
        <v>1.0318092568261863</v>
      </c>
      <c r="JW29" s="363">
        <f t="shared" ca="1" si="324"/>
        <v>1.0698047100346775</v>
      </c>
      <c r="JX29" s="363">
        <f t="shared" ca="1" si="324"/>
        <v>0.856698330387342</v>
      </c>
      <c r="JY29" s="363">
        <f t="shared" ca="1" si="324"/>
        <v>0.89933711182848519</v>
      </c>
      <c r="JZ29" s="363">
        <f t="shared" ca="1" si="324"/>
        <v>0.84004094973029608</v>
      </c>
      <c r="KA29" s="363">
        <f t="shared" ca="1" si="324"/>
        <v>1.0941557855871771</v>
      </c>
      <c r="KB29" s="363">
        <f t="shared" ca="1" si="324"/>
        <v>0.98642296025324894</v>
      </c>
      <c r="KC29" s="363">
        <f t="shared" ca="1" si="324"/>
        <v>0.93276022559257654</v>
      </c>
      <c r="KD29" s="363">
        <f t="shared" ca="1" si="324"/>
        <v>0.85895290647112921</v>
      </c>
      <c r="KE29" s="363">
        <f t="shared" ca="1" si="324"/>
        <v>0.9447037056545019</v>
      </c>
      <c r="KF29" s="363">
        <f t="shared" ca="1" si="324"/>
        <v>0.99544505599752664</v>
      </c>
      <c r="KG29" s="363">
        <f t="shared" ca="1" si="324"/>
        <v>0.96764875173613463</v>
      </c>
      <c r="KH29" s="363">
        <f t="shared" ca="1" si="324"/>
        <v>0.89845732676878998</v>
      </c>
      <c r="KI29" s="363">
        <f t="shared" ca="1" si="324"/>
        <v>0.91198542832932161</v>
      </c>
      <c r="KJ29" s="363">
        <f t="shared" ca="1" si="324"/>
        <v>0.87292814619136183</v>
      </c>
      <c r="KK29" s="363">
        <f t="shared" ca="1" si="324"/>
        <v>1.030788718856078</v>
      </c>
      <c r="KL29" s="363">
        <f t="shared" ca="1" si="324"/>
        <v>1.1220185859173422</v>
      </c>
      <c r="KM29" s="363">
        <f t="shared" ca="1" si="324"/>
        <v>1.0188105609655709</v>
      </c>
      <c r="KN29" s="363">
        <f t="shared" ca="1" si="324"/>
        <v>0.98406125299548119</v>
      </c>
      <c r="KO29" s="363">
        <f t="shared" ca="1" si="324"/>
        <v>1.0895943662852146</v>
      </c>
      <c r="KP29" s="363">
        <f t="shared" ca="1" si="324"/>
        <v>0.91836667357584312</v>
      </c>
      <c r="KQ29" s="363">
        <f t="shared" ca="1" si="324"/>
        <v>0.90419228483845948</v>
      </c>
      <c r="KR29" s="363">
        <f t="shared" ca="1" si="324"/>
        <v>0.96580423929566095</v>
      </c>
      <c r="KS29" s="363">
        <f t="shared" ca="1" si="324"/>
        <v>1.0297766154097694</v>
      </c>
      <c r="KT29" s="363">
        <f t="shared" ca="1" si="324"/>
        <v>1.0515095535309336</v>
      </c>
      <c r="KU29" s="363">
        <f t="shared" ca="1" si="324"/>
        <v>0.94142546429690555</v>
      </c>
      <c r="KV29" s="363">
        <f t="shared" ca="1" si="324"/>
        <v>0.93910796939380969</v>
      </c>
      <c r="KW29" s="363">
        <f t="shared" ca="1" si="324"/>
        <v>1.0523662749809195</v>
      </c>
      <c r="KX29" s="363">
        <f t="shared" ca="1" si="324"/>
        <v>0.89333975108554597</v>
      </c>
      <c r="KY29" s="363">
        <f t="shared" ca="1" si="324"/>
        <v>1.126245647955286</v>
      </c>
      <c r="KZ29" s="363">
        <f t="shared" ca="1" si="324"/>
        <v>0.7839580015325629</v>
      </c>
      <c r="LA29" s="363">
        <f ca="1">_xlfn.LOGNORM.INV(RAND(),$I$29,$J$29)</f>
        <v>1.0268492589830864</v>
      </c>
      <c r="LB29" s="363">
        <f t="shared" ref="LB29:NM29" ca="1" si="325">_xlfn.LOGNORM.INV(RAND(),$I$29,$J$29)</f>
        <v>1.1144420215172808</v>
      </c>
      <c r="LC29" s="363">
        <f t="shared" ca="1" si="325"/>
        <v>0.82438078255300884</v>
      </c>
      <c r="LD29" s="363">
        <f t="shared" ca="1" si="325"/>
        <v>1.0190544253553098</v>
      </c>
      <c r="LE29" s="363">
        <f t="shared" ca="1" si="325"/>
        <v>1.0183378178918814</v>
      </c>
      <c r="LF29" s="363">
        <f t="shared" ca="1" si="325"/>
        <v>0.85635986475736514</v>
      </c>
      <c r="LG29" s="363">
        <f t="shared" ca="1" si="325"/>
        <v>1.0069029161907814</v>
      </c>
      <c r="LH29" s="363">
        <f t="shared" ca="1" si="325"/>
        <v>0.97340759219191364</v>
      </c>
      <c r="LI29" s="363">
        <f t="shared" ca="1" si="325"/>
        <v>1.132852560668663</v>
      </c>
      <c r="LJ29" s="363">
        <f t="shared" ca="1" si="325"/>
        <v>1.0527768505033646</v>
      </c>
      <c r="LK29" s="363">
        <f t="shared" ca="1" si="325"/>
        <v>0.94323492724544278</v>
      </c>
      <c r="LL29" s="363">
        <f t="shared" ca="1" si="325"/>
        <v>0.8878463563283816</v>
      </c>
      <c r="LM29" s="363">
        <f t="shared" ca="1" si="325"/>
        <v>1.1212943356909664</v>
      </c>
      <c r="LN29" s="363">
        <f t="shared" ca="1" si="325"/>
        <v>0.99184440311830568</v>
      </c>
      <c r="LO29" s="363">
        <f t="shared" ca="1" si="325"/>
        <v>0.78017769721466668</v>
      </c>
      <c r="LP29" s="363">
        <f t="shared" ca="1" si="325"/>
        <v>0.89729478921649697</v>
      </c>
      <c r="LQ29" s="363">
        <f t="shared" ca="1" si="325"/>
        <v>0.91730066583049485</v>
      </c>
      <c r="LR29" s="363">
        <f t="shared" ca="1" si="325"/>
        <v>0.88185910336701012</v>
      </c>
      <c r="LS29" s="363">
        <f t="shared" ca="1" si="325"/>
        <v>0.90030584389147605</v>
      </c>
      <c r="LT29" s="363">
        <f t="shared" ca="1" si="325"/>
        <v>1.1275193464913431</v>
      </c>
      <c r="LU29" s="363">
        <f t="shared" ca="1" si="325"/>
        <v>0.96646553417901837</v>
      </c>
      <c r="LV29" s="363">
        <f t="shared" ca="1" si="325"/>
        <v>1.0174604170017958</v>
      </c>
      <c r="LW29" s="363">
        <f t="shared" ca="1" si="325"/>
        <v>0.89524013466247809</v>
      </c>
      <c r="LX29" s="363">
        <f t="shared" ca="1" si="325"/>
        <v>0.99604583570302552</v>
      </c>
      <c r="LY29" s="363">
        <f t="shared" ca="1" si="325"/>
        <v>1.0743241108455781</v>
      </c>
      <c r="LZ29" s="363">
        <f t="shared" ca="1" si="325"/>
        <v>0.79272717961447292</v>
      </c>
      <c r="MA29" s="363">
        <f t="shared" ca="1" si="325"/>
        <v>0.89312840129246251</v>
      </c>
      <c r="MB29" s="363">
        <f t="shared" ca="1" si="325"/>
        <v>1.1990173167313067</v>
      </c>
      <c r="MC29" s="363">
        <f t="shared" ca="1" si="325"/>
        <v>1.0645686143111632</v>
      </c>
      <c r="MD29" s="363">
        <f t="shared" ca="1" si="325"/>
        <v>1.0274410378852239</v>
      </c>
      <c r="ME29" s="363">
        <f t="shared" ca="1" si="325"/>
        <v>0.8964345168973219</v>
      </c>
      <c r="MF29" s="363">
        <f t="shared" ca="1" si="325"/>
        <v>0.91740082403761747</v>
      </c>
      <c r="MG29" s="363">
        <f t="shared" ca="1" si="325"/>
        <v>1.0374736086109657</v>
      </c>
      <c r="MH29" s="363">
        <f t="shared" ca="1" si="325"/>
        <v>1.0571505585612757</v>
      </c>
      <c r="MI29" s="363">
        <f t="shared" ca="1" si="325"/>
        <v>0.94528570788307131</v>
      </c>
      <c r="MJ29" s="363">
        <f t="shared" ca="1" si="325"/>
        <v>0.91887892369291435</v>
      </c>
      <c r="MK29" s="363">
        <f t="shared" ca="1" si="325"/>
        <v>1.0102758283663775</v>
      </c>
      <c r="ML29" s="363">
        <f t="shared" ca="1" si="325"/>
        <v>1.0111223653513159</v>
      </c>
      <c r="MM29" s="363">
        <f t="shared" ca="1" si="325"/>
        <v>0.94690327077423875</v>
      </c>
      <c r="MN29" s="363">
        <f t="shared" ca="1" si="325"/>
        <v>1.2106457150620882</v>
      </c>
      <c r="MO29" s="363">
        <f t="shared" ca="1" si="325"/>
        <v>0.82456871262300002</v>
      </c>
      <c r="MP29" s="363">
        <f t="shared" ca="1" si="325"/>
        <v>0.93780912413178719</v>
      </c>
      <c r="MQ29" s="363">
        <f t="shared" ca="1" si="325"/>
        <v>1.0569677589763029</v>
      </c>
      <c r="MR29" s="363">
        <f t="shared" ca="1" si="325"/>
        <v>0.96228536884769089</v>
      </c>
      <c r="MS29" s="363">
        <f t="shared" ca="1" si="325"/>
        <v>0.93057653847253119</v>
      </c>
      <c r="MT29" s="363">
        <f t="shared" ca="1" si="325"/>
        <v>1.1651122088138879</v>
      </c>
      <c r="MU29" s="363">
        <f t="shared" ca="1" si="325"/>
        <v>0.9951282952215269</v>
      </c>
      <c r="MV29" s="363">
        <f t="shared" ca="1" si="325"/>
        <v>1.1987130492671652</v>
      </c>
      <c r="MW29" s="363">
        <f t="shared" ca="1" si="325"/>
        <v>1.0149434507183688</v>
      </c>
      <c r="MX29" s="363">
        <f t="shared" ca="1" si="325"/>
        <v>0.92266081905560371</v>
      </c>
      <c r="MY29" s="363">
        <f t="shared" ca="1" si="325"/>
        <v>0.9966658487824317</v>
      </c>
      <c r="MZ29" s="363">
        <f t="shared" ca="1" si="325"/>
        <v>1.2901948095044606</v>
      </c>
      <c r="NA29" s="363">
        <f t="shared" ca="1" si="325"/>
        <v>1.2711905602729245</v>
      </c>
      <c r="NB29" s="363">
        <f t="shared" ca="1" si="325"/>
        <v>0.95231343754228215</v>
      </c>
      <c r="NC29" s="363">
        <f t="shared" ca="1" si="325"/>
        <v>1.1579656809515031</v>
      </c>
      <c r="ND29" s="363">
        <f t="shared" ca="1" si="325"/>
        <v>1.0579967523609068</v>
      </c>
      <c r="NE29" s="363">
        <f t="shared" ca="1" si="325"/>
        <v>0.99889101392783319</v>
      </c>
      <c r="NF29" s="363">
        <f t="shared" ca="1" si="325"/>
        <v>1.0736200490253858</v>
      </c>
      <c r="NG29" s="363">
        <f t="shared" ca="1" si="325"/>
        <v>1.1080131483308113</v>
      </c>
      <c r="NH29" s="363">
        <f t="shared" ca="1" si="325"/>
        <v>0.97653976003399245</v>
      </c>
      <c r="NI29" s="363">
        <f t="shared" ca="1" si="325"/>
        <v>0.87750523841598793</v>
      </c>
      <c r="NJ29" s="363">
        <f t="shared" ca="1" si="325"/>
        <v>0.90932066290967084</v>
      </c>
      <c r="NK29" s="363">
        <f t="shared" ca="1" si="325"/>
        <v>1.0877139933753532</v>
      </c>
      <c r="NL29" s="363">
        <f t="shared" ca="1" si="325"/>
        <v>1.146975140402011</v>
      </c>
      <c r="NM29" s="363">
        <f t="shared" ca="1" si="325"/>
        <v>0.86183394277283953</v>
      </c>
      <c r="NN29" s="363">
        <f t="shared" ref="NN29:OV29" ca="1" si="326">_xlfn.LOGNORM.INV(RAND(),$I$29,$J$29)</f>
        <v>0.97299978124508957</v>
      </c>
      <c r="NO29" s="363">
        <f t="shared" ca="1" si="326"/>
        <v>0.92231154421095318</v>
      </c>
      <c r="NP29" s="363">
        <f t="shared" ca="1" si="326"/>
        <v>1.20320968772526</v>
      </c>
      <c r="NQ29" s="363">
        <f t="shared" ca="1" si="326"/>
        <v>0.95130487562084054</v>
      </c>
      <c r="NR29" s="363">
        <f t="shared" ca="1" si="326"/>
        <v>0.89990263546371074</v>
      </c>
      <c r="NS29" s="363">
        <f t="shared" ca="1" si="326"/>
        <v>1.0221369920596703</v>
      </c>
      <c r="NT29" s="363">
        <f t="shared" ca="1" si="326"/>
        <v>0.94442214282625936</v>
      </c>
      <c r="NU29" s="363">
        <f t="shared" ca="1" si="326"/>
        <v>0.91125877394225552</v>
      </c>
      <c r="NV29" s="363">
        <f t="shared" ca="1" si="326"/>
        <v>1.1054157334933652</v>
      </c>
      <c r="NW29" s="363">
        <f t="shared" ca="1" si="326"/>
        <v>1.0866494248324994</v>
      </c>
      <c r="NX29" s="363">
        <f t="shared" ca="1" si="326"/>
        <v>0.99742013332474222</v>
      </c>
      <c r="NY29" s="363">
        <f t="shared" ca="1" si="326"/>
        <v>0.91546333790746259</v>
      </c>
      <c r="NZ29" s="363">
        <f t="shared" ca="1" si="326"/>
        <v>0.92269399397623164</v>
      </c>
      <c r="OA29" s="363">
        <f t="shared" ca="1" si="326"/>
        <v>0.98746891359139732</v>
      </c>
      <c r="OB29" s="363">
        <f t="shared" ca="1" si="326"/>
        <v>1.0880667916569107</v>
      </c>
      <c r="OC29" s="363">
        <f t="shared" ca="1" si="326"/>
        <v>0.9644892646950417</v>
      </c>
      <c r="OD29" s="363">
        <f t="shared" ca="1" si="326"/>
        <v>1.0276549939780077</v>
      </c>
      <c r="OE29" s="363">
        <f t="shared" ca="1" si="326"/>
        <v>0.94539187949035175</v>
      </c>
      <c r="OF29" s="363">
        <f t="shared" ca="1" si="326"/>
        <v>1.0658527675455642</v>
      </c>
      <c r="OG29" s="363">
        <f t="shared" ca="1" si="326"/>
        <v>1.0775935187554662</v>
      </c>
      <c r="OH29" s="363">
        <f t="shared" ca="1" si="326"/>
        <v>0.86854238009960505</v>
      </c>
      <c r="OI29" s="363">
        <f t="shared" ca="1" si="326"/>
        <v>1.0421740646888069</v>
      </c>
      <c r="OJ29" s="363">
        <f t="shared" ca="1" si="326"/>
        <v>1.0946288041025345</v>
      </c>
      <c r="OK29" s="363">
        <f t="shared" ca="1" si="326"/>
        <v>0.88405204371437562</v>
      </c>
      <c r="OL29" s="363">
        <f t="shared" ca="1" si="326"/>
        <v>0.93079826340384475</v>
      </c>
      <c r="OM29" s="363">
        <f t="shared" ca="1" si="326"/>
        <v>0.94987384985826451</v>
      </c>
      <c r="ON29" s="363">
        <f t="shared" ca="1" si="326"/>
        <v>0.93285862650397378</v>
      </c>
      <c r="OO29" s="363">
        <f t="shared" ca="1" si="326"/>
        <v>0.78676189778030725</v>
      </c>
      <c r="OP29" s="363">
        <f t="shared" ca="1" si="326"/>
        <v>1.0056498237468099</v>
      </c>
      <c r="OQ29" s="363">
        <f t="shared" ca="1" si="326"/>
        <v>1.0950065296684295</v>
      </c>
      <c r="OR29" s="363">
        <f t="shared" ca="1" si="326"/>
        <v>1.073543547960347</v>
      </c>
      <c r="OS29" s="363">
        <f t="shared" ca="1" si="326"/>
        <v>1.0892051923211665</v>
      </c>
      <c r="OT29" s="363">
        <f t="shared" ca="1" si="326"/>
        <v>1.0192522076738333</v>
      </c>
      <c r="OU29" s="363">
        <f t="shared" ca="1" si="326"/>
        <v>1.0327312565834192</v>
      </c>
      <c r="OV29" s="363">
        <f t="shared" ca="1" si="326"/>
        <v>0.83760782672195033</v>
      </c>
      <c r="OW29" s="363">
        <f ca="1">_xlfn.LOGNORM.INV(RAND(),$I$29,$J$29)</f>
        <v>1.0379036005681272</v>
      </c>
      <c r="OX29" s="363">
        <f t="shared" ref="OX29:RI29" ca="1" si="327">_xlfn.LOGNORM.INV(RAND(),$I$29,$J$29)</f>
        <v>1.0073506398365808</v>
      </c>
      <c r="OY29" s="363">
        <f t="shared" ca="1" si="327"/>
        <v>0.93502900182763249</v>
      </c>
      <c r="OZ29" s="363">
        <f t="shared" ca="1" si="327"/>
        <v>1.1068325529975105</v>
      </c>
      <c r="PA29" s="363">
        <f t="shared" ca="1" si="327"/>
        <v>0.97756088995762558</v>
      </c>
      <c r="PB29" s="363">
        <f t="shared" ca="1" si="327"/>
        <v>1.1846662167154702</v>
      </c>
      <c r="PC29" s="363">
        <f t="shared" ca="1" si="327"/>
        <v>0.94839758265813745</v>
      </c>
      <c r="PD29" s="363">
        <f t="shared" ca="1" si="327"/>
        <v>1.0049249515184868</v>
      </c>
      <c r="PE29" s="363">
        <f t="shared" ca="1" si="327"/>
        <v>0.98738484689602457</v>
      </c>
      <c r="PF29" s="363">
        <f t="shared" ca="1" si="327"/>
        <v>0.97172155808903582</v>
      </c>
      <c r="PG29" s="363">
        <f t="shared" ca="1" si="327"/>
        <v>0.90542380055186467</v>
      </c>
      <c r="PH29" s="363">
        <f t="shared" ca="1" si="327"/>
        <v>1.0609099895898702</v>
      </c>
      <c r="PI29" s="363">
        <f t="shared" ca="1" si="327"/>
        <v>0.95695881341422739</v>
      </c>
      <c r="PJ29" s="363">
        <f t="shared" ca="1" si="327"/>
        <v>1.0563519747024304</v>
      </c>
      <c r="PK29" s="363">
        <f t="shared" ca="1" si="327"/>
        <v>0.88835851226074225</v>
      </c>
      <c r="PL29" s="363">
        <f t="shared" ca="1" si="327"/>
        <v>0.94811501762413142</v>
      </c>
      <c r="PM29" s="363">
        <f t="shared" ca="1" si="327"/>
        <v>0.95880896527565751</v>
      </c>
      <c r="PN29" s="363">
        <f t="shared" ca="1" si="327"/>
        <v>1.0261948114639581</v>
      </c>
      <c r="PO29" s="363">
        <f t="shared" ca="1" si="327"/>
        <v>1.130724476037305</v>
      </c>
      <c r="PP29" s="363">
        <f t="shared" ca="1" si="327"/>
        <v>0.95895193950928193</v>
      </c>
      <c r="PQ29" s="363">
        <f t="shared" ca="1" si="327"/>
        <v>1.2551934687427364</v>
      </c>
      <c r="PR29" s="363">
        <f t="shared" ca="1" si="327"/>
        <v>0.97334236042116118</v>
      </c>
      <c r="PS29" s="363">
        <f t="shared" ca="1" si="327"/>
        <v>0.72480718736011296</v>
      </c>
      <c r="PT29" s="363">
        <f t="shared" ca="1" si="327"/>
        <v>1.057030967913636</v>
      </c>
      <c r="PU29" s="363">
        <f t="shared" ca="1" si="327"/>
        <v>0.90153547617853358</v>
      </c>
      <c r="PV29" s="363">
        <f t="shared" ca="1" si="327"/>
        <v>0.93524863622802623</v>
      </c>
      <c r="PW29" s="363">
        <f t="shared" ca="1" si="327"/>
        <v>1.1188814732637686</v>
      </c>
      <c r="PX29" s="363">
        <f t="shared" ca="1" si="327"/>
        <v>0.92382722075274593</v>
      </c>
      <c r="PY29" s="363">
        <f t="shared" ca="1" si="327"/>
        <v>0.99123183924495861</v>
      </c>
      <c r="PZ29" s="363">
        <f t="shared" ca="1" si="327"/>
        <v>0.88522922911838609</v>
      </c>
      <c r="QA29" s="363">
        <f t="shared" ca="1" si="327"/>
        <v>0.76342350363760325</v>
      </c>
      <c r="QB29" s="363">
        <f t="shared" ca="1" si="327"/>
        <v>0.91447124113811706</v>
      </c>
      <c r="QC29" s="363">
        <f t="shared" ca="1" si="327"/>
        <v>0.95975644746137656</v>
      </c>
      <c r="QD29" s="363">
        <f t="shared" ca="1" si="327"/>
        <v>0.94485206899371765</v>
      </c>
      <c r="QE29" s="363">
        <f t="shared" ca="1" si="327"/>
        <v>0.88886814163728578</v>
      </c>
      <c r="QF29" s="363">
        <f t="shared" ca="1" si="327"/>
        <v>0.90658746179644856</v>
      </c>
      <c r="QG29" s="363">
        <f t="shared" ca="1" si="327"/>
        <v>1.1314361726354405</v>
      </c>
      <c r="QH29" s="363">
        <f t="shared" ca="1" si="327"/>
        <v>0.94071557895945623</v>
      </c>
      <c r="QI29" s="363">
        <f t="shared" ca="1" si="327"/>
        <v>1.1713522516267498</v>
      </c>
      <c r="QJ29" s="363">
        <f t="shared" ca="1" si="327"/>
        <v>1.0709480475174262</v>
      </c>
      <c r="QK29" s="363">
        <f t="shared" ca="1" si="327"/>
        <v>1.0427280032124926</v>
      </c>
      <c r="QL29" s="363">
        <f t="shared" ca="1" si="327"/>
        <v>0.98886980134266211</v>
      </c>
      <c r="QM29" s="363">
        <f t="shared" ca="1" si="327"/>
        <v>0.89389882555444444</v>
      </c>
      <c r="QN29" s="363">
        <f t="shared" ca="1" si="327"/>
        <v>0.9296952940965858</v>
      </c>
      <c r="QO29" s="363">
        <f t="shared" ca="1" si="327"/>
        <v>1.0771995217049304</v>
      </c>
      <c r="QP29" s="363">
        <f t="shared" ca="1" si="327"/>
        <v>0.8993062666744861</v>
      </c>
      <c r="QQ29" s="363">
        <f t="shared" ca="1" si="327"/>
        <v>0.94622970098517289</v>
      </c>
      <c r="QR29" s="363">
        <f t="shared" ca="1" si="327"/>
        <v>0.92543295453259822</v>
      </c>
      <c r="QS29" s="363">
        <f t="shared" ca="1" si="327"/>
        <v>0.96950865534713415</v>
      </c>
      <c r="QT29" s="363">
        <f t="shared" ca="1" si="327"/>
        <v>1.095096549205834</v>
      </c>
      <c r="QU29" s="363">
        <f t="shared" ca="1" si="327"/>
        <v>0.97657246971080935</v>
      </c>
      <c r="QV29" s="363">
        <f t="shared" ca="1" si="327"/>
        <v>0.99298392048563211</v>
      </c>
      <c r="QW29" s="363">
        <f t="shared" ca="1" si="327"/>
        <v>0.8444667874206</v>
      </c>
      <c r="QX29" s="363">
        <f t="shared" ca="1" si="327"/>
        <v>1.0805088565156717</v>
      </c>
      <c r="QY29" s="363">
        <f t="shared" ca="1" si="327"/>
        <v>1.076517446257212</v>
      </c>
      <c r="QZ29" s="363">
        <f t="shared" ca="1" si="327"/>
        <v>1.0312700984341312</v>
      </c>
      <c r="RA29" s="363">
        <f t="shared" ca="1" si="327"/>
        <v>0.96907324876326206</v>
      </c>
      <c r="RB29" s="363">
        <f t="shared" ca="1" si="327"/>
        <v>0.84751542911043964</v>
      </c>
      <c r="RC29" s="363">
        <f t="shared" ca="1" si="327"/>
        <v>1.0884236029116476</v>
      </c>
      <c r="RD29" s="363">
        <f t="shared" ca="1" si="327"/>
        <v>1.005219287803522</v>
      </c>
      <c r="RE29" s="363">
        <f t="shared" ca="1" si="327"/>
        <v>0.89030450690023932</v>
      </c>
      <c r="RF29" s="363">
        <f t="shared" ca="1" si="327"/>
        <v>0.88934584113327553</v>
      </c>
      <c r="RG29" s="363">
        <f t="shared" ca="1" si="327"/>
        <v>0.8806409684864821</v>
      </c>
      <c r="RH29" s="363">
        <f t="shared" ca="1" si="327"/>
        <v>0.82589606784577607</v>
      </c>
      <c r="RI29" s="363">
        <f t="shared" ca="1" si="327"/>
        <v>1.1125467020219975</v>
      </c>
      <c r="RJ29" s="363">
        <f t="shared" ref="RJ29:SR29" ca="1" si="328">_xlfn.LOGNORM.INV(RAND(),$I$29,$J$29)</f>
        <v>1.1406264715730861</v>
      </c>
      <c r="RK29" s="363">
        <f t="shared" ca="1" si="328"/>
        <v>0.93765937374829234</v>
      </c>
      <c r="RL29" s="363">
        <f t="shared" ca="1" si="328"/>
        <v>1.0351024127771467</v>
      </c>
      <c r="RM29" s="363">
        <f t="shared" ca="1" si="328"/>
        <v>1.0848434687747439</v>
      </c>
      <c r="RN29" s="363">
        <f t="shared" ca="1" si="328"/>
        <v>0.9584390311626606</v>
      </c>
      <c r="RO29" s="363">
        <f t="shared" ca="1" si="328"/>
        <v>1.3024034477772868</v>
      </c>
      <c r="RP29" s="363">
        <f t="shared" ca="1" si="328"/>
        <v>1.0056440722306625</v>
      </c>
      <c r="RQ29" s="363">
        <f t="shared" ca="1" si="328"/>
        <v>1.0401217096385973</v>
      </c>
      <c r="RR29" s="363">
        <f t="shared" ca="1" si="328"/>
        <v>1.2819199848926981</v>
      </c>
      <c r="RS29" s="363">
        <f t="shared" ca="1" si="328"/>
        <v>1.0089488820885051</v>
      </c>
      <c r="RT29" s="363">
        <f t="shared" ca="1" si="328"/>
        <v>1.069216186264774</v>
      </c>
      <c r="RU29" s="363">
        <f t="shared" ca="1" si="328"/>
        <v>1.0853535902260039</v>
      </c>
      <c r="RV29" s="363">
        <f t="shared" ca="1" si="328"/>
        <v>0.91246577829276765</v>
      </c>
      <c r="RW29" s="363">
        <f t="shared" ca="1" si="328"/>
        <v>1.0406927806712682</v>
      </c>
      <c r="RX29" s="363">
        <f t="shared" ca="1" si="328"/>
        <v>0.89770027761109472</v>
      </c>
      <c r="RY29" s="363">
        <f t="shared" ca="1" si="328"/>
        <v>0.94440366058696745</v>
      </c>
      <c r="RZ29" s="363">
        <f t="shared" ca="1" si="328"/>
        <v>0.98822366684714125</v>
      </c>
      <c r="SA29" s="363">
        <f t="shared" ca="1" si="328"/>
        <v>0.95391198627787821</v>
      </c>
      <c r="SB29" s="363">
        <f t="shared" ca="1" si="328"/>
        <v>1.4664003645258656</v>
      </c>
      <c r="SC29" s="363">
        <f t="shared" ca="1" si="328"/>
        <v>1.1467138758055129</v>
      </c>
      <c r="SD29" s="363">
        <f t="shared" ca="1" si="328"/>
        <v>0.99443839138460677</v>
      </c>
      <c r="SE29" s="363">
        <f t="shared" ca="1" si="328"/>
        <v>0.83318642462717285</v>
      </c>
      <c r="SF29" s="363">
        <f t="shared" ca="1" si="328"/>
        <v>1.0087805433231543</v>
      </c>
      <c r="SG29" s="363">
        <f t="shared" ca="1" si="328"/>
        <v>1.2069211351202236</v>
      </c>
      <c r="SH29" s="363">
        <f t="shared" ca="1" si="328"/>
        <v>0.98756105677532524</v>
      </c>
      <c r="SI29" s="363">
        <f t="shared" ca="1" si="328"/>
        <v>1.1975475138325413</v>
      </c>
      <c r="SJ29" s="363">
        <f t="shared" ca="1" si="328"/>
        <v>0.9830043693432664</v>
      </c>
      <c r="SK29" s="363">
        <f t="shared" ca="1" si="328"/>
        <v>0.99682161190421348</v>
      </c>
      <c r="SL29" s="363">
        <f t="shared" ca="1" si="328"/>
        <v>1.130691013833238</v>
      </c>
      <c r="SM29" s="363">
        <f t="shared" ca="1" si="328"/>
        <v>1.0820287055118862</v>
      </c>
      <c r="SN29" s="363">
        <f t="shared" ca="1" si="328"/>
        <v>0.93969845881735847</v>
      </c>
      <c r="SO29" s="363">
        <f t="shared" ca="1" si="328"/>
        <v>1.035212324965433</v>
      </c>
      <c r="SP29" s="363">
        <f t="shared" ca="1" si="328"/>
        <v>0.9738400032822736</v>
      </c>
      <c r="SQ29" s="363">
        <f t="shared" ca="1" si="328"/>
        <v>1.0337122063263877</v>
      </c>
      <c r="SR29" s="363">
        <f t="shared" ca="1" si="328"/>
        <v>0.93112878859647974</v>
      </c>
      <c r="SS29" s="363">
        <f ca="1">_xlfn.LOGNORM.INV(RAND(),$I$29,$J$29)</f>
        <v>0.9573370321122403</v>
      </c>
      <c r="ST29" s="363">
        <f t="shared" ref="ST29:VE29" ca="1" si="329">_xlfn.LOGNORM.INV(RAND(),$I$29,$J$29)</f>
        <v>0.83169331197489726</v>
      </c>
      <c r="SU29" s="363">
        <f t="shared" ca="1" si="329"/>
        <v>1.0401556442751341</v>
      </c>
      <c r="SV29" s="363">
        <f t="shared" ca="1" si="329"/>
        <v>1.0550879059086797</v>
      </c>
      <c r="SW29" s="363">
        <f t="shared" ca="1" si="329"/>
        <v>1.1357557150271698</v>
      </c>
      <c r="SX29" s="363">
        <f t="shared" ca="1" si="329"/>
        <v>1.0817951869968532</v>
      </c>
      <c r="SY29" s="363">
        <f t="shared" ca="1" si="329"/>
        <v>0.92972242854238685</v>
      </c>
      <c r="SZ29" s="363">
        <f t="shared" ca="1" si="329"/>
        <v>0.94969652135779359</v>
      </c>
      <c r="TA29" s="363">
        <f t="shared" ca="1" si="329"/>
        <v>1.0424090214608479</v>
      </c>
      <c r="TB29" s="363">
        <f t="shared" ca="1" si="329"/>
        <v>1.1074039393246158</v>
      </c>
      <c r="TC29" s="363">
        <f t="shared" ca="1" si="329"/>
        <v>1.1834061428841525</v>
      </c>
      <c r="TD29" s="363">
        <f t="shared" ca="1" si="329"/>
        <v>1.0754166134908476</v>
      </c>
      <c r="TE29" s="363">
        <f t="shared" ca="1" si="329"/>
        <v>0.91460706709992501</v>
      </c>
      <c r="TF29" s="363">
        <f t="shared" ca="1" si="329"/>
        <v>1.0524490433004063</v>
      </c>
      <c r="TG29" s="363">
        <f t="shared" ca="1" si="329"/>
        <v>1.0883529612898994</v>
      </c>
      <c r="TH29" s="363">
        <f t="shared" ca="1" si="329"/>
        <v>0.94452205257937349</v>
      </c>
      <c r="TI29" s="363">
        <f t="shared" ca="1" si="329"/>
        <v>1.0586260467854653</v>
      </c>
      <c r="TJ29" s="363">
        <f t="shared" ca="1" si="329"/>
        <v>0.99444909914427726</v>
      </c>
      <c r="TK29" s="363">
        <f t="shared" ca="1" si="329"/>
        <v>0.94577255616732026</v>
      </c>
      <c r="TL29" s="363">
        <f t="shared" ca="1" si="329"/>
        <v>0.98697695805142538</v>
      </c>
      <c r="TM29" s="363">
        <f t="shared" ca="1" si="329"/>
        <v>1.0710789013393425</v>
      </c>
      <c r="TN29" s="363">
        <f t="shared" ca="1" si="329"/>
        <v>0.80355860624989184</v>
      </c>
      <c r="TO29" s="363">
        <f t="shared" ca="1" si="329"/>
        <v>0.85766538229398959</v>
      </c>
      <c r="TP29" s="363">
        <f t="shared" ca="1" si="329"/>
        <v>1.1695970411846668</v>
      </c>
      <c r="TQ29" s="363">
        <f t="shared" ca="1" si="329"/>
        <v>0.88493716299577407</v>
      </c>
      <c r="TR29" s="363">
        <f t="shared" ca="1" si="329"/>
        <v>1.2525149401547058</v>
      </c>
      <c r="TS29" s="363">
        <f t="shared" ca="1" si="329"/>
        <v>0.9871303621732469</v>
      </c>
      <c r="TT29" s="363">
        <f t="shared" ca="1" si="329"/>
        <v>0.85400102390631438</v>
      </c>
      <c r="TU29" s="363">
        <f t="shared" ca="1" si="329"/>
        <v>0.86912834024486629</v>
      </c>
      <c r="TV29" s="363">
        <f t="shared" ca="1" si="329"/>
        <v>1.0414987718373607</v>
      </c>
      <c r="TW29" s="363">
        <f t="shared" ca="1" si="329"/>
        <v>1.0028027446410932</v>
      </c>
      <c r="TX29" s="363">
        <f t="shared" ca="1" si="329"/>
        <v>0.82943159406774514</v>
      </c>
      <c r="TY29" s="363">
        <f t="shared" ca="1" si="329"/>
        <v>1.1996809982088601</v>
      </c>
      <c r="TZ29" s="363">
        <f t="shared" ca="1" si="329"/>
        <v>0.95684926288312677</v>
      </c>
      <c r="UA29" s="363">
        <f t="shared" ca="1" si="329"/>
        <v>1.043898188983851</v>
      </c>
      <c r="UB29" s="363">
        <f t="shared" ca="1" si="329"/>
        <v>0.95150028057404334</v>
      </c>
      <c r="UC29" s="363">
        <f t="shared" ca="1" si="329"/>
        <v>0.87941773015556979</v>
      </c>
      <c r="UD29" s="363">
        <f t="shared" ca="1" si="329"/>
        <v>0.94975113732424921</v>
      </c>
      <c r="UE29" s="363">
        <f t="shared" ca="1" si="329"/>
        <v>0.9273996095912479</v>
      </c>
      <c r="UF29" s="363">
        <f t="shared" ca="1" si="329"/>
        <v>0.95379263014467242</v>
      </c>
      <c r="UG29" s="363">
        <f t="shared" ca="1" si="329"/>
        <v>1.2343859193771471</v>
      </c>
      <c r="UH29" s="363">
        <f t="shared" ca="1" si="329"/>
        <v>0.7405675228351386</v>
      </c>
      <c r="UI29" s="363">
        <f t="shared" ca="1" si="329"/>
        <v>1.1063183720445833</v>
      </c>
      <c r="UJ29" s="363">
        <f t="shared" ca="1" si="329"/>
        <v>1.0450796357241401</v>
      </c>
      <c r="UK29" s="363">
        <f t="shared" ca="1" si="329"/>
        <v>0.85719291793641983</v>
      </c>
      <c r="UL29" s="363">
        <f t="shared" ca="1" si="329"/>
        <v>0.98765410340954674</v>
      </c>
      <c r="UM29" s="363">
        <f t="shared" ca="1" si="329"/>
        <v>0.9684635321306021</v>
      </c>
      <c r="UN29" s="363">
        <f t="shared" ca="1" si="329"/>
        <v>1.095802909359193</v>
      </c>
      <c r="UO29" s="363">
        <f t="shared" ca="1" si="329"/>
        <v>0.89577675685884506</v>
      </c>
      <c r="UP29" s="363">
        <f t="shared" ca="1" si="329"/>
        <v>0.87634482718584827</v>
      </c>
      <c r="UQ29" s="363">
        <f t="shared" ca="1" si="329"/>
        <v>0.95484570634721455</v>
      </c>
      <c r="UR29" s="363">
        <f t="shared" ca="1" si="329"/>
        <v>0.97066498328204376</v>
      </c>
      <c r="US29" s="363">
        <f t="shared" ca="1" si="329"/>
        <v>0.96953085178476517</v>
      </c>
      <c r="UT29" s="363">
        <f t="shared" ca="1" si="329"/>
        <v>1.0945105779121183</v>
      </c>
      <c r="UU29" s="363">
        <f t="shared" ca="1" si="329"/>
        <v>0.83200910321246002</v>
      </c>
      <c r="UV29" s="363">
        <f t="shared" ca="1" si="329"/>
        <v>1.3849036865199893</v>
      </c>
      <c r="UW29" s="363">
        <f t="shared" ca="1" si="329"/>
        <v>0.84937124882200865</v>
      </c>
      <c r="UX29" s="363">
        <f t="shared" ca="1" si="329"/>
        <v>1.0641515562846451</v>
      </c>
      <c r="UY29" s="363">
        <f t="shared" ca="1" si="329"/>
        <v>0.89784162688557245</v>
      </c>
      <c r="UZ29" s="363">
        <f t="shared" ca="1" si="329"/>
        <v>0.84850259530710559</v>
      </c>
      <c r="VA29" s="363">
        <f t="shared" ca="1" si="329"/>
        <v>1.1004453545029678</v>
      </c>
      <c r="VB29" s="363">
        <f t="shared" ca="1" si="329"/>
        <v>0.94675023324027563</v>
      </c>
      <c r="VC29" s="363">
        <f t="shared" ca="1" si="329"/>
        <v>1.0172473834715183</v>
      </c>
      <c r="VD29" s="363">
        <f t="shared" ca="1" si="329"/>
        <v>0.89023949063694352</v>
      </c>
      <c r="VE29" s="363">
        <f t="shared" ca="1" si="329"/>
        <v>0.88508408087934076</v>
      </c>
      <c r="VF29" s="363">
        <f t="shared" ref="VF29:WN29" ca="1" si="330">_xlfn.LOGNORM.INV(RAND(),$I$29,$J$29)</f>
        <v>0.89842619227272591</v>
      </c>
      <c r="VG29" s="363">
        <f t="shared" ca="1" si="330"/>
        <v>0.99055440919285209</v>
      </c>
      <c r="VH29" s="363">
        <f t="shared" ca="1" si="330"/>
        <v>0.87035407994269276</v>
      </c>
      <c r="VI29" s="363">
        <f t="shared" ca="1" si="330"/>
        <v>1.1278149686615784</v>
      </c>
      <c r="VJ29" s="363">
        <f t="shared" ca="1" si="330"/>
        <v>0.97044299094431885</v>
      </c>
      <c r="VK29" s="363">
        <f t="shared" ca="1" si="330"/>
        <v>0.98824425283064132</v>
      </c>
      <c r="VL29" s="363">
        <f t="shared" ca="1" si="330"/>
        <v>1.0361655041464226</v>
      </c>
      <c r="VM29" s="363">
        <f t="shared" ca="1" si="330"/>
        <v>0.90033740558568043</v>
      </c>
      <c r="VN29" s="363">
        <f t="shared" ca="1" si="330"/>
        <v>0.92856040870972367</v>
      </c>
      <c r="VO29" s="363">
        <f t="shared" ca="1" si="330"/>
        <v>0.96932216586010023</v>
      </c>
      <c r="VP29" s="363">
        <f t="shared" ca="1" si="330"/>
        <v>0.86232262959105821</v>
      </c>
      <c r="VQ29" s="363">
        <f t="shared" ca="1" si="330"/>
        <v>0.91711101314498078</v>
      </c>
      <c r="VR29" s="363">
        <f t="shared" ca="1" si="330"/>
        <v>1.2533825138244115</v>
      </c>
      <c r="VS29" s="363">
        <f t="shared" ca="1" si="330"/>
        <v>0.93734927796932099</v>
      </c>
      <c r="VT29" s="363">
        <f t="shared" ca="1" si="330"/>
        <v>0.94898729764143452</v>
      </c>
      <c r="VU29" s="363">
        <f t="shared" ca="1" si="330"/>
        <v>1.0395943722451659</v>
      </c>
      <c r="VV29" s="363">
        <f t="shared" ca="1" si="330"/>
        <v>0.95111851820896798</v>
      </c>
      <c r="VW29" s="363">
        <f t="shared" ca="1" si="330"/>
        <v>0.98442826168036135</v>
      </c>
      <c r="VX29" s="363">
        <f t="shared" ca="1" si="330"/>
        <v>0.96573898905519806</v>
      </c>
      <c r="VY29" s="363">
        <f t="shared" ca="1" si="330"/>
        <v>0.97522931848672656</v>
      </c>
      <c r="VZ29" s="363">
        <f t="shared" ca="1" si="330"/>
        <v>0.87720097297269417</v>
      </c>
      <c r="WA29" s="363">
        <f t="shared" ca="1" si="330"/>
        <v>0.96361510395257532</v>
      </c>
      <c r="WB29" s="363">
        <f t="shared" ca="1" si="330"/>
        <v>1.0412960695985936</v>
      </c>
      <c r="WC29" s="363">
        <f t="shared" ca="1" si="330"/>
        <v>1.2331838465068572</v>
      </c>
      <c r="WD29" s="363">
        <f t="shared" ca="1" si="330"/>
        <v>1.0076438769460749</v>
      </c>
      <c r="WE29" s="363">
        <f t="shared" ca="1" si="330"/>
        <v>0.97587738542451918</v>
      </c>
      <c r="WF29" s="363">
        <f t="shared" ca="1" si="330"/>
        <v>0.81113155879869669</v>
      </c>
      <c r="WG29" s="363">
        <f t="shared" ca="1" si="330"/>
        <v>0.84699942183729315</v>
      </c>
      <c r="WH29" s="363">
        <f t="shared" ca="1" si="330"/>
        <v>1.1062258980063731</v>
      </c>
      <c r="WI29" s="363">
        <f t="shared" ca="1" si="330"/>
        <v>0.8927143424446462</v>
      </c>
      <c r="WJ29" s="363">
        <f t="shared" ca="1" si="330"/>
        <v>0.97899363896494285</v>
      </c>
      <c r="WK29" s="363">
        <f t="shared" ca="1" si="330"/>
        <v>0.95519737151619544</v>
      </c>
      <c r="WL29" s="363">
        <f t="shared" ca="1" si="330"/>
        <v>0.98496596943370185</v>
      </c>
      <c r="WM29" s="363">
        <f t="shared" ca="1" si="330"/>
        <v>1.07699685982407</v>
      </c>
      <c r="WN29" s="363">
        <f t="shared" ca="1" si="330"/>
        <v>0.94250717507583348</v>
      </c>
    </row>
    <row r="30" spans="2:612" x14ac:dyDescent="0.15">
      <c r="B30" s="469" t="s">
        <v>1241</v>
      </c>
      <c r="D30" s="363">
        <f t="shared" si="0"/>
        <v>1</v>
      </c>
      <c r="F30" s="367">
        <v>1</v>
      </c>
      <c r="G30" s="367" t="s">
        <v>350</v>
      </c>
      <c r="H30" s="363">
        <v>0.11384875067051517</v>
      </c>
      <c r="I30" s="363">
        <f t="shared" si="197"/>
        <v>-6.4807690146185641E-3</v>
      </c>
      <c r="J30" s="367">
        <f t="shared" si="198"/>
        <v>0.1134824046446392</v>
      </c>
      <c r="K30" s="367" t="s">
        <v>1274</v>
      </c>
      <c r="M30" s="363">
        <f ca="1">_xlfn.LOGNORM.INV(RAND(),$I$30,$J$30)</f>
        <v>1.1426602668319741</v>
      </c>
      <c r="N30" s="363">
        <f t="shared" ref="N30:BY30" ca="1" si="331">_xlfn.LOGNORM.INV(RAND(),$I$30,$J$30)</f>
        <v>1.1104508191080935</v>
      </c>
      <c r="O30" s="363">
        <f t="shared" ca="1" si="331"/>
        <v>0.92785519301592811</v>
      </c>
      <c r="P30" s="363">
        <f t="shared" ca="1" si="331"/>
        <v>1.0086335841122498</v>
      </c>
      <c r="Q30" s="363">
        <f t="shared" ca="1" si="331"/>
        <v>0.99310093929621623</v>
      </c>
      <c r="R30" s="363">
        <f t="shared" ca="1" si="331"/>
        <v>1.0560826978077626</v>
      </c>
      <c r="S30" s="363">
        <f t="shared" ca="1" si="331"/>
        <v>1.1855798222787235</v>
      </c>
      <c r="T30" s="363">
        <f t="shared" ca="1" si="331"/>
        <v>0.9981056184739503</v>
      </c>
      <c r="U30" s="363">
        <f t="shared" ca="1" si="331"/>
        <v>1.1050821416234817</v>
      </c>
      <c r="V30" s="363">
        <f t="shared" ca="1" si="331"/>
        <v>1.0739218214306747</v>
      </c>
      <c r="W30" s="363">
        <f t="shared" ca="1" si="331"/>
        <v>1.1497684406092241</v>
      </c>
      <c r="X30" s="363">
        <f t="shared" ca="1" si="331"/>
        <v>1.0872274452248682</v>
      </c>
      <c r="Y30" s="363">
        <f t="shared" ca="1" si="331"/>
        <v>1.0192433220969075</v>
      </c>
      <c r="Z30" s="363">
        <f t="shared" ca="1" si="331"/>
        <v>1.1641857972367013</v>
      </c>
      <c r="AA30" s="363">
        <f t="shared" ca="1" si="331"/>
        <v>1.0256076442839117</v>
      </c>
      <c r="AB30" s="363">
        <f t="shared" ca="1" si="331"/>
        <v>1.0224909855536874</v>
      </c>
      <c r="AC30" s="363">
        <f t="shared" ca="1" si="331"/>
        <v>1.0867701330632527</v>
      </c>
      <c r="AD30" s="363">
        <f t="shared" ca="1" si="331"/>
        <v>0.88428837094700652</v>
      </c>
      <c r="AE30" s="363">
        <f t="shared" ca="1" si="331"/>
        <v>1.0019957648400479</v>
      </c>
      <c r="AF30" s="363">
        <f t="shared" ca="1" si="331"/>
        <v>0.95638884351920417</v>
      </c>
      <c r="AG30" s="363">
        <f t="shared" ca="1" si="331"/>
        <v>0.86999411035706764</v>
      </c>
      <c r="AH30" s="363">
        <f t="shared" ca="1" si="331"/>
        <v>0.99979380531850348</v>
      </c>
      <c r="AI30" s="363">
        <f t="shared" ca="1" si="331"/>
        <v>0.82232099918960022</v>
      </c>
      <c r="AJ30" s="363">
        <f t="shared" ca="1" si="331"/>
        <v>1.2452122340586513</v>
      </c>
      <c r="AK30" s="363">
        <f t="shared" ca="1" si="331"/>
        <v>0.84862397095640152</v>
      </c>
      <c r="AL30" s="363">
        <f t="shared" ca="1" si="331"/>
        <v>1.1297745429539392</v>
      </c>
      <c r="AM30" s="363">
        <f t="shared" ca="1" si="331"/>
        <v>0.8929070384213712</v>
      </c>
      <c r="AN30" s="363">
        <f t="shared" ca="1" si="331"/>
        <v>0.95449486629086167</v>
      </c>
      <c r="AO30" s="363">
        <f t="shared" ca="1" si="331"/>
        <v>0.90809065543956036</v>
      </c>
      <c r="AP30" s="363">
        <f t="shared" ca="1" si="331"/>
        <v>0.89276019216157299</v>
      </c>
      <c r="AQ30" s="363">
        <f t="shared" ca="1" si="331"/>
        <v>0.86995199800090206</v>
      </c>
      <c r="AR30" s="363">
        <f t="shared" ca="1" si="331"/>
        <v>1.0166013454049434</v>
      </c>
      <c r="AS30" s="363">
        <f t="shared" ca="1" si="331"/>
        <v>0.91727126114410584</v>
      </c>
      <c r="AT30" s="363">
        <f t="shared" ca="1" si="331"/>
        <v>1.1293963337076129</v>
      </c>
      <c r="AU30" s="363">
        <f t="shared" ca="1" si="331"/>
        <v>0.96075379322847698</v>
      </c>
      <c r="AV30" s="363">
        <f t="shared" ca="1" si="331"/>
        <v>1.2320796177836564</v>
      </c>
      <c r="AW30" s="363">
        <f t="shared" ca="1" si="331"/>
        <v>0.90055920059953698</v>
      </c>
      <c r="AX30" s="363">
        <f t="shared" ca="1" si="331"/>
        <v>1.0065112915777197</v>
      </c>
      <c r="AY30" s="363">
        <f t="shared" ca="1" si="331"/>
        <v>1.2997526458191859</v>
      </c>
      <c r="AZ30" s="363">
        <f t="shared" ca="1" si="331"/>
        <v>1.2452745737100122</v>
      </c>
      <c r="BA30" s="363">
        <f t="shared" ca="1" si="331"/>
        <v>1.3592023410367928</v>
      </c>
      <c r="BB30" s="363">
        <f t="shared" ca="1" si="331"/>
        <v>1.0730564996251455</v>
      </c>
      <c r="BC30" s="363">
        <f t="shared" ca="1" si="331"/>
        <v>0.87790460473682297</v>
      </c>
      <c r="BD30" s="363">
        <f t="shared" ca="1" si="331"/>
        <v>0.95240316198741792</v>
      </c>
      <c r="BE30" s="363">
        <f t="shared" ca="1" si="331"/>
        <v>1.0556461619987478</v>
      </c>
      <c r="BF30" s="363">
        <f t="shared" ca="1" si="331"/>
        <v>0.91873090075750563</v>
      </c>
      <c r="BG30" s="363">
        <f t="shared" ca="1" si="331"/>
        <v>0.95506734142460059</v>
      </c>
      <c r="BH30" s="363">
        <f t="shared" ca="1" si="331"/>
        <v>1.0279453912611511</v>
      </c>
      <c r="BI30" s="363">
        <f t="shared" ca="1" si="331"/>
        <v>0.92803723109524217</v>
      </c>
      <c r="BJ30" s="363">
        <f t="shared" ca="1" si="331"/>
        <v>0.93462001723768584</v>
      </c>
      <c r="BK30" s="363">
        <f t="shared" ca="1" si="331"/>
        <v>0.82628056681018736</v>
      </c>
      <c r="BL30" s="363">
        <f t="shared" ca="1" si="331"/>
        <v>0.77843194495759771</v>
      </c>
      <c r="BM30" s="363">
        <f t="shared" ca="1" si="331"/>
        <v>1.0026376515364994</v>
      </c>
      <c r="BN30" s="363">
        <f t="shared" ca="1" si="331"/>
        <v>0.90397391535051141</v>
      </c>
      <c r="BO30" s="363">
        <f t="shared" ca="1" si="331"/>
        <v>0.91566708864462898</v>
      </c>
      <c r="BP30" s="363">
        <f t="shared" ca="1" si="331"/>
        <v>0.83560464888480701</v>
      </c>
      <c r="BQ30" s="363">
        <f t="shared" ca="1" si="331"/>
        <v>1.0641675331666833</v>
      </c>
      <c r="BR30" s="363">
        <f t="shared" ca="1" si="331"/>
        <v>1.0087695576200855</v>
      </c>
      <c r="BS30" s="363">
        <f t="shared" ca="1" si="331"/>
        <v>0.953164242764034</v>
      </c>
      <c r="BT30" s="363">
        <f t="shared" ca="1" si="331"/>
        <v>0.87946923109221875</v>
      </c>
      <c r="BU30" s="363">
        <f t="shared" ca="1" si="331"/>
        <v>1.0850450769928</v>
      </c>
      <c r="BV30" s="363">
        <f t="shared" ca="1" si="331"/>
        <v>0.86362608649956563</v>
      </c>
      <c r="BW30" s="363">
        <f t="shared" ca="1" si="331"/>
        <v>0.98435705881829394</v>
      </c>
      <c r="BX30" s="363">
        <f t="shared" ca="1" si="331"/>
        <v>1.076008696650981</v>
      </c>
      <c r="BY30" s="363">
        <f t="shared" ca="1" si="331"/>
        <v>1.1362985602902027</v>
      </c>
      <c r="BZ30" s="363">
        <f t="shared" ref="BZ30:DH30" ca="1" si="332">_xlfn.LOGNORM.INV(RAND(),$I$30,$J$30)</f>
        <v>1.0280501583991952</v>
      </c>
      <c r="CA30" s="363">
        <f t="shared" ca="1" si="332"/>
        <v>1.0649635263714763</v>
      </c>
      <c r="CB30" s="363">
        <f t="shared" ca="1" si="332"/>
        <v>1.0418247693913112</v>
      </c>
      <c r="CC30" s="363">
        <f t="shared" ca="1" si="332"/>
        <v>0.93961829168319178</v>
      </c>
      <c r="CD30" s="363">
        <f t="shared" ca="1" si="332"/>
        <v>0.89879399617517119</v>
      </c>
      <c r="CE30" s="363">
        <f t="shared" ca="1" si="332"/>
        <v>0.97104390668752616</v>
      </c>
      <c r="CF30" s="363">
        <f t="shared" ca="1" si="332"/>
        <v>1.0169452633294831</v>
      </c>
      <c r="CG30" s="363">
        <f t="shared" ca="1" si="332"/>
        <v>0.98232281775274399</v>
      </c>
      <c r="CH30" s="363">
        <f t="shared" ca="1" si="332"/>
        <v>0.95557833034641271</v>
      </c>
      <c r="CI30" s="363">
        <f t="shared" ca="1" si="332"/>
        <v>0.9776422798740243</v>
      </c>
      <c r="CJ30" s="363">
        <f t="shared" ca="1" si="332"/>
        <v>0.96752307542163007</v>
      </c>
      <c r="CK30" s="363">
        <f t="shared" ca="1" si="332"/>
        <v>0.88288365130524726</v>
      </c>
      <c r="CL30" s="363">
        <f t="shared" ca="1" si="332"/>
        <v>1.1025720336352172</v>
      </c>
      <c r="CM30" s="363">
        <f t="shared" ca="1" si="332"/>
        <v>1.0190856343213948</v>
      </c>
      <c r="CN30" s="363">
        <f t="shared" ca="1" si="332"/>
        <v>0.89815384438796952</v>
      </c>
      <c r="CO30" s="363">
        <f t="shared" ca="1" si="332"/>
        <v>0.77472375900729262</v>
      </c>
      <c r="CP30" s="363">
        <f t="shared" ca="1" si="332"/>
        <v>1.052970799567615</v>
      </c>
      <c r="CQ30" s="363">
        <f t="shared" ca="1" si="332"/>
        <v>1.1902715196159879</v>
      </c>
      <c r="CR30" s="363">
        <f t="shared" ca="1" si="332"/>
        <v>1.0719830888969657</v>
      </c>
      <c r="CS30" s="363">
        <f t="shared" ca="1" si="332"/>
        <v>1.0578342138710213</v>
      </c>
      <c r="CT30" s="363">
        <f t="shared" ca="1" si="332"/>
        <v>0.99188161609181547</v>
      </c>
      <c r="CU30" s="363">
        <f t="shared" ca="1" si="332"/>
        <v>1.0353753351479082</v>
      </c>
      <c r="CV30" s="363">
        <f t="shared" ca="1" si="332"/>
        <v>1.1632692063924623</v>
      </c>
      <c r="CW30" s="363">
        <f t="shared" ca="1" si="332"/>
        <v>0.94593084534334138</v>
      </c>
      <c r="CX30" s="363">
        <f t="shared" ca="1" si="332"/>
        <v>0.81546912928406035</v>
      </c>
      <c r="CY30" s="363">
        <f t="shared" ca="1" si="332"/>
        <v>1.0160802577895365</v>
      </c>
      <c r="CZ30" s="363">
        <f t="shared" ca="1" si="332"/>
        <v>1.2572713924711549</v>
      </c>
      <c r="DA30" s="363">
        <f t="shared" ca="1" si="332"/>
        <v>0.95980742353510362</v>
      </c>
      <c r="DB30" s="363">
        <f t="shared" ca="1" si="332"/>
        <v>1.087648979572946</v>
      </c>
      <c r="DC30" s="363">
        <f t="shared" ca="1" si="332"/>
        <v>0.99843650064295275</v>
      </c>
      <c r="DD30" s="363">
        <f t="shared" ca="1" si="332"/>
        <v>0.935281978582996</v>
      </c>
      <c r="DE30" s="363">
        <f t="shared" ca="1" si="332"/>
        <v>0.92901811366309262</v>
      </c>
      <c r="DF30" s="363">
        <f t="shared" ca="1" si="332"/>
        <v>0.91116378399584941</v>
      </c>
      <c r="DG30" s="363">
        <f t="shared" ca="1" si="332"/>
        <v>1.1057775755980401</v>
      </c>
      <c r="DH30" s="363">
        <f t="shared" ca="1" si="332"/>
        <v>1.0831071975789499</v>
      </c>
      <c r="DI30" s="363">
        <f ca="1">_xlfn.LOGNORM.INV(RAND(),$I$30,$J$30)</f>
        <v>0.94460804246721364</v>
      </c>
      <c r="DJ30" s="363">
        <f t="shared" ref="DJ30:FU30" ca="1" si="333">_xlfn.LOGNORM.INV(RAND(),$I$30,$J$30)</f>
        <v>1.1111234006109596</v>
      </c>
      <c r="DK30" s="363">
        <f t="shared" ca="1" si="333"/>
        <v>1.026812309937345</v>
      </c>
      <c r="DL30" s="363">
        <f t="shared" ca="1" si="333"/>
        <v>1.1732110165643848</v>
      </c>
      <c r="DM30" s="363">
        <f t="shared" ca="1" si="333"/>
        <v>1.0713809452771059</v>
      </c>
      <c r="DN30" s="363">
        <f t="shared" ca="1" si="333"/>
        <v>0.78109512666823233</v>
      </c>
      <c r="DO30" s="363">
        <f t="shared" ca="1" si="333"/>
        <v>1.024642319043664</v>
      </c>
      <c r="DP30" s="363">
        <f t="shared" ca="1" si="333"/>
        <v>0.83725982498105689</v>
      </c>
      <c r="DQ30" s="363">
        <f t="shared" ca="1" si="333"/>
        <v>0.88662418034500201</v>
      </c>
      <c r="DR30" s="363">
        <f t="shared" ca="1" si="333"/>
        <v>1.1334058533527311</v>
      </c>
      <c r="DS30" s="363">
        <f t="shared" ca="1" si="333"/>
        <v>0.95164083838505309</v>
      </c>
      <c r="DT30" s="363">
        <f t="shared" ca="1" si="333"/>
        <v>0.91720520140420581</v>
      </c>
      <c r="DU30" s="363">
        <f t="shared" ca="1" si="333"/>
        <v>1.0169442392614454</v>
      </c>
      <c r="DV30" s="363">
        <f t="shared" ca="1" si="333"/>
        <v>1.0343406789042726</v>
      </c>
      <c r="DW30" s="363">
        <f t="shared" ca="1" si="333"/>
        <v>1.073011994501867</v>
      </c>
      <c r="DX30" s="363">
        <f t="shared" ca="1" si="333"/>
        <v>0.77664850371258642</v>
      </c>
      <c r="DY30" s="363">
        <f t="shared" ca="1" si="333"/>
        <v>1.1620195586243802</v>
      </c>
      <c r="DZ30" s="363">
        <f t="shared" ca="1" si="333"/>
        <v>0.98118623979908615</v>
      </c>
      <c r="EA30" s="363">
        <f t="shared" ca="1" si="333"/>
        <v>1.0603704292264773</v>
      </c>
      <c r="EB30" s="363">
        <f t="shared" ca="1" si="333"/>
        <v>1.2418988775471131</v>
      </c>
      <c r="EC30" s="363">
        <f t="shared" ca="1" si="333"/>
        <v>0.79721618699251451</v>
      </c>
      <c r="ED30" s="363">
        <f t="shared" ca="1" si="333"/>
        <v>0.88941366944470845</v>
      </c>
      <c r="EE30" s="363">
        <f t="shared" ca="1" si="333"/>
        <v>0.99647987313697228</v>
      </c>
      <c r="EF30" s="363">
        <f t="shared" ca="1" si="333"/>
        <v>1.0593368934862939</v>
      </c>
      <c r="EG30" s="363">
        <f t="shared" ca="1" si="333"/>
        <v>0.93290926430473753</v>
      </c>
      <c r="EH30" s="363">
        <f t="shared" ca="1" si="333"/>
        <v>0.91403067317595355</v>
      </c>
      <c r="EI30" s="363">
        <f t="shared" ca="1" si="333"/>
        <v>1.0082844808210141</v>
      </c>
      <c r="EJ30" s="363">
        <f t="shared" ca="1" si="333"/>
        <v>0.92845751881563809</v>
      </c>
      <c r="EK30" s="363">
        <f t="shared" ca="1" si="333"/>
        <v>1.017125743875865</v>
      </c>
      <c r="EL30" s="363">
        <f t="shared" ca="1" si="333"/>
        <v>0.81188780417601514</v>
      </c>
      <c r="EM30" s="363">
        <f t="shared" ca="1" si="333"/>
        <v>1.1621470619330196</v>
      </c>
      <c r="EN30" s="363">
        <f t="shared" ca="1" si="333"/>
        <v>0.90805895401879122</v>
      </c>
      <c r="EO30" s="363">
        <f t="shared" ca="1" si="333"/>
        <v>0.98267917691404838</v>
      </c>
      <c r="EP30" s="363">
        <f t="shared" ca="1" si="333"/>
        <v>1.0161798107633988</v>
      </c>
      <c r="EQ30" s="363">
        <f t="shared" ca="1" si="333"/>
        <v>1.1979799997846778</v>
      </c>
      <c r="ER30" s="363">
        <f t="shared" ca="1" si="333"/>
        <v>0.93138888186715252</v>
      </c>
      <c r="ES30" s="363">
        <f t="shared" ca="1" si="333"/>
        <v>0.90146743381236971</v>
      </c>
      <c r="ET30" s="363">
        <f t="shared" ca="1" si="333"/>
        <v>1.045633395308081</v>
      </c>
      <c r="EU30" s="363">
        <f t="shared" ca="1" si="333"/>
        <v>1.0175490515003238</v>
      </c>
      <c r="EV30" s="363">
        <f t="shared" ca="1" si="333"/>
        <v>0.98976897414112852</v>
      </c>
      <c r="EW30" s="363">
        <f t="shared" ca="1" si="333"/>
        <v>1.1886759118264913</v>
      </c>
      <c r="EX30" s="363">
        <f t="shared" ca="1" si="333"/>
        <v>0.69467951950778495</v>
      </c>
      <c r="EY30" s="363">
        <f t="shared" ca="1" si="333"/>
        <v>1.0382221817116981</v>
      </c>
      <c r="EZ30" s="363">
        <f t="shared" ca="1" si="333"/>
        <v>1.0737936866461741</v>
      </c>
      <c r="FA30" s="363">
        <f t="shared" ca="1" si="333"/>
        <v>0.90336483738387108</v>
      </c>
      <c r="FB30" s="363">
        <f t="shared" ca="1" si="333"/>
        <v>1.1390518018120961</v>
      </c>
      <c r="FC30" s="363">
        <f t="shared" ca="1" si="333"/>
        <v>1.0874607033097774</v>
      </c>
      <c r="FD30" s="363">
        <f t="shared" ca="1" si="333"/>
        <v>1.1119636342731571</v>
      </c>
      <c r="FE30" s="363">
        <f t="shared" ca="1" si="333"/>
        <v>1.1071417645088579</v>
      </c>
      <c r="FF30" s="363">
        <f t="shared" ca="1" si="333"/>
        <v>0.96804490283918532</v>
      </c>
      <c r="FG30" s="363">
        <f t="shared" ca="1" si="333"/>
        <v>1.1379708882145114</v>
      </c>
      <c r="FH30" s="363">
        <f t="shared" ca="1" si="333"/>
        <v>0.98579556533537793</v>
      </c>
      <c r="FI30" s="363">
        <f t="shared" ca="1" si="333"/>
        <v>0.95325364899855458</v>
      </c>
      <c r="FJ30" s="363">
        <f t="shared" ca="1" si="333"/>
        <v>0.82026961400732901</v>
      </c>
      <c r="FK30" s="363">
        <f t="shared" ca="1" si="333"/>
        <v>1.1034865545398511</v>
      </c>
      <c r="FL30" s="363">
        <f t="shared" ca="1" si="333"/>
        <v>1.0835874826845426</v>
      </c>
      <c r="FM30" s="363">
        <f t="shared" ca="1" si="333"/>
        <v>0.898934322982057</v>
      </c>
      <c r="FN30" s="363">
        <f t="shared" ca="1" si="333"/>
        <v>0.76260709142804217</v>
      </c>
      <c r="FO30" s="363">
        <f t="shared" ca="1" si="333"/>
        <v>1.0044169713215545</v>
      </c>
      <c r="FP30" s="363">
        <f t="shared" ca="1" si="333"/>
        <v>1.0505346723671281</v>
      </c>
      <c r="FQ30" s="363">
        <f t="shared" ca="1" si="333"/>
        <v>1.0344952595432393</v>
      </c>
      <c r="FR30" s="363">
        <f t="shared" ca="1" si="333"/>
        <v>1.0105310763212689</v>
      </c>
      <c r="FS30" s="363">
        <f t="shared" ca="1" si="333"/>
        <v>1.2454134702395381</v>
      </c>
      <c r="FT30" s="363">
        <f t="shared" ca="1" si="333"/>
        <v>0.96593040122203155</v>
      </c>
      <c r="FU30" s="363">
        <f t="shared" ca="1" si="333"/>
        <v>0.90256851376149039</v>
      </c>
      <c r="FV30" s="363">
        <f t="shared" ref="FV30:HD30" ca="1" si="334">_xlfn.LOGNORM.INV(RAND(),$I$30,$J$30)</f>
        <v>0.96958975493629018</v>
      </c>
      <c r="FW30" s="363">
        <f t="shared" ca="1" si="334"/>
        <v>0.90821919126324602</v>
      </c>
      <c r="FX30" s="363">
        <f t="shared" ca="1" si="334"/>
        <v>0.9726909105065138</v>
      </c>
      <c r="FY30" s="363">
        <f t="shared" ca="1" si="334"/>
        <v>1.0519144641286362</v>
      </c>
      <c r="FZ30" s="363">
        <f t="shared" ca="1" si="334"/>
        <v>0.88835690396469691</v>
      </c>
      <c r="GA30" s="363">
        <f t="shared" ca="1" si="334"/>
        <v>0.80254186162870833</v>
      </c>
      <c r="GB30" s="363">
        <f t="shared" ca="1" si="334"/>
        <v>0.94192363129411971</v>
      </c>
      <c r="GC30" s="363">
        <f t="shared" ca="1" si="334"/>
        <v>0.95501235179707944</v>
      </c>
      <c r="GD30" s="363">
        <f t="shared" ca="1" si="334"/>
        <v>1.0369673640660935</v>
      </c>
      <c r="GE30" s="363">
        <f t="shared" ca="1" si="334"/>
        <v>0.91796115462331451</v>
      </c>
      <c r="GF30" s="363">
        <f t="shared" ca="1" si="334"/>
        <v>0.96590476849522633</v>
      </c>
      <c r="GG30" s="363">
        <f t="shared" ca="1" si="334"/>
        <v>1.0920539199701469</v>
      </c>
      <c r="GH30" s="363">
        <f t="shared" ca="1" si="334"/>
        <v>0.7943965915196588</v>
      </c>
      <c r="GI30" s="363">
        <f t="shared" ca="1" si="334"/>
        <v>1.2600846276126512</v>
      </c>
      <c r="GJ30" s="363">
        <f t="shared" ca="1" si="334"/>
        <v>1.0247829251460723</v>
      </c>
      <c r="GK30" s="363">
        <f t="shared" ca="1" si="334"/>
        <v>1.0495674105474506</v>
      </c>
      <c r="GL30" s="363">
        <f t="shared" ca="1" si="334"/>
        <v>0.87343403260948804</v>
      </c>
      <c r="GM30" s="363">
        <f t="shared" ca="1" si="334"/>
        <v>1.0502538208166012</v>
      </c>
      <c r="GN30" s="363">
        <f t="shared" ca="1" si="334"/>
        <v>0.84245726947185062</v>
      </c>
      <c r="GO30" s="363">
        <f t="shared" ca="1" si="334"/>
        <v>0.98777400481802846</v>
      </c>
      <c r="GP30" s="363">
        <f t="shared" ca="1" si="334"/>
        <v>1.096783748524099</v>
      </c>
      <c r="GQ30" s="363">
        <f t="shared" ca="1" si="334"/>
        <v>1.1645924899049036</v>
      </c>
      <c r="GR30" s="363">
        <f t="shared" ca="1" si="334"/>
        <v>1.0505978640226188</v>
      </c>
      <c r="GS30" s="363">
        <f t="shared" ca="1" si="334"/>
        <v>0.94488423271603605</v>
      </c>
      <c r="GT30" s="363">
        <f t="shared" ca="1" si="334"/>
        <v>1.0692289006669649</v>
      </c>
      <c r="GU30" s="363">
        <f t="shared" ca="1" si="334"/>
        <v>1.0852927558429615</v>
      </c>
      <c r="GV30" s="363">
        <f t="shared" ca="1" si="334"/>
        <v>0.94885078676947288</v>
      </c>
      <c r="GW30" s="363">
        <f t="shared" ca="1" si="334"/>
        <v>0.86657423785562016</v>
      </c>
      <c r="GX30" s="363">
        <f t="shared" ca="1" si="334"/>
        <v>0.82009883054620891</v>
      </c>
      <c r="GY30" s="363">
        <f t="shared" ca="1" si="334"/>
        <v>0.91290372915206208</v>
      </c>
      <c r="GZ30" s="363">
        <f t="shared" ca="1" si="334"/>
        <v>0.97620033476146439</v>
      </c>
      <c r="HA30" s="363">
        <f t="shared" ca="1" si="334"/>
        <v>1.0404378511358829</v>
      </c>
      <c r="HB30" s="363">
        <f t="shared" ca="1" si="334"/>
        <v>1.0503961924458682</v>
      </c>
      <c r="HC30" s="363">
        <f t="shared" ca="1" si="334"/>
        <v>1.0687792593726861</v>
      </c>
      <c r="HD30" s="363">
        <f t="shared" ca="1" si="334"/>
        <v>1.0196658410869921</v>
      </c>
      <c r="HE30" s="363">
        <f ca="1">_xlfn.LOGNORM.INV(RAND(),$I$30,$J$30)</f>
        <v>0.96337423995034299</v>
      </c>
      <c r="HF30" s="363">
        <f t="shared" ref="HF30:JQ30" ca="1" si="335">_xlfn.LOGNORM.INV(RAND(),$I$30,$J$30)</f>
        <v>0.91591192260940113</v>
      </c>
      <c r="HG30" s="363">
        <f t="shared" ca="1" si="335"/>
        <v>1.0240870556578834</v>
      </c>
      <c r="HH30" s="363">
        <f t="shared" ca="1" si="335"/>
        <v>1.1537635829399744</v>
      </c>
      <c r="HI30" s="363">
        <f t="shared" ca="1" si="335"/>
        <v>1.074441166631966</v>
      </c>
      <c r="HJ30" s="363">
        <f t="shared" ca="1" si="335"/>
        <v>1.0983609156682077</v>
      </c>
      <c r="HK30" s="363">
        <f t="shared" ca="1" si="335"/>
        <v>0.95159853028614894</v>
      </c>
      <c r="HL30" s="363">
        <f t="shared" ca="1" si="335"/>
        <v>0.91883570640301049</v>
      </c>
      <c r="HM30" s="363">
        <f t="shared" ca="1" si="335"/>
        <v>1.080323871027062</v>
      </c>
      <c r="HN30" s="363">
        <f t="shared" ca="1" si="335"/>
        <v>0.82987132900277738</v>
      </c>
      <c r="HO30" s="363">
        <f t="shared" ca="1" si="335"/>
        <v>1.0347690121786428</v>
      </c>
      <c r="HP30" s="363">
        <f t="shared" ca="1" si="335"/>
        <v>1.0386905239188222</v>
      </c>
      <c r="HQ30" s="363">
        <f t="shared" ca="1" si="335"/>
        <v>1.1182017243110427</v>
      </c>
      <c r="HR30" s="363">
        <f t="shared" ca="1" si="335"/>
        <v>1.0843185928085364</v>
      </c>
      <c r="HS30" s="363">
        <f t="shared" ca="1" si="335"/>
        <v>0.94234270712533796</v>
      </c>
      <c r="HT30" s="363">
        <f t="shared" ca="1" si="335"/>
        <v>1.0435201916703867</v>
      </c>
      <c r="HU30" s="363">
        <f t="shared" ca="1" si="335"/>
        <v>0.96328642260513031</v>
      </c>
      <c r="HV30" s="363">
        <f t="shared" ca="1" si="335"/>
        <v>0.85825448793442338</v>
      </c>
      <c r="HW30" s="363">
        <f t="shared" ca="1" si="335"/>
        <v>0.92568656192828136</v>
      </c>
      <c r="HX30" s="363">
        <f t="shared" ca="1" si="335"/>
        <v>1.0459570811829169</v>
      </c>
      <c r="HY30" s="363">
        <f t="shared" ca="1" si="335"/>
        <v>1.1559794514691182</v>
      </c>
      <c r="HZ30" s="363">
        <f t="shared" ca="1" si="335"/>
        <v>1.0378314052975761</v>
      </c>
      <c r="IA30" s="363">
        <f t="shared" ca="1" si="335"/>
        <v>0.97700687968807476</v>
      </c>
      <c r="IB30" s="363">
        <f t="shared" ca="1" si="335"/>
        <v>0.90675987998399998</v>
      </c>
      <c r="IC30" s="363">
        <f t="shared" ca="1" si="335"/>
        <v>1.0829583522060109</v>
      </c>
      <c r="ID30" s="363">
        <f t="shared" ca="1" si="335"/>
        <v>1.1607311722661464</v>
      </c>
      <c r="IE30" s="363">
        <f t="shared" ca="1" si="335"/>
        <v>1.1148538746695666</v>
      </c>
      <c r="IF30" s="363">
        <f t="shared" ca="1" si="335"/>
        <v>0.92452233231164194</v>
      </c>
      <c r="IG30" s="363">
        <f t="shared" ca="1" si="335"/>
        <v>0.95056313642607737</v>
      </c>
      <c r="IH30" s="363">
        <f t="shared" ca="1" si="335"/>
        <v>1.0232915545527794</v>
      </c>
      <c r="II30" s="363">
        <f t="shared" ca="1" si="335"/>
        <v>0.89529638864123562</v>
      </c>
      <c r="IJ30" s="363">
        <f t="shared" ca="1" si="335"/>
        <v>1.1041278719086998</v>
      </c>
      <c r="IK30" s="363">
        <f t="shared" ca="1" si="335"/>
        <v>1.0998706175484594</v>
      </c>
      <c r="IL30" s="363">
        <f t="shared" ca="1" si="335"/>
        <v>1.1798266343093573</v>
      </c>
      <c r="IM30" s="363">
        <f t="shared" ca="1" si="335"/>
        <v>0.89349034608140265</v>
      </c>
      <c r="IN30" s="363">
        <f t="shared" ca="1" si="335"/>
        <v>0.96574214133565084</v>
      </c>
      <c r="IO30" s="363">
        <f t="shared" ca="1" si="335"/>
        <v>0.89181876535381988</v>
      </c>
      <c r="IP30" s="363">
        <f t="shared" ca="1" si="335"/>
        <v>0.92392413958822794</v>
      </c>
      <c r="IQ30" s="363">
        <f t="shared" ca="1" si="335"/>
        <v>1.0162926756289015</v>
      </c>
      <c r="IR30" s="363">
        <f t="shared" ca="1" si="335"/>
        <v>0.99789181817965844</v>
      </c>
      <c r="IS30" s="363">
        <f t="shared" ca="1" si="335"/>
        <v>1.1394177249458497</v>
      </c>
      <c r="IT30" s="363">
        <f t="shared" ca="1" si="335"/>
        <v>0.94708732400375972</v>
      </c>
      <c r="IU30" s="363">
        <f t="shared" ca="1" si="335"/>
        <v>0.91873457537345071</v>
      </c>
      <c r="IV30" s="363">
        <f t="shared" ca="1" si="335"/>
        <v>1.1287123923249984</v>
      </c>
      <c r="IW30" s="363">
        <f t="shared" ca="1" si="335"/>
        <v>0.98768583813370436</v>
      </c>
      <c r="IX30" s="363">
        <f t="shared" ca="1" si="335"/>
        <v>0.98548945572672741</v>
      </c>
      <c r="IY30" s="363">
        <f t="shared" ca="1" si="335"/>
        <v>1.0164641118752986</v>
      </c>
      <c r="IZ30" s="363">
        <f t="shared" ca="1" si="335"/>
        <v>0.80802564752795003</v>
      </c>
      <c r="JA30" s="363">
        <f t="shared" ca="1" si="335"/>
        <v>1.2549614567306173</v>
      </c>
      <c r="JB30" s="363">
        <f t="shared" ca="1" si="335"/>
        <v>0.91148901052285636</v>
      </c>
      <c r="JC30" s="363">
        <f t="shared" ca="1" si="335"/>
        <v>0.92622825369071426</v>
      </c>
      <c r="JD30" s="363">
        <f t="shared" ca="1" si="335"/>
        <v>1.0330010079251009</v>
      </c>
      <c r="JE30" s="363">
        <f t="shared" ca="1" si="335"/>
        <v>0.96115605278077121</v>
      </c>
      <c r="JF30" s="363">
        <f t="shared" ca="1" si="335"/>
        <v>0.99778947789943651</v>
      </c>
      <c r="JG30" s="363">
        <f t="shared" ca="1" si="335"/>
        <v>1.2363790729903867</v>
      </c>
      <c r="JH30" s="363">
        <f t="shared" ca="1" si="335"/>
        <v>0.81430079020922641</v>
      </c>
      <c r="JI30" s="363">
        <f t="shared" ca="1" si="335"/>
        <v>0.79511575596912543</v>
      </c>
      <c r="JJ30" s="363">
        <f t="shared" ca="1" si="335"/>
        <v>0.99515104915673847</v>
      </c>
      <c r="JK30" s="363">
        <f t="shared" ca="1" si="335"/>
        <v>0.83247664249982123</v>
      </c>
      <c r="JL30" s="363">
        <f t="shared" ca="1" si="335"/>
        <v>1.0956318228442155</v>
      </c>
      <c r="JM30" s="363">
        <f t="shared" ca="1" si="335"/>
        <v>1.2186576459334963</v>
      </c>
      <c r="JN30" s="363">
        <f t="shared" ca="1" si="335"/>
        <v>0.96332111976969204</v>
      </c>
      <c r="JO30" s="363">
        <f t="shared" ca="1" si="335"/>
        <v>1.1594168859595542</v>
      </c>
      <c r="JP30" s="363">
        <f t="shared" ca="1" si="335"/>
        <v>1.1238785834240494</v>
      </c>
      <c r="JQ30" s="363">
        <f t="shared" ca="1" si="335"/>
        <v>0.86092601369843813</v>
      </c>
      <c r="JR30" s="363">
        <f t="shared" ref="JR30:KZ30" ca="1" si="336">_xlfn.LOGNORM.INV(RAND(),$I$30,$J$30)</f>
        <v>1.0929927684017737</v>
      </c>
      <c r="JS30" s="363">
        <f t="shared" ca="1" si="336"/>
        <v>0.88649570438526271</v>
      </c>
      <c r="JT30" s="363">
        <f t="shared" ca="1" si="336"/>
        <v>0.81513676485493447</v>
      </c>
      <c r="JU30" s="363">
        <f t="shared" ca="1" si="336"/>
        <v>1.022369857640949</v>
      </c>
      <c r="JV30" s="363">
        <f t="shared" ca="1" si="336"/>
        <v>1.2426167439034974</v>
      </c>
      <c r="JW30" s="363">
        <f t="shared" ca="1" si="336"/>
        <v>1.334153927099107</v>
      </c>
      <c r="JX30" s="363">
        <f t="shared" ca="1" si="336"/>
        <v>1.0276334181397471</v>
      </c>
      <c r="JY30" s="363">
        <f t="shared" ca="1" si="336"/>
        <v>1.0526039315762536</v>
      </c>
      <c r="JZ30" s="363">
        <f t="shared" ca="1" si="336"/>
        <v>1.0885456839937802</v>
      </c>
      <c r="KA30" s="363">
        <f t="shared" ca="1" si="336"/>
        <v>0.94646653613934284</v>
      </c>
      <c r="KB30" s="363">
        <f t="shared" ca="1" si="336"/>
        <v>1.3011352193409405</v>
      </c>
      <c r="KC30" s="363">
        <f t="shared" ca="1" si="336"/>
        <v>1.042020166919976</v>
      </c>
      <c r="KD30" s="363">
        <f t="shared" ca="1" si="336"/>
        <v>1.1414312463730849</v>
      </c>
      <c r="KE30" s="363">
        <f t="shared" ca="1" si="336"/>
        <v>1.0330868461068299</v>
      </c>
      <c r="KF30" s="363">
        <f t="shared" ca="1" si="336"/>
        <v>1.1225834979958169</v>
      </c>
      <c r="KG30" s="363">
        <f t="shared" ca="1" si="336"/>
        <v>1.1694934370013497</v>
      </c>
      <c r="KH30" s="363">
        <f t="shared" ca="1" si="336"/>
        <v>0.88220158679701832</v>
      </c>
      <c r="KI30" s="363">
        <f t="shared" ca="1" si="336"/>
        <v>1.0532507370244226</v>
      </c>
      <c r="KJ30" s="363">
        <f t="shared" ca="1" si="336"/>
        <v>0.96298666557654333</v>
      </c>
      <c r="KK30" s="363">
        <f t="shared" ca="1" si="336"/>
        <v>0.97129012290030292</v>
      </c>
      <c r="KL30" s="363">
        <f t="shared" ca="1" si="336"/>
        <v>0.96042849442755907</v>
      </c>
      <c r="KM30" s="363">
        <f t="shared" ca="1" si="336"/>
        <v>1.0844414479583284</v>
      </c>
      <c r="KN30" s="363">
        <f t="shared" ca="1" si="336"/>
        <v>0.94151683468729486</v>
      </c>
      <c r="KO30" s="363">
        <f t="shared" ca="1" si="336"/>
        <v>1.0484984109341973</v>
      </c>
      <c r="KP30" s="363">
        <f t="shared" ca="1" si="336"/>
        <v>0.8050794775793193</v>
      </c>
      <c r="KQ30" s="363">
        <f t="shared" ca="1" si="336"/>
        <v>1.278927268316403</v>
      </c>
      <c r="KR30" s="363">
        <f t="shared" ca="1" si="336"/>
        <v>0.99808360078816771</v>
      </c>
      <c r="KS30" s="363">
        <f t="shared" ca="1" si="336"/>
        <v>1.052918418990461</v>
      </c>
      <c r="KT30" s="363">
        <f t="shared" ca="1" si="336"/>
        <v>1.0814093055016667</v>
      </c>
      <c r="KU30" s="363">
        <f t="shared" ca="1" si="336"/>
        <v>1.0283592046787182</v>
      </c>
      <c r="KV30" s="363">
        <f t="shared" ca="1" si="336"/>
        <v>1.0539002896647407</v>
      </c>
      <c r="KW30" s="363">
        <f t="shared" ca="1" si="336"/>
        <v>1.0207658770884902</v>
      </c>
      <c r="KX30" s="363">
        <f t="shared" ca="1" si="336"/>
        <v>0.98757411585131083</v>
      </c>
      <c r="KY30" s="363">
        <f t="shared" ca="1" si="336"/>
        <v>0.99240918473445883</v>
      </c>
      <c r="KZ30" s="363">
        <f t="shared" ca="1" si="336"/>
        <v>0.93013956750843607</v>
      </c>
      <c r="LA30" s="363">
        <f ca="1">_xlfn.LOGNORM.INV(RAND(),$I$30,$J$30)</f>
        <v>1.1037052066249315</v>
      </c>
      <c r="LB30" s="363">
        <f t="shared" ref="LB30:NM30" ca="1" si="337">_xlfn.LOGNORM.INV(RAND(),$I$30,$J$30)</f>
        <v>0.90549525699389743</v>
      </c>
      <c r="LC30" s="363">
        <f t="shared" ca="1" si="337"/>
        <v>1.2046561661489652</v>
      </c>
      <c r="LD30" s="363">
        <f t="shared" ca="1" si="337"/>
        <v>0.81847064004221515</v>
      </c>
      <c r="LE30" s="363">
        <f t="shared" ca="1" si="337"/>
        <v>1.0279824899997483</v>
      </c>
      <c r="LF30" s="363">
        <f t="shared" ca="1" si="337"/>
        <v>0.93804380117371622</v>
      </c>
      <c r="LG30" s="363">
        <f t="shared" ca="1" si="337"/>
        <v>1.0696764272834047</v>
      </c>
      <c r="LH30" s="363">
        <f t="shared" ca="1" si="337"/>
        <v>0.97079632450339959</v>
      </c>
      <c r="LI30" s="363">
        <f t="shared" ca="1" si="337"/>
        <v>0.95730157660355875</v>
      </c>
      <c r="LJ30" s="363">
        <f t="shared" ca="1" si="337"/>
        <v>0.8731835747345893</v>
      </c>
      <c r="LK30" s="363">
        <f t="shared" ca="1" si="337"/>
        <v>1.0589470212416079</v>
      </c>
      <c r="LL30" s="363">
        <f t="shared" ca="1" si="337"/>
        <v>0.95029760137075725</v>
      </c>
      <c r="LM30" s="363">
        <f t="shared" ca="1" si="337"/>
        <v>1.3873772728334159</v>
      </c>
      <c r="LN30" s="363">
        <f t="shared" ca="1" si="337"/>
        <v>0.89202359542483334</v>
      </c>
      <c r="LO30" s="363">
        <f t="shared" ca="1" si="337"/>
        <v>0.77411008484347632</v>
      </c>
      <c r="LP30" s="363">
        <f t="shared" ca="1" si="337"/>
        <v>1.1002030716423938</v>
      </c>
      <c r="LQ30" s="363">
        <f t="shared" ca="1" si="337"/>
        <v>0.9704697112602596</v>
      </c>
      <c r="LR30" s="363">
        <f t="shared" ca="1" si="337"/>
        <v>1.0207800114449921</v>
      </c>
      <c r="LS30" s="363">
        <f t="shared" ca="1" si="337"/>
        <v>1.1018736281190979</v>
      </c>
      <c r="LT30" s="363">
        <f t="shared" ca="1" si="337"/>
        <v>1.059398586101286</v>
      </c>
      <c r="LU30" s="363">
        <f t="shared" ca="1" si="337"/>
        <v>0.79734786005541558</v>
      </c>
      <c r="LV30" s="363">
        <f t="shared" ca="1" si="337"/>
        <v>0.73882271712324687</v>
      </c>
      <c r="LW30" s="363">
        <f t="shared" ca="1" si="337"/>
        <v>1.2728147003217538</v>
      </c>
      <c r="LX30" s="363">
        <f t="shared" ca="1" si="337"/>
        <v>1.0290486461674777</v>
      </c>
      <c r="LY30" s="363">
        <f t="shared" ca="1" si="337"/>
        <v>0.96111653394379415</v>
      </c>
      <c r="LZ30" s="363">
        <f t="shared" ca="1" si="337"/>
        <v>0.93310460189776168</v>
      </c>
      <c r="MA30" s="363">
        <f t="shared" ca="1" si="337"/>
        <v>0.93558444773892224</v>
      </c>
      <c r="MB30" s="363">
        <f t="shared" ca="1" si="337"/>
        <v>0.96667297164101051</v>
      </c>
      <c r="MC30" s="363">
        <f t="shared" ca="1" si="337"/>
        <v>0.98866875112144637</v>
      </c>
      <c r="MD30" s="363">
        <f t="shared" ca="1" si="337"/>
        <v>1.1827106385236494</v>
      </c>
      <c r="ME30" s="363">
        <f t="shared" ca="1" si="337"/>
        <v>0.99393933000227896</v>
      </c>
      <c r="MF30" s="363">
        <f t="shared" ca="1" si="337"/>
        <v>0.95586092476661566</v>
      </c>
      <c r="MG30" s="363">
        <f t="shared" ca="1" si="337"/>
        <v>0.92854294551074057</v>
      </c>
      <c r="MH30" s="363">
        <f t="shared" ca="1" si="337"/>
        <v>1.0177750058717308</v>
      </c>
      <c r="MI30" s="363">
        <f t="shared" ca="1" si="337"/>
        <v>0.87986188496106366</v>
      </c>
      <c r="MJ30" s="363">
        <f t="shared" ca="1" si="337"/>
        <v>1.0207075136787889</v>
      </c>
      <c r="MK30" s="363">
        <f t="shared" ca="1" si="337"/>
        <v>0.73094532240941257</v>
      </c>
      <c r="ML30" s="363">
        <f t="shared" ca="1" si="337"/>
        <v>1.0387177430102623</v>
      </c>
      <c r="MM30" s="363">
        <f t="shared" ca="1" si="337"/>
        <v>1.087983552752172</v>
      </c>
      <c r="MN30" s="363">
        <f t="shared" ca="1" si="337"/>
        <v>0.96626252363890563</v>
      </c>
      <c r="MO30" s="363">
        <f t="shared" ca="1" si="337"/>
        <v>0.96072190594894247</v>
      </c>
      <c r="MP30" s="363">
        <f t="shared" ca="1" si="337"/>
        <v>1.1222047470672667</v>
      </c>
      <c r="MQ30" s="363">
        <f t="shared" ca="1" si="337"/>
        <v>0.86312758957519609</v>
      </c>
      <c r="MR30" s="363">
        <f t="shared" ca="1" si="337"/>
        <v>1.1690255915061987</v>
      </c>
      <c r="MS30" s="363">
        <f t="shared" ca="1" si="337"/>
        <v>0.8565710031898176</v>
      </c>
      <c r="MT30" s="363">
        <f t="shared" ca="1" si="337"/>
        <v>1.1131592954944496</v>
      </c>
      <c r="MU30" s="363">
        <f t="shared" ca="1" si="337"/>
        <v>0.9084502695570873</v>
      </c>
      <c r="MV30" s="363">
        <f t="shared" ca="1" si="337"/>
        <v>1.0123950664153045</v>
      </c>
      <c r="MW30" s="363">
        <f t="shared" ca="1" si="337"/>
        <v>1.0523594789892672</v>
      </c>
      <c r="MX30" s="363">
        <f t="shared" ca="1" si="337"/>
        <v>0.97631653305046251</v>
      </c>
      <c r="MY30" s="363">
        <f t="shared" ca="1" si="337"/>
        <v>1.0455430080508243</v>
      </c>
      <c r="MZ30" s="363">
        <f t="shared" ca="1" si="337"/>
        <v>0.86977299127555552</v>
      </c>
      <c r="NA30" s="363">
        <f t="shared" ca="1" si="337"/>
        <v>0.96373042899856176</v>
      </c>
      <c r="NB30" s="363">
        <f t="shared" ca="1" si="337"/>
        <v>0.97628614181387419</v>
      </c>
      <c r="NC30" s="363">
        <f t="shared" ca="1" si="337"/>
        <v>0.99911598859799911</v>
      </c>
      <c r="ND30" s="363">
        <f t="shared" ca="1" si="337"/>
        <v>1.0629969617663992</v>
      </c>
      <c r="NE30" s="363">
        <f t="shared" ca="1" si="337"/>
        <v>0.87076929128938674</v>
      </c>
      <c r="NF30" s="363">
        <f t="shared" ca="1" si="337"/>
        <v>0.88882003190232051</v>
      </c>
      <c r="NG30" s="363">
        <f t="shared" ca="1" si="337"/>
        <v>0.77322748813757136</v>
      </c>
      <c r="NH30" s="363">
        <f t="shared" ca="1" si="337"/>
        <v>1.0651274129770076</v>
      </c>
      <c r="NI30" s="363">
        <f t="shared" ca="1" si="337"/>
        <v>0.98732428700267416</v>
      </c>
      <c r="NJ30" s="363">
        <f t="shared" ca="1" si="337"/>
        <v>1.0629570147831664</v>
      </c>
      <c r="NK30" s="363">
        <f t="shared" ca="1" si="337"/>
        <v>1.0461406220045777</v>
      </c>
      <c r="NL30" s="363">
        <f t="shared" ca="1" si="337"/>
        <v>0.90538344574835783</v>
      </c>
      <c r="NM30" s="363">
        <f t="shared" ca="1" si="337"/>
        <v>0.90736454359955176</v>
      </c>
      <c r="NN30" s="363">
        <f t="shared" ref="NN30:OV30" ca="1" si="338">_xlfn.LOGNORM.INV(RAND(),$I$30,$J$30)</f>
        <v>0.92528323496306097</v>
      </c>
      <c r="NO30" s="363">
        <f t="shared" ca="1" si="338"/>
        <v>0.96120604815431843</v>
      </c>
      <c r="NP30" s="363">
        <f t="shared" ca="1" si="338"/>
        <v>1.0070550228526305</v>
      </c>
      <c r="NQ30" s="363">
        <f t="shared" ca="1" si="338"/>
        <v>0.89917815309281302</v>
      </c>
      <c r="NR30" s="363">
        <f t="shared" ca="1" si="338"/>
        <v>1.1164389389124996</v>
      </c>
      <c r="NS30" s="363">
        <f t="shared" ca="1" si="338"/>
        <v>0.93764592769595856</v>
      </c>
      <c r="NT30" s="363">
        <f t="shared" ca="1" si="338"/>
        <v>1.0131826214112856</v>
      </c>
      <c r="NU30" s="363">
        <f t="shared" ca="1" si="338"/>
        <v>1.0392550683224677</v>
      </c>
      <c r="NV30" s="363">
        <f t="shared" ca="1" si="338"/>
        <v>0.86296768961184955</v>
      </c>
      <c r="NW30" s="363">
        <f t="shared" ca="1" si="338"/>
        <v>1.1501945368178252</v>
      </c>
      <c r="NX30" s="363">
        <f t="shared" ca="1" si="338"/>
        <v>1.1291059870375837</v>
      </c>
      <c r="NY30" s="363">
        <f t="shared" ca="1" si="338"/>
        <v>1.0531936789327376</v>
      </c>
      <c r="NZ30" s="363">
        <f t="shared" ca="1" si="338"/>
        <v>1.1557616531748913</v>
      </c>
      <c r="OA30" s="363">
        <f t="shared" ca="1" si="338"/>
        <v>1.1387285440292243</v>
      </c>
      <c r="OB30" s="363">
        <f t="shared" ca="1" si="338"/>
        <v>1.0831670320158184</v>
      </c>
      <c r="OC30" s="363">
        <f t="shared" ca="1" si="338"/>
        <v>0.85331652445579609</v>
      </c>
      <c r="OD30" s="363">
        <f t="shared" ca="1" si="338"/>
        <v>1.0013596833545937</v>
      </c>
      <c r="OE30" s="363">
        <f t="shared" ca="1" si="338"/>
        <v>1.1691533791417463</v>
      </c>
      <c r="OF30" s="363">
        <f t="shared" ca="1" si="338"/>
        <v>0.87090272199014662</v>
      </c>
      <c r="OG30" s="363">
        <f t="shared" ca="1" si="338"/>
        <v>1.0401795575665009</v>
      </c>
      <c r="OH30" s="363">
        <f t="shared" ca="1" si="338"/>
        <v>1.033642697210194</v>
      </c>
      <c r="OI30" s="363">
        <f t="shared" ca="1" si="338"/>
        <v>0.83359615480634242</v>
      </c>
      <c r="OJ30" s="363">
        <f t="shared" ca="1" si="338"/>
        <v>1.0316385928478284</v>
      </c>
      <c r="OK30" s="363">
        <f t="shared" ca="1" si="338"/>
        <v>1.3052078463838552</v>
      </c>
      <c r="OL30" s="363">
        <f t="shared" ca="1" si="338"/>
        <v>1.0322145607529074</v>
      </c>
      <c r="OM30" s="363">
        <f t="shared" ca="1" si="338"/>
        <v>1.1904859349573846</v>
      </c>
      <c r="ON30" s="363">
        <f t="shared" ca="1" si="338"/>
        <v>0.87773023092216562</v>
      </c>
      <c r="OO30" s="363">
        <f t="shared" ca="1" si="338"/>
        <v>1.0354740653044197</v>
      </c>
      <c r="OP30" s="363">
        <f t="shared" ca="1" si="338"/>
        <v>1.1548595831130164</v>
      </c>
      <c r="OQ30" s="363">
        <f t="shared" ca="1" si="338"/>
        <v>0.79462778324737937</v>
      </c>
      <c r="OR30" s="363">
        <f t="shared" ca="1" si="338"/>
        <v>1.0600873598053484</v>
      </c>
      <c r="OS30" s="363">
        <f t="shared" ca="1" si="338"/>
        <v>0.99535122938327436</v>
      </c>
      <c r="OT30" s="363">
        <f t="shared" ca="1" si="338"/>
        <v>1.4297175529728465</v>
      </c>
      <c r="OU30" s="363">
        <f t="shared" ca="1" si="338"/>
        <v>1.0732114627700733</v>
      </c>
      <c r="OV30" s="363">
        <f t="shared" ca="1" si="338"/>
        <v>0.81519998861001586</v>
      </c>
      <c r="OW30" s="363">
        <f ca="1">_xlfn.LOGNORM.INV(RAND(),$I$30,$J$30)</f>
        <v>0.87164700959208663</v>
      </c>
      <c r="OX30" s="363">
        <f t="shared" ref="OX30:RI30" ca="1" si="339">_xlfn.LOGNORM.INV(RAND(),$I$30,$J$30)</f>
        <v>0.8640014380892137</v>
      </c>
      <c r="OY30" s="363">
        <f t="shared" ca="1" si="339"/>
        <v>0.9007928568256709</v>
      </c>
      <c r="OZ30" s="363">
        <f t="shared" ca="1" si="339"/>
        <v>0.90853226565805167</v>
      </c>
      <c r="PA30" s="363">
        <f t="shared" ca="1" si="339"/>
        <v>0.91360872883881106</v>
      </c>
      <c r="PB30" s="363">
        <f t="shared" ca="1" si="339"/>
        <v>1.073430991534285</v>
      </c>
      <c r="PC30" s="363">
        <f t="shared" ca="1" si="339"/>
        <v>0.88056131343209376</v>
      </c>
      <c r="PD30" s="363">
        <f t="shared" ca="1" si="339"/>
        <v>0.91372281103247588</v>
      </c>
      <c r="PE30" s="363">
        <f t="shared" ca="1" si="339"/>
        <v>1.0819875129962713</v>
      </c>
      <c r="PF30" s="363">
        <f t="shared" ca="1" si="339"/>
        <v>1.0758118208098637</v>
      </c>
      <c r="PG30" s="363">
        <f t="shared" ca="1" si="339"/>
        <v>1.195071629323051</v>
      </c>
      <c r="PH30" s="363">
        <f t="shared" ca="1" si="339"/>
        <v>1.0474471527237661</v>
      </c>
      <c r="PI30" s="363">
        <f t="shared" ca="1" si="339"/>
        <v>1.0333899598044092</v>
      </c>
      <c r="PJ30" s="363">
        <f t="shared" ca="1" si="339"/>
        <v>0.98883158668422255</v>
      </c>
      <c r="PK30" s="363">
        <f t="shared" ca="1" si="339"/>
        <v>1.0449058523240009</v>
      </c>
      <c r="PL30" s="363">
        <f t="shared" ca="1" si="339"/>
        <v>0.92688600791462394</v>
      </c>
      <c r="PM30" s="363">
        <f t="shared" ca="1" si="339"/>
        <v>0.95050642230808613</v>
      </c>
      <c r="PN30" s="363">
        <f t="shared" ca="1" si="339"/>
        <v>1.0613236468871272</v>
      </c>
      <c r="PO30" s="363">
        <f t="shared" ca="1" si="339"/>
        <v>0.99009899377116428</v>
      </c>
      <c r="PP30" s="363">
        <f t="shared" ca="1" si="339"/>
        <v>0.91550817700603371</v>
      </c>
      <c r="PQ30" s="363">
        <f t="shared" ca="1" si="339"/>
        <v>0.81666985284352556</v>
      </c>
      <c r="PR30" s="363">
        <f t="shared" ca="1" si="339"/>
        <v>0.8492958797230854</v>
      </c>
      <c r="PS30" s="363">
        <f t="shared" ca="1" si="339"/>
        <v>1.2401210157997475</v>
      </c>
      <c r="PT30" s="363">
        <f t="shared" ca="1" si="339"/>
        <v>1.0996247545801034</v>
      </c>
      <c r="PU30" s="363">
        <f t="shared" ca="1" si="339"/>
        <v>0.82349155156044052</v>
      </c>
      <c r="PV30" s="363">
        <f t="shared" ca="1" si="339"/>
        <v>1.1311802996829357</v>
      </c>
      <c r="PW30" s="363">
        <f t="shared" ca="1" si="339"/>
        <v>1.1608173775943953</v>
      </c>
      <c r="PX30" s="363">
        <f t="shared" ca="1" si="339"/>
        <v>0.93828827024530159</v>
      </c>
      <c r="PY30" s="363">
        <f t="shared" ca="1" si="339"/>
        <v>0.92412550556390505</v>
      </c>
      <c r="PZ30" s="363">
        <f t="shared" ca="1" si="339"/>
        <v>1.0380809952431012</v>
      </c>
      <c r="QA30" s="363">
        <f t="shared" ca="1" si="339"/>
        <v>0.8155616964598057</v>
      </c>
      <c r="QB30" s="363">
        <f t="shared" ca="1" si="339"/>
        <v>0.99353214635129117</v>
      </c>
      <c r="QC30" s="363">
        <f t="shared" ca="1" si="339"/>
        <v>0.95384922116959192</v>
      </c>
      <c r="QD30" s="363">
        <f t="shared" ca="1" si="339"/>
        <v>1.0431180189528593</v>
      </c>
      <c r="QE30" s="363">
        <f t="shared" ca="1" si="339"/>
        <v>1.1584394892925702</v>
      </c>
      <c r="QF30" s="363">
        <f t="shared" ca="1" si="339"/>
        <v>1.1434991010894195</v>
      </c>
      <c r="QG30" s="363">
        <f t="shared" ca="1" si="339"/>
        <v>1.0134940747184555</v>
      </c>
      <c r="QH30" s="363">
        <f t="shared" ca="1" si="339"/>
        <v>0.97785447360429689</v>
      </c>
      <c r="QI30" s="363">
        <f t="shared" ca="1" si="339"/>
        <v>1.0463468766833612</v>
      </c>
      <c r="QJ30" s="363">
        <f t="shared" ca="1" si="339"/>
        <v>1.1234228546491192</v>
      </c>
      <c r="QK30" s="363">
        <f t="shared" ca="1" si="339"/>
        <v>1.0910451353643558</v>
      </c>
      <c r="QL30" s="363">
        <f t="shared" ca="1" si="339"/>
        <v>0.85234641035561542</v>
      </c>
      <c r="QM30" s="363">
        <f t="shared" ca="1" si="339"/>
        <v>1.0451905616403689</v>
      </c>
      <c r="QN30" s="363">
        <f t="shared" ca="1" si="339"/>
        <v>1.0068098395020904</v>
      </c>
      <c r="QO30" s="363">
        <f t="shared" ca="1" si="339"/>
        <v>0.59869971567792968</v>
      </c>
      <c r="QP30" s="363">
        <f t="shared" ca="1" si="339"/>
        <v>1.0774386982518218</v>
      </c>
      <c r="QQ30" s="363">
        <f t="shared" ca="1" si="339"/>
        <v>0.96210411862721312</v>
      </c>
      <c r="QR30" s="363">
        <f t="shared" ca="1" si="339"/>
        <v>1.0112441120088203</v>
      </c>
      <c r="QS30" s="363">
        <f t="shared" ca="1" si="339"/>
        <v>0.93669444726570583</v>
      </c>
      <c r="QT30" s="363">
        <f t="shared" ca="1" si="339"/>
        <v>0.78176233688343266</v>
      </c>
      <c r="QU30" s="363">
        <f t="shared" ca="1" si="339"/>
        <v>0.98503670660011433</v>
      </c>
      <c r="QV30" s="363">
        <f t="shared" ca="1" si="339"/>
        <v>1.0410919248651271</v>
      </c>
      <c r="QW30" s="363">
        <f t="shared" ca="1" si="339"/>
        <v>0.8819937154908688</v>
      </c>
      <c r="QX30" s="363">
        <f t="shared" ca="1" si="339"/>
        <v>0.9297751768154473</v>
      </c>
      <c r="QY30" s="363">
        <f t="shared" ca="1" si="339"/>
        <v>0.92684212085673556</v>
      </c>
      <c r="QZ30" s="363">
        <f t="shared" ca="1" si="339"/>
        <v>0.7607592830516996</v>
      </c>
      <c r="RA30" s="363">
        <f t="shared" ca="1" si="339"/>
        <v>1.0082285767953256</v>
      </c>
      <c r="RB30" s="363">
        <f t="shared" ca="1" si="339"/>
        <v>0.99191103439114769</v>
      </c>
      <c r="RC30" s="363">
        <f t="shared" ca="1" si="339"/>
        <v>1.0071148037818152</v>
      </c>
      <c r="RD30" s="363">
        <f t="shared" ca="1" si="339"/>
        <v>0.96661862282364264</v>
      </c>
      <c r="RE30" s="363">
        <f t="shared" ca="1" si="339"/>
        <v>0.92113623088626151</v>
      </c>
      <c r="RF30" s="363">
        <f t="shared" ca="1" si="339"/>
        <v>0.91648373265455185</v>
      </c>
      <c r="RG30" s="363">
        <f t="shared" ca="1" si="339"/>
        <v>0.92540575248427803</v>
      </c>
      <c r="RH30" s="363">
        <f t="shared" ca="1" si="339"/>
        <v>1.0041630709142009</v>
      </c>
      <c r="RI30" s="363">
        <f t="shared" ca="1" si="339"/>
        <v>1.2045262369982321</v>
      </c>
      <c r="RJ30" s="363">
        <f t="shared" ref="RJ30:SR30" ca="1" si="340">_xlfn.LOGNORM.INV(RAND(),$I$30,$J$30)</f>
        <v>1.0964894105213163</v>
      </c>
      <c r="RK30" s="363">
        <f t="shared" ca="1" si="340"/>
        <v>1.0354047588405673</v>
      </c>
      <c r="RL30" s="363">
        <f t="shared" ca="1" si="340"/>
        <v>1.1429446022746468</v>
      </c>
      <c r="RM30" s="363">
        <f t="shared" ca="1" si="340"/>
        <v>0.94711428697451916</v>
      </c>
      <c r="RN30" s="363">
        <f t="shared" ca="1" si="340"/>
        <v>1.0783001166284349</v>
      </c>
      <c r="RO30" s="363">
        <f t="shared" ca="1" si="340"/>
        <v>0.93846993591678618</v>
      </c>
      <c r="RP30" s="363">
        <f t="shared" ca="1" si="340"/>
        <v>0.96804386745111282</v>
      </c>
      <c r="RQ30" s="363">
        <f t="shared" ca="1" si="340"/>
        <v>0.98570351206356444</v>
      </c>
      <c r="RR30" s="363">
        <f t="shared" ca="1" si="340"/>
        <v>0.99103943061106459</v>
      </c>
      <c r="RS30" s="363">
        <f t="shared" ca="1" si="340"/>
        <v>1.0197275357252946</v>
      </c>
      <c r="RT30" s="363">
        <f t="shared" ca="1" si="340"/>
        <v>0.90154326343881397</v>
      </c>
      <c r="RU30" s="363">
        <f t="shared" ca="1" si="340"/>
        <v>1.1059533768580774</v>
      </c>
      <c r="RV30" s="363">
        <f t="shared" ca="1" si="340"/>
        <v>1.2529731618704445</v>
      </c>
      <c r="RW30" s="363">
        <f t="shared" ca="1" si="340"/>
        <v>1.0901795096142426</v>
      </c>
      <c r="RX30" s="363">
        <f t="shared" ca="1" si="340"/>
        <v>0.82754591303250191</v>
      </c>
      <c r="RY30" s="363">
        <f t="shared" ca="1" si="340"/>
        <v>0.76314192742121956</v>
      </c>
      <c r="RZ30" s="363">
        <f t="shared" ca="1" si="340"/>
        <v>0.92020995447372267</v>
      </c>
      <c r="SA30" s="363">
        <f t="shared" ca="1" si="340"/>
        <v>1.0423238705328115</v>
      </c>
      <c r="SB30" s="363">
        <f t="shared" ca="1" si="340"/>
        <v>0.89981039656467876</v>
      </c>
      <c r="SC30" s="363">
        <f t="shared" ca="1" si="340"/>
        <v>1.0743868085058139</v>
      </c>
      <c r="SD30" s="363">
        <f t="shared" ca="1" si="340"/>
        <v>0.87870825567616251</v>
      </c>
      <c r="SE30" s="363">
        <f t="shared" ca="1" si="340"/>
        <v>1.0197103247279309</v>
      </c>
      <c r="SF30" s="363">
        <f t="shared" ca="1" si="340"/>
        <v>1.1374703866333167</v>
      </c>
      <c r="SG30" s="363">
        <f t="shared" ca="1" si="340"/>
        <v>1.0728033052630017</v>
      </c>
      <c r="SH30" s="363">
        <f t="shared" ca="1" si="340"/>
        <v>1.0471776773407766</v>
      </c>
      <c r="SI30" s="363">
        <f t="shared" ca="1" si="340"/>
        <v>1.1577027459043812</v>
      </c>
      <c r="SJ30" s="363">
        <f t="shared" ca="1" si="340"/>
        <v>0.96505329091431868</v>
      </c>
      <c r="SK30" s="363">
        <f t="shared" ca="1" si="340"/>
        <v>0.98625905398101321</v>
      </c>
      <c r="SL30" s="363">
        <f t="shared" ca="1" si="340"/>
        <v>0.97721712142541906</v>
      </c>
      <c r="SM30" s="363">
        <f t="shared" ca="1" si="340"/>
        <v>1.1481397471732904</v>
      </c>
      <c r="SN30" s="363">
        <f t="shared" ca="1" si="340"/>
        <v>1.0685200496943381</v>
      </c>
      <c r="SO30" s="363">
        <f t="shared" ca="1" si="340"/>
        <v>0.87685914025204925</v>
      </c>
      <c r="SP30" s="363">
        <f t="shared" ca="1" si="340"/>
        <v>1.2566326891470714</v>
      </c>
      <c r="SQ30" s="363">
        <f t="shared" ca="1" si="340"/>
        <v>1.1607408567085773</v>
      </c>
      <c r="SR30" s="363">
        <f t="shared" ca="1" si="340"/>
        <v>1.1123205277547412</v>
      </c>
      <c r="SS30" s="363">
        <f ca="1">_xlfn.LOGNORM.INV(RAND(),$I$30,$J$30)</f>
        <v>1.0834201250141002</v>
      </c>
      <c r="ST30" s="363">
        <f t="shared" ref="ST30:VE30" ca="1" si="341">_xlfn.LOGNORM.INV(RAND(),$I$30,$J$30)</f>
        <v>0.91191128811336131</v>
      </c>
      <c r="SU30" s="363">
        <f t="shared" ca="1" si="341"/>
        <v>1.0357636062494744</v>
      </c>
      <c r="SV30" s="363">
        <f t="shared" ca="1" si="341"/>
        <v>0.85475906060167706</v>
      </c>
      <c r="SW30" s="363">
        <f t="shared" ca="1" si="341"/>
        <v>0.98683648243846467</v>
      </c>
      <c r="SX30" s="363">
        <f t="shared" ca="1" si="341"/>
        <v>1.3066756751136408</v>
      </c>
      <c r="SY30" s="363">
        <f t="shared" ca="1" si="341"/>
        <v>0.93725115596226205</v>
      </c>
      <c r="SZ30" s="363">
        <f t="shared" ca="1" si="341"/>
        <v>0.99638822046656828</v>
      </c>
      <c r="TA30" s="363">
        <f t="shared" ca="1" si="341"/>
        <v>0.86444968773581932</v>
      </c>
      <c r="TB30" s="363">
        <f t="shared" ca="1" si="341"/>
        <v>1.0340639392848017</v>
      </c>
      <c r="TC30" s="363">
        <f t="shared" ca="1" si="341"/>
        <v>1.0534334335664124</v>
      </c>
      <c r="TD30" s="363">
        <f t="shared" ca="1" si="341"/>
        <v>0.85558469364616896</v>
      </c>
      <c r="TE30" s="363">
        <f t="shared" ca="1" si="341"/>
        <v>0.97716285106496537</v>
      </c>
      <c r="TF30" s="363">
        <f t="shared" ca="1" si="341"/>
        <v>1.1192002997875385</v>
      </c>
      <c r="TG30" s="363">
        <f t="shared" ca="1" si="341"/>
        <v>0.98129427544446479</v>
      </c>
      <c r="TH30" s="363">
        <f t="shared" ca="1" si="341"/>
        <v>1.0792001438070442</v>
      </c>
      <c r="TI30" s="363">
        <f t="shared" ca="1" si="341"/>
        <v>1.1038403644912638</v>
      </c>
      <c r="TJ30" s="363">
        <f t="shared" ca="1" si="341"/>
        <v>1.0824108007508586</v>
      </c>
      <c r="TK30" s="363">
        <f t="shared" ca="1" si="341"/>
        <v>1.279259607936323</v>
      </c>
      <c r="TL30" s="363">
        <f t="shared" ca="1" si="341"/>
        <v>1.0090788024051982</v>
      </c>
      <c r="TM30" s="363">
        <f t="shared" ca="1" si="341"/>
        <v>1.0284130717447348</v>
      </c>
      <c r="TN30" s="363">
        <f t="shared" ca="1" si="341"/>
        <v>1.1236751199290225</v>
      </c>
      <c r="TO30" s="363">
        <f t="shared" ca="1" si="341"/>
        <v>0.90248911611700167</v>
      </c>
      <c r="TP30" s="363">
        <f t="shared" ca="1" si="341"/>
        <v>0.98046746831134102</v>
      </c>
      <c r="TQ30" s="363">
        <f t="shared" ca="1" si="341"/>
        <v>0.90739183565672521</v>
      </c>
      <c r="TR30" s="363">
        <f t="shared" ca="1" si="341"/>
        <v>1.1345323847035029</v>
      </c>
      <c r="TS30" s="363">
        <f t="shared" ca="1" si="341"/>
        <v>1.2200864511575047</v>
      </c>
      <c r="TT30" s="363">
        <f t="shared" ca="1" si="341"/>
        <v>0.8806536181207516</v>
      </c>
      <c r="TU30" s="363">
        <f t="shared" ca="1" si="341"/>
        <v>1.0700240158639562</v>
      </c>
      <c r="TV30" s="363">
        <f t="shared" ca="1" si="341"/>
        <v>0.94223223277202339</v>
      </c>
      <c r="TW30" s="363">
        <f t="shared" ca="1" si="341"/>
        <v>1.0511690046458071</v>
      </c>
      <c r="TX30" s="363">
        <f t="shared" ca="1" si="341"/>
        <v>1.0941869636489334</v>
      </c>
      <c r="TY30" s="363">
        <f t="shared" ca="1" si="341"/>
        <v>1.0496929703167324</v>
      </c>
      <c r="TZ30" s="363">
        <f t="shared" ca="1" si="341"/>
        <v>0.87612184156487238</v>
      </c>
      <c r="UA30" s="363">
        <f t="shared" ca="1" si="341"/>
        <v>1.1516258851904086</v>
      </c>
      <c r="UB30" s="363">
        <f t="shared" ca="1" si="341"/>
        <v>0.86777881219992792</v>
      </c>
      <c r="UC30" s="363">
        <f t="shared" ca="1" si="341"/>
        <v>0.85695082375462117</v>
      </c>
      <c r="UD30" s="363">
        <f t="shared" ca="1" si="341"/>
        <v>0.9702375459095135</v>
      </c>
      <c r="UE30" s="363">
        <f t="shared" ca="1" si="341"/>
        <v>1.1466470553524377</v>
      </c>
      <c r="UF30" s="363">
        <f t="shared" ca="1" si="341"/>
        <v>0.96298990353715941</v>
      </c>
      <c r="UG30" s="363">
        <f t="shared" ca="1" si="341"/>
        <v>1.1016080288523287</v>
      </c>
      <c r="UH30" s="363">
        <f t="shared" ca="1" si="341"/>
        <v>0.98825153473373784</v>
      </c>
      <c r="UI30" s="363">
        <f t="shared" ca="1" si="341"/>
        <v>1.0347615658386646</v>
      </c>
      <c r="UJ30" s="363">
        <f t="shared" ca="1" si="341"/>
        <v>0.95910505265371881</v>
      </c>
      <c r="UK30" s="363">
        <f t="shared" ca="1" si="341"/>
        <v>1.1896841051785207</v>
      </c>
      <c r="UL30" s="363">
        <f t="shared" ca="1" si="341"/>
        <v>1.222075123501412</v>
      </c>
      <c r="UM30" s="363">
        <f t="shared" ca="1" si="341"/>
        <v>1.1433285828953708</v>
      </c>
      <c r="UN30" s="363">
        <f t="shared" ca="1" si="341"/>
        <v>1.025891481077398</v>
      </c>
      <c r="UO30" s="363">
        <f t="shared" ca="1" si="341"/>
        <v>1.0352244536392365</v>
      </c>
      <c r="UP30" s="363">
        <f t="shared" ca="1" si="341"/>
        <v>1.1547545054863666</v>
      </c>
      <c r="UQ30" s="363">
        <f t="shared" ca="1" si="341"/>
        <v>1.053910614927537</v>
      </c>
      <c r="UR30" s="363">
        <f t="shared" ca="1" si="341"/>
        <v>1.1161651118510967</v>
      </c>
      <c r="US30" s="363">
        <f t="shared" ca="1" si="341"/>
        <v>1.0269934919433301</v>
      </c>
      <c r="UT30" s="363">
        <f t="shared" ca="1" si="341"/>
        <v>0.80149461244814868</v>
      </c>
      <c r="UU30" s="363">
        <f t="shared" ca="1" si="341"/>
        <v>0.84069613479100969</v>
      </c>
      <c r="UV30" s="363">
        <f t="shared" ca="1" si="341"/>
        <v>1.1731151393080794</v>
      </c>
      <c r="UW30" s="363">
        <f t="shared" ca="1" si="341"/>
        <v>0.8570937088681253</v>
      </c>
      <c r="UX30" s="363">
        <f t="shared" ca="1" si="341"/>
        <v>0.85099357856000524</v>
      </c>
      <c r="UY30" s="363">
        <f t="shared" ca="1" si="341"/>
        <v>1.1413158458582837</v>
      </c>
      <c r="UZ30" s="363">
        <f t="shared" ca="1" si="341"/>
        <v>1.0099860477830656</v>
      </c>
      <c r="VA30" s="363">
        <f t="shared" ca="1" si="341"/>
        <v>0.94002098419787072</v>
      </c>
      <c r="VB30" s="363">
        <f t="shared" ca="1" si="341"/>
        <v>0.9216386961523213</v>
      </c>
      <c r="VC30" s="363">
        <f t="shared" ca="1" si="341"/>
        <v>1.3293527373656666</v>
      </c>
      <c r="VD30" s="363">
        <f t="shared" ca="1" si="341"/>
        <v>0.94175999100507124</v>
      </c>
      <c r="VE30" s="363">
        <f t="shared" ca="1" si="341"/>
        <v>0.89033999118234053</v>
      </c>
      <c r="VF30" s="363">
        <f t="shared" ref="VF30:WN30" ca="1" si="342">_xlfn.LOGNORM.INV(RAND(),$I$30,$J$30)</f>
        <v>0.98730028464834152</v>
      </c>
      <c r="VG30" s="363">
        <f t="shared" ca="1" si="342"/>
        <v>1.0097701049059804</v>
      </c>
      <c r="VH30" s="363">
        <f t="shared" ca="1" si="342"/>
        <v>0.94128795105669105</v>
      </c>
      <c r="VI30" s="363">
        <f t="shared" ca="1" si="342"/>
        <v>0.84849516977667605</v>
      </c>
      <c r="VJ30" s="363">
        <f t="shared" ca="1" si="342"/>
        <v>1.0280398932541477</v>
      </c>
      <c r="VK30" s="363">
        <f t="shared" ca="1" si="342"/>
        <v>1.0052803842412352</v>
      </c>
      <c r="VL30" s="363">
        <f t="shared" ca="1" si="342"/>
        <v>0.88432996987597234</v>
      </c>
      <c r="VM30" s="363">
        <f t="shared" ca="1" si="342"/>
        <v>0.95609921997122582</v>
      </c>
      <c r="VN30" s="363">
        <f t="shared" ca="1" si="342"/>
        <v>0.93391330808634276</v>
      </c>
      <c r="VO30" s="363">
        <f t="shared" ca="1" si="342"/>
        <v>1.2848283051365992</v>
      </c>
      <c r="VP30" s="363">
        <f t="shared" ca="1" si="342"/>
        <v>0.96833803154913989</v>
      </c>
      <c r="VQ30" s="363">
        <f t="shared" ca="1" si="342"/>
        <v>0.92526909376637756</v>
      </c>
      <c r="VR30" s="363">
        <f t="shared" ca="1" si="342"/>
        <v>1.1409804477866694</v>
      </c>
      <c r="VS30" s="363">
        <f t="shared" ca="1" si="342"/>
        <v>0.84665581398180645</v>
      </c>
      <c r="VT30" s="363">
        <f t="shared" ca="1" si="342"/>
        <v>0.838462491911936</v>
      </c>
      <c r="VU30" s="363">
        <f t="shared" ca="1" si="342"/>
        <v>1.232197714324752</v>
      </c>
      <c r="VV30" s="363">
        <f t="shared" ca="1" si="342"/>
        <v>0.80655802523053111</v>
      </c>
      <c r="VW30" s="363">
        <f t="shared" ca="1" si="342"/>
        <v>0.96405665741969859</v>
      </c>
      <c r="VX30" s="363">
        <f t="shared" ca="1" si="342"/>
        <v>1.014690246249383</v>
      </c>
      <c r="VY30" s="363">
        <f t="shared" ca="1" si="342"/>
        <v>0.98159873766151284</v>
      </c>
      <c r="VZ30" s="363">
        <f t="shared" ca="1" si="342"/>
        <v>1.222615182008302</v>
      </c>
      <c r="WA30" s="363">
        <f t="shared" ca="1" si="342"/>
        <v>0.97075404747487259</v>
      </c>
      <c r="WB30" s="363">
        <f t="shared" ca="1" si="342"/>
        <v>1.135181670628765</v>
      </c>
      <c r="WC30" s="363">
        <f t="shared" ca="1" si="342"/>
        <v>1.1348144982198103</v>
      </c>
      <c r="WD30" s="363">
        <f t="shared" ca="1" si="342"/>
        <v>1.1850863741983668</v>
      </c>
      <c r="WE30" s="363">
        <f t="shared" ca="1" si="342"/>
        <v>0.97855554087889052</v>
      </c>
      <c r="WF30" s="363">
        <f t="shared" ca="1" si="342"/>
        <v>1.0539743849811305</v>
      </c>
      <c r="WG30" s="363">
        <f t="shared" ca="1" si="342"/>
        <v>1.0780880373040522</v>
      </c>
      <c r="WH30" s="363">
        <f t="shared" ca="1" si="342"/>
        <v>0.94992290892787157</v>
      </c>
      <c r="WI30" s="363">
        <f t="shared" ca="1" si="342"/>
        <v>0.97859069499662732</v>
      </c>
      <c r="WJ30" s="363">
        <f t="shared" ca="1" si="342"/>
        <v>0.96917365699958935</v>
      </c>
      <c r="WK30" s="363">
        <f t="shared" ca="1" si="342"/>
        <v>1.0868557640016321</v>
      </c>
      <c r="WL30" s="363">
        <f t="shared" ca="1" si="342"/>
        <v>0.98279411494451296</v>
      </c>
      <c r="WM30" s="363">
        <f t="shared" ca="1" si="342"/>
        <v>0.98000761288119942</v>
      </c>
      <c r="WN30" s="363">
        <f t="shared" ca="1" si="342"/>
        <v>0.89253292183250932</v>
      </c>
    </row>
    <row r="31" spans="2:612" x14ac:dyDescent="0.15">
      <c r="B31" s="469" t="s">
        <v>1242</v>
      </c>
      <c r="D31" s="363">
        <f t="shared" si="0"/>
        <v>1</v>
      </c>
      <c r="F31" s="367">
        <v>1</v>
      </c>
      <c r="G31" s="367" t="s">
        <v>350</v>
      </c>
      <c r="H31" s="363">
        <v>0.11384875067051517</v>
      </c>
      <c r="I31" s="363">
        <f t="shared" si="197"/>
        <v>-6.4807690146185641E-3</v>
      </c>
      <c r="J31" s="367">
        <f t="shared" si="198"/>
        <v>0.1134824046446392</v>
      </c>
      <c r="K31" s="367" t="s">
        <v>1274</v>
      </c>
      <c r="M31" s="363">
        <f ca="1">_xlfn.LOGNORM.INV(RAND(),$I$31,$J$31)</f>
        <v>1.0139054508024097</v>
      </c>
      <c r="N31" s="363">
        <f t="shared" ref="N31:BY31" ca="1" si="343">_xlfn.LOGNORM.INV(RAND(),$I$31,$J$31)</f>
        <v>0.99982651455904481</v>
      </c>
      <c r="O31" s="363">
        <f t="shared" ca="1" si="343"/>
        <v>0.89591382198597402</v>
      </c>
      <c r="P31" s="363">
        <f t="shared" ca="1" si="343"/>
        <v>1.0989016680480574</v>
      </c>
      <c r="Q31" s="363">
        <f t="shared" ca="1" si="343"/>
        <v>0.86513827417228761</v>
      </c>
      <c r="R31" s="363">
        <f t="shared" ca="1" si="343"/>
        <v>0.9507114400609129</v>
      </c>
      <c r="S31" s="363">
        <f t="shared" ca="1" si="343"/>
        <v>1.0176835033915175</v>
      </c>
      <c r="T31" s="363">
        <f t="shared" ca="1" si="343"/>
        <v>0.82158526544701338</v>
      </c>
      <c r="U31" s="363">
        <f t="shared" ca="1" si="343"/>
        <v>0.8861791263592449</v>
      </c>
      <c r="V31" s="363">
        <f t="shared" ca="1" si="343"/>
        <v>1.1295115668634108</v>
      </c>
      <c r="W31" s="363">
        <f t="shared" ca="1" si="343"/>
        <v>1.0600438092366975</v>
      </c>
      <c r="X31" s="363">
        <f t="shared" ca="1" si="343"/>
        <v>0.8734407307222275</v>
      </c>
      <c r="Y31" s="363">
        <f t="shared" ca="1" si="343"/>
        <v>0.97878862641848552</v>
      </c>
      <c r="Z31" s="363">
        <f t="shared" ca="1" si="343"/>
        <v>0.89927771703893156</v>
      </c>
      <c r="AA31" s="363">
        <f t="shared" ca="1" si="343"/>
        <v>0.99073354090840582</v>
      </c>
      <c r="AB31" s="363">
        <f t="shared" ca="1" si="343"/>
        <v>0.78847915002072155</v>
      </c>
      <c r="AC31" s="363">
        <f t="shared" ca="1" si="343"/>
        <v>0.99974727949992703</v>
      </c>
      <c r="AD31" s="363">
        <f t="shared" ca="1" si="343"/>
        <v>1.2371279209901898</v>
      </c>
      <c r="AE31" s="363">
        <f t="shared" ca="1" si="343"/>
        <v>0.91893912936237176</v>
      </c>
      <c r="AF31" s="363">
        <f t="shared" ca="1" si="343"/>
        <v>0.99309495637606715</v>
      </c>
      <c r="AG31" s="363">
        <f t="shared" ca="1" si="343"/>
        <v>1.1089765342953557</v>
      </c>
      <c r="AH31" s="363">
        <f t="shared" ca="1" si="343"/>
        <v>0.98960745057626309</v>
      </c>
      <c r="AI31" s="363">
        <f t="shared" ca="1" si="343"/>
        <v>0.92708239467184683</v>
      </c>
      <c r="AJ31" s="363">
        <f t="shared" ca="1" si="343"/>
        <v>1.2682760300765139</v>
      </c>
      <c r="AK31" s="363">
        <f t="shared" ca="1" si="343"/>
        <v>1.0268278176462189</v>
      </c>
      <c r="AL31" s="363">
        <f t="shared" ca="1" si="343"/>
        <v>0.94343831843093906</v>
      </c>
      <c r="AM31" s="363">
        <f t="shared" ca="1" si="343"/>
        <v>1.0119407015690896</v>
      </c>
      <c r="AN31" s="363">
        <f t="shared" ca="1" si="343"/>
        <v>0.97036336974287163</v>
      </c>
      <c r="AO31" s="363">
        <f t="shared" ca="1" si="343"/>
        <v>1.1515066694966518</v>
      </c>
      <c r="AP31" s="363">
        <f t="shared" ca="1" si="343"/>
        <v>0.96375455633891227</v>
      </c>
      <c r="AQ31" s="363">
        <f t="shared" ca="1" si="343"/>
        <v>0.9805302464662442</v>
      </c>
      <c r="AR31" s="363">
        <f t="shared" ca="1" si="343"/>
        <v>1.082016342087597</v>
      </c>
      <c r="AS31" s="363">
        <f t="shared" ca="1" si="343"/>
        <v>0.86305141080206416</v>
      </c>
      <c r="AT31" s="363">
        <f t="shared" ca="1" si="343"/>
        <v>1.0153320478175873</v>
      </c>
      <c r="AU31" s="363">
        <f t="shared" ca="1" si="343"/>
        <v>0.72953273729283408</v>
      </c>
      <c r="AV31" s="363">
        <f t="shared" ca="1" si="343"/>
        <v>0.96623122042652787</v>
      </c>
      <c r="AW31" s="363">
        <f t="shared" ca="1" si="343"/>
        <v>0.99524400805600532</v>
      </c>
      <c r="AX31" s="363">
        <f t="shared" ca="1" si="343"/>
        <v>0.94413065536435914</v>
      </c>
      <c r="AY31" s="363">
        <f t="shared" ca="1" si="343"/>
        <v>1.0083551499232037</v>
      </c>
      <c r="AZ31" s="363">
        <f t="shared" ca="1" si="343"/>
        <v>0.95535250897066759</v>
      </c>
      <c r="BA31" s="363">
        <f t="shared" ca="1" si="343"/>
        <v>0.88067103896330623</v>
      </c>
      <c r="BB31" s="363">
        <f t="shared" ca="1" si="343"/>
        <v>0.87853649211913809</v>
      </c>
      <c r="BC31" s="363">
        <f t="shared" ca="1" si="343"/>
        <v>1.0047452349398569</v>
      </c>
      <c r="BD31" s="363">
        <f t="shared" ca="1" si="343"/>
        <v>1.2204762434711141</v>
      </c>
      <c r="BE31" s="363">
        <f t="shared" ca="1" si="343"/>
        <v>1.0916711662625913</v>
      </c>
      <c r="BF31" s="363">
        <f t="shared" ca="1" si="343"/>
        <v>1.1140182738462696</v>
      </c>
      <c r="BG31" s="363">
        <f t="shared" ca="1" si="343"/>
        <v>1.0721737374486311</v>
      </c>
      <c r="BH31" s="363">
        <f t="shared" ca="1" si="343"/>
        <v>1.0034179620459394</v>
      </c>
      <c r="BI31" s="363">
        <f t="shared" ca="1" si="343"/>
        <v>1.0825007428678213</v>
      </c>
      <c r="BJ31" s="363">
        <f t="shared" ca="1" si="343"/>
        <v>1.1221488802537709</v>
      </c>
      <c r="BK31" s="363">
        <f t="shared" ca="1" si="343"/>
        <v>1.1050060581862911</v>
      </c>
      <c r="BL31" s="363">
        <f t="shared" ca="1" si="343"/>
        <v>0.85905896627793821</v>
      </c>
      <c r="BM31" s="363">
        <f t="shared" ca="1" si="343"/>
        <v>1.1911185092846619</v>
      </c>
      <c r="BN31" s="363">
        <f t="shared" ca="1" si="343"/>
        <v>1.0124930609168581</v>
      </c>
      <c r="BO31" s="363">
        <f t="shared" ca="1" si="343"/>
        <v>0.92463239712956946</v>
      </c>
      <c r="BP31" s="363">
        <f t="shared" ca="1" si="343"/>
        <v>1.1741676840168329</v>
      </c>
      <c r="BQ31" s="363">
        <f t="shared" ca="1" si="343"/>
        <v>1.1387897836257568</v>
      </c>
      <c r="BR31" s="363">
        <f t="shared" ca="1" si="343"/>
        <v>1.1282269450029647</v>
      </c>
      <c r="BS31" s="363">
        <f t="shared" ca="1" si="343"/>
        <v>0.91917125637583452</v>
      </c>
      <c r="BT31" s="363">
        <f t="shared" ca="1" si="343"/>
        <v>1.0708021177552689</v>
      </c>
      <c r="BU31" s="363">
        <f t="shared" ca="1" si="343"/>
        <v>0.83878173898961517</v>
      </c>
      <c r="BV31" s="363">
        <f t="shared" ca="1" si="343"/>
        <v>1.0346236708057555</v>
      </c>
      <c r="BW31" s="363">
        <f t="shared" ca="1" si="343"/>
        <v>1.0736127666250537</v>
      </c>
      <c r="BX31" s="363">
        <f t="shared" ca="1" si="343"/>
        <v>0.99292095224579957</v>
      </c>
      <c r="BY31" s="363">
        <f t="shared" ca="1" si="343"/>
        <v>1.0481366442987627</v>
      </c>
      <c r="BZ31" s="363">
        <f t="shared" ref="BZ31:DH31" ca="1" si="344">_xlfn.LOGNORM.INV(RAND(),$I$31,$J$31)</f>
        <v>0.97607346459354449</v>
      </c>
      <c r="CA31" s="363">
        <f t="shared" ca="1" si="344"/>
        <v>0.956495016216101</v>
      </c>
      <c r="CB31" s="363">
        <f t="shared" ca="1" si="344"/>
        <v>1.0540289805657268</v>
      </c>
      <c r="CC31" s="363">
        <f t="shared" ca="1" si="344"/>
        <v>0.98597905118895623</v>
      </c>
      <c r="CD31" s="363">
        <f t="shared" ca="1" si="344"/>
        <v>0.8394900822748832</v>
      </c>
      <c r="CE31" s="363">
        <f t="shared" ca="1" si="344"/>
        <v>0.99423563316831709</v>
      </c>
      <c r="CF31" s="363">
        <f t="shared" ca="1" si="344"/>
        <v>0.79484793415503685</v>
      </c>
      <c r="CG31" s="363">
        <f t="shared" ca="1" si="344"/>
        <v>0.85240027521686212</v>
      </c>
      <c r="CH31" s="363">
        <f t="shared" ca="1" si="344"/>
        <v>1.1689393490059536</v>
      </c>
      <c r="CI31" s="363">
        <f t="shared" ca="1" si="344"/>
        <v>1.0803570623654961</v>
      </c>
      <c r="CJ31" s="363">
        <f t="shared" ca="1" si="344"/>
        <v>0.97134852602417521</v>
      </c>
      <c r="CK31" s="363">
        <f t="shared" ca="1" si="344"/>
        <v>0.68178516209238593</v>
      </c>
      <c r="CL31" s="363">
        <f t="shared" ca="1" si="344"/>
        <v>1.2125066569737621</v>
      </c>
      <c r="CM31" s="363">
        <f t="shared" ca="1" si="344"/>
        <v>0.89784450604418742</v>
      </c>
      <c r="CN31" s="363">
        <f t="shared" ca="1" si="344"/>
        <v>0.91885143983408657</v>
      </c>
      <c r="CO31" s="363">
        <f t="shared" ca="1" si="344"/>
        <v>0.9814900389107466</v>
      </c>
      <c r="CP31" s="363">
        <f t="shared" ca="1" si="344"/>
        <v>1.0096308163377341</v>
      </c>
      <c r="CQ31" s="363">
        <f t="shared" ca="1" si="344"/>
        <v>0.99114550266093104</v>
      </c>
      <c r="CR31" s="363">
        <f t="shared" ca="1" si="344"/>
        <v>0.86497317498223147</v>
      </c>
      <c r="CS31" s="363">
        <f t="shared" ca="1" si="344"/>
        <v>0.80437055226192433</v>
      </c>
      <c r="CT31" s="363">
        <f t="shared" ca="1" si="344"/>
        <v>1.019689296473109</v>
      </c>
      <c r="CU31" s="363">
        <f t="shared" ca="1" si="344"/>
        <v>0.97608043483996587</v>
      </c>
      <c r="CV31" s="363">
        <f t="shared" ca="1" si="344"/>
        <v>1.3129814559133817</v>
      </c>
      <c r="CW31" s="363">
        <f t="shared" ca="1" si="344"/>
        <v>1.2376663762062177</v>
      </c>
      <c r="CX31" s="363">
        <f t="shared" ca="1" si="344"/>
        <v>0.95693358297429632</v>
      </c>
      <c r="CY31" s="363">
        <f t="shared" ca="1" si="344"/>
        <v>1.0089315268255714</v>
      </c>
      <c r="CZ31" s="363">
        <f t="shared" ca="1" si="344"/>
        <v>0.83315684640511412</v>
      </c>
      <c r="DA31" s="363">
        <f t="shared" ca="1" si="344"/>
        <v>1.0264769418492872</v>
      </c>
      <c r="DB31" s="363">
        <f t="shared" ca="1" si="344"/>
        <v>0.88845416743213312</v>
      </c>
      <c r="DC31" s="363">
        <f t="shared" ca="1" si="344"/>
        <v>0.92940809655685752</v>
      </c>
      <c r="DD31" s="363">
        <f t="shared" ca="1" si="344"/>
        <v>1.0208604276428199</v>
      </c>
      <c r="DE31" s="363">
        <f t="shared" ca="1" si="344"/>
        <v>0.96958900905346335</v>
      </c>
      <c r="DF31" s="363">
        <f t="shared" ca="1" si="344"/>
        <v>0.90066334098410039</v>
      </c>
      <c r="DG31" s="363">
        <f t="shared" ca="1" si="344"/>
        <v>1.1202286133969483</v>
      </c>
      <c r="DH31" s="363">
        <f t="shared" ca="1" si="344"/>
        <v>1.1068976958290884</v>
      </c>
      <c r="DI31" s="363">
        <f ca="1">_xlfn.LOGNORM.INV(RAND(),$I$31,$J$31)</f>
        <v>1.0192339900327789</v>
      </c>
      <c r="DJ31" s="363">
        <f t="shared" ref="DJ31:FU31" ca="1" si="345">_xlfn.LOGNORM.INV(RAND(),$I$31,$J$31)</f>
        <v>0.89980895530900651</v>
      </c>
      <c r="DK31" s="363">
        <f t="shared" ca="1" si="345"/>
        <v>1.0529942067679221</v>
      </c>
      <c r="DL31" s="363">
        <f t="shared" ca="1" si="345"/>
        <v>1.1151321261598188</v>
      </c>
      <c r="DM31" s="363">
        <f t="shared" ca="1" si="345"/>
        <v>1.0882591409231139</v>
      </c>
      <c r="DN31" s="363">
        <f t="shared" ca="1" si="345"/>
        <v>1.0464240543921155</v>
      </c>
      <c r="DO31" s="363">
        <f t="shared" ca="1" si="345"/>
        <v>0.95941917242172614</v>
      </c>
      <c r="DP31" s="363">
        <f t="shared" ca="1" si="345"/>
        <v>0.97766854368374667</v>
      </c>
      <c r="DQ31" s="363">
        <f t="shared" ca="1" si="345"/>
        <v>0.95933924492966216</v>
      </c>
      <c r="DR31" s="363">
        <f t="shared" ca="1" si="345"/>
        <v>0.9361426550248132</v>
      </c>
      <c r="DS31" s="363">
        <f t="shared" ca="1" si="345"/>
        <v>1.0672868810672644</v>
      </c>
      <c r="DT31" s="363">
        <f t="shared" ca="1" si="345"/>
        <v>0.98283270518638521</v>
      </c>
      <c r="DU31" s="363">
        <f t="shared" ca="1" si="345"/>
        <v>0.94431415281378284</v>
      </c>
      <c r="DV31" s="363">
        <f t="shared" ca="1" si="345"/>
        <v>0.87324406396016774</v>
      </c>
      <c r="DW31" s="363">
        <f t="shared" ca="1" si="345"/>
        <v>1.1304454335327689</v>
      </c>
      <c r="DX31" s="363">
        <f t="shared" ca="1" si="345"/>
        <v>1.1050821189049835</v>
      </c>
      <c r="DY31" s="363">
        <f t="shared" ca="1" si="345"/>
        <v>1.309956735321496</v>
      </c>
      <c r="DZ31" s="363">
        <f t="shared" ca="1" si="345"/>
        <v>1.0497436878234729</v>
      </c>
      <c r="EA31" s="363">
        <f t="shared" ca="1" si="345"/>
        <v>1.0112785502690913</v>
      </c>
      <c r="EB31" s="363">
        <f t="shared" ca="1" si="345"/>
        <v>0.90375492027351412</v>
      </c>
      <c r="EC31" s="363">
        <f t="shared" ca="1" si="345"/>
        <v>0.94136430772733237</v>
      </c>
      <c r="ED31" s="363">
        <f t="shared" ca="1" si="345"/>
        <v>0.84167867827731246</v>
      </c>
      <c r="EE31" s="363">
        <f t="shared" ca="1" si="345"/>
        <v>1.1385084228625673</v>
      </c>
      <c r="EF31" s="363">
        <f t="shared" ca="1" si="345"/>
        <v>1.0261092336445361</v>
      </c>
      <c r="EG31" s="363">
        <f t="shared" ca="1" si="345"/>
        <v>0.99407927189309142</v>
      </c>
      <c r="EH31" s="363">
        <f t="shared" ca="1" si="345"/>
        <v>1.0568778761676654</v>
      </c>
      <c r="EI31" s="363">
        <f t="shared" ca="1" si="345"/>
        <v>1.2138373314479158</v>
      </c>
      <c r="EJ31" s="363">
        <f t="shared" ca="1" si="345"/>
        <v>1.1071443555345091</v>
      </c>
      <c r="EK31" s="363">
        <f t="shared" ca="1" si="345"/>
        <v>0.95958002626857308</v>
      </c>
      <c r="EL31" s="363">
        <f t="shared" ca="1" si="345"/>
        <v>1.3152615429466117</v>
      </c>
      <c r="EM31" s="363">
        <f t="shared" ca="1" si="345"/>
        <v>0.9718544460235663</v>
      </c>
      <c r="EN31" s="363">
        <f t="shared" ca="1" si="345"/>
        <v>0.99224916659834428</v>
      </c>
      <c r="EO31" s="363">
        <f t="shared" ca="1" si="345"/>
        <v>1.1487509694602653</v>
      </c>
      <c r="EP31" s="363">
        <f t="shared" ca="1" si="345"/>
        <v>0.95405191796372635</v>
      </c>
      <c r="EQ31" s="363">
        <f t="shared" ca="1" si="345"/>
        <v>0.96297262449939713</v>
      </c>
      <c r="ER31" s="363">
        <f t="shared" ca="1" si="345"/>
        <v>0.86768465754136304</v>
      </c>
      <c r="ES31" s="363">
        <f t="shared" ca="1" si="345"/>
        <v>1.0556324600660103</v>
      </c>
      <c r="ET31" s="363">
        <f t="shared" ca="1" si="345"/>
        <v>1.0136144791535344</v>
      </c>
      <c r="EU31" s="363">
        <f t="shared" ca="1" si="345"/>
        <v>0.98287105271249997</v>
      </c>
      <c r="EV31" s="363">
        <f t="shared" ca="1" si="345"/>
        <v>1.0504493669260417</v>
      </c>
      <c r="EW31" s="363">
        <f t="shared" ca="1" si="345"/>
        <v>0.96211813080224973</v>
      </c>
      <c r="EX31" s="363">
        <f t="shared" ca="1" si="345"/>
        <v>0.84596066376174794</v>
      </c>
      <c r="EY31" s="363">
        <f t="shared" ca="1" si="345"/>
        <v>0.91683180056762847</v>
      </c>
      <c r="EZ31" s="363">
        <f t="shared" ca="1" si="345"/>
        <v>0.97237888483405122</v>
      </c>
      <c r="FA31" s="363">
        <f t="shared" ca="1" si="345"/>
        <v>0.83824456937257374</v>
      </c>
      <c r="FB31" s="363">
        <f t="shared" ca="1" si="345"/>
        <v>0.88526398357040836</v>
      </c>
      <c r="FC31" s="363">
        <f t="shared" ca="1" si="345"/>
        <v>0.89460880816303678</v>
      </c>
      <c r="FD31" s="363">
        <f t="shared" ca="1" si="345"/>
        <v>0.86860547727565784</v>
      </c>
      <c r="FE31" s="363">
        <f t="shared" ca="1" si="345"/>
        <v>1.0683222584887226</v>
      </c>
      <c r="FF31" s="363">
        <f t="shared" ca="1" si="345"/>
        <v>0.86030255348349316</v>
      </c>
      <c r="FG31" s="363">
        <f t="shared" ca="1" si="345"/>
        <v>0.96670345501661892</v>
      </c>
      <c r="FH31" s="363">
        <f t="shared" ca="1" si="345"/>
        <v>1.0653251729235038</v>
      </c>
      <c r="FI31" s="363">
        <f t="shared" ca="1" si="345"/>
        <v>1.05445502030502</v>
      </c>
      <c r="FJ31" s="363">
        <f t="shared" ca="1" si="345"/>
        <v>0.91655095991660118</v>
      </c>
      <c r="FK31" s="363">
        <f t="shared" ca="1" si="345"/>
        <v>0.8376505998101631</v>
      </c>
      <c r="FL31" s="363">
        <f t="shared" ca="1" si="345"/>
        <v>0.97493027232090668</v>
      </c>
      <c r="FM31" s="363">
        <f t="shared" ca="1" si="345"/>
        <v>1.014685655772801</v>
      </c>
      <c r="FN31" s="363">
        <f t="shared" ca="1" si="345"/>
        <v>1.0170680590576036</v>
      </c>
      <c r="FO31" s="363">
        <f t="shared" ca="1" si="345"/>
        <v>1.0985879038947315</v>
      </c>
      <c r="FP31" s="363">
        <f t="shared" ca="1" si="345"/>
        <v>1.0955107140232598</v>
      </c>
      <c r="FQ31" s="363">
        <f t="shared" ca="1" si="345"/>
        <v>1.0939556281146803</v>
      </c>
      <c r="FR31" s="363">
        <f t="shared" ca="1" si="345"/>
        <v>1.0685414034471779</v>
      </c>
      <c r="FS31" s="363">
        <f t="shared" ca="1" si="345"/>
        <v>1.0444859941208284</v>
      </c>
      <c r="FT31" s="363">
        <f t="shared" ca="1" si="345"/>
        <v>1.1421099232025052</v>
      </c>
      <c r="FU31" s="363">
        <f t="shared" ca="1" si="345"/>
        <v>0.98088642589433761</v>
      </c>
      <c r="FV31" s="363">
        <f t="shared" ref="FV31:HD31" ca="1" si="346">_xlfn.LOGNORM.INV(RAND(),$I$31,$J$31)</f>
        <v>1.12631200498665</v>
      </c>
      <c r="FW31" s="363">
        <f t="shared" ca="1" si="346"/>
        <v>0.82674933224835656</v>
      </c>
      <c r="FX31" s="363">
        <f t="shared" ca="1" si="346"/>
        <v>0.91405836091056047</v>
      </c>
      <c r="FY31" s="363">
        <f t="shared" ca="1" si="346"/>
        <v>1.0414372800405058</v>
      </c>
      <c r="FZ31" s="363">
        <f t="shared" ca="1" si="346"/>
        <v>0.98704040892670364</v>
      </c>
      <c r="GA31" s="363">
        <f t="shared" ca="1" si="346"/>
        <v>0.9586124987095852</v>
      </c>
      <c r="GB31" s="363">
        <f t="shared" ca="1" si="346"/>
        <v>1.0277321836550257</v>
      </c>
      <c r="GC31" s="363">
        <f t="shared" ca="1" si="346"/>
        <v>0.93540583692708845</v>
      </c>
      <c r="GD31" s="363">
        <f t="shared" ca="1" si="346"/>
        <v>0.8741429022046735</v>
      </c>
      <c r="GE31" s="363">
        <f t="shared" ca="1" si="346"/>
        <v>1.1272346881490471</v>
      </c>
      <c r="GF31" s="363">
        <f t="shared" ca="1" si="346"/>
        <v>0.97673362471455605</v>
      </c>
      <c r="GG31" s="363">
        <f t="shared" ca="1" si="346"/>
        <v>0.83045468741015094</v>
      </c>
      <c r="GH31" s="363">
        <f t="shared" ca="1" si="346"/>
        <v>1.1106939433703962</v>
      </c>
      <c r="GI31" s="363">
        <f t="shared" ca="1" si="346"/>
        <v>0.94204582938328729</v>
      </c>
      <c r="GJ31" s="363">
        <f t="shared" ca="1" si="346"/>
        <v>1.0119614403397541</v>
      </c>
      <c r="GK31" s="363">
        <f t="shared" ca="1" si="346"/>
        <v>0.91327760508321121</v>
      </c>
      <c r="GL31" s="363">
        <f t="shared" ca="1" si="346"/>
        <v>0.85074295208441897</v>
      </c>
      <c r="GM31" s="363">
        <f t="shared" ca="1" si="346"/>
        <v>1.1074530947063956</v>
      </c>
      <c r="GN31" s="363">
        <f t="shared" ca="1" si="346"/>
        <v>0.99819453250172729</v>
      </c>
      <c r="GO31" s="363">
        <f t="shared" ca="1" si="346"/>
        <v>0.9839107655611673</v>
      </c>
      <c r="GP31" s="363">
        <f t="shared" ca="1" si="346"/>
        <v>0.85422770328085329</v>
      </c>
      <c r="GQ31" s="363">
        <f t="shared" ca="1" si="346"/>
        <v>0.96270479481754745</v>
      </c>
      <c r="GR31" s="363">
        <f t="shared" ca="1" si="346"/>
        <v>0.9733536324945552</v>
      </c>
      <c r="GS31" s="363">
        <f t="shared" ca="1" si="346"/>
        <v>0.87013544966477896</v>
      </c>
      <c r="GT31" s="363">
        <f t="shared" ca="1" si="346"/>
        <v>1.0034190620448498</v>
      </c>
      <c r="GU31" s="363">
        <f t="shared" ca="1" si="346"/>
        <v>1.0712329596295775</v>
      </c>
      <c r="GV31" s="363">
        <f t="shared" ca="1" si="346"/>
        <v>0.89446981024263561</v>
      </c>
      <c r="GW31" s="363">
        <f t="shared" ca="1" si="346"/>
        <v>0.72591896297018832</v>
      </c>
      <c r="GX31" s="363">
        <f t="shared" ca="1" si="346"/>
        <v>1.1396389923581578</v>
      </c>
      <c r="GY31" s="363">
        <f t="shared" ca="1" si="346"/>
        <v>0.8427125718196995</v>
      </c>
      <c r="GZ31" s="363">
        <f t="shared" ca="1" si="346"/>
        <v>1.0647781070408782</v>
      </c>
      <c r="HA31" s="363">
        <f t="shared" ca="1" si="346"/>
        <v>1.2304122100747832</v>
      </c>
      <c r="HB31" s="363">
        <f t="shared" ca="1" si="346"/>
        <v>1.0567055358132886</v>
      </c>
      <c r="HC31" s="363">
        <f t="shared" ca="1" si="346"/>
        <v>1.0477424527339505</v>
      </c>
      <c r="HD31" s="363">
        <f t="shared" ca="1" si="346"/>
        <v>0.85724815009822997</v>
      </c>
      <c r="HE31" s="363">
        <f ca="1">_xlfn.LOGNORM.INV(RAND(),$I$31,$J$31)</f>
        <v>0.89406440661183761</v>
      </c>
      <c r="HF31" s="363">
        <f t="shared" ref="HF31:JQ31" ca="1" si="347">_xlfn.LOGNORM.INV(RAND(),$I$31,$J$31)</f>
        <v>1.0834753792578939</v>
      </c>
      <c r="HG31" s="363">
        <f t="shared" ca="1" si="347"/>
        <v>0.94782447410388859</v>
      </c>
      <c r="HH31" s="363">
        <f t="shared" ca="1" si="347"/>
        <v>0.83107700082259162</v>
      </c>
      <c r="HI31" s="363">
        <f t="shared" ca="1" si="347"/>
        <v>0.8967862774596882</v>
      </c>
      <c r="HJ31" s="363">
        <f t="shared" ca="1" si="347"/>
        <v>1.0197991652161662</v>
      </c>
      <c r="HK31" s="363">
        <f t="shared" ca="1" si="347"/>
        <v>0.94927933744947257</v>
      </c>
      <c r="HL31" s="363">
        <f t="shared" ca="1" si="347"/>
        <v>1.0646404548545714</v>
      </c>
      <c r="HM31" s="363">
        <f t="shared" ca="1" si="347"/>
        <v>0.81477181769314111</v>
      </c>
      <c r="HN31" s="363">
        <f t="shared" ca="1" si="347"/>
        <v>1.0969952702033849</v>
      </c>
      <c r="HO31" s="363">
        <f t="shared" ca="1" si="347"/>
        <v>0.90527223739861118</v>
      </c>
      <c r="HP31" s="363">
        <f t="shared" ca="1" si="347"/>
        <v>1.066168681540399</v>
      </c>
      <c r="HQ31" s="363">
        <f t="shared" ca="1" si="347"/>
        <v>0.86553108064061957</v>
      </c>
      <c r="HR31" s="363">
        <f t="shared" ca="1" si="347"/>
        <v>1.0458283585481596</v>
      </c>
      <c r="HS31" s="363">
        <f t="shared" ca="1" si="347"/>
        <v>1.3680919256232076</v>
      </c>
      <c r="HT31" s="363">
        <f t="shared" ca="1" si="347"/>
        <v>0.93211812910385861</v>
      </c>
      <c r="HU31" s="363">
        <f t="shared" ca="1" si="347"/>
        <v>0.98206495536154093</v>
      </c>
      <c r="HV31" s="363">
        <f t="shared" ca="1" si="347"/>
        <v>0.96088651352069876</v>
      </c>
      <c r="HW31" s="363">
        <f t="shared" ca="1" si="347"/>
        <v>1.0396853507615258</v>
      </c>
      <c r="HX31" s="363">
        <f t="shared" ca="1" si="347"/>
        <v>1.1797333694967007</v>
      </c>
      <c r="HY31" s="363">
        <f t="shared" ca="1" si="347"/>
        <v>0.92408751416253665</v>
      </c>
      <c r="HZ31" s="363">
        <f t="shared" ca="1" si="347"/>
        <v>1.0143403771814412</v>
      </c>
      <c r="IA31" s="363">
        <f t="shared" ca="1" si="347"/>
        <v>1.0903954997671588</v>
      </c>
      <c r="IB31" s="363">
        <f t="shared" ca="1" si="347"/>
        <v>0.92099404076130154</v>
      </c>
      <c r="IC31" s="363">
        <f t="shared" ca="1" si="347"/>
        <v>1.108887075948584</v>
      </c>
      <c r="ID31" s="363">
        <f t="shared" ca="1" si="347"/>
        <v>1.0325801180818779</v>
      </c>
      <c r="IE31" s="363">
        <f t="shared" ca="1" si="347"/>
        <v>0.95368429270715538</v>
      </c>
      <c r="IF31" s="363">
        <f t="shared" ca="1" si="347"/>
        <v>0.88999238172500383</v>
      </c>
      <c r="IG31" s="363">
        <f t="shared" ca="1" si="347"/>
        <v>0.83143761207761513</v>
      </c>
      <c r="IH31" s="363">
        <f t="shared" ca="1" si="347"/>
        <v>0.88170343985723731</v>
      </c>
      <c r="II31" s="363">
        <f t="shared" ca="1" si="347"/>
        <v>0.92718294886400732</v>
      </c>
      <c r="IJ31" s="363">
        <f t="shared" ca="1" si="347"/>
        <v>1.1349660944446687</v>
      </c>
      <c r="IK31" s="363">
        <f t="shared" ca="1" si="347"/>
        <v>0.79884187122087191</v>
      </c>
      <c r="IL31" s="363">
        <f t="shared" ca="1" si="347"/>
        <v>1.156225950192753</v>
      </c>
      <c r="IM31" s="363">
        <f t="shared" ca="1" si="347"/>
        <v>0.97820355339993437</v>
      </c>
      <c r="IN31" s="363">
        <f t="shared" ca="1" si="347"/>
        <v>0.9876697817983876</v>
      </c>
      <c r="IO31" s="363">
        <f t="shared" ca="1" si="347"/>
        <v>0.90795046322281581</v>
      </c>
      <c r="IP31" s="363">
        <f t="shared" ca="1" si="347"/>
        <v>0.94103134523751752</v>
      </c>
      <c r="IQ31" s="363">
        <f t="shared" ca="1" si="347"/>
        <v>0.9522449389989367</v>
      </c>
      <c r="IR31" s="363">
        <f t="shared" ca="1" si="347"/>
        <v>0.8149929332503183</v>
      </c>
      <c r="IS31" s="363">
        <f t="shared" ca="1" si="347"/>
        <v>0.96137849147024756</v>
      </c>
      <c r="IT31" s="363">
        <f t="shared" ca="1" si="347"/>
        <v>1.19373202759421</v>
      </c>
      <c r="IU31" s="363">
        <f t="shared" ca="1" si="347"/>
        <v>0.98963186468225772</v>
      </c>
      <c r="IV31" s="363">
        <f t="shared" ca="1" si="347"/>
        <v>1.2569410300705677</v>
      </c>
      <c r="IW31" s="363">
        <f t="shared" ca="1" si="347"/>
        <v>0.93074018002353143</v>
      </c>
      <c r="IX31" s="363">
        <f t="shared" ca="1" si="347"/>
        <v>0.95435722257093958</v>
      </c>
      <c r="IY31" s="363">
        <f t="shared" ca="1" si="347"/>
        <v>0.97805697667438096</v>
      </c>
      <c r="IZ31" s="363">
        <f t="shared" ca="1" si="347"/>
        <v>1.0459120355924871</v>
      </c>
      <c r="JA31" s="363">
        <f t="shared" ca="1" si="347"/>
        <v>1.110501535128402</v>
      </c>
      <c r="JB31" s="363">
        <f t="shared" ca="1" si="347"/>
        <v>1.0634497853653875</v>
      </c>
      <c r="JC31" s="363">
        <f t="shared" ca="1" si="347"/>
        <v>1.1341277767532312</v>
      </c>
      <c r="JD31" s="363">
        <f t="shared" ca="1" si="347"/>
        <v>0.86705241065163363</v>
      </c>
      <c r="JE31" s="363">
        <f t="shared" ca="1" si="347"/>
        <v>0.98156508659882913</v>
      </c>
      <c r="JF31" s="363">
        <f t="shared" ca="1" si="347"/>
        <v>1.0382742493646799</v>
      </c>
      <c r="JG31" s="363">
        <f t="shared" ca="1" si="347"/>
        <v>0.96222281365733453</v>
      </c>
      <c r="JH31" s="363">
        <f t="shared" ca="1" si="347"/>
        <v>0.98968978177519773</v>
      </c>
      <c r="JI31" s="363">
        <f t="shared" ca="1" si="347"/>
        <v>1.0948593602543746</v>
      </c>
      <c r="JJ31" s="363">
        <f t="shared" ca="1" si="347"/>
        <v>0.9506892666572524</v>
      </c>
      <c r="JK31" s="363">
        <f t="shared" ca="1" si="347"/>
        <v>0.84519760143373324</v>
      </c>
      <c r="JL31" s="363">
        <f t="shared" ca="1" si="347"/>
        <v>0.97676738849895772</v>
      </c>
      <c r="JM31" s="363">
        <f t="shared" ca="1" si="347"/>
        <v>1.1258171530890637</v>
      </c>
      <c r="JN31" s="363">
        <f t="shared" ca="1" si="347"/>
        <v>0.86919671668839427</v>
      </c>
      <c r="JO31" s="363">
        <f t="shared" ca="1" si="347"/>
        <v>0.8679298863765722</v>
      </c>
      <c r="JP31" s="363">
        <f t="shared" ca="1" si="347"/>
        <v>0.92828460793538092</v>
      </c>
      <c r="JQ31" s="363">
        <f t="shared" ca="1" si="347"/>
        <v>1.0963982020822449</v>
      </c>
      <c r="JR31" s="363">
        <f t="shared" ref="JR31:KZ31" ca="1" si="348">_xlfn.LOGNORM.INV(RAND(),$I$31,$J$31)</f>
        <v>0.99097728647528194</v>
      </c>
      <c r="JS31" s="363">
        <f t="shared" ca="1" si="348"/>
        <v>0.96321787939362491</v>
      </c>
      <c r="JT31" s="363">
        <f t="shared" ca="1" si="348"/>
        <v>0.92912375475213005</v>
      </c>
      <c r="JU31" s="363">
        <f t="shared" ca="1" si="348"/>
        <v>0.96248794876497501</v>
      </c>
      <c r="JV31" s="363">
        <f t="shared" ca="1" si="348"/>
        <v>1.236613484244049</v>
      </c>
      <c r="JW31" s="363">
        <f t="shared" ca="1" si="348"/>
        <v>0.90300112798325649</v>
      </c>
      <c r="JX31" s="363">
        <f t="shared" ca="1" si="348"/>
        <v>0.9943228861604998</v>
      </c>
      <c r="JY31" s="363">
        <f t="shared" ca="1" si="348"/>
        <v>1.016423427443967</v>
      </c>
      <c r="JZ31" s="363">
        <f t="shared" ca="1" si="348"/>
        <v>1.1943096285058064</v>
      </c>
      <c r="KA31" s="363">
        <f t="shared" ca="1" si="348"/>
        <v>1.0540170394975512</v>
      </c>
      <c r="KB31" s="363">
        <f t="shared" ca="1" si="348"/>
        <v>0.87974305454864932</v>
      </c>
      <c r="KC31" s="363">
        <f t="shared" ca="1" si="348"/>
        <v>0.96937232026755493</v>
      </c>
      <c r="KD31" s="363">
        <f t="shared" ca="1" si="348"/>
        <v>0.94617570116127481</v>
      </c>
      <c r="KE31" s="363">
        <f t="shared" ca="1" si="348"/>
        <v>0.9635861242904854</v>
      </c>
      <c r="KF31" s="363">
        <f t="shared" ca="1" si="348"/>
        <v>0.92991896071823799</v>
      </c>
      <c r="KG31" s="363">
        <f t="shared" ca="1" si="348"/>
        <v>1.0904254819484442</v>
      </c>
      <c r="KH31" s="363">
        <f t="shared" ca="1" si="348"/>
        <v>0.91188951564178078</v>
      </c>
      <c r="KI31" s="363">
        <f t="shared" ca="1" si="348"/>
        <v>0.84738656760866415</v>
      </c>
      <c r="KJ31" s="363">
        <f t="shared" ca="1" si="348"/>
        <v>1.0822052668263027</v>
      </c>
      <c r="KK31" s="363">
        <f t="shared" ca="1" si="348"/>
        <v>0.94991016680840779</v>
      </c>
      <c r="KL31" s="363">
        <f t="shared" ca="1" si="348"/>
        <v>0.99457288054334536</v>
      </c>
      <c r="KM31" s="363">
        <f t="shared" ca="1" si="348"/>
        <v>0.84022129046710725</v>
      </c>
      <c r="KN31" s="363">
        <f t="shared" ca="1" si="348"/>
        <v>0.98094364018149605</v>
      </c>
      <c r="KO31" s="363">
        <f t="shared" ca="1" si="348"/>
        <v>0.96284473204830912</v>
      </c>
      <c r="KP31" s="363">
        <f t="shared" ca="1" si="348"/>
        <v>0.89287188870867673</v>
      </c>
      <c r="KQ31" s="363">
        <f t="shared" ca="1" si="348"/>
        <v>1.0645730858833751</v>
      </c>
      <c r="KR31" s="363">
        <f t="shared" ca="1" si="348"/>
        <v>1.0719690332915452</v>
      </c>
      <c r="KS31" s="363">
        <f t="shared" ca="1" si="348"/>
        <v>0.86994581227202361</v>
      </c>
      <c r="KT31" s="363">
        <f t="shared" ca="1" si="348"/>
        <v>0.85408021457252492</v>
      </c>
      <c r="KU31" s="363">
        <f t="shared" ca="1" si="348"/>
        <v>1.1888145489847914</v>
      </c>
      <c r="KV31" s="363">
        <f t="shared" ca="1" si="348"/>
        <v>0.89617184210923251</v>
      </c>
      <c r="KW31" s="363">
        <f t="shared" ca="1" si="348"/>
        <v>0.86998207186957999</v>
      </c>
      <c r="KX31" s="363">
        <f t="shared" ca="1" si="348"/>
        <v>0.94543273811895678</v>
      </c>
      <c r="KY31" s="363">
        <f t="shared" ca="1" si="348"/>
        <v>0.88975249003927115</v>
      </c>
      <c r="KZ31" s="363">
        <f t="shared" ca="1" si="348"/>
        <v>0.91366568745581811</v>
      </c>
      <c r="LA31" s="363">
        <f ca="1">_xlfn.LOGNORM.INV(RAND(),$I$31,$J$31)</f>
        <v>0.8291527719497378</v>
      </c>
      <c r="LB31" s="363">
        <f t="shared" ref="LB31:NM31" ca="1" si="349">_xlfn.LOGNORM.INV(RAND(),$I$31,$J$31)</f>
        <v>0.85110212001519814</v>
      </c>
      <c r="LC31" s="363">
        <f t="shared" ca="1" si="349"/>
        <v>0.93469212609349872</v>
      </c>
      <c r="LD31" s="363">
        <f t="shared" ca="1" si="349"/>
        <v>1.0032814561671857</v>
      </c>
      <c r="LE31" s="363">
        <f t="shared" ca="1" si="349"/>
        <v>0.86891944328910042</v>
      </c>
      <c r="LF31" s="363">
        <f t="shared" ca="1" si="349"/>
        <v>0.87643941801892034</v>
      </c>
      <c r="LG31" s="363">
        <f t="shared" ca="1" si="349"/>
        <v>1.0414445221898374</v>
      </c>
      <c r="LH31" s="363">
        <f t="shared" ca="1" si="349"/>
        <v>1.1452571980256465</v>
      </c>
      <c r="LI31" s="363">
        <f t="shared" ca="1" si="349"/>
        <v>1.078402846646914</v>
      </c>
      <c r="LJ31" s="363">
        <f t="shared" ca="1" si="349"/>
        <v>0.89121508908946523</v>
      </c>
      <c r="LK31" s="363">
        <f t="shared" ca="1" si="349"/>
        <v>1.2093372434679488</v>
      </c>
      <c r="LL31" s="363">
        <f t="shared" ca="1" si="349"/>
        <v>0.99835470162470263</v>
      </c>
      <c r="LM31" s="363">
        <f t="shared" ca="1" si="349"/>
        <v>1.0378787287289608</v>
      </c>
      <c r="LN31" s="363">
        <f t="shared" ca="1" si="349"/>
        <v>0.9488371694276595</v>
      </c>
      <c r="LO31" s="363">
        <f t="shared" ca="1" si="349"/>
        <v>1.2014289031695449</v>
      </c>
      <c r="LP31" s="363">
        <f t="shared" ca="1" si="349"/>
        <v>1.1198375923041344</v>
      </c>
      <c r="LQ31" s="363">
        <f t="shared" ca="1" si="349"/>
        <v>1.028061974697952</v>
      </c>
      <c r="LR31" s="363">
        <f t="shared" ca="1" si="349"/>
        <v>0.88652003912551669</v>
      </c>
      <c r="LS31" s="363">
        <f t="shared" ca="1" si="349"/>
        <v>0.98286926872584257</v>
      </c>
      <c r="LT31" s="363">
        <f t="shared" ca="1" si="349"/>
        <v>0.97818709078019128</v>
      </c>
      <c r="LU31" s="363">
        <f t="shared" ca="1" si="349"/>
        <v>1.1388336241720884</v>
      </c>
      <c r="LV31" s="363">
        <f t="shared" ca="1" si="349"/>
        <v>0.95355205819355493</v>
      </c>
      <c r="LW31" s="363">
        <f t="shared" ca="1" si="349"/>
        <v>0.85472019244744457</v>
      </c>
      <c r="LX31" s="363">
        <f t="shared" ca="1" si="349"/>
        <v>0.83025582081923543</v>
      </c>
      <c r="LY31" s="363">
        <f t="shared" ca="1" si="349"/>
        <v>1.0579602876697363</v>
      </c>
      <c r="LZ31" s="363">
        <f t="shared" ca="1" si="349"/>
        <v>1.0820656547318024</v>
      </c>
      <c r="MA31" s="363">
        <f t="shared" ca="1" si="349"/>
        <v>1.1712788177934412</v>
      </c>
      <c r="MB31" s="363">
        <f t="shared" ca="1" si="349"/>
        <v>0.92931149927021828</v>
      </c>
      <c r="MC31" s="363">
        <f t="shared" ca="1" si="349"/>
        <v>0.9997694416658528</v>
      </c>
      <c r="MD31" s="363">
        <f t="shared" ca="1" si="349"/>
        <v>1.1823295870613448</v>
      </c>
      <c r="ME31" s="363">
        <f t="shared" ca="1" si="349"/>
        <v>0.91430083940169027</v>
      </c>
      <c r="MF31" s="363">
        <f t="shared" ca="1" si="349"/>
        <v>1.0742112713160012</v>
      </c>
      <c r="MG31" s="363">
        <f t="shared" ca="1" si="349"/>
        <v>0.94048003559742133</v>
      </c>
      <c r="MH31" s="363">
        <f t="shared" ca="1" si="349"/>
        <v>1.11606793454358</v>
      </c>
      <c r="MI31" s="363">
        <f t="shared" ca="1" si="349"/>
        <v>1.0245755218181845</v>
      </c>
      <c r="MJ31" s="363">
        <f t="shared" ca="1" si="349"/>
        <v>1.2315792292199541</v>
      </c>
      <c r="MK31" s="363">
        <f t="shared" ca="1" si="349"/>
        <v>0.76813686326727015</v>
      </c>
      <c r="ML31" s="363">
        <f t="shared" ca="1" si="349"/>
        <v>0.85759508271875917</v>
      </c>
      <c r="MM31" s="363">
        <f t="shared" ca="1" si="349"/>
        <v>0.99930409297725287</v>
      </c>
      <c r="MN31" s="363">
        <f t="shared" ca="1" si="349"/>
        <v>0.93540316070429796</v>
      </c>
      <c r="MO31" s="363">
        <f t="shared" ca="1" si="349"/>
        <v>1.066050958515627</v>
      </c>
      <c r="MP31" s="363">
        <f t="shared" ca="1" si="349"/>
        <v>0.8716040663999457</v>
      </c>
      <c r="MQ31" s="363">
        <f t="shared" ca="1" si="349"/>
        <v>0.92202876020390467</v>
      </c>
      <c r="MR31" s="363">
        <f t="shared" ca="1" si="349"/>
        <v>1.0384744907439878</v>
      </c>
      <c r="MS31" s="363">
        <f t="shared" ca="1" si="349"/>
        <v>1.1012313664193261</v>
      </c>
      <c r="MT31" s="363">
        <f t="shared" ca="1" si="349"/>
        <v>0.87363263761033694</v>
      </c>
      <c r="MU31" s="363">
        <f t="shared" ca="1" si="349"/>
        <v>0.99585719420723251</v>
      </c>
      <c r="MV31" s="363">
        <f t="shared" ca="1" si="349"/>
        <v>1.2340172969807248</v>
      </c>
      <c r="MW31" s="363">
        <f t="shared" ca="1" si="349"/>
        <v>0.95893054961600654</v>
      </c>
      <c r="MX31" s="363">
        <f t="shared" ca="1" si="349"/>
        <v>0.9991307576140841</v>
      </c>
      <c r="MY31" s="363">
        <f t="shared" ca="1" si="349"/>
        <v>0.88507296342735653</v>
      </c>
      <c r="MZ31" s="363">
        <f t="shared" ca="1" si="349"/>
        <v>1.0182848524956281</v>
      </c>
      <c r="NA31" s="363">
        <f t="shared" ca="1" si="349"/>
        <v>0.99616389603458533</v>
      </c>
      <c r="NB31" s="363">
        <f t="shared" ca="1" si="349"/>
        <v>0.80197056252799059</v>
      </c>
      <c r="NC31" s="363">
        <f t="shared" ca="1" si="349"/>
        <v>1.1128453371144036</v>
      </c>
      <c r="ND31" s="363">
        <f t="shared" ca="1" si="349"/>
        <v>1.2024810340087697</v>
      </c>
      <c r="NE31" s="363">
        <f t="shared" ca="1" si="349"/>
        <v>1.2649591406440273</v>
      </c>
      <c r="NF31" s="363">
        <f t="shared" ca="1" si="349"/>
        <v>0.79795471524616202</v>
      </c>
      <c r="NG31" s="363">
        <f t="shared" ca="1" si="349"/>
        <v>0.92806191861765885</v>
      </c>
      <c r="NH31" s="363">
        <f t="shared" ca="1" si="349"/>
        <v>0.9700363512184218</v>
      </c>
      <c r="NI31" s="363">
        <f t="shared" ca="1" si="349"/>
        <v>1.0265582406496281</v>
      </c>
      <c r="NJ31" s="363">
        <f t="shared" ca="1" si="349"/>
        <v>0.80509100351150564</v>
      </c>
      <c r="NK31" s="363">
        <f t="shared" ca="1" si="349"/>
        <v>0.8866320191671262</v>
      </c>
      <c r="NL31" s="363">
        <f t="shared" ca="1" si="349"/>
        <v>1.0312670607259236</v>
      </c>
      <c r="NM31" s="363">
        <f t="shared" ca="1" si="349"/>
        <v>1.1840146031686536</v>
      </c>
      <c r="NN31" s="363">
        <f t="shared" ref="NN31:OV31" ca="1" si="350">_xlfn.LOGNORM.INV(RAND(),$I$31,$J$31)</f>
        <v>0.98476523514397296</v>
      </c>
      <c r="NO31" s="363">
        <f t="shared" ca="1" si="350"/>
        <v>1.0565909368869537</v>
      </c>
      <c r="NP31" s="363">
        <f t="shared" ca="1" si="350"/>
        <v>1.1060722006443078</v>
      </c>
      <c r="NQ31" s="363">
        <f t="shared" ca="1" si="350"/>
        <v>0.95759786586603746</v>
      </c>
      <c r="NR31" s="363">
        <f t="shared" ca="1" si="350"/>
        <v>1.1278861444422295</v>
      </c>
      <c r="NS31" s="363">
        <f t="shared" ca="1" si="350"/>
        <v>0.99959750619232102</v>
      </c>
      <c r="NT31" s="363">
        <f t="shared" ca="1" si="350"/>
        <v>1.0550444682223359</v>
      </c>
      <c r="NU31" s="363">
        <f t="shared" ca="1" si="350"/>
        <v>1.016340873826111</v>
      </c>
      <c r="NV31" s="363">
        <f t="shared" ca="1" si="350"/>
        <v>1.1393495334959445</v>
      </c>
      <c r="NW31" s="363">
        <f t="shared" ca="1" si="350"/>
        <v>0.97191737348981266</v>
      </c>
      <c r="NX31" s="363">
        <f t="shared" ca="1" si="350"/>
        <v>1.1430406098182411</v>
      </c>
      <c r="NY31" s="363">
        <f t="shared" ca="1" si="350"/>
        <v>1.2213842618314215</v>
      </c>
      <c r="NZ31" s="363">
        <f t="shared" ca="1" si="350"/>
        <v>1.1847899979889573</v>
      </c>
      <c r="OA31" s="363">
        <f t="shared" ca="1" si="350"/>
        <v>0.98254663001768039</v>
      </c>
      <c r="OB31" s="363">
        <f t="shared" ca="1" si="350"/>
        <v>0.94085819825564609</v>
      </c>
      <c r="OC31" s="363">
        <f t="shared" ca="1" si="350"/>
        <v>0.92773947112560695</v>
      </c>
      <c r="OD31" s="363">
        <f t="shared" ca="1" si="350"/>
        <v>1.1386822122613871</v>
      </c>
      <c r="OE31" s="363">
        <f t="shared" ca="1" si="350"/>
        <v>0.98517103400820272</v>
      </c>
      <c r="OF31" s="363">
        <f t="shared" ca="1" si="350"/>
        <v>0.86205441418063633</v>
      </c>
      <c r="OG31" s="363">
        <f t="shared" ca="1" si="350"/>
        <v>1.154348635042199</v>
      </c>
      <c r="OH31" s="363">
        <f t="shared" ca="1" si="350"/>
        <v>1.0013389622704547</v>
      </c>
      <c r="OI31" s="363">
        <f t="shared" ca="1" si="350"/>
        <v>0.88820634329694337</v>
      </c>
      <c r="OJ31" s="363">
        <f t="shared" ca="1" si="350"/>
        <v>1.0608431828018265</v>
      </c>
      <c r="OK31" s="363">
        <f t="shared" ca="1" si="350"/>
        <v>0.88921368507460252</v>
      </c>
      <c r="OL31" s="363">
        <f t="shared" ca="1" si="350"/>
        <v>0.88582402464606269</v>
      </c>
      <c r="OM31" s="363">
        <f t="shared" ca="1" si="350"/>
        <v>1.1376699256847305</v>
      </c>
      <c r="ON31" s="363">
        <f t="shared" ca="1" si="350"/>
        <v>1.0336515420671288</v>
      </c>
      <c r="OO31" s="363">
        <f t="shared" ca="1" si="350"/>
        <v>1.0325421833052475</v>
      </c>
      <c r="OP31" s="363">
        <f t="shared" ca="1" si="350"/>
        <v>0.91599499908599713</v>
      </c>
      <c r="OQ31" s="363">
        <f t="shared" ca="1" si="350"/>
        <v>0.89272539583524113</v>
      </c>
      <c r="OR31" s="363">
        <f t="shared" ca="1" si="350"/>
        <v>0.88804784449282281</v>
      </c>
      <c r="OS31" s="363">
        <f t="shared" ca="1" si="350"/>
        <v>0.86789056709703105</v>
      </c>
      <c r="OT31" s="363">
        <f t="shared" ca="1" si="350"/>
        <v>0.86072528060636844</v>
      </c>
      <c r="OU31" s="363">
        <f t="shared" ca="1" si="350"/>
        <v>0.89934033942525948</v>
      </c>
      <c r="OV31" s="363">
        <f t="shared" ca="1" si="350"/>
        <v>0.89647193346434906</v>
      </c>
      <c r="OW31" s="363">
        <f ca="1">_xlfn.LOGNORM.INV(RAND(),$I$31,$J$31)</f>
        <v>1.1087372748648041</v>
      </c>
      <c r="OX31" s="363">
        <f t="shared" ref="OX31:RI31" ca="1" si="351">_xlfn.LOGNORM.INV(RAND(),$I$31,$J$31)</f>
        <v>1.1224571772975516</v>
      </c>
      <c r="OY31" s="363">
        <f t="shared" ca="1" si="351"/>
        <v>1.0921149461360919</v>
      </c>
      <c r="OZ31" s="363">
        <f t="shared" ca="1" si="351"/>
        <v>0.92597589962012039</v>
      </c>
      <c r="PA31" s="363">
        <f t="shared" ca="1" si="351"/>
        <v>1.1380504633188444</v>
      </c>
      <c r="PB31" s="363">
        <f t="shared" ca="1" si="351"/>
        <v>0.93714895389851527</v>
      </c>
      <c r="PC31" s="363">
        <f t="shared" ca="1" si="351"/>
        <v>1.0886187180356299</v>
      </c>
      <c r="PD31" s="363">
        <f t="shared" ca="1" si="351"/>
        <v>1.0909008021023501</v>
      </c>
      <c r="PE31" s="363">
        <f t="shared" ca="1" si="351"/>
        <v>0.9466627017599516</v>
      </c>
      <c r="PF31" s="363">
        <f t="shared" ca="1" si="351"/>
        <v>1.0609533064190875</v>
      </c>
      <c r="PG31" s="363">
        <f t="shared" ca="1" si="351"/>
        <v>0.97435048636091226</v>
      </c>
      <c r="PH31" s="363">
        <f t="shared" ca="1" si="351"/>
        <v>1.0551527991907985</v>
      </c>
      <c r="PI31" s="363">
        <f t="shared" ca="1" si="351"/>
        <v>1.3275458422980071</v>
      </c>
      <c r="PJ31" s="363">
        <f t="shared" ca="1" si="351"/>
        <v>0.99643955054891187</v>
      </c>
      <c r="PK31" s="363">
        <f t="shared" ca="1" si="351"/>
        <v>1.1283000393791465</v>
      </c>
      <c r="PL31" s="363">
        <f t="shared" ca="1" si="351"/>
        <v>0.99526115503278922</v>
      </c>
      <c r="PM31" s="363">
        <f t="shared" ca="1" si="351"/>
        <v>1.0848779007604414</v>
      </c>
      <c r="PN31" s="363">
        <f t="shared" ca="1" si="351"/>
        <v>0.92620252338983566</v>
      </c>
      <c r="PO31" s="363">
        <f t="shared" ca="1" si="351"/>
        <v>0.95684724015217981</v>
      </c>
      <c r="PP31" s="363">
        <f t="shared" ca="1" si="351"/>
        <v>1.1899919817055753</v>
      </c>
      <c r="PQ31" s="363">
        <f t="shared" ca="1" si="351"/>
        <v>0.88972738467115564</v>
      </c>
      <c r="PR31" s="363">
        <f t="shared" ca="1" si="351"/>
        <v>0.93463978008205095</v>
      </c>
      <c r="PS31" s="363">
        <f t="shared" ca="1" si="351"/>
        <v>0.86265310932464179</v>
      </c>
      <c r="PT31" s="363">
        <f t="shared" ca="1" si="351"/>
        <v>1.1408484996206232</v>
      </c>
      <c r="PU31" s="363">
        <f t="shared" ca="1" si="351"/>
        <v>1.0149190863509672</v>
      </c>
      <c r="PV31" s="363">
        <f t="shared" ca="1" si="351"/>
        <v>0.82346814123212597</v>
      </c>
      <c r="PW31" s="363">
        <f t="shared" ca="1" si="351"/>
        <v>1.0967947670809091</v>
      </c>
      <c r="PX31" s="363">
        <f t="shared" ca="1" si="351"/>
        <v>1.1154186799455936</v>
      </c>
      <c r="PY31" s="363">
        <f t="shared" ca="1" si="351"/>
        <v>0.80141134760156474</v>
      </c>
      <c r="PZ31" s="363">
        <f t="shared" ca="1" si="351"/>
        <v>1.2035780631907793</v>
      </c>
      <c r="QA31" s="363">
        <f t="shared" ca="1" si="351"/>
        <v>1.0776541762280423</v>
      </c>
      <c r="QB31" s="363">
        <f t="shared" ca="1" si="351"/>
        <v>1.0343973585188189</v>
      </c>
      <c r="QC31" s="363">
        <f t="shared" ca="1" si="351"/>
        <v>0.95462617599493838</v>
      </c>
      <c r="QD31" s="363">
        <f t="shared" ca="1" si="351"/>
        <v>1.1538684073063481</v>
      </c>
      <c r="QE31" s="363">
        <f t="shared" ca="1" si="351"/>
        <v>1.0228599552313673</v>
      </c>
      <c r="QF31" s="363">
        <f t="shared" ca="1" si="351"/>
        <v>1.0472539850464735</v>
      </c>
      <c r="QG31" s="363">
        <f t="shared" ca="1" si="351"/>
        <v>1.0871876193021641</v>
      </c>
      <c r="QH31" s="363">
        <f t="shared" ca="1" si="351"/>
        <v>1.2219806825546637</v>
      </c>
      <c r="QI31" s="363">
        <f t="shared" ca="1" si="351"/>
        <v>1.0320666176143753</v>
      </c>
      <c r="QJ31" s="363">
        <f t="shared" ca="1" si="351"/>
        <v>1.088171493825087</v>
      </c>
      <c r="QK31" s="363">
        <f t="shared" ca="1" si="351"/>
        <v>0.94358831372670893</v>
      </c>
      <c r="QL31" s="363">
        <f t="shared" ca="1" si="351"/>
        <v>0.8781412627900812</v>
      </c>
      <c r="QM31" s="363">
        <f t="shared" ca="1" si="351"/>
        <v>0.92436930514298965</v>
      </c>
      <c r="QN31" s="363">
        <f t="shared" ca="1" si="351"/>
        <v>1.1125726098550677</v>
      </c>
      <c r="QO31" s="363">
        <f t="shared" ca="1" si="351"/>
        <v>1.2122079693947405</v>
      </c>
      <c r="QP31" s="363">
        <f t="shared" ca="1" si="351"/>
        <v>1.1558099436225342</v>
      </c>
      <c r="QQ31" s="363">
        <f t="shared" ca="1" si="351"/>
        <v>1.1553097470646747</v>
      </c>
      <c r="QR31" s="363">
        <f t="shared" ca="1" si="351"/>
        <v>1.0059015027537388</v>
      </c>
      <c r="QS31" s="363">
        <f t="shared" ca="1" si="351"/>
        <v>0.98122047123473077</v>
      </c>
      <c r="QT31" s="363">
        <f t="shared" ca="1" si="351"/>
        <v>0.80544144580390098</v>
      </c>
      <c r="QU31" s="363">
        <f t="shared" ca="1" si="351"/>
        <v>1.030501110623292</v>
      </c>
      <c r="QV31" s="363">
        <f t="shared" ca="1" si="351"/>
        <v>0.94590405397962651</v>
      </c>
      <c r="QW31" s="363">
        <f t="shared" ca="1" si="351"/>
        <v>0.95081908680035865</v>
      </c>
      <c r="QX31" s="363">
        <f t="shared" ca="1" si="351"/>
        <v>1.2890921410033236</v>
      </c>
      <c r="QY31" s="363">
        <f t="shared" ca="1" si="351"/>
        <v>0.96306693328484982</v>
      </c>
      <c r="QZ31" s="363">
        <f t="shared" ca="1" si="351"/>
        <v>0.87309964777626303</v>
      </c>
      <c r="RA31" s="363">
        <f t="shared" ca="1" si="351"/>
        <v>0.98135343274032727</v>
      </c>
      <c r="RB31" s="363">
        <f t="shared" ca="1" si="351"/>
        <v>1.1975618923777134</v>
      </c>
      <c r="RC31" s="363">
        <f t="shared" ca="1" si="351"/>
        <v>0.97540348104246088</v>
      </c>
      <c r="RD31" s="363">
        <f t="shared" ca="1" si="351"/>
        <v>0.6896724455959562</v>
      </c>
      <c r="RE31" s="363">
        <f t="shared" ca="1" si="351"/>
        <v>0.89267427601683103</v>
      </c>
      <c r="RF31" s="363">
        <f t="shared" ca="1" si="351"/>
        <v>1.1762480665885398</v>
      </c>
      <c r="RG31" s="363">
        <f t="shared" ca="1" si="351"/>
        <v>0.98594212763972089</v>
      </c>
      <c r="RH31" s="363">
        <f t="shared" ca="1" si="351"/>
        <v>0.89022276220570762</v>
      </c>
      <c r="RI31" s="363">
        <f t="shared" ca="1" si="351"/>
        <v>0.9574746337971729</v>
      </c>
      <c r="RJ31" s="363">
        <f t="shared" ref="RJ31:SR31" ca="1" si="352">_xlfn.LOGNORM.INV(RAND(),$I$31,$J$31)</f>
        <v>0.72004463203290459</v>
      </c>
      <c r="RK31" s="363">
        <f t="shared" ca="1" si="352"/>
        <v>1.1042436803266333</v>
      </c>
      <c r="RL31" s="363">
        <f t="shared" ca="1" si="352"/>
        <v>0.95096823999994906</v>
      </c>
      <c r="RM31" s="363">
        <f t="shared" ca="1" si="352"/>
        <v>0.8915896890644891</v>
      </c>
      <c r="RN31" s="363">
        <f t="shared" ca="1" si="352"/>
        <v>0.96966951791216649</v>
      </c>
      <c r="RO31" s="363">
        <f t="shared" ca="1" si="352"/>
        <v>0.88994366105378075</v>
      </c>
      <c r="RP31" s="363">
        <f t="shared" ca="1" si="352"/>
        <v>0.82974442038310159</v>
      </c>
      <c r="RQ31" s="363">
        <f t="shared" ca="1" si="352"/>
        <v>0.94799921698935186</v>
      </c>
      <c r="RR31" s="363">
        <f t="shared" ca="1" si="352"/>
        <v>0.96670603501149077</v>
      </c>
      <c r="RS31" s="363">
        <f t="shared" ca="1" si="352"/>
        <v>0.9846957529184287</v>
      </c>
      <c r="RT31" s="363">
        <f t="shared" ca="1" si="352"/>
        <v>1.067167861848433</v>
      </c>
      <c r="RU31" s="363">
        <f t="shared" ca="1" si="352"/>
        <v>0.98459841106573598</v>
      </c>
      <c r="RV31" s="363">
        <f t="shared" ca="1" si="352"/>
        <v>1.111051855402613</v>
      </c>
      <c r="RW31" s="363">
        <f t="shared" ca="1" si="352"/>
        <v>0.8856516919534313</v>
      </c>
      <c r="RX31" s="363">
        <f t="shared" ca="1" si="352"/>
        <v>0.87577665588745657</v>
      </c>
      <c r="RY31" s="363">
        <f t="shared" ca="1" si="352"/>
        <v>0.98987586037915298</v>
      </c>
      <c r="RZ31" s="363">
        <f t="shared" ca="1" si="352"/>
        <v>0.86168687359150398</v>
      </c>
      <c r="SA31" s="363">
        <f t="shared" ca="1" si="352"/>
        <v>1.0291881461409591</v>
      </c>
      <c r="SB31" s="363">
        <f t="shared" ca="1" si="352"/>
        <v>1.0391560620589289</v>
      </c>
      <c r="SC31" s="363">
        <f t="shared" ca="1" si="352"/>
        <v>1.0817462927481536</v>
      </c>
      <c r="SD31" s="363">
        <f t="shared" ca="1" si="352"/>
        <v>1.1687736871367735</v>
      </c>
      <c r="SE31" s="363">
        <f t="shared" ca="1" si="352"/>
        <v>0.91060991334933605</v>
      </c>
      <c r="SF31" s="363">
        <f t="shared" ca="1" si="352"/>
        <v>0.86580256136628653</v>
      </c>
      <c r="SG31" s="363">
        <f t="shared" ca="1" si="352"/>
        <v>1.0520843920525078</v>
      </c>
      <c r="SH31" s="363">
        <f t="shared" ca="1" si="352"/>
        <v>1.0327905044303465</v>
      </c>
      <c r="SI31" s="363">
        <f t="shared" ca="1" si="352"/>
        <v>0.90341844731376053</v>
      </c>
      <c r="SJ31" s="363">
        <f t="shared" ca="1" si="352"/>
        <v>0.97893547927100732</v>
      </c>
      <c r="SK31" s="363">
        <f t="shared" ca="1" si="352"/>
        <v>1.0548086086412531</v>
      </c>
      <c r="SL31" s="363">
        <f t="shared" ca="1" si="352"/>
        <v>0.99426117242222634</v>
      </c>
      <c r="SM31" s="363">
        <f t="shared" ca="1" si="352"/>
        <v>1.3465345651537803</v>
      </c>
      <c r="SN31" s="363">
        <f t="shared" ca="1" si="352"/>
        <v>1.0933035983005994</v>
      </c>
      <c r="SO31" s="363">
        <f t="shared" ca="1" si="352"/>
        <v>0.91925606365223522</v>
      </c>
      <c r="SP31" s="363">
        <f t="shared" ca="1" si="352"/>
        <v>0.90942600531880824</v>
      </c>
      <c r="SQ31" s="363">
        <f t="shared" ca="1" si="352"/>
        <v>1.0496192374924507</v>
      </c>
      <c r="SR31" s="363">
        <f t="shared" ca="1" si="352"/>
        <v>1.0162016080519649</v>
      </c>
      <c r="SS31" s="363">
        <f ca="1">_xlfn.LOGNORM.INV(RAND(),$I$31,$J$31)</f>
        <v>0.8824970827877342</v>
      </c>
      <c r="ST31" s="363">
        <f t="shared" ref="ST31:VE31" ca="1" si="353">_xlfn.LOGNORM.INV(RAND(),$I$31,$J$31)</f>
        <v>0.88202371170771465</v>
      </c>
      <c r="SU31" s="363">
        <f t="shared" ca="1" si="353"/>
        <v>0.92880429633863026</v>
      </c>
      <c r="SV31" s="363">
        <f t="shared" ca="1" si="353"/>
        <v>1.0206875536766828</v>
      </c>
      <c r="SW31" s="363">
        <f t="shared" ca="1" si="353"/>
        <v>0.91923610750118112</v>
      </c>
      <c r="SX31" s="363">
        <f t="shared" ca="1" si="353"/>
        <v>1.0086954812392011</v>
      </c>
      <c r="SY31" s="363">
        <f t="shared" ca="1" si="353"/>
        <v>0.8173786972242485</v>
      </c>
      <c r="SZ31" s="363">
        <f t="shared" ca="1" si="353"/>
        <v>0.8010731882840727</v>
      </c>
      <c r="TA31" s="363">
        <f t="shared" ca="1" si="353"/>
        <v>1.1717472975053125</v>
      </c>
      <c r="TB31" s="363">
        <f t="shared" ca="1" si="353"/>
        <v>1.1774301360751518</v>
      </c>
      <c r="TC31" s="363">
        <f t="shared" ca="1" si="353"/>
        <v>1.1135413802700502</v>
      </c>
      <c r="TD31" s="363">
        <f t="shared" ca="1" si="353"/>
        <v>1.1087913214060379</v>
      </c>
      <c r="TE31" s="363">
        <f t="shared" ca="1" si="353"/>
        <v>1.2167639659647196</v>
      </c>
      <c r="TF31" s="363">
        <f t="shared" ca="1" si="353"/>
        <v>0.97980554473821191</v>
      </c>
      <c r="TG31" s="363">
        <f t="shared" ca="1" si="353"/>
        <v>0.95235066818300218</v>
      </c>
      <c r="TH31" s="363">
        <f t="shared" ca="1" si="353"/>
        <v>0.9354304032565407</v>
      </c>
      <c r="TI31" s="363">
        <f t="shared" ca="1" si="353"/>
        <v>1.0549128681443771</v>
      </c>
      <c r="TJ31" s="363">
        <f t="shared" ca="1" si="353"/>
        <v>0.91440915677899515</v>
      </c>
      <c r="TK31" s="363">
        <f t="shared" ca="1" si="353"/>
        <v>0.96797957526930722</v>
      </c>
      <c r="TL31" s="363">
        <f t="shared" ca="1" si="353"/>
        <v>0.84356214281071018</v>
      </c>
      <c r="TM31" s="363">
        <f t="shared" ca="1" si="353"/>
        <v>1.0832485158489855</v>
      </c>
      <c r="TN31" s="363">
        <f t="shared" ca="1" si="353"/>
        <v>1.1451187451567844</v>
      </c>
      <c r="TO31" s="363">
        <f t="shared" ca="1" si="353"/>
        <v>0.86318723617444371</v>
      </c>
      <c r="TP31" s="363">
        <f t="shared" ca="1" si="353"/>
        <v>0.90770444112616855</v>
      </c>
      <c r="TQ31" s="363">
        <f t="shared" ca="1" si="353"/>
        <v>1.0769462167487491</v>
      </c>
      <c r="TR31" s="363">
        <f t="shared" ca="1" si="353"/>
        <v>1.3350413945772208</v>
      </c>
      <c r="TS31" s="363">
        <f t="shared" ca="1" si="353"/>
        <v>0.85684442768701008</v>
      </c>
      <c r="TT31" s="363">
        <f t="shared" ca="1" si="353"/>
        <v>0.99800668965964701</v>
      </c>
      <c r="TU31" s="363">
        <f t="shared" ca="1" si="353"/>
        <v>0.96495631175759022</v>
      </c>
      <c r="TV31" s="363">
        <f t="shared" ca="1" si="353"/>
        <v>1.0338373842708291</v>
      </c>
      <c r="TW31" s="363">
        <f t="shared" ca="1" si="353"/>
        <v>1.0653995206883882</v>
      </c>
      <c r="TX31" s="363">
        <f t="shared" ca="1" si="353"/>
        <v>0.99811755797345802</v>
      </c>
      <c r="TY31" s="363">
        <f t="shared" ca="1" si="353"/>
        <v>0.99275204821265461</v>
      </c>
      <c r="TZ31" s="363">
        <f t="shared" ca="1" si="353"/>
        <v>0.97104896655688022</v>
      </c>
      <c r="UA31" s="363">
        <f t="shared" ca="1" si="353"/>
        <v>1.1903986082117928</v>
      </c>
      <c r="UB31" s="363">
        <f t="shared" ca="1" si="353"/>
        <v>1.1370953994770172</v>
      </c>
      <c r="UC31" s="363">
        <f t="shared" ca="1" si="353"/>
        <v>1.2289262837154642</v>
      </c>
      <c r="UD31" s="363">
        <f t="shared" ca="1" si="353"/>
        <v>0.88498273220374746</v>
      </c>
      <c r="UE31" s="363">
        <f t="shared" ca="1" si="353"/>
        <v>1.0205327537227984</v>
      </c>
      <c r="UF31" s="363">
        <f t="shared" ca="1" si="353"/>
        <v>1.0733913017219834</v>
      </c>
      <c r="UG31" s="363">
        <f t="shared" ca="1" si="353"/>
        <v>0.95414477811511822</v>
      </c>
      <c r="UH31" s="363">
        <f t="shared" ca="1" si="353"/>
        <v>0.9869538309569813</v>
      </c>
      <c r="UI31" s="363">
        <f t="shared" ca="1" si="353"/>
        <v>0.84941891268907421</v>
      </c>
      <c r="UJ31" s="363">
        <f t="shared" ca="1" si="353"/>
        <v>0.80597422557870668</v>
      </c>
      <c r="UK31" s="363">
        <f t="shared" ca="1" si="353"/>
        <v>0.93065900408235691</v>
      </c>
      <c r="UL31" s="363">
        <f t="shared" ca="1" si="353"/>
        <v>0.96515764103941637</v>
      </c>
      <c r="UM31" s="363">
        <f t="shared" ca="1" si="353"/>
        <v>0.96120019722086125</v>
      </c>
      <c r="UN31" s="363">
        <f t="shared" ca="1" si="353"/>
        <v>0.97704581145168445</v>
      </c>
      <c r="UO31" s="363">
        <f t="shared" ca="1" si="353"/>
        <v>0.86361209062062838</v>
      </c>
      <c r="UP31" s="363">
        <f t="shared" ca="1" si="353"/>
        <v>0.77772281899928652</v>
      </c>
      <c r="UQ31" s="363">
        <f t="shared" ca="1" si="353"/>
        <v>1.0776228712464024</v>
      </c>
      <c r="UR31" s="363">
        <f t="shared" ca="1" si="353"/>
        <v>1.1224995015420167</v>
      </c>
      <c r="US31" s="363">
        <f t="shared" ca="1" si="353"/>
        <v>0.91221658805661521</v>
      </c>
      <c r="UT31" s="363">
        <f t="shared" ca="1" si="353"/>
        <v>1.0200611439002505</v>
      </c>
      <c r="UU31" s="363">
        <f t="shared" ca="1" si="353"/>
        <v>0.95599458766188627</v>
      </c>
      <c r="UV31" s="363">
        <f t="shared" ca="1" si="353"/>
        <v>1.0836917089340072</v>
      </c>
      <c r="UW31" s="363">
        <f t="shared" ca="1" si="353"/>
        <v>0.94470973608417841</v>
      </c>
      <c r="UX31" s="363">
        <f t="shared" ca="1" si="353"/>
        <v>1.0263152455205182</v>
      </c>
      <c r="UY31" s="363">
        <f t="shared" ca="1" si="353"/>
        <v>1.128388531790167</v>
      </c>
      <c r="UZ31" s="363">
        <f t="shared" ca="1" si="353"/>
        <v>1.0502436873118921</v>
      </c>
      <c r="VA31" s="363">
        <f t="shared" ca="1" si="353"/>
        <v>1.0473751843474088</v>
      </c>
      <c r="VB31" s="363">
        <f t="shared" ca="1" si="353"/>
        <v>1.1976169908192242</v>
      </c>
      <c r="VC31" s="363">
        <f t="shared" ca="1" si="353"/>
        <v>1.0007564594481171</v>
      </c>
      <c r="VD31" s="363">
        <f t="shared" ca="1" si="353"/>
        <v>0.95431150161947353</v>
      </c>
      <c r="VE31" s="363">
        <f t="shared" ca="1" si="353"/>
        <v>0.90595699946043129</v>
      </c>
      <c r="VF31" s="363">
        <f t="shared" ref="VF31:WN31" ca="1" si="354">_xlfn.LOGNORM.INV(RAND(),$I$31,$J$31)</f>
        <v>0.9560435438866276</v>
      </c>
      <c r="VG31" s="363">
        <f t="shared" ca="1" si="354"/>
        <v>0.93633639618315778</v>
      </c>
      <c r="VH31" s="363">
        <f t="shared" ca="1" si="354"/>
        <v>1.0510210467521044</v>
      </c>
      <c r="VI31" s="363">
        <f t="shared" ca="1" si="354"/>
        <v>0.99082638907808995</v>
      </c>
      <c r="VJ31" s="363">
        <f t="shared" ca="1" si="354"/>
        <v>0.91353735791400748</v>
      </c>
      <c r="VK31" s="363">
        <f t="shared" ca="1" si="354"/>
        <v>1.1326241178913463</v>
      </c>
      <c r="VL31" s="363">
        <f t="shared" ca="1" si="354"/>
        <v>0.99667123400156676</v>
      </c>
      <c r="VM31" s="363">
        <f t="shared" ca="1" si="354"/>
        <v>0.9864367160309867</v>
      </c>
      <c r="VN31" s="363">
        <f t="shared" ca="1" si="354"/>
        <v>1.1416225047238888</v>
      </c>
      <c r="VO31" s="363">
        <f t="shared" ca="1" si="354"/>
        <v>0.91226475522077166</v>
      </c>
      <c r="VP31" s="363">
        <f t="shared" ca="1" si="354"/>
        <v>0.96526859453120928</v>
      </c>
      <c r="VQ31" s="363">
        <f t="shared" ca="1" si="354"/>
        <v>1.1660038644616053</v>
      </c>
      <c r="VR31" s="363">
        <f t="shared" ca="1" si="354"/>
        <v>1.0454646616997849</v>
      </c>
      <c r="VS31" s="363">
        <f t="shared" ca="1" si="354"/>
        <v>1.0131591025850026</v>
      </c>
      <c r="VT31" s="363">
        <f t="shared" ca="1" si="354"/>
        <v>1.0033040165596752</v>
      </c>
      <c r="VU31" s="363">
        <f t="shared" ca="1" si="354"/>
        <v>1.1037454059463656</v>
      </c>
      <c r="VV31" s="363">
        <f t="shared" ca="1" si="354"/>
        <v>0.97655858820228381</v>
      </c>
      <c r="VW31" s="363">
        <f t="shared" ca="1" si="354"/>
        <v>0.95016306145638607</v>
      </c>
      <c r="VX31" s="363">
        <f t="shared" ca="1" si="354"/>
        <v>0.96835861714957838</v>
      </c>
      <c r="VY31" s="363">
        <f t="shared" ca="1" si="354"/>
        <v>0.96841077943652421</v>
      </c>
      <c r="VZ31" s="363">
        <f t="shared" ca="1" si="354"/>
        <v>1.0507484766903419</v>
      </c>
      <c r="WA31" s="363">
        <f t="shared" ca="1" si="354"/>
        <v>1.0201455466763447</v>
      </c>
      <c r="WB31" s="363">
        <f t="shared" ca="1" si="354"/>
        <v>0.88781831182084003</v>
      </c>
      <c r="WC31" s="363">
        <f t="shared" ca="1" si="354"/>
        <v>1.0266956117448185</v>
      </c>
      <c r="WD31" s="363">
        <f t="shared" ca="1" si="354"/>
        <v>1.1670009919255602</v>
      </c>
      <c r="WE31" s="363">
        <f t="shared" ca="1" si="354"/>
        <v>1.0051959056822071</v>
      </c>
      <c r="WF31" s="363">
        <f t="shared" ca="1" si="354"/>
        <v>0.90939816687681574</v>
      </c>
      <c r="WG31" s="363">
        <f t="shared" ca="1" si="354"/>
        <v>0.98933189776228847</v>
      </c>
      <c r="WH31" s="363">
        <f t="shared" ca="1" si="354"/>
        <v>0.95044448616982546</v>
      </c>
      <c r="WI31" s="363">
        <f t="shared" ca="1" si="354"/>
        <v>0.98135831283546948</v>
      </c>
      <c r="WJ31" s="363">
        <f t="shared" ca="1" si="354"/>
        <v>1.0709534299207109</v>
      </c>
      <c r="WK31" s="363">
        <f t="shared" ca="1" si="354"/>
        <v>0.78622694638082458</v>
      </c>
      <c r="WL31" s="363">
        <f t="shared" ca="1" si="354"/>
        <v>1.1335899851309994</v>
      </c>
      <c r="WM31" s="363">
        <f t="shared" ca="1" si="354"/>
        <v>1.0035525082742309</v>
      </c>
      <c r="WN31" s="363">
        <f t="shared" ca="1" si="354"/>
        <v>0.81938835911266572</v>
      </c>
    </row>
    <row r="32" spans="2:612" x14ac:dyDescent="0.15">
      <c r="B32" s="469" t="s">
        <v>1238</v>
      </c>
      <c r="D32" s="363">
        <f t="shared" si="0"/>
        <v>1</v>
      </c>
      <c r="F32" s="367">
        <v>1</v>
      </c>
      <c r="G32" s="367" t="s">
        <v>350</v>
      </c>
      <c r="H32" s="363">
        <v>7.7112467314523869E-2</v>
      </c>
      <c r="I32" s="363">
        <f t="shared" si="197"/>
        <v>-2.973166307666756E-3</v>
      </c>
      <c r="J32" s="367">
        <f t="shared" si="198"/>
        <v>7.69982009768298E-2</v>
      </c>
      <c r="K32" s="367" t="s">
        <v>1274</v>
      </c>
      <c r="M32" s="363">
        <f ca="1">_xlfn.LOGNORM.INV(RAND(),$I$32,$J$32)</f>
        <v>0.95004938943739325</v>
      </c>
      <c r="N32" s="363">
        <f t="shared" ref="N32:BY32" ca="1" si="355">_xlfn.LOGNORM.INV(RAND(),$I$32,$J$32)</f>
        <v>1.087799852459906</v>
      </c>
      <c r="O32" s="363">
        <f t="shared" ca="1" si="355"/>
        <v>1.0342627470649484</v>
      </c>
      <c r="P32" s="363">
        <f t="shared" ca="1" si="355"/>
        <v>1.06634740159066</v>
      </c>
      <c r="Q32" s="363">
        <f t="shared" ca="1" si="355"/>
        <v>1.0109169473292943</v>
      </c>
      <c r="R32" s="363">
        <f t="shared" ca="1" si="355"/>
        <v>0.90882526772749239</v>
      </c>
      <c r="S32" s="363">
        <f t="shared" ca="1" si="355"/>
        <v>1.1377296801678503</v>
      </c>
      <c r="T32" s="363">
        <f t="shared" ca="1" si="355"/>
        <v>1.0537478290472422</v>
      </c>
      <c r="U32" s="363">
        <f t="shared" ca="1" si="355"/>
        <v>1.0253202958176519</v>
      </c>
      <c r="V32" s="363">
        <f t="shared" ca="1" si="355"/>
        <v>1.0969409085458541</v>
      </c>
      <c r="W32" s="363">
        <f t="shared" ca="1" si="355"/>
        <v>0.99437039313601117</v>
      </c>
      <c r="X32" s="363">
        <f t="shared" ca="1" si="355"/>
        <v>0.83589335628512251</v>
      </c>
      <c r="Y32" s="363">
        <f t="shared" ca="1" si="355"/>
        <v>1.0036894418054114</v>
      </c>
      <c r="Z32" s="363">
        <f t="shared" ca="1" si="355"/>
        <v>0.96464729739500621</v>
      </c>
      <c r="AA32" s="363">
        <f t="shared" ca="1" si="355"/>
        <v>1.0523850708625326</v>
      </c>
      <c r="AB32" s="363">
        <f t="shared" ca="1" si="355"/>
        <v>1.1563386756209033</v>
      </c>
      <c r="AC32" s="363">
        <f t="shared" ca="1" si="355"/>
        <v>1.0336753799227303</v>
      </c>
      <c r="AD32" s="363">
        <f t="shared" ca="1" si="355"/>
        <v>0.98182843817168308</v>
      </c>
      <c r="AE32" s="363">
        <f t="shared" ca="1" si="355"/>
        <v>0.93783325138193607</v>
      </c>
      <c r="AF32" s="363">
        <f t="shared" ca="1" si="355"/>
        <v>0.95097135837568647</v>
      </c>
      <c r="AG32" s="363">
        <f t="shared" ca="1" si="355"/>
        <v>0.95614382027549927</v>
      </c>
      <c r="AH32" s="363">
        <f t="shared" ca="1" si="355"/>
        <v>0.8970094486185618</v>
      </c>
      <c r="AI32" s="363">
        <f t="shared" ca="1" si="355"/>
        <v>1.0713572631135873</v>
      </c>
      <c r="AJ32" s="363">
        <f t="shared" ca="1" si="355"/>
        <v>0.91538240589568753</v>
      </c>
      <c r="AK32" s="363">
        <f t="shared" ca="1" si="355"/>
        <v>0.86495003586709185</v>
      </c>
      <c r="AL32" s="363">
        <f t="shared" ca="1" si="355"/>
        <v>0.96335643591176212</v>
      </c>
      <c r="AM32" s="363">
        <f t="shared" ca="1" si="355"/>
        <v>0.98073518320786557</v>
      </c>
      <c r="AN32" s="363">
        <f t="shared" ca="1" si="355"/>
        <v>0.85905497438093115</v>
      </c>
      <c r="AO32" s="363">
        <f t="shared" ca="1" si="355"/>
        <v>1.0599328718436092</v>
      </c>
      <c r="AP32" s="363">
        <f t="shared" ca="1" si="355"/>
        <v>1.0209102395680778</v>
      </c>
      <c r="AQ32" s="363">
        <f t="shared" ca="1" si="355"/>
        <v>0.97216727297118022</v>
      </c>
      <c r="AR32" s="363">
        <f t="shared" ca="1" si="355"/>
        <v>1.1126007066972103</v>
      </c>
      <c r="AS32" s="363">
        <f t="shared" ca="1" si="355"/>
        <v>0.9118459814936557</v>
      </c>
      <c r="AT32" s="363">
        <f t="shared" ca="1" si="355"/>
        <v>0.99862986932711462</v>
      </c>
      <c r="AU32" s="363">
        <f t="shared" ca="1" si="355"/>
        <v>1.133171232314095</v>
      </c>
      <c r="AV32" s="363">
        <f t="shared" ca="1" si="355"/>
        <v>0.90953594189075004</v>
      </c>
      <c r="AW32" s="363">
        <f t="shared" ca="1" si="355"/>
        <v>0.89557657575134408</v>
      </c>
      <c r="AX32" s="363">
        <f t="shared" ca="1" si="355"/>
        <v>1.0067365428682109</v>
      </c>
      <c r="AY32" s="363">
        <f t="shared" ca="1" si="355"/>
        <v>0.895657298912372</v>
      </c>
      <c r="AZ32" s="363">
        <f t="shared" ca="1" si="355"/>
        <v>1.0404244917995131</v>
      </c>
      <c r="BA32" s="363">
        <f t="shared" ca="1" si="355"/>
        <v>0.98165176574559043</v>
      </c>
      <c r="BB32" s="363">
        <f t="shared" ca="1" si="355"/>
        <v>1.1182358900449929</v>
      </c>
      <c r="BC32" s="363">
        <f t="shared" ca="1" si="355"/>
        <v>0.99700679171428352</v>
      </c>
      <c r="BD32" s="363">
        <f t="shared" ca="1" si="355"/>
        <v>0.88107349347152952</v>
      </c>
      <c r="BE32" s="363">
        <f t="shared" ca="1" si="355"/>
        <v>0.97740322684021785</v>
      </c>
      <c r="BF32" s="363">
        <f t="shared" ca="1" si="355"/>
        <v>0.93071583129232416</v>
      </c>
      <c r="BG32" s="363">
        <f t="shared" ca="1" si="355"/>
        <v>1.0732218083430005</v>
      </c>
      <c r="BH32" s="363">
        <f t="shared" ca="1" si="355"/>
        <v>1.0681428444363115</v>
      </c>
      <c r="BI32" s="363">
        <f t="shared" ca="1" si="355"/>
        <v>1.0259542961776615</v>
      </c>
      <c r="BJ32" s="363">
        <f t="shared" ca="1" si="355"/>
        <v>1.0096706487498979</v>
      </c>
      <c r="BK32" s="363">
        <f t="shared" ca="1" si="355"/>
        <v>0.92565791294272703</v>
      </c>
      <c r="BL32" s="363">
        <f t="shared" ca="1" si="355"/>
        <v>1.1767104757362714</v>
      </c>
      <c r="BM32" s="363">
        <f t="shared" ca="1" si="355"/>
        <v>0.84204419680086351</v>
      </c>
      <c r="BN32" s="363">
        <f t="shared" ca="1" si="355"/>
        <v>1.0941045824262925</v>
      </c>
      <c r="BO32" s="363">
        <f t="shared" ca="1" si="355"/>
        <v>1.0294257660612469</v>
      </c>
      <c r="BP32" s="363">
        <f t="shared" ca="1" si="355"/>
        <v>0.89445282232213774</v>
      </c>
      <c r="BQ32" s="363">
        <f t="shared" ca="1" si="355"/>
        <v>1.0384019314138131</v>
      </c>
      <c r="BR32" s="363">
        <f t="shared" ca="1" si="355"/>
        <v>0.96184452083450933</v>
      </c>
      <c r="BS32" s="363">
        <f t="shared" ca="1" si="355"/>
        <v>0.98210383656893763</v>
      </c>
      <c r="BT32" s="363">
        <f t="shared" ca="1" si="355"/>
        <v>0.91498953016655649</v>
      </c>
      <c r="BU32" s="363">
        <f t="shared" ca="1" si="355"/>
        <v>0.99040193696375989</v>
      </c>
      <c r="BV32" s="363">
        <f t="shared" ca="1" si="355"/>
        <v>1.0031729015913715</v>
      </c>
      <c r="BW32" s="363">
        <f t="shared" ca="1" si="355"/>
        <v>0.99552787432150924</v>
      </c>
      <c r="BX32" s="363">
        <f t="shared" ca="1" si="355"/>
        <v>0.92245345641332221</v>
      </c>
      <c r="BY32" s="363">
        <f t="shared" ca="1" si="355"/>
        <v>0.94647857428949578</v>
      </c>
      <c r="BZ32" s="363">
        <f t="shared" ref="BZ32:DH32" ca="1" si="356">_xlfn.LOGNORM.INV(RAND(),$I$32,$J$32)</f>
        <v>1.0651247267210031</v>
      </c>
      <c r="CA32" s="363">
        <f t="shared" ca="1" si="356"/>
        <v>1.0165231952928231</v>
      </c>
      <c r="CB32" s="363">
        <f t="shared" ca="1" si="356"/>
        <v>0.98601358653783444</v>
      </c>
      <c r="CC32" s="363">
        <f t="shared" ca="1" si="356"/>
        <v>1.0339167146125374</v>
      </c>
      <c r="CD32" s="363">
        <f t="shared" ca="1" si="356"/>
        <v>0.96267903331601301</v>
      </c>
      <c r="CE32" s="363">
        <f t="shared" ca="1" si="356"/>
        <v>1.0431735933661634</v>
      </c>
      <c r="CF32" s="363">
        <f t="shared" ca="1" si="356"/>
        <v>1.0485366564820373</v>
      </c>
      <c r="CG32" s="363">
        <f t="shared" ca="1" si="356"/>
        <v>0.95783737091485299</v>
      </c>
      <c r="CH32" s="363">
        <f t="shared" ca="1" si="356"/>
        <v>0.95567959040472883</v>
      </c>
      <c r="CI32" s="363">
        <f t="shared" ca="1" si="356"/>
        <v>1.0777957624771348</v>
      </c>
      <c r="CJ32" s="363">
        <f t="shared" ca="1" si="356"/>
        <v>0.86424434113869397</v>
      </c>
      <c r="CK32" s="363">
        <f t="shared" ca="1" si="356"/>
        <v>1.0238503781627637</v>
      </c>
      <c r="CL32" s="363">
        <f t="shared" ca="1" si="356"/>
        <v>0.88745108146901575</v>
      </c>
      <c r="CM32" s="363">
        <f t="shared" ca="1" si="356"/>
        <v>0.97579161314162</v>
      </c>
      <c r="CN32" s="363">
        <f t="shared" ca="1" si="356"/>
        <v>1.058395761455782</v>
      </c>
      <c r="CO32" s="363">
        <f t="shared" ca="1" si="356"/>
        <v>1.0921046158737777</v>
      </c>
      <c r="CP32" s="363">
        <f t="shared" ca="1" si="356"/>
        <v>0.97693405946092049</v>
      </c>
      <c r="CQ32" s="363">
        <f t="shared" ca="1" si="356"/>
        <v>1.0914717221351558</v>
      </c>
      <c r="CR32" s="363">
        <f t="shared" ca="1" si="356"/>
        <v>1.0442185485612359</v>
      </c>
      <c r="CS32" s="363">
        <f t="shared" ca="1" si="356"/>
        <v>0.97372163464187322</v>
      </c>
      <c r="CT32" s="363">
        <f t="shared" ca="1" si="356"/>
        <v>1.0706098780110498</v>
      </c>
      <c r="CU32" s="363">
        <f t="shared" ca="1" si="356"/>
        <v>1.0789391927895653</v>
      </c>
      <c r="CV32" s="363">
        <f t="shared" ca="1" si="356"/>
        <v>0.9142083525902206</v>
      </c>
      <c r="CW32" s="363">
        <f t="shared" ca="1" si="356"/>
        <v>1.0450865909896698</v>
      </c>
      <c r="CX32" s="363">
        <f t="shared" ca="1" si="356"/>
        <v>0.93410628810440544</v>
      </c>
      <c r="CY32" s="363">
        <f t="shared" ca="1" si="356"/>
        <v>0.9392561568005604</v>
      </c>
      <c r="CZ32" s="363">
        <f t="shared" ca="1" si="356"/>
        <v>0.98989760351942335</v>
      </c>
      <c r="DA32" s="363">
        <f t="shared" ca="1" si="356"/>
        <v>1.0716173701681813</v>
      </c>
      <c r="DB32" s="363">
        <f t="shared" ca="1" si="356"/>
        <v>1.0231010076205957</v>
      </c>
      <c r="DC32" s="363">
        <f t="shared" ca="1" si="356"/>
        <v>1.001904494259362</v>
      </c>
      <c r="DD32" s="363">
        <f t="shared" ca="1" si="356"/>
        <v>1.080605812716499</v>
      </c>
      <c r="DE32" s="363">
        <f t="shared" ca="1" si="356"/>
        <v>1.0821526910435546</v>
      </c>
      <c r="DF32" s="363">
        <f t="shared" ca="1" si="356"/>
        <v>1.1133132586130077</v>
      </c>
      <c r="DG32" s="363">
        <f t="shared" ca="1" si="356"/>
        <v>1.0793101489764394</v>
      </c>
      <c r="DH32" s="363">
        <f t="shared" ca="1" si="356"/>
        <v>1.1592028118983602</v>
      </c>
      <c r="DI32" s="363">
        <f ca="1">_xlfn.LOGNORM.INV(RAND(),$I$32,$J$32)</f>
        <v>1.0291407935139101</v>
      </c>
      <c r="DJ32" s="363">
        <f t="shared" ref="DJ32:FU32" ca="1" si="357">_xlfn.LOGNORM.INV(RAND(),$I$32,$J$32)</f>
        <v>1.1058347926418008</v>
      </c>
      <c r="DK32" s="363">
        <f t="shared" ca="1" si="357"/>
        <v>0.94179838225353985</v>
      </c>
      <c r="DL32" s="363">
        <f t="shared" ca="1" si="357"/>
        <v>0.95922987591742381</v>
      </c>
      <c r="DM32" s="363">
        <f t="shared" ca="1" si="357"/>
        <v>1.0178162086118221</v>
      </c>
      <c r="DN32" s="363">
        <f t="shared" ca="1" si="357"/>
        <v>0.90450728259460822</v>
      </c>
      <c r="DO32" s="363">
        <f t="shared" ca="1" si="357"/>
        <v>0.92944586451554645</v>
      </c>
      <c r="DP32" s="363">
        <f t="shared" ca="1" si="357"/>
        <v>1.0604636387183566</v>
      </c>
      <c r="DQ32" s="363">
        <f t="shared" ca="1" si="357"/>
        <v>0.97426792576212495</v>
      </c>
      <c r="DR32" s="363">
        <f t="shared" ca="1" si="357"/>
        <v>0.95803323808507279</v>
      </c>
      <c r="DS32" s="363">
        <f t="shared" ca="1" si="357"/>
        <v>1.1463133985426563</v>
      </c>
      <c r="DT32" s="363">
        <f t="shared" ca="1" si="357"/>
        <v>0.87225765516281972</v>
      </c>
      <c r="DU32" s="363">
        <f t="shared" ca="1" si="357"/>
        <v>1.0728698957834655</v>
      </c>
      <c r="DV32" s="363">
        <f t="shared" ca="1" si="357"/>
        <v>0.96238454473833523</v>
      </c>
      <c r="DW32" s="363">
        <f t="shared" ca="1" si="357"/>
        <v>0.82476641501269354</v>
      </c>
      <c r="DX32" s="363">
        <f t="shared" ca="1" si="357"/>
        <v>1.1078715534166987</v>
      </c>
      <c r="DY32" s="363">
        <f t="shared" ca="1" si="357"/>
        <v>1.1764432387197354</v>
      </c>
      <c r="DZ32" s="363">
        <f t="shared" ca="1" si="357"/>
        <v>0.97977072468968174</v>
      </c>
      <c r="EA32" s="363">
        <f t="shared" ca="1" si="357"/>
        <v>1.1253032649081531</v>
      </c>
      <c r="EB32" s="363">
        <f t="shared" ca="1" si="357"/>
        <v>0.88925501917624694</v>
      </c>
      <c r="EC32" s="363">
        <f t="shared" ca="1" si="357"/>
        <v>1.0603072364805022</v>
      </c>
      <c r="ED32" s="363">
        <f t="shared" ca="1" si="357"/>
        <v>0.93367449712217121</v>
      </c>
      <c r="EE32" s="363">
        <f t="shared" ca="1" si="357"/>
        <v>0.95382093822237723</v>
      </c>
      <c r="EF32" s="363">
        <f t="shared" ca="1" si="357"/>
        <v>0.99332851386231402</v>
      </c>
      <c r="EG32" s="363">
        <f t="shared" ca="1" si="357"/>
        <v>1.1482246399155944</v>
      </c>
      <c r="EH32" s="363">
        <f t="shared" ca="1" si="357"/>
        <v>1.0167494900641749</v>
      </c>
      <c r="EI32" s="363">
        <f t="shared" ca="1" si="357"/>
        <v>0.9954167702035257</v>
      </c>
      <c r="EJ32" s="363">
        <f t="shared" ca="1" si="357"/>
        <v>0.98517274241076636</v>
      </c>
      <c r="EK32" s="363">
        <f t="shared" ca="1" si="357"/>
        <v>0.9770739249102206</v>
      </c>
      <c r="EL32" s="363">
        <f t="shared" ca="1" si="357"/>
        <v>1.0878841887168331</v>
      </c>
      <c r="EM32" s="363">
        <f t="shared" ca="1" si="357"/>
        <v>1.0174441926898432</v>
      </c>
      <c r="EN32" s="363">
        <f t="shared" ca="1" si="357"/>
        <v>0.84490745439384807</v>
      </c>
      <c r="EO32" s="363">
        <f t="shared" ca="1" si="357"/>
        <v>1.1613572685782951</v>
      </c>
      <c r="EP32" s="363">
        <f t="shared" ca="1" si="357"/>
        <v>1.0024096442340271</v>
      </c>
      <c r="EQ32" s="363">
        <f t="shared" ca="1" si="357"/>
        <v>1.0477788574510625</v>
      </c>
      <c r="ER32" s="363">
        <f t="shared" ca="1" si="357"/>
        <v>0.99046184508588264</v>
      </c>
      <c r="ES32" s="363">
        <f t="shared" ca="1" si="357"/>
        <v>0.92831792703219207</v>
      </c>
      <c r="ET32" s="363">
        <f t="shared" ca="1" si="357"/>
        <v>0.96221846525045662</v>
      </c>
      <c r="EU32" s="363">
        <f t="shared" ca="1" si="357"/>
        <v>0.87732842909992415</v>
      </c>
      <c r="EV32" s="363">
        <f t="shared" ca="1" si="357"/>
        <v>0.98079725346906199</v>
      </c>
      <c r="EW32" s="363">
        <f t="shared" ca="1" si="357"/>
        <v>0.89986951826996087</v>
      </c>
      <c r="EX32" s="363">
        <f t="shared" ca="1" si="357"/>
        <v>0.91762753217451631</v>
      </c>
      <c r="EY32" s="363">
        <f t="shared" ca="1" si="357"/>
        <v>1.0783631284245943</v>
      </c>
      <c r="EZ32" s="363">
        <f t="shared" ca="1" si="357"/>
        <v>1.064523913629438</v>
      </c>
      <c r="FA32" s="363">
        <f t="shared" ca="1" si="357"/>
        <v>1.0501096888007939</v>
      </c>
      <c r="FB32" s="363">
        <f t="shared" ca="1" si="357"/>
        <v>1.0834243631891411</v>
      </c>
      <c r="FC32" s="363">
        <f t="shared" ca="1" si="357"/>
        <v>0.86192726897006966</v>
      </c>
      <c r="FD32" s="363">
        <f t="shared" ca="1" si="357"/>
        <v>0.91732793642831334</v>
      </c>
      <c r="FE32" s="363">
        <f t="shared" ca="1" si="357"/>
        <v>1.0848018458156305</v>
      </c>
      <c r="FF32" s="363">
        <f t="shared" ca="1" si="357"/>
        <v>0.96361895856588653</v>
      </c>
      <c r="FG32" s="363">
        <f t="shared" ca="1" si="357"/>
        <v>1.0578122640268999</v>
      </c>
      <c r="FH32" s="363">
        <f t="shared" ca="1" si="357"/>
        <v>1.0286846272896502</v>
      </c>
      <c r="FI32" s="363">
        <f t="shared" ca="1" si="357"/>
        <v>1.0650153042476587</v>
      </c>
      <c r="FJ32" s="363">
        <f t="shared" ca="1" si="357"/>
        <v>0.93258770844836081</v>
      </c>
      <c r="FK32" s="363">
        <f t="shared" ca="1" si="357"/>
        <v>0.99732086223336058</v>
      </c>
      <c r="FL32" s="363">
        <f t="shared" ca="1" si="357"/>
        <v>0.89116990621067493</v>
      </c>
      <c r="FM32" s="363">
        <f t="shared" ca="1" si="357"/>
        <v>0.90367814452124529</v>
      </c>
      <c r="FN32" s="363">
        <f t="shared" ca="1" si="357"/>
        <v>0.99134485200746258</v>
      </c>
      <c r="FO32" s="363">
        <f t="shared" ca="1" si="357"/>
        <v>0.94780344760156976</v>
      </c>
      <c r="FP32" s="363">
        <f t="shared" ca="1" si="357"/>
        <v>0.97091292003041574</v>
      </c>
      <c r="FQ32" s="363">
        <f t="shared" ca="1" si="357"/>
        <v>0.9181896392006379</v>
      </c>
      <c r="FR32" s="363">
        <f t="shared" ca="1" si="357"/>
        <v>0.99058022139759005</v>
      </c>
      <c r="FS32" s="363">
        <f t="shared" ca="1" si="357"/>
        <v>0.95210306141516121</v>
      </c>
      <c r="FT32" s="363">
        <f t="shared" ca="1" si="357"/>
        <v>0.95685606842047266</v>
      </c>
      <c r="FU32" s="363">
        <f t="shared" ca="1" si="357"/>
        <v>1.1711304231294319</v>
      </c>
      <c r="FV32" s="363">
        <f t="shared" ref="FV32:HD32" ca="1" si="358">_xlfn.LOGNORM.INV(RAND(),$I$32,$J$32)</f>
        <v>0.97352697682147749</v>
      </c>
      <c r="FW32" s="363">
        <f t="shared" ca="1" si="358"/>
        <v>0.938712651203084</v>
      </c>
      <c r="FX32" s="363">
        <f t="shared" ca="1" si="358"/>
        <v>1.0106948871875219</v>
      </c>
      <c r="FY32" s="363">
        <f t="shared" ca="1" si="358"/>
        <v>0.98988409558873369</v>
      </c>
      <c r="FZ32" s="363">
        <f t="shared" ca="1" si="358"/>
        <v>0.90376286043888909</v>
      </c>
      <c r="GA32" s="363">
        <f t="shared" ca="1" si="358"/>
        <v>1.0648145557871966</v>
      </c>
      <c r="GB32" s="363">
        <f t="shared" ca="1" si="358"/>
        <v>1.005541203078852</v>
      </c>
      <c r="GC32" s="363">
        <f t="shared" ca="1" si="358"/>
        <v>1.0246333627516495</v>
      </c>
      <c r="GD32" s="363">
        <f t="shared" ca="1" si="358"/>
        <v>1.0382899079787646</v>
      </c>
      <c r="GE32" s="363">
        <f t="shared" ca="1" si="358"/>
        <v>1.1345430961748397</v>
      </c>
      <c r="GF32" s="363">
        <f t="shared" ca="1" si="358"/>
        <v>1.0516462052016899</v>
      </c>
      <c r="GG32" s="363">
        <f t="shared" ca="1" si="358"/>
        <v>0.92048854938401847</v>
      </c>
      <c r="GH32" s="363">
        <f t="shared" ca="1" si="358"/>
        <v>0.86004270454839282</v>
      </c>
      <c r="GI32" s="363">
        <f t="shared" ca="1" si="358"/>
        <v>1.0590490422815007</v>
      </c>
      <c r="GJ32" s="363">
        <f t="shared" ca="1" si="358"/>
        <v>0.90184297322555884</v>
      </c>
      <c r="GK32" s="363">
        <f t="shared" ca="1" si="358"/>
        <v>1.0538008313339078</v>
      </c>
      <c r="GL32" s="363">
        <f t="shared" ca="1" si="358"/>
        <v>1.0356728992988746</v>
      </c>
      <c r="GM32" s="363">
        <f t="shared" ca="1" si="358"/>
        <v>1.0626492587143614</v>
      </c>
      <c r="GN32" s="363">
        <f t="shared" ca="1" si="358"/>
        <v>1.0909424967906016</v>
      </c>
      <c r="GO32" s="363">
        <f t="shared" ca="1" si="358"/>
        <v>0.90017399815068389</v>
      </c>
      <c r="GP32" s="363">
        <f t="shared" ca="1" si="358"/>
        <v>0.97588501725621191</v>
      </c>
      <c r="GQ32" s="363">
        <f t="shared" ca="1" si="358"/>
        <v>0.96878940863778762</v>
      </c>
      <c r="GR32" s="363">
        <f t="shared" ca="1" si="358"/>
        <v>1.0391521023818948</v>
      </c>
      <c r="GS32" s="363">
        <f t="shared" ca="1" si="358"/>
        <v>1.0661032342689101</v>
      </c>
      <c r="GT32" s="363">
        <f t="shared" ca="1" si="358"/>
        <v>0.96760253689113895</v>
      </c>
      <c r="GU32" s="363">
        <f t="shared" ca="1" si="358"/>
        <v>0.96392904137286972</v>
      </c>
      <c r="GV32" s="363">
        <f t="shared" ca="1" si="358"/>
        <v>1.0209206682893872</v>
      </c>
      <c r="GW32" s="363">
        <f t="shared" ca="1" si="358"/>
        <v>1.0123023903374111</v>
      </c>
      <c r="GX32" s="363">
        <f t="shared" ca="1" si="358"/>
        <v>1.1408456058925927</v>
      </c>
      <c r="GY32" s="363">
        <f t="shared" ca="1" si="358"/>
        <v>1.1242662452797878</v>
      </c>
      <c r="GZ32" s="363">
        <f t="shared" ca="1" si="358"/>
        <v>0.90500295743341241</v>
      </c>
      <c r="HA32" s="363">
        <f t="shared" ca="1" si="358"/>
        <v>0.99586307833316279</v>
      </c>
      <c r="HB32" s="363">
        <f t="shared" ca="1" si="358"/>
        <v>1.0223943444509456</v>
      </c>
      <c r="HC32" s="363">
        <f t="shared" ca="1" si="358"/>
        <v>0.99007061462390022</v>
      </c>
      <c r="HD32" s="363">
        <f t="shared" ca="1" si="358"/>
        <v>0.89864422686223999</v>
      </c>
      <c r="HE32" s="363">
        <f ca="1">_xlfn.LOGNORM.INV(RAND(),$I$32,$J$32)</f>
        <v>0.99412178679917773</v>
      </c>
      <c r="HF32" s="363">
        <f t="shared" ref="HF32:JQ32" ca="1" si="359">_xlfn.LOGNORM.INV(RAND(),$I$32,$J$32)</f>
        <v>1.0199822963687315</v>
      </c>
      <c r="HG32" s="363">
        <f t="shared" ca="1" si="359"/>
        <v>1.1295801126600864</v>
      </c>
      <c r="HH32" s="363">
        <f t="shared" ca="1" si="359"/>
        <v>0.97364310333212134</v>
      </c>
      <c r="HI32" s="363">
        <f t="shared" ca="1" si="359"/>
        <v>1.0703197392492525</v>
      </c>
      <c r="HJ32" s="363">
        <f t="shared" ca="1" si="359"/>
        <v>0.83812839337498912</v>
      </c>
      <c r="HK32" s="363">
        <f t="shared" ca="1" si="359"/>
        <v>1.0893445884038255</v>
      </c>
      <c r="HL32" s="363">
        <f t="shared" ca="1" si="359"/>
        <v>1.1036279194926308</v>
      </c>
      <c r="HM32" s="363">
        <f t="shared" ca="1" si="359"/>
        <v>1.0604844246084713</v>
      </c>
      <c r="HN32" s="363">
        <f t="shared" ca="1" si="359"/>
        <v>1.0979706271023861</v>
      </c>
      <c r="HO32" s="363">
        <f t="shared" ca="1" si="359"/>
        <v>1.1279525342961356</v>
      </c>
      <c r="HP32" s="363">
        <f t="shared" ca="1" si="359"/>
        <v>1.1306273299770655</v>
      </c>
      <c r="HQ32" s="363">
        <f t="shared" ca="1" si="359"/>
        <v>0.98881277351473307</v>
      </c>
      <c r="HR32" s="363">
        <f t="shared" ca="1" si="359"/>
        <v>0.9646361977233967</v>
      </c>
      <c r="HS32" s="363">
        <f t="shared" ca="1" si="359"/>
        <v>1.0095545944431641</v>
      </c>
      <c r="HT32" s="363">
        <f t="shared" ca="1" si="359"/>
        <v>0.96057762440173866</v>
      </c>
      <c r="HU32" s="363">
        <f t="shared" ca="1" si="359"/>
        <v>1.0416907490129794</v>
      </c>
      <c r="HV32" s="363">
        <f t="shared" ca="1" si="359"/>
        <v>1.0288299804222845</v>
      </c>
      <c r="HW32" s="363">
        <f t="shared" ca="1" si="359"/>
        <v>0.9886230642540621</v>
      </c>
      <c r="HX32" s="363">
        <f t="shared" ca="1" si="359"/>
        <v>1.0289862099466012</v>
      </c>
      <c r="HY32" s="363">
        <f t="shared" ca="1" si="359"/>
        <v>0.94495474071557395</v>
      </c>
      <c r="HZ32" s="363">
        <f t="shared" ca="1" si="359"/>
        <v>0.93618738718368277</v>
      </c>
      <c r="IA32" s="363">
        <f t="shared" ca="1" si="359"/>
        <v>1.0404653694435306</v>
      </c>
      <c r="IB32" s="363">
        <f t="shared" ca="1" si="359"/>
        <v>0.91032174003014377</v>
      </c>
      <c r="IC32" s="363">
        <f t="shared" ca="1" si="359"/>
        <v>1.0278239767320165</v>
      </c>
      <c r="ID32" s="363">
        <f t="shared" ca="1" si="359"/>
        <v>1.0572855625399866</v>
      </c>
      <c r="IE32" s="363">
        <f t="shared" ca="1" si="359"/>
        <v>0.90312753190401385</v>
      </c>
      <c r="IF32" s="363">
        <f t="shared" ca="1" si="359"/>
        <v>0.92770897417954523</v>
      </c>
      <c r="IG32" s="363">
        <f t="shared" ca="1" si="359"/>
        <v>1.0354933822482497</v>
      </c>
      <c r="IH32" s="363">
        <f t="shared" ca="1" si="359"/>
        <v>0.85627897823596744</v>
      </c>
      <c r="II32" s="363">
        <f t="shared" ca="1" si="359"/>
        <v>0.93864599394788539</v>
      </c>
      <c r="IJ32" s="363">
        <f t="shared" ca="1" si="359"/>
        <v>0.99386233826690418</v>
      </c>
      <c r="IK32" s="363">
        <f t="shared" ca="1" si="359"/>
        <v>0.94940934016635392</v>
      </c>
      <c r="IL32" s="363">
        <f t="shared" ca="1" si="359"/>
        <v>1.0101598061784032</v>
      </c>
      <c r="IM32" s="363">
        <f t="shared" ca="1" si="359"/>
        <v>1.1082252456842148</v>
      </c>
      <c r="IN32" s="363">
        <f t="shared" ca="1" si="359"/>
        <v>0.97084482930578597</v>
      </c>
      <c r="IO32" s="363">
        <f t="shared" ca="1" si="359"/>
        <v>1.0833205938478654</v>
      </c>
      <c r="IP32" s="363">
        <f t="shared" ca="1" si="359"/>
        <v>1.0786006895661022</v>
      </c>
      <c r="IQ32" s="363">
        <f t="shared" ca="1" si="359"/>
        <v>0.9873832192394566</v>
      </c>
      <c r="IR32" s="363">
        <f t="shared" ca="1" si="359"/>
        <v>0.90235507047578911</v>
      </c>
      <c r="IS32" s="363">
        <f t="shared" ca="1" si="359"/>
        <v>1.0058466179247738</v>
      </c>
      <c r="IT32" s="363">
        <f t="shared" ca="1" si="359"/>
        <v>1.0697843372231715</v>
      </c>
      <c r="IU32" s="363">
        <f t="shared" ca="1" si="359"/>
        <v>0.98558299595129462</v>
      </c>
      <c r="IV32" s="363">
        <f t="shared" ca="1" si="359"/>
        <v>1.059033031086803</v>
      </c>
      <c r="IW32" s="363">
        <f t="shared" ca="1" si="359"/>
        <v>1.0368919283169542</v>
      </c>
      <c r="IX32" s="363">
        <f t="shared" ca="1" si="359"/>
        <v>1.0734494978471807</v>
      </c>
      <c r="IY32" s="363">
        <f t="shared" ca="1" si="359"/>
        <v>0.88672210244846705</v>
      </c>
      <c r="IZ32" s="363">
        <f t="shared" ca="1" si="359"/>
        <v>0.9801686401538483</v>
      </c>
      <c r="JA32" s="363">
        <f t="shared" ca="1" si="359"/>
        <v>1.0433341854951015</v>
      </c>
      <c r="JB32" s="363">
        <f t="shared" ca="1" si="359"/>
        <v>1.0217519793638596</v>
      </c>
      <c r="JC32" s="363">
        <f t="shared" ca="1" si="359"/>
        <v>1.041322583794472</v>
      </c>
      <c r="JD32" s="363">
        <f t="shared" ca="1" si="359"/>
        <v>0.98734186860319872</v>
      </c>
      <c r="JE32" s="363">
        <f t="shared" ca="1" si="359"/>
        <v>0.98307903971938515</v>
      </c>
      <c r="JF32" s="363">
        <f t="shared" ca="1" si="359"/>
        <v>0.99200187514573235</v>
      </c>
      <c r="JG32" s="363">
        <f t="shared" ca="1" si="359"/>
        <v>0.8969577096385235</v>
      </c>
      <c r="JH32" s="363">
        <f t="shared" ca="1" si="359"/>
        <v>0.9856030146631094</v>
      </c>
      <c r="JI32" s="363">
        <f t="shared" ca="1" si="359"/>
        <v>0.9533958109980365</v>
      </c>
      <c r="JJ32" s="363">
        <f t="shared" ca="1" si="359"/>
        <v>1.0135359596508504</v>
      </c>
      <c r="JK32" s="363">
        <f t="shared" ca="1" si="359"/>
        <v>0.84629510797815988</v>
      </c>
      <c r="JL32" s="363">
        <f t="shared" ca="1" si="359"/>
        <v>0.94944659843447643</v>
      </c>
      <c r="JM32" s="363">
        <f t="shared" ca="1" si="359"/>
        <v>1.1576532662167474</v>
      </c>
      <c r="JN32" s="363">
        <f t="shared" ca="1" si="359"/>
        <v>0.97865472590778146</v>
      </c>
      <c r="JO32" s="363">
        <f t="shared" ca="1" si="359"/>
        <v>1.0154991365509376</v>
      </c>
      <c r="JP32" s="363">
        <f t="shared" ca="1" si="359"/>
        <v>1.1698882099088221</v>
      </c>
      <c r="JQ32" s="363">
        <f t="shared" ca="1" si="359"/>
        <v>1.0851494842849918</v>
      </c>
      <c r="JR32" s="363">
        <f t="shared" ref="JR32:KZ32" ca="1" si="360">_xlfn.LOGNORM.INV(RAND(),$I$32,$J$32)</f>
        <v>1.1655403461245692</v>
      </c>
      <c r="JS32" s="363">
        <f t="shared" ca="1" si="360"/>
        <v>0.96274618108126586</v>
      </c>
      <c r="JT32" s="363">
        <f t="shared" ca="1" si="360"/>
        <v>0.9769776754172057</v>
      </c>
      <c r="JU32" s="363">
        <f t="shared" ca="1" si="360"/>
        <v>1.0644457419738613</v>
      </c>
      <c r="JV32" s="363">
        <f t="shared" ca="1" si="360"/>
        <v>0.94869656351134546</v>
      </c>
      <c r="JW32" s="363">
        <f t="shared" ca="1" si="360"/>
        <v>1.0709461469846711</v>
      </c>
      <c r="JX32" s="363">
        <f t="shared" ca="1" si="360"/>
        <v>1.0295118713779137</v>
      </c>
      <c r="JY32" s="363">
        <f t="shared" ca="1" si="360"/>
        <v>0.87635355033643436</v>
      </c>
      <c r="JZ32" s="363">
        <f t="shared" ca="1" si="360"/>
        <v>0.97755785327762845</v>
      </c>
      <c r="KA32" s="363">
        <f t="shared" ca="1" si="360"/>
        <v>1.0054508941606817</v>
      </c>
      <c r="KB32" s="363">
        <f t="shared" ca="1" si="360"/>
        <v>0.95166536855314443</v>
      </c>
      <c r="KC32" s="363">
        <f t="shared" ca="1" si="360"/>
        <v>0.97963696269384126</v>
      </c>
      <c r="KD32" s="363">
        <f t="shared" ca="1" si="360"/>
        <v>0.96298453373141313</v>
      </c>
      <c r="KE32" s="363">
        <f t="shared" ca="1" si="360"/>
        <v>1.0115991510027553</v>
      </c>
      <c r="KF32" s="363">
        <f t="shared" ca="1" si="360"/>
        <v>0.95577316322693939</v>
      </c>
      <c r="KG32" s="363">
        <f t="shared" ca="1" si="360"/>
        <v>1.0733716925740204</v>
      </c>
      <c r="KH32" s="363">
        <f t="shared" ca="1" si="360"/>
        <v>0.87516600721840077</v>
      </c>
      <c r="KI32" s="363">
        <f t="shared" ca="1" si="360"/>
        <v>1.0068733903703282</v>
      </c>
      <c r="KJ32" s="363">
        <f t="shared" ca="1" si="360"/>
        <v>1.068416388621797</v>
      </c>
      <c r="KK32" s="363">
        <f t="shared" ca="1" si="360"/>
        <v>0.97970300085667583</v>
      </c>
      <c r="KL32" s="363">
        <f t="shared" ca="1" si="360"/>
        <v>1.1479612328108586</v>
      </c>
      <c r="KM32" s="363">
        <f t="shared" ca="1" si="360"/>
        <v>1.0495237759435747</v>
      </c>
      <c r="KN32" s="363">
        <f t="shared" ca="1" si="360"/>
        <v>0.90886549130359118</v>
      </c>
      <c r="KO32" s="363">
        <f t="shared" ca="1" si="360"/>
        <v>1.0073752323221516</v>
      </c>
      <c r="KP32" s="363">
        <f t="shared" ca="1" si="360"/>
        <v>0.92495979947323503</v>
      </c>
      <c r="KQ32" s="363">
        <f t="shared" ca="1" si="360"/>
        <v>0.96378637342995321</v>
      </c>
      <c r="KR32" s="363">
        <f t="shared" ca="1" si="360"/>
        <v>1.046075124623135</v>
      </c>
      <c r="KS32" s="363">
        <f t="shared" ca="1" si="360"/>
        <v>1.0837347808563453</v>
      </c>
      <c r="KT32" s="363">
        <f t="shared" ca="1" si="360"/>
        <v>1.07590967758764</v>
      </c>
      <c r="KU32" s="363">
        <f t="shared" ca="1" si="360"/>
        <v>0.97183486880711456</v>
      </c>
      <c r="KV32" s="363">
        <f t="shared" ca="1" si="360"/>
        <v>0.96952629753702535</v>
      </c>
      <c r="KW32" s="363">
        <f t="shared" ca="1" si="360"/>
        <v>0.92360716345391802</v>
      </c>
      <c r="KX32" s="363">
        <f t="shared" ca="1" si="360"/>
        <v>0.95499208938982705</v>
      </c>
      <c r="KY32" s="363">
        <f t="shared" ca="1" si="360"/>
        <v>0.99186761045926342</v>
      </c>
      <c r="KZ32" s="363">
        <f t="shared" ca="1" si="360"/>
        <v>0.84602702088950732</v>
      </c>
      <c r="LA32" s="363">
        <f ca="1">_xlfn.LOGNORM.INV(RAND(),$I$32,$J$32)</f>
        <v>0.93742652737320464</v>
      </c>
      <c r="LB32" s="363">
        <f t="shared" ref="LB32:NM32" ca="1" si="361">_xlfn.LOGNORM.INV(RAND(),$I$32,$J$32)</f>
        <v>0.96001020233663137</v>
      </c>
      <c r="LC32" s="363">
        <f t="shared" ca="1" si="361"/>
        <v>0.94468862769791995</v>
      </c>
      <c r="LD32" s="363">
        <f t="shared" ca="1" si="361"/>
        <v>1.0620664046257919</v>
      </c>
      <c r="LE32" s="363">
        <f t="shared" ca="1" si="361"/>
        <v>0.91083518783159623</v>
      </c>
      <c r="LF32" s="363">
        <f t="shared" ca="1" si="361"/>
        <v>1.0208971604054753</v>
      </c>
      <c r="LG32" s="363">
        <f t="shared" ca="1" si="361"/>
        <v>0.90055367273255738</v>
      </c>
      <c r="LH32" s="363">
        <f t="shared" ca="1" si="361"/>
        <v>1.0057491896733379</v>
      </c>
      <c r="LI32" s="363">
        <f t="shared" ca="1" si="361"/>
        <v>1.0849426764567014</v>
      </c>
      <c r="LJ32" s="363">
        <f t="shared" ca="1" si="361"/>
        <v>0.8726350336467773</v>
      </c>
      <c r="LK32" s="363">
        <f t="shared" ca="1" si="361"/>
        <v>0.90469507557220397</v>
      </c>
      <c r="LL32" s="363">
        <f t="shared" ca="1" si="361"/>
        <v>0.97911157605838295</v>
      </c>
      <c r="LM32" s="363">
        <f t="shared" ca="1" si="361"/>
        <v>0.98256862764556796</v>
      </c>
      <c r="LN32" s="363">
        <f t="shared" ca="1" si="361"/>
        <v>0.99935709308812259</v>
      </c>
      <c r="LO32" s="363">
        <f t="shared" ca="1" si="361"/>
        <v>0.9891008550186281</v>
      </c>
      <c r="LP32" s="363">
        <f t="shared" ca="1" si="361"/>
        <v>0.83187132995056223</v>
      </c>
      <c r="LQ32" s="363">
        <f t="shared" ca="1" si="361"/>
        <v>0.96889287356472942</v>
      </c>
      <c r="LR32" s="363">
        <f t="shared" ca="1" si="361"/>
        <v>1.0436686816906604</v>
      </c>
      <c r="LS32" s="363">
        <f t="shared" ca="1" si="361"/>
        <v>0.92900222358753637</v>
      </c>
      <c r="LT32" s="363">
        <f t="shared" ca="1" si="361"/>
        <v>0.88084942196915383</v>
      </c>
      <c r="LU32" s="363">
        <f t="shared" ca="1" si="361"/>
        <v>1.0393519726402556</v>
      </c>
      <c r="LV32" s="363">
        <f t="shared" ca="1" si="361"/>
        <v>0.91927099445236093</v>
      </c>
      <c r="LW32" s="363">
        <f t="shared" ca="1" si="361"/>
        <v>1.0326792373445974</v>
      </c>
      <c r="LX32" s="363">
        <f t="shared" ca="1" si="361"/>
        <v>0.8943624251584128</v>
      </c>
      <c r="LY32" s="363">
        <f t="shared" ca="1" si="361"/>
        <v>0.95421469514791379</v>
      </c>
      <c r="LZ32" s="363">
        <f t="shared" ca="1" si="361"/>
        <v>1.1676165302175718</v>
      </c>
      <c r="MA32" s="363">
        <f t="shared" ca="1" si="361"/>
        <v>0.86269807874936155</v>
      </c>
      <c r="MB32" s="363">
        <f t="shared" ca="1" si="361"/>
        <v>1.1339451988979123</v>
      </c>
      <c r="MC32" s="363">
        <f t="shared" ca="1" si="361"/>
        <v>0.9311181205138378</v>
      </c>
      <c r="MD32" s="363">
        <f t="shared" ca="1" si="361"/>
        <v>0.96179538770593254</v>
      </c>
      <c r="ME32" s="363">
        <f t="shared" ca="1" si="361"/>
        <v>0.82902500252255484</v>
      </c>
      <c r="MF32" s="363">
        <f t="shared" ca="1" si="361"/>
        <v>1.0584155526731087</v>
      </c>
      <c r="MG32" s="363">
        <f t="shared" ca="1" si="361"/>
        <v>0.93275755832422258</v>
      </c>
      <c r="MH32" s="363">
        <f t="shared" ca="1" si="361"/>
        <v>1.0227866573192426</v>
      </c>
      <c r="MI32" s="363">
        <f t="shared" ca="1" si="361"/>
        <v>0.8682102108291605</v>
      </c>
      <c r="MJ32" s="363">
        <f t="shared" ca="1" si="361"/>
        <v>1.0680235861939629</v>
      </c>
      <c r="MK32" s="363">
        <f t="shared" ca="1" si="361"/>
        <v>0.98303452437605776</v>
      </c>
      <c r="ML32" s="363">
        <f t="shared" ca="1" si="361"/>
        <v>0.85168916372778425</v>
      </c>
      <c r="MM32" s="363">
        <f t="shared" ca="1" si="361"/>
        <v>0.91010301763575119</v>
      </c>
      <c r="MN32" s="363">
        <f t="shared" ca="1" si="361"/>
        <v>0.96300086715325905</v>
      </c>
      <c r="MO32" s="363">
        <f t="shared" ca="1" si="361"/>
        <v>0.98420228754635442</v>
      </c>
      <c r="MP32" s="363">
        <f t="shared" ca="1" si="361"/>
        <v>0.97365497216736052</v>
      </c>
      <c r="MQ32" s="363">
        <f t="shared" ca="1" si="361"/>
        <v>0.8945085483455063</v>
      </c>
      <c r="MR32" s="363">
        <f t="shared" ca="1" si="361"/>
        <v>1.1292985220096465</v>
      </c>
      <c r="MS32" s="363">
        <f t="shared" ca="1" si="361"/>
        <v>0.9099161871948741</v>
      </c>
      <c r="MT32" s="363">
        <f t="shared" ca="1" si="361"/>
        <v>0.87965755514756827</v>
      </c>
      <c r="MU32" s="363">
        <f t="shared" ca="1" si="361"/>
        <v>0.95393444337378119</v>
      </c>
      <c r="MV32" s="363">
        <f t="shared" ca="1" si="361"/>
        <v>0.99328634676388461</v>
      </c>
      <c r="MW32" s="363">
        <f t="shared" ca="1" si="361"/>
        <v>0.95831273182616061</v>
      </c>
      <c r="MX32" s="363">
        <f t="shared" ca="1" si="361"/>
        <v>0.95845604791470607</v>
      </c>
      <c r="MY32" s="363">
        <f t="shared" ca="1" si="361"/>
        <v>0.99045042466683952</v>
      </c>
      <c r="MZ32" s="363">
        <f t="shared" ca="1" si="361"/>
        <v>1.0535441307723918</v>
      </c>
      <c r="NA32" s="363">
        <f t="shared" ca="1" si="361"/>
        <v>0.98034804054001434</v>
      </c>
      <c r="NB32" s="363">
        <f t="shared" ca="1" si="361"/>
        <v>0.98517492802071116</v>
      </c>
      <c r="NC32" s="363">
        <f t="shared" ca="1" si="361"/>
        <v>0.94430494183218905</v>
      </c>
      <c r="ND32" s="363">
        <f t="shared" ca="1" si="361"/>
        <v>1.0266104818822543</v>
      </c>
      <c r="NE32" s="363">
        <f t="shared" ca="1" si="361"/>
        <v>0.96837999597113511</v>
      </c>
      <c r="NF32" s="363">
        <f t="shared" ca="1" si="361"/>
        <v>1.0733744120390842</v>
      </c>
      <c r="NG32" s="363">
        <f t="shared" ca="1" si="361"/>
        <v>1.0944731135646326</v>
      </c>
      <c r="NH32" s="363">
        <f t="shared" ca="1" si="361"/>
        <v>0.86335580902711428</v>
      </c>
      <c r="NI32" s="363">
        <f t="shared" ca="1" si="361"/>
        <v>1.062063026765917</v>
      </c>
      <c r="NJ32" s="363">
        <f t="shared" ca="1" si="361"/>
        <v>0.9925671345473206</v>
      </c>
      <c r="NK32" s="363">
        <f t="shared" ca="1" si="361"/>
        <v>0.97556577717387238</v>
      </c>
      <c r="NL32" s="363">
        <f t="shared" ca="1" si="361"/>
        <v>0.87391361303863235</v>
      </c>
      <c r="NM32" s="363">
        <f t="shared" ca="1" si="361"/>
        <v>1.1369674984002365</v>
      </c>
      <c r="NN32" s="363">
        <f t="shared" ref="NN32:OV32" ca="1" si="362">_xlfn.LOGNORM.INV(RAND(),$I$32,$J$32)</f>
        <v>1.0333750747704593</v>
      </c>
      <c r="NO32" s="363">
        <f t="shared" ca="1" si="362"/>
        <v>0.89846993989214219</v>
      </c>
      <c r="NP32" s="363">
        <f t="shared" ca="1" si="362"/>
        <v>0.91310159512311506</v>
      </c>
      <c r="NQ32" s="363">
        <f t="shared" ca="1" si="362"/>
        <v>1.0041802600204728</v>
      </c>
      <c r="NR32" s="363">
        <f t="shared" ca="1" si="362"/>
        <v>0.94647982837983391</v>
      </c>
      <c r="NS32" s="363">
        <f t="shared" ca="1" si="362"/>
        <v>0.90882502382990238</v>
      </c>
      <c r="NT32" s="363">
        <f t="shared" ca="1" si="362"/>
        <v>0.98774254641990855</v>
      </c>
      <c r="NU32" s="363">
        <f t="shared" ca="1" si="362"/>
        <v>1.0709027260222173</v>
      </c>
      <c r="NV32" s="363">
        <f t="shared" ca="1" si="362"/>
        <v>1.1533734199847276</v>
      </c>
      <c r="NW32" s="363">
        <f t="shared" ca="1" si="362"/>
        <v>1.0243859778503248</v>
      </c>
      <c r="NX32" s="363">
        <f t="shared" ca="1" si="362"/>
        <v>0.97099070639879381</v>
      </c>
      <c r="NY32" s="363">
        <f t="shared" ca="1" si="362"/>
        <v>1.180769721321363</v>
      </c>
      <c r="NZ32" s="363">
        <f t="shared" ca="1" si="362"/>
        <v>1.0696059400388878</v>
      </c>
      <c r="OA32" s="363">
        <f t="shared" ca="1" si="362"/>
        <v>1.0657791420161755</v>
      </c>
      <c r="OB32" s="363">
        <f t="shared" ca="1" si="362"/>
        <v>0.9706964244581392</v>
      </c>
      <c r="OC32" s="363">
        <f t="shared" ca="1" si="362"/>
        <v>0.93393910960665116</v>
      </c>
      <c r="OD32" s="363">
        <f t="shared" ca="1" si="362"/>
        <v>1.0884518749412511</v>
      </c>
      <c r="OE32" s="363">
        <f t="shared" ca="1" si="362"/>
        <v>1.0215120993709141</v>
      </c>
      <c r="OF32" s="363">
        <f t="shared" ca="1" si="362"/>
        <v>1.009862586280849</v>
      </c>
      <c r="OG32" s="363">
        <f t="shared" ca="1" si="362"/>
        <v>1.0630960857027563</v>
      </c>
      <c r="OH32" s="363">
        <f t="shared" ca="1" si="362"/>
        <v>0.93388411508057512</v>
      </c>
      <c r="OI32" s="363">
        <f t="shared" ca="1" si="362"/>
        <v>0.9115007459260569</v>
      </c>
      <c r="OJ32" s="363">
        <f t="shared" ca="1" si="362"/>
        <v>0.84606204798192408</v>
      </c>
      <c r="OK32" s="363">
        <f t="shared" ca="1" si="362"/>
        <v>0.85545835620974908</v>
      </c>
      <c r="OL32" s="363">
        <f t="shared" ca="1" si="362"/>
        <v>0.84035249883852348</v>
      </c>
      <c r="OM32" s="363">
        <f t="shared" ca="1" si="362"/>
        <v>1.0947462913753043</v>
      </c>
      <c r="ON32" s="363">
        <f t="shared" ca="1" si="362"/>
        <v>1.0485485353586235</v>
      </c>
      <c r="OO32" s="363">
        <f t="shared" ca="1" si="362"/>
        <v>1.0688393593415177</v>
      </c>
      <c r="OP32" s="363">
        <f t="shared" ca="1" si="362"/>
        <v>0.97666110745303159</v>
      </c>
      <c r="OQ32" s="363">
        <f t="shared" ca="1" si="362"/>
        <v>1.1304278314512817</v>
      </c>
      <c r="OR32" s="363">
        <f t="shared" ca="1" si="362"/>
        <v>1.0845992568729379</v>
      </c>
      <c r="OS32" s="363">
        <f t="shared" ca="1" si="362"/>
        <v>1.108379143466268</v>
      </c>
      <c r="OT32" s="363">
        <f t="shared" ca="1" si="362"/>
        <v>1.1595143490896385</v>
      </c>
      <c r="OU32" s="363">
        <f t="shared" ca="1" si="362"/>
        <v>0.99657388704445637</v>
      </c>
      <c r="OV32" s="363">
        <f t="shared" ca="1" si="362"/>
        <v>0.98557761734443328</v>
      </c>
      <c r="OW32" s="363">
        <f ca="1">_xlfn.LOGNORM.INV(RAND(),$I$32,$J$32)</f>
        <v>0.87119131413914397</v>
      </c>
      <c r="OX32" s="363">
        <f t="shared" ref="OX32:RI32" ca="1" si="363">_xlfn.LOGNORM.INV(RAND(),$I$32,$J$32)</f>
        <v>1.0137985498879039</v>
      </c>
      <c r="OY32" s="363">
        <f t="shared" ca="1" si="363"/>
        <v>1.0154596482190601</v>
      </c>
      <c r="OZ32" s="363">
        <f t="shared" ca="1" si="363"/>
        <v>0.87079334661131347</v>
      </c>
      <c r="PA32" s="363">
        <f t="shared" ca="1" si="363"/>
        <v>1.0383076408024343</v>
      </c>
      <c r="PB32" s="363">
        <f t="shared" ca="1" si="363"/>
        <v>1.0018417204292522</v>
      </c>
      <c r="PC32" s="363">
        <f t="shared" ca="1" si="363"/>
        <v>0.92967216011341514</v>
      </c>
      <c r="PD32" s="363">
        <f t="shared" ca="1" si="363"/>
        <v>0.82488052563179282</v>
      </c>
      <c r="PE32" s="363">
        <f t="shared" ca="1" si="363"/>
        <v>1.0350279099822204</v>
      </c>
      <c r="PF32" s="363">
        <f t="shared" ca="1" si="363"/>
        <v>1.0914190070722791</v>
      </c>
      <c r="PG32" s="363">
        <f t="shared" ca="1" si="363"/>
        <v>0.90118202914050305</v>
      </c>
      <c r="PH32" s="363">
        <f t="shared" ca="1" si="363"/>
        <v>1.0485524655374259</v>
      </c>
      <c r="PI32" s="363">
        <f t="shared" ca="1" si="363"/>
        <v>1.1190104199345752</v>
      </c>
      <c r="PJ32" s="363">
        <f t="shared" ca="1" si="363"/>
        <v>1.1693616575990831</v>
      </c>
      <c r="PK32" s="363">
        <f t="shared" ca="1" si="363"/>
        <v>0.93262769099279608</v>
      </c>
      <c r="PL32" s="363">
        <f t="shared" ca="1" si="363"/>
        <v>0.99419619673177673</v>
      </c>
      <c r="PM32" s="363">
        <f t="shared" ca="1" si="363"/>
        <v>1.0305559487777993</v>
      </c>
      <c r="PN32" s="363">
        <f t="shared" ca="1" si="363"/>
        <v>1.0441525316031794</v>
      </c>
      <c r="PO32" s="363">
        <f t="shared" ca="1" si="363"/>
        <v>1.2416221781384535</v>
      </c>
      <c r="PP32" s="363">
        <f t="shared" ca="1" si="363"/>
        <v>1.1808005234143886</v>
      </c>
      <c r="PQ32" s="363">
        <f t="shared" ca="1" si="363"/>
        <v>0.96139414220146058</v>
      </c>
      <c r="PR32" s="363">
        <f t="shared" ca="1" si="363"/>
        <v>1.251914816291132</v>
      </c>
      <c r="PS32" s="363">
        <f t="shared" ca="1" si="363"/>
        <v>0.97668032919368408</v>
      </c>
      <c r="PT32" s="363">
        <f t="shared" ca="1" si="363"/>
        <v>1.0334920061272979</v>
      </c>
      <c r="PU32" s="363">
        <f t="shared" ca="1" si="363"/>
        <v>1.1335627907355126</v>
      </c>
      <c r="PV32" s="363">
        <f t="shared" ca="1" si="363"/>
        <v>1.0454731582722891</v>
      </c>
      <c r="PW32" s="363">
        <f t="shared" ca="1" si="363"/>
        <v>0.96625519508782987</v>
      </c>
      <c r="PX32" s="363">
        <f t="shared" ca="1" si="363"/>
        <v>0.98447138808175783</v>
      </c>
      <c r="PY32" s="363">
        <f t="shared" ca="1" si="363"/>
        <v>1.0176701731315614</v>
      </c>
      <c r="PZ32" s="363">
        <f t="shared" ca="1" si="363"/>
        <v>1.0111625069012604</v>
      </c>
      <c r="QA32" s="363">
        <f t="shared" ca="1" si="363"/>
        <v>1.0884369984231161</v>
      </c>
      <c r="QB32" s="363">
        <f t="shared" ca="1" si="363"/>
        <v>0.95981192967670692</v>
      </c>
      <c r="QC32" s="363">
        <f t="shared" ca="1" si="363"/>
        <v>0.87267588011178543</v>
      </c>
      <c r="QD32" s="363">
        <f t="shared" ca="1" si="363"/>
        <v>0.8817275532322969</v>
      </c>
      <c r="QE32" s="363">
        <f t="shared" ca="1" si="363"/>
        <v>1.0410565578248911</v>
      </c>
      <c r="QF32" s="363">
        <f t="shared" ca="1" si="363"/>
        <v>1.1469574392584527</v>
      </c>
      <c r="QG32" s="363">
        <f t="shared" ca="1" si="363"/>
        <v>1.048928468220369</v>
      </c>
      <c r="QH32" s="363">
        <f t="shared" ca="1" si="363"/>
        <v>0.98737173690085844</v>
      </c>
      <c r="QI32" s="363">
        <f t="shared" ca="1" si="363"/>
        <v>1.073308142354704</v>
      </c>
      <c r="QJ32" s="363">
        <f t="shared" ca="1" si="363"/>
        <v>1.0966384084304437</v>
      </c>
      <c r="QK32" s="363">
        <f t="shared" ca="1" si="363"/>
        <v>1.0597616082452579</v>
      </c>
      <c r="QL32" s="363">
        <f t="shared" ca="1" si="363"/>
        <v>0.97609459541174581</v>
      </c>
      <c r="QM32" s="363">
        <f t="shared" ca="1" si="363"/>
        <v>0.97056892424069563</v>
      </c>
      <c r="QN32" s="363">
        <f t="shared" ca="1" si="363"/>
        <v>1.1329843139655473</v>
      </c>
      <c r="QO32" s="363">
        <f t="shared" ca="1" si="363"/>
        <v>0.93428116200870148</v>
      </c>
      <c r="QP32" s="363">
        <f t="shared" ca="1" si="363"/>
        <v>0.9441250077521719</v>
      </c>
      <c r="QQ32" s="363">
        <f t="shared" ca="1" si="363"/>
        <v>0.97217886478320359</v>
      </c>
      <c r="QR32" s="363">
        <f t="shared" ca="1" si="363"/>
        <v>0.93627424941374349</v>
      </c>
      <c r="QS32" s="363">
        <f t="shared" ca="1" si="363"/>
        <v>1.1158213110315034</v>
      </c>
      <c r="QT32" s="363">
        <f t="shared" ca="1" si="363"/>
        <v>1.0278160362088324</v>
      </c>
      <c r="QU32" s="363">
        <f t="shared" ca="1" si="363"/>
        <v>1.0294703689108784</v>
      </c>
      <c r="QV32" s="363">
        <f t="shared" ca="1" si="363"/>
        <v>1.0046501978963192</v>
      </c>
      <c r="QW32" s="363">
        <f t="shared" ca="1" si="363"/>
        <v>0.97522429850571957</v>
      </c>
      <c r="QX32" s="363">
        <f t="shared" ca="1" si="363"/>
        <v>0.84796657149404608</v>
      </c>
      <c r="QY32" s="363">
        <f t="shared" ca="1" si="363"/>
        <v>0.91049908775108224</v>
      </c>
      <c r="QZ32" s="363">
        <f t="shared" ca="1" si="363"/>
        <v>0.90377075427765829</v>
      </c>
      <c r="RA32" s="363">
        <f t="shared" ca="1" si="363"/>
        <v>1.0628473160988376</v>
      </c>
      <c r="RB32" s="363">
        <f t="shared" ca="1" si="363"/>
        <v>0.95284971922545958</v>
      </c>
      <c r="RC32" s="363">
        <f t="shared" ca="1" si="363"/>
        <v>0.87440806188762932</v>
      </c>
      <c r="RD32" s="363">
        <f t="shared" ca="1" si="363"/>
        <v>0.89431416097992056</v>
      </c>
      <c r="RE32" s="363">
        <f t="shared" ca="1" si="363"/>
        <v>1.1090602907345559</v>
      </c>
      <c r="RF32" s="363">
        <f t="shared" ca="1" si="363"/>
        <v>1.0156323307882877</v>
      </c>
      <c r="RG32" s="363">
        <f t="shared" ca="1" si="363"/>
        <v>1.0496851939145657</v>
      </c>
      <c r="RH32" s="363">
        <f t="shared" ca="1" si="363"/>
        <v>0.92534942735211623</v>
      </c>
      <c r="RI32" s="363">
        <f t="shared" ca="1" si="363"/>
        <v>0.9128558218414774</v>
      </c>
      <c r="RJ32" s="363">
        <f t="shared" ref="RJ32:SR32" ca="1" si="364">_xlfn.LOGNORM.INV(RAND(),$I$32,$J$32)</f>
        <v>1.1100145814393878</v>
      </c>
      <c r="RK32" s="363">
        <f t="shared" ca="1" si="364"/>
        <v>0.99777389628534463</v>
      </c>
      <c r="RL32" s="363">
        <f t="shared" ca="1" si="364"/>
        <v>0.87679660203853604</v>
      </c>
      <c r="RM32" s="363">
        <f t="shared" ca="1" si="364"/>
        <v>0.91244195436566278</v>
      </c>
      <c r="RN32" s="363">
        <f t="shared" ca="1" si="364"/>
        <v>1.0233665745424436</v>
      </c>
      <c r="RO32" s="363">
        <f t="shared" ca="1" si="364"/>
        <v>1.110857880146455</v>
      </c>
      <c r="RP32" s="363">
        <f t="shared" ca="1" si="364"/>
        <v>1.0279051295506798</v>
      </c>
      <c r="RQ32" s="363">
        <f t="shared" ca="1" si="364"/>
        <v>0.9698705443575516</v>
      </c>
      <c r="RR32" s="363">
        <f t="shared" ca="1" si="364"/>
        <v>0.97279397360038589</v>
      </c>
      <c r="RS32" s="363">
        <f t="shared" ca="1" si="364"/>
        <v>0.94749815148904692</v>
      </c>
      <c r="RT32" s="363">
        <f t="shared" ca="1" si="364"/>
        <v>1.0412765561206514</v>
      </c>
      <c r="RU32" s="363">
        <f t="shared" ca="1" si="364"/>
        <v>0.92131991367573862</v>
      </c>
      <c r="RV32" s="363">
        <f t="shared" ca="1" si="364"/>
        <v>1.0055161564556403</v>
      </c>
      <c r="RW32" s="363">
        <f t="shared" ca="1" si="364"/>
        <v>0.93519134844254714</v>
      </c>
      <c r="RX32" s="363">
        <f t="shared" ca="1" si="364"/>
        <v>1.0040217988614675</v>
      </c>
      <c r="RY32" s="363">
        <f t="shared" ca="1" si="364"/>
        <v>0.9608165718737155</v>
      </c>
      <c r="RZ32" s="363">
        <f t="shared" ca="1" si="364"/>
        <v>1.0059750161878815</v>
      </c>
      <c r="SA32" s="363">
        <f t="shared" ca="1" si="364"/>
        <v>1.0059580960645882</v>
      </c>
      <c r="SB32" s="363">
        <f t="shared" ca="1" si="364"/>
        <v>0.95340033838124827</v>
      </c>
      <c r="SC32" s="363">
        <f t="shared" ca="1" si="364"/>
        <v>1.0722841653462176</v>
      </c>
      <c r="SD32" s="363">
        <f t="shared" ca="1" si="364"/>
        <v>0.98275747546937708</v>
      </c>
      <c r="SE32" s="363">
        <f t="shared" ca="1" si="364"/>
        <v>1.0140328343276099</v>
      </c>
      <c r="SF32" s="363">
        <f t="shared" ca="1" si="364"/>
        <v>1.0388421714337952</v>
      </c>
      <c r="SG32" s="363">
        <f t="shared" ca="1" si="364"/>
        <v>0.93511971743206901</v>
      </c>
      <c r="SH32" s="363">
        <f t="shared" ca="1" si="364"/>
        <v>1.0891802191735021</v>
      </c>
      <c r="SI32" s="363">
        <f t="shared" ca="1" si="364"/>
        <v>1.0263819947425918</v>
      </c>
      <c r="SJ32" s="363">
        <f t="shared" ca="1" si="364"/>
        <v>0.9183421054950357</v>
      </c>
      <c r="SK32" s="363">
        <f t="shared" ca="1" si="364"/>
        <v>0.97880064354693253</v>
      </c>
      <c r="SL32" s="363">
        <f t="shared" ca="1" si="364"/>
        <v>0.99761360917181707</v>
      </c>
      <c r="SM32" s="363">
        <f t="shared" ca="1" si="364"/>
        <v>0.98585165030876298</v>
      </c>
      <c r="SN32" s="363">
        <f t="shared" ca="1" si="364"/>
        <v>0.94804904162147419</v>
      </c>
      <c r="SO32" s="363">
        <f t="shared" ca="1" si="364"/>
        <v>0.95891105934813059</v>
      </c>
      <c r="SP32" s="363">
        <f t="shared" ca="1" si="364"/>
        <v>1.0134858991115641</v>
      </c>
      <c r="SQ32" s="363">
        <f t="shared" ca="1" si="364"/>
        <v>0.97467671517172183</v>
      </c>
      <c r="SR32" s="363">
        <f t="shared" ca="1" si="364"/>
        <v>0.91592194068515564</v>
      </c>
      <c r="SS32" s="363">
        <f ca="1">_xlfn.LOGNORM.INV(RAND(),$I$32,$J$32)</f>
        <v>1.0588238730080595</v>
      </c>
      <c r="ST32" s="363">
        <f t="shared" ref="ST32:VE32" ca="1" si="365">_xlfn.LOGNORM.INV(RAND(),$I$32,$J$32)</f>
        <v>1.0488819978236399</v>
      </c>
      <c r="SU32" s="363">
        <f t="shared" ca="1" si="365"/>
        <v>0.84122728637037925</v>
      </c>
      <c r="SV32" s="363">
        <f t="shared" ca="1" si="365"/>
        <v>1.0267752658014861</v>
      </c>
      <c r="SW32" s="363">
        <f t="shared" ca="1" si="365"/>
        <v>0.90025185405867347</v>
      </c>
      <c r="SX32" s="363">
        <f t="shared" ca="1" si="365"/>
        <v>1.0792302456982199</v>
      </c>
      <c r="SY32" s="363">
        <f t="shared" ca="1" si="365"/>
        <v>0.86013655431058733</v>
      </c>
      <c r="SZ32" s="363">
        <f t="shared" ca="1" si="365"/>
        <v>0.96000901579938136</v>
      </c>
      <c r="TA32" s="363">
        <f t="shared" ca="1" si="365"/>
        <v>1.0685783810548344</v>
      </c>
      <c r="TB32" s="363">
        <f t="shared" ca="1" si="365"/>
        <v>1.0052929269683419</v>
      </c>
      <c r="TC32" s="363">
        <f t="shared" ca="1" si="365"/>
        <v>0.97169322743962916</v>
      </c>
      <c r="TD32" s="363">
        <f t="shared" ca="1" si="365"/>
        <v>1.0957096631928496</v>
      </c>
      <c r="TE32" s="363">
        <f t="shared" ca="1" si="365"/>
        <v>0.99455846695721595</v>
      </c>
      <c r="TF32" s="363">
        <f t="shared" ca="1" si="365"/>
        <v>0.9741020115932586</v>
      </c>
      <c r="TG32" s="363">
        <f t="shared" ca="1" si="365"/>
        <v>0.9586867737284771</v>
      </c>
      <c r="TH32" s="363">
        <f t="shared" ca="1" si="365"/>
        <v>0.87299591583356773</v>
      </c>
      <c r="TI32" s="363">
        <f t="shared" ca="1" si="365"/>
        <v>0.79733316657364062</v>
      </c>
      <c r="TJ32" s="363">
        <f t="shared" ca="1" si="365"/>
        <v>1.0448631272264179</v>
      </c>
      <c r="TK32" s="363">
        <f t="shared" ca="1" si="365"/>
        <v>0.99811083136542189</v>
      </c>
      <c r="TL32" s="363">
        <f t="shared" ca="1" si="365"/>
        <v>0.94492464666218223</v>
      </c>
      <c r="TM32" s="363">
        <f t="shared" ca="1" si="365"/>
        <v>0.96271003196124072</v>
      </c>
      <c r="TN32" s="363">
        <f t="shared" ca="1" si="365"/>
        <v>1.0772392133927307</v>
      </c>
      <c r="TO32" s="363">
        <f t="shared" ca="1" si="365"/>
        <v>1.0799139585293114</v>
      </c>
      <c r="TP32" s="363">
        <f t="shared" ca="1" si="365"/>
        <v>0.97980061782254524</v>
      </c>
      <c r="TQ32" s="363">
        <f t="shared" ca="1" si="365"/>
        <v>0.99919791280181181</v>
      </c>
      <c r="TR32" s="363">
        <f t="shared" ca="1" si="365"/>
        <v>1.0993091239908657</v>
      </c>
      <c r="TS32" s="363">
        <f t="shared" ca="1" si="365"/>
        <v>0.99444591621434653</v>
      </c>
      <c r="TT32" s="363">
        <f t="shared" ca="1" si="365"/>
        <v>0.96955577422930417</v>
      </c>
      <c r="TU32" s="363">
        <f t="shared" ca="1" si="365"/>
        <v>0.93536895442401347</v>
      </c>
      <c r="TV32" s="363">
        <f t="shared" ca="1" si="365"/>
        <v>1.026515126565489</v>
      </c>
      <c r="TW32" s="363">
        <f t="shared" ca="1" si="365"/>
        <v>0.97427071940429677</v>
      </c>
      <c r="TX32" s="363">
        <f t="shared" ca="1" si="365"/>
        <v>0.98769954281673511</v>
      </c>
      <c r="TY32" s="363">
        <f t="shared" ca="1" si="365"/>
        <v>1.02575549740872</v>
      </c>
      <c r="TZ32" s="363">
        <f t="shared" ca="1" si="365"/>
        <v>1.0671193850094316</v>
      </c>
      <c r="UA32" s="363">
        <f t="shared" ca="1" si="365"/>
        <v>0.95210280998136554</v>
      </c>
      <c r="UB32" s="363">
        <f t="shared" ca="1" si="365"/>
        <v>0.95652000632970913</v>
      </c>
      <c r="UC32" s="363">
        <f t="shared" ca="1" si="365"/>
        <v>0.89463792325023128</v>
      </c>
      <c r="UD32" s="363">
        <f t="shared" ca="1" si="365"/>
        <v>0.96334682723299492</v>
      </c>
      <c r="UE32" s="363">
        <f t="shared" ca="1" si="365"/>
        <v>1.0860280611445285</v>
      </c>
      <c r="UF32" s="363">
        <f t="shared" ca="1" si="365"/>
        <v>0.970971484176121</v>
      </c>
      <c r="UG32" s="363">
        <f t="shared" ca="1" si="365"/>
        <v>0.93683900925146402</v>
      </c>
      <c r="UH32" s="363">
        <f t="shared" ca="1" si="365"/>
        <v>0.95198209782515153</v>
      </c>
      <c r="UI32" s="363">
        <f t="shared" ca="1" si="365"/>
        <v>0.86594106525741776</v>
      </c>
      <c r="UJ32" s="363">
        <f t="shared" ca="1" si="365"/>
        <v>0.93433964505581191</v>
      </c>
      <c r="UK32" s="363">
        <f t="shared" ca="1" si="365"/>
        <v>0.90578363055101407</v>
      </c>
      <c r="UL32" s="363">
        <f t="shared" ca="1" si="365"/>
        <v>0.97936222452805488</v>
      </c>
      <c r="UM32" s="363">
        <f t="shared" ca="1" si="365"/>
        <v>1.0339210775393797</v>
      </c>
      <c r="UN32" s="363">
        <f t="shared" ca="1" si="365"/>
        <v>1.0551437272839659</v>
      </c>
      <c r="UO32" s="363">
        <f t="shared" ca="1" si="365"/>
        <v>0.97518170139361215</v>
      </c>
      <c r="UP32" s="363">
        <f t="shared" ca="1" si="365"/>
        <v>1.0094026805472678</v>
      </c>
      <c r="UQ32" s="363">
        <f t="shared" ca="1" si="365"/>
        <v>1.0995012477659918</v>
      </c>
      <c r="UR32" s="363">
        <f t="shared" ca="1" si="365"/>
        <v>0.94910701959802379</v>
      </c>
      <c r="US32" s="363">
        <f t="shared" ca="1" si="365"/>
        <v>1.0277092921783846</v>
      </c>
      <c r="UT32" s="363">
        <f t="shared" ca="1" si="365"/>
        <v>0.95085898363034571</v>
      </c>
      <c r="UU32" s="363">
        <f t="shared" ca="1" si="365"/>
        <v>1.1522701560698934</v>
      </c>
      <c r="UV32" s="363">
        <f t="shared" ca="1" si="365"/>
        <v>0.93850579454082828</v>
      </c>
      <c r="UW32" s="363">
        <f t="shared" ca="1" si="365"/>
        <v>0.96545330732815915</v>
      </c>
      <c r="UX32" s="363">
        <f t="shared" ca="1" si="365"/>
        <v>0.9887371121369789</v>
      </c>
      <c r="UY32" s="363">
        <f t="shared" ca="1" si="365"/>
        <v>0.94360550533941212</v>
      </c>
      <c r="UZ32" s="363">
        <f t="shared" ca="1" si="365"/>
        <v>1.0255894630075029</v>
      </c>
      <c r="VA32" s="363">
        <f t="shared" ca="1" si="365"/>
        <v>0.90649845671008178</v>
      </c>
      <c r="VB32" s="363">
        <f t="shared" ca="1" si="365"/>
        <v>1.0727743709900337</v>
      </c>
      <c r="VC32" s="363">
        <f t="shared" ca="1" si="365"/>
        <v>0.94755393735471594</v>
      </c>
      <c r="VD32" s="363">
        <f t="shared" ca="1" si="365"/>
        <v>0.96282474020423858</v>
      </c>
      <c r="VE32" s="363">
        <f t="shared" ca="1" si="365"/>
        <v>0.98600247976158495</v>
      </c>
      <c r="VF32" s="363">
        <f t="shared" ref="VF32:WN32" ca="1" si="366">_xlfn.LOGNORM.INV(RAND(),$I$32,$J$32)</f>
        <v>0.97727173121260047</v>
      </c>
      <c r="VG32" s="363">
        <f t="shared" ca="1" si="366"/>
        <v>0.96283277060280392</v>
      </c>
      <c r="VH32" s="363">
        <f t="shared" ca="1" si="366"/>
        <v>1.0958794704532646</v>
      </c>
      <c r="VI32" s="363">
        <f t="shared" ca="1" si="366"/>
        <v>1.0777520552638895</v>
      </c>
      <c r="VJ32" s="363">
        <f t="shared" ca="1" si="366"/>
        <v>1.010445651071405</v>
      </c>
      <c r="VK32" s="363">
        <f t="shared" ca="1" si="366"/>
        <v>0.99121124358641</v>
      </c>
      <c r="VL32" s="363">
        <f t="shared" ca="1" si="366"/>
        <v>1.0518496040997916</v>
      </c>
      <c r="VM32" s="363">
        <f t="shared" ca="1" si="366"/>
        <v>0.9582080095931208</v>
      </c>
      <c r="VN32" s="363">
        <f t="shared" ca="1" si="366"/>
        <v>0.86629827861552744</v>
      </c>
      <c r="VO32" s="363">
        <f t="shared" ca="1" si="366"/>
        <v>1.0160973591298301</v>
      </c>
      <c r="VP32" s="363">
        <f t="shared" ca="1" si="366"/>
        <v>0.960999263575956</v>
      </c>
      <c r="VQ32" s="363">
        <f t="shared" ca="1" si="366"/>
        <v>0.98140114753046992</v>
      </c>
      <c r="VR32" s="363">
        <f t="shared" ca="1" si="366"/>
        <v>0.98639100026720583</v>
      </c>
      <c r="VS32" s="363">
        <f t="shared" ca="1" si="366"/>
        <v>0.94433092950634467</v>
      </c>
      <c r="VT32" s="363">
        <f t="shared" ca="1" si="366"/>
        <v>0.84172873800386749</v>
      </c>
      <c r="VU32" s="363">
        <f t="shared" ca="1" si="366"/>
        <v>0.93471916820494172</v>
      </c>
      <c r="VV32" s="363">
        <f t="shared" ca="1" si="366"/>
        <v>1.0815483738960134</v>
      </c>
      <c r="VW32" s="363">
        <f t="shared" ca="1" si="366"/>
        <v>1.1809923978296355</v>
      </c>
      <c r="VX32" s="363">
        <f t="shared" ca="1" si="366"/>
        <v>1.0250366249433716</v>
      </c>
      <c r="VY32" s="363">
        <f t="shared" ca="1" si="366"/>
        <v>1.0041831120685518</v>
      </c>
      <c r="VZ32" s="363">
        <f t="shared" ca="1" si="366"/>
        <v>0.99556924653318468</v>
      </c>
      <c r="WA32" s="363">
        <f t="shared" ca="1" si="366"/>
        <v>0.94529230120728724</v>
      </c>
      <c r="WB32" s="363">
        <f t="shared" ca="1" si="366"/>
        <v>1.0539661291238471</v>
      </c>
      <c r="WC32" s="363">
        <f t="shared" ca="1" si="366"/>
        <v>0.99793012134880255</v>
      </c>
      <c r="WD32" s="363">
        <f t="shared" ca="1" si="366"/>
        <v>1.0283902692865894</v>
      </c>
      <c r="WE32" s="363">
        <f t="shared" ca="1" si="366"/>
        <v>1.1206021190448561</v>
      </c>
      <c r="WF32" s="363">
        <f t="shared" ca="1" si="366"/>
        <v>1.0569255380795015</v>
      </c>
      <c r="WG32" s="363">
        <f t="shared" ca="1" si="366"/>
        <v>1.0587270045407595</v>
      </c>
      <c r="WH32" s="363">
        <f t="shared" ca="1" si="366"/>
        <v>1.0429142321886404</v>
      </c>
      <c r="WI32" s="363">
        <f t="shared" ca="1" si="366"/>
        <v>0.95002948842771973</v>
      </c>
      <c r="WJ32" s="363">
        <f t="shared" ca="1" si="366"/>
        <v>1.0069943226363991</v>
      </c>
      <c r="WK32" s="363">
        <f t="shared" ca="1" si="366"/>
        <v>1.0399520193060015</v>
      </c>
      <c r="WL32" s="363">
        <f t="shared" ca="1" si="366"/>
        <v>1.1100605684705429</v>
      </c>
      <c r="WM32" s="363">
        <f t="shared" ca="1" si="366"/>
        <v>0.9252067872969868</v>
      </c>
      <c r="WN32" s="363">
        <f t="shared" ca="1" si="366"/>
        <v>0.96913411254315507</v>
      </c>
    </row>
    <row r="33" spans="2:612" x14ac:dyDescent="0.15">
      <c r="B33" s="469" t="s">
        <v>1239</v>
      </c>
      <c r="D33" s="363">
        <f t="shared" si="0"/>
        <v>1</v>
      </c>
      <c r="F33" s="367">
        <v>1</v>
      </c>
      <c r="G33" s="367" t="s">
        <v>350</v>
      </c>
      <c r="H33" s="363">
        <v>7.7112467314523869E-2</v>
      </c>
      <c r="I33" s="363">
        <f t="shared" si="197"/>
        <v>-2.973166307666756E-3</v>
      </c>
      <c r="J33" s="367">
        <f t="shared" si="198"/>
        <v>7.69982009768298E-2</v>
      </c>
      <c r="K33" s="367" t="s">
        <v>1274</v>
      </c>
      <c r="M33" s="363">
        <f ca="1">_xlfn.LOGNORM.INV(RAND(),$I$33,$J$33)</f>
        <v>1.0170503067863745</v>
      </c>
      <c r="N33" s="363">
        <f t="shared" ref="N33:BY33" ca="1" si="367">_xlfn.LOGNORM.INV(RAND(),$I$33,$J$33)</f>
        <v>1.0065963783628344</v>
      </c>
      <c r="O33" s="363">
        <f t="shared" ca="1" si="367"/>
        <v>0.93348901740577728</v>
      </c>
      <c r="P33" s="363">
        <f t="shared" ca="1" si="367"/>
        <v>0.90772494277405824</v>
      </c>
      <c r="Q33" s="363">
        <f t="shared" ca="1" si="367"/>
        <v>1.0226605626197263</v>
      </c>
      <c r="R33" s="363">
        <f t="shared" ca="1" si="367"/>
        <v>1.106620734123841</v>
      </c>
      <c r="S33" s="363">
        <f t="shared" ca="1" si="367"/>
        <v>0.89659732448863949</v>
      </c>
      <c r="T33" s="363">
        <f t="shared" ca="1" si="367"/>
        <v>0.93630175536654492</v>
      </c>
      <c r="U33" s="363">
        <f t="shared" ca="1" si="367"/>
        <v>1.1437307897081483</v>
      </c>
      <c r="V33" s="363">
        <f t="shared" ca="1" si="367"/>
        <v>0.94352957465482701</v>
      </c>
      <c r="W33" s="363">
        <f t="shared" ca="1" si="367"/>
        <v>0.94618518922223538</v>
      </c>
      <c r="X33" s="363">
        <f t="shared" ca="1" si="367"/>
        <v>0.93258949959450588</v>
      </c>
      <c r="Y33" s="363">
        <f t="shared" ca="1" si="367"/>
        <v>1.0041853775403431</v>
      </c>
      <c r="Z33" s="363">
        <f t="shared" ca="1" si="367"/>
        <v>1.0000958391641406</v>
      </c>
      <c r="AA33" s="363">
        <f t="shared" ca="1" si="367"/>
        <v>1.0282695430943669</v>
      </c>
      <c r="AB33" s="363">
        <f t="shared" ca="1" si="367"/>
        <v>1.0012619958686915</v>
      </c>
      <c r="AC33" s="363">
        <f t="shared" ca="1" si="367"/>
        <v>1.0879684959902829</v>
      </c>
      <c r="AD33" s="363">
        <f t="shared" ca="1" si="367"/>
        <v>1.0864288846297279</v>
      </c>
      <c r="AE33" s="363">
        <f t="shared" ca="1" si="367"/>
        <v>0.89299431959047382</v>
      </c>
      <c r="AF33" s="363">
        <f t="shared" ca="1" si="367"/>
        <v>1.0037165393619321</v>
      </c>
      <c r="AG33" s="363">
        <f t="shared" ca="1" si="367"/>
        <v>1.0522037612512636</v>
      </c>
      <c r="AH33" s="363">
        <f t="shared" ca="1" si="367"/>
        <v>1.044693316119967</v>
      </c>
      <c r="AI33" s="363">
        <f t="shared" ca="1" si="367"/>
        <v>1.0339826139922201</v>
      </c>
      <c r="AJ33" s="363">
        <f t="shared" ca="1" si="367"/>
        <v>1.1423635308959981</v>
      </c>
      <c r="AK33" s="363">
        <f t="shared" ca="1" si="367"/>
        <v>0.94830432703543499</v>
      </c>
      <c r="AL33" s="363">
        <f t="shared" ca="1" si="367"/>
        <v>0.97029936521175986</v>
      </c>
      <c r="AM33" s="363">
        <f t="shared" ca="1" si="367"/>
        <v>0.98054741618213903</v>
      </c>
      <c r="AN33" s="363">
        <f t="shared" ca="1" si="367"/>
        <v>1.0355136269479817</v>
      </c>
      <c r="AO33" s="363">
        <f t="shared" ca="1" si="367"/>
        <v>1.0089501311215949</v>
      </c>
      <c r="AP33" s="363">
        <f t="shared" ca="1" si="367"/>
        <v>0.96922504657948594</v>
      </c>
      <c r="AQ33" s="363">
        <f t="shared" ca="1" si="367"/>
        <v>0.96211821074591786</v>
      </c>
      <c r="AR33" s="363">
        <f t="shared" ca="1" si="367"/>
        <v>1.0176495779928485</v>
      </c>
      <c r="AS33" s="363">
        <f t="shared" ca="1" si="367"/>
        <v>0.939677540170887</v>
      </c>
      <c r="AT33" s="363">
        <f t="shared" ca="1" si="367"/>
        <v>1.0020288934638852</v>
      </c>
      <c r="AU33" s="363">
        <f t="shared" ca="1" si="367"/>
        <v>0.953108750511939</v>
      </c>
      <c r="AV33" s="363">
        <f t="shared" ca="1" si="367"/>
        <v>0.93423265693077373</v>
      </c>
      <c r="AW33" s="363">
        <f t="shared" ca="1" si="367"/>
        <v>1.0523398324124313</v>
      </c>
      <c r="AX33" s="363">
        <f t="shared" ca="1" si="367"/>
        <v>0.86009692756603096</v>
      </c>
      <c r="AY33" s="363">
        <f t="shared" ca="1" si="367"/>
        <v>1.023487233779478</v>
      </c>
      <c r="AZ33" s="363">
        <f t="shared" ca="1" si="367"/>
        <v>0.97683262070858834</v>
      </c>
      <c r="BA33" s="363">
        <f t="shared" ca="1" si="367"/>
        <v>1.1196864395184227</v>
      </c>
      <c r="BB33" s="363">
        <f t="shared" ca="1" si="367"/>
        <v>1.0385539405414965</v>
      </c>
      <c r="BC33" s="363">
        <f t="shared" ca="1" si="367"/>
        <v>0.88034278646115804</v>
      </c>
      <c r="BD33" s="363">
        <f t="shared" ca="1" si="367"/>
        <v>1.1716300528793426</v>
      </c>
      <c r="BE33" s="363">
        <f t="shared" ca="1" si="367"/>
        <v>0.89383673133472674</v>
      </c>
      <c r="BF33" s="363">
        <f t="shared" ca="1" si="367"/>
        <v>1.0661938312003596</v>
      </c>
      <c r="BG33" s="363">
        <f t="shared" ca="1" si="367"/>
        <v>1.1344036987143638</v>
      </c>
      <c r="BH33" s="363">
        <f t="shared" ca="1" si="367"/>
        <v>0.86594023899620942</v>
      </c>
      <c r="BI33" s="363">
        <f t="shared" ca="1" si="367"/>
        <v>1.0637196596053635</v>
      </c>
      <c r="BJ33" s="363">
        <f t="shared" ca="1" si="367"/>
        <v>0.96617080124053223</v>
      </c>
      <c r="BK33" s="363">
        <f t="shared" ca="1" si="367"/>
        <v>0.86129350569168128</v>
      </c>
      <c r="BL33" s="363">
        <f t="shared" ca="1" si="367"/>
        <v>1.0056891063822386</v>
      </c>
      <c r="BM33" s="363">
        <f t="shared" ca="1" si="367"/>
        <v>1.0313889601966928</v>
      </c>
      <c r="BN33" s="363">
        <f t="shared" ca="1" si="367"/>
        <v>1.0154729557482054</v>
      </c>
      <c r="BO33" s="363">
        <f t="shared" ca="1" si="367"/>
        <v>0.92274785417288974</v>
      </c>
      <c r="BP33" s="363">
        <f t="shared" ca="1" si="367"/>
        <v>0.97865160881649049</v>
      </c>
      <c r="BQ33" s="363">
        <f t="shared" ca="1" si="367"/>
        <v>1.1882208834115129</v>
      </c>
      <c r="BR33" s="363">
        <f t="shared" ca="1" si="367"/>
        <v>0.98344582272591685</v>
      </c>
      <c r="BS33" s="363">
        <f t="shared" ca="1" si="367"/>
        <v>0.88663067872981816</v>
      </c>
      <c r="BT33" s="363">
        <f t="shared" ca="1" si="367"/>
        <v>0.92604379261759961</v>
      </c>
      <c r="BU33" s="363">
        <f t="shared" ca="1" si="367"/>
        <v>1.0426853561937452</v>
      </c>
      <c r="BV33" s="363">
        <f t="shared" ca="1" si="367"/>
        <v>1.0501114594662873</v>
      </c>
      <c r="BW33" s="363">
        <f t="shared" ca="1" si="367"/>
        <v>0.99437363920562805</v>
      </c>
      <c r="BX33" s="363">
        <f t="shared" ca="1" si="367"/>
        <v>0.93439880379754459</v>
      </c>
      <c r="BY33" s="363">
        <f t="shared" ca="1" si="367"/>
        <v>0.99575520966851583</v>
      </c>
      <c r="BZ33" s="363">
        <f t="shared" ref="BZ33:DH33" ca="1" si="368">_xlfn.LOGNORM.INV(RAND(),$I$33,$J$33)</f>
        <v>1.0033609055813901</v>
      </c>
      <c r="CA33" s="363">
        <f t="shared" ca="1" si="368"/>
        <v>0.84623769107242985</v>
      </c>
      <c r="CB33" s="363">
        <f t="shared" ca="1" si="368"/>
        <v>1.0048364565596655</v>
      </c>
      <c r="CC33" s="363">
        <f t="shared" ca="1" si="368"/>
        <v>1.0621763184396806</v>
      </c>
      <c r="CD33" s="363">
        <f t="shared" ca="1" si="368"/>
        <v>1.0495433409597965</v>
      </c>
      <c r="CE33" s="363">
        <f t="shared" ca="1" si="368"/>
        <v>0.96121809061159791</v>
      </c>
      <c r="CF33" s="363">
        <f t="shared" ca="1" si="368"/>
        <v>1.0148392050252915</v>
      </c>
      <c r="CG33" s="363">
        <f t="shared" ca="1" si="368"/>
        <v>0.85987427995748944</v>
      </c>
      <c r="CH33" s="363">
        <f t="shared" ca="1" si="368"/>
        <v>1.0560741035890797</v>
      </c>
      <c r="CI33" s="363">
        <f t="shared" ca="1" si="368"/>
        <v>1.0000408914635481</v>
      </c>
      <c r="CJ33" s="363">
        <f t="shared" ca="1" si="368"/>
        <v>1.0470836495422691</v>
      </c>
      <c r="CK33" s="363">
        <f t="shared" ca="1" si="368"/>
        <v>1.0623374080964076</v>
      </c>
      <c r="CL33" s="363">
        <f t="shared" ca="1" si="368"/>
        <v>0.99228711437525841</v>
      </c>
      <c r="CM33" s="363">
        <f t="shared" ca="1" si="368"/>
        <v>1.0030104367257522</v>
      </c>
      <c r="CN33" s="363">
        <f t="shared" ca="1" si="368"/>
        <v>0.89084578081928145</v>
      </c>
      <c r="CO33" s="363">
        <f t="shared" ca="1" si="368"/>
        <v>0.94311304846785837</v>
      </c>
      <c r="CP33" s="363">
        <f t="shared" ca="1" si="368"/>
        <v>0.95176181204073629</v>
      </c>
      <c r="CQ33" s="363">
        <f t="shared" ca="1" si="368"/>
        <v>0.92751490619655141</v>
      </c>
      <c r="CR33" s="363">
        <f t="shared" ca="1" si="368"/>
        <v>0.96154670674239029</v>
      </c>
      <c r="CS33" s="363">
        <f t="shared" ca="1" si="368"/>
        <v>1.0035754116954867</v>
      </c>
      <c r="CT33" s="363">
        <f t="shared" ca="1" si="368"/>
        <v>1.0107349655882247</v>
      </c>
      <c r="CU33" s="363">
        <f t="shared" ca="1" si="368"/>
        <v>0.99895955210675391</v>
      </c>
      <c r="CV33" s="363">
        <f t="shared" ca="1" si="368"/>
        <v>0.93123455511906428</v>
      </c>
      <c r="CW33" s="363">
        <f t="shared" ca="1" si="368"/>
        <v>0.9883408684136944</v>
      </c>
      <c r="CX33" s="363">
        <f t="shared" ca="1" si="368"/>
        <v>1.0506134900555433</v>
      </c>
      <c r="CY33" s="363">
        <f t="shared" ca="1" si="368"/>
        <v>1.0962982275218429</v>
      </c>
      <c r="CZ33" s="363">
        <f t="shared" ca="1" si="368"/>
        <v>1.0179718044550712</v>
      </c>
      <c r="DA33" s="363">
        <f t="shared" ca="1" si="368"/>
        <v>1.0801401756890594</v>
      </c>
      <c r="DB33" s="363">
        <f t="shared" ca="1" si="368"/>
        <v>1.077664639488574</v>
      </c>
      <c r="DC33" s="363">
        <f t="shared" ca="1" si="368"/>
        <v>0.9389321175436236</v>
      </c>
      <c r="DD33" s="363">
        <f t="shared" ca="1" si="368"/>
        <v>0.97975778420342985</v>
      </c>
      <c r="DE33" s="363">
        <f t="shared" ca="1" si="368"/>
        <v>1.0064785175134021</v>
      </c>
      <c r="DF33" s="363">
        <f t="shared" ca="1" si="368"/>
        <v>0.86545906092960223</v>
      </c>
      <c r="DG33" s="363">
        <f t="shared" ca="1" si="368"/>
        <v>1.0197432732033302</v>
      </c>
      <c r="DH33" s="363">
        <f t="shared" ca="1" si="368"/>
        <v>1.0922126271476014</v>
      </c>
      <c r="DI33" s="363">
        <f ca="1">_xlfn.LOGNORM.INV(RAND(),$I$33,$J$33)</f>
        <v>0.91632511711713027</v>
      </c>
      <c r="DJ33" s="363">
        <f t="shared" ref="DJ33:FU33" ca="1" si="369">_xlfn.LOGNORM.INV(RAND(),$I$33,$J$33)</f>
        <v>0.98088930689025577</v>
      </c>
      <c r="DK33" s="363">
        <f t="shared" ca="1" si="369"/>
        <v>0.87018102390585494</v>
      </c>
      <c r="DL33" s="363">
        <f t="shared" ca="1" si="369"/>
        <v>1.1378771738458251</v>
      </c>
      <c r="DM33" s="363">
        <f t="shared" ca="1" si="369"/>
        <v>0.9959189144407119</v>
      </c>
      <c r="DN33" s="363">
        <f t="shared" ca="1" si="369"/>
        <v>0.96709241367191767</v>
      </c>
      <c r="DO33" s="363">
        <f t="shared" ca="1" si="369"/>
        <v>0.90111447523157107</v>
      </c>
      <c r="DP33" s="363">
        <f t="shared" ca="1" si="369"/>
        <v>0.91900973587111756</v>
      </c>
      <c r="DQ33" s="363">
        <f t="shared" ca="1" si="369"/>
        <v>0.9799431241082005</v>
      </c>
      <c r="DR33" s="363">
        <f t="shared" ca="1" si="369"/>
        <v>1.0057952379120809</v>
      </c>
      <c r="DS33" s="363">
        <f t="shared" ca="1" si="369"/>
        <v>0.9161822640340378</v>
      </c>
      <c r="DT33" s="363">
        <f t="shared" ca="1" si="369"/>
        <v>0.91565280610448441</v>
      </c>
      <c r="DU33" s="363">
        <f t="shared" ca="1" si="369"/>
        <v>1.0004976790441025</v>
      </c>
      <c r="DV33" s="363">
        <f t="shared" ca="1" si="369"/>
        <v>0.94715892737190754</v>
      </c>
      <c r="DW33" s="363">
        <f t="shared" ca="1" si="369"/>
        <v>0.92812755968519534</v>
      </c>
      <c r="DX33" s="363">
        <f t="shared" ca="1" si="369"/>
        <v>0.91306414979780259</v>
      </c>
      <c r="DY33" s="363">
        <f t="shared" ca="1" si="369"/>
        <v>1.0540494602384871</v>
      </c>
      <c r="DZ33" s="363">
        <f t="shared" ca="1" si="369"/>
        <v>1.1628439607564585</v>
      </c>
      <c r="EA33" s="363">
        <f t="shared" ca="1" si="369"/>
        <v>1.136805879128574</v>
      </c>
      <c r="EB33" s="363">
        <f t="shared" ca="1" si="369"/>
        <v>1.0145490140066029</v>
      </c>
      <c r="EC33" s="363">
        <f t="shared" ca="1" si="369"/>
        <v>1.0616769443663361</v>
      </c>
      <c r="ED33" s="363">
        <f t="shared" ca="1" si="369"/>
        <v>1.0366941773621732</v>
      </c>
      <c r="EE33" s="363">
        <f t="shared" ca="1" si="369"/>
        <v>0.96252494052577808</v>
      </c>
      <c r="EF33" s="363">
        <f t="shared" ca="1" si="369"/>
        <v>1.0796017030796856</v>
      </c>
      <c r="EG33" s="363">
        <f t="shared" ca="1" si="369"/>
        <v>0.9498327360493547</v>
      </c>
      <c r="EH33" s="363">
        <f t="shared" ca="1" si="369"/>
        <v>1.0589752683625775</v>
      </c>
      <c r="EI33" s="363">
        <f t="shared" ca="1" si="369"/>
        <v>0.90588030976165868</v>
      </c>
      <c r="EJ33" s="363">
        <f t="shared" ca="1" si="369"/>
        <v>0.93882285414558242</v>
      </c>
      <c r="EK33" s="363">
        <f t="shared" ca="1" si="369"/>
        <v>0.96779891765951542</v>
      </c>
      <c r="EL33" s="363">
        <f t="shared" ca="1" si="369"/>
        <v>0.94133987325541901</v>
      </c>
      <c r="EM33" s="363">
        <f t="shared" ca="1" si="369"/>
        <v>0.94217439902266542</v>
      </c>
      <c r="EN33" s="363">
        <f t="shared" ca="1" si="369"/>
        <v>1.0757923213559211</v>
      </c>
      <c r="EO33" s="363">
        <f t="shared" ca="1" si="369"/>
        <v>0.92399766002120198</v>
      </c>
      <c r="EP33" s="363">
        <f t="shared" ca="1" si="369"/>
        <v>1.016013633940652</v>
      </c>
      <c r="EQ33" s="363">
        <f t="shared" ca="1" si="369"/>
        <v>0.94511639148204041</v>
      </c>
      <c r="ER33" s="363">
        <f t="shared" ca="1" si="369"/>
        <v>0.98533745564982833</v>
      </c>
      <c r="ES33" s="363">
        <f t="shared" ca="1" si="369"/>
        <v>1.0493179094635849</v>
      </c>
      <c r="ET33" s="363">
        <f t="shared" ca="1" si="369"/>
        <v>1.0776436330471177</v>
      </c>
      <c r="EU33" s="363">
        <f t="shared" ca="1" si="369"/>
        <v>0.92827236136710356</v>
      </c>
      <c r="EV33" s="363">
        <f t="shared" ca="1" si="369"/>
        <v>0.98937457343560953</v>
      </c>
      <c r="EW33" s="363">
        <f t="shared" ca="1" si="369"/>
        <v>0.97918140100118267</v>
      </c>
      <c r="EX33" s="363">
        <f t="shared" ca="1" si="369"/>
        <v>0.99241168174962113</v>
      </c>
      <c r="EY33" s="363">
        <f t="shared" ca="1" si="369"/>
        <v>0.96873022064087877</v>
      </c>
      <c r="EZ33" s="363">
        <f t="shared" ca="1" si="369"/>
        <v>0.96664943446900653</v>
      </c>
      <c r="FA33" s="363">
        <f t="shared" ca="1" si="369"/>
        <v>0.98304552796264788</v>
      </c>
      <c r="FB33" s="363">
        <f t="shared" ca="1" si="369"/>
        <v>1.0910220651091367</v>
      </c>
      <c r="FC33" s="363">
        <f t="shared" ca="1" si="369"/>
        <v>1.0240158822418892</v>
      </c>
      <c r="FD33" s="363">
        <f t="shared" ca="1" si="369"/>
        <v>0.88694167681930425</v>
      </c>
      <c r="FE33" s="363">
        <f t="shared" ca="1" si="369"/>
        <v>0.94227560769557228</v>
      </c>
      <c r="FF33" s="363">
        <f t="shared" ca="1" si="369"/>
        <v>1.0077011404975718</v>
      </c>
      <c r="FG33" s="363">
        <f t="shared" ca="1" si="369"/>
        <v>0.93846641846927392</v>
      </c>
      <c r="FH33" s="363">
        <f t="shared" ca="1" si="369"/>
        <v>0.95073834276294156</v>
      </c>
      <c r="FI33" s="363">
        <f t="shared" ca="1" si="369"/>
        <v>1.0025850416161695</v>
      </c>
      <c r="FJ33" s="363">
        <f t="shared" ca="1" si="369"/>
        <v>0.87368679072429134</v>
      </c>
      <c r="FK33" s="363">
        <f t="shared" ca="1" si="369"/>
        <v>0.89279103165704166</v>
      </c>
      <c r="FL33" s="363">
        <f t="shared" ca="1" si="369"/>
        <v>1.0355499495629019</v>
      </c>
      <c r="FM33" s="363">
        <f t="shared" ca="1" si="369"/>
        <v>1.077092277670737</v>
      </c>
      <c r="FN33" s="363">
        <f t="shared" ca="1" si="369"/>
        <v>1.0117819720175221</v>
      </c>
      <c r="FO33" s="363">
        <f t="shared" ca="1" si="369"/>
        <v>1.0959210987082739</v>
      </c>
      <c r="FP33" s="363">
        <f t="shared" ca="1" si="369"/>
        <v>0.98409715847828161</v>
      </c>
      <c r="FQ33" s="363">
        <f t="shared" ca="1" si="369"/>
        <v>1.0604844433706535</v>
      </c>
      <c r="FR33" s="363">
        <f t="shared" ca="1" si="369"/>
        <v>1.069763346683327</v>
      </c>
      <c r="FS33" s="363">
        <f t="shared" ca="1" si="369"/>
        <v>0.97280944975296335</v>
      </c>
      <c r="FT33" s="363">
        <f t="shared" ca="1" si="369"/>
        <v>0.95858521065985591</v>
      </c>
      <c r="FU33" s="363">
        <f t="shared" ca="1" si="369"/>
        <v>0.99796403757527086</v>
      </c>
      <c r="FV33" s="363">
        <f t="shared" ref="FV33:HD33" ca="1" si="370">_xlfn.LOGNORM.INV(RAND(),$I$33,$J$33)</f>
        <v>1.0029992907521554</v>
      </c>
      <c r="FW33" s="363">
        <f t="shared" ca="1" si="370"/>
        <v>0.97278645476087833</v>
      </c>
      <c r="FX33" s="363">
        <f t="shared" ca="1" si="370"/>
        <v>1.1336870317972378</v>
      </c>
      <c r="FY33" s="363">
        <f t="shared" ca="1" si="370"/>
        <v>0.96881175924247409</v>
      </c>
      <c r="FZ33" s="363">
        <f t="shared" ca="1" si="370"/>
        <v>1.1275611059494424</v>
      </c>
      <c r="GA33" s="363">
        <f t="shared" ca="1" si="370"/>
        <v>1.1046869517655424</v>
      </c>
      <c r="GB33" s="363">
        <f t="shared" ca="1" si="370"/>
        <v>0.85566648641904242</v>
      </c>
      <c r="GC33" s="363">
        <f t="shared" ca="1" si="370"/>
        <v>0.96423964734285339</v>
      </c>
      <c r="GD33" s="363">
        <f t="shared" ca="1" si="370"/>
        <v>1.0677271419334753</v>
      </c>
      <c r="GE33" s="363">
        <f t="shared" ca="1" si="370"/>
        <v>0.93781388223337336</v>
      </c>
      <c r="GF33" s="363">
        <f t="shared" ca="1" si="370"/>
        <v>0.96245374117578331</v>
      </c>
      <c r="GG33" s="363">
        <f t="shared" ca="1" si="370"/>
        <v>1.0950753836049503</v>
      </c>
      <c r="GH33" s="363">
        <f t="shared" ca="1" si="370"/>
        <v>1.0248310973834447</v>
      </c>
      <c r="GI33" s="363">
        <f t="shared" ca="1" si="370"/>
        <v>0.96789771859278229</v>
      </c>
      <c r="GJ33" s="363">
        <f t="shared" ca="1" si="370"/>
        <v>0.89599012228025554</v>
      </c>
      <c r="GK33" s="363">
        <f t="shared" ca="1" si="370"/>
        <v>0.91565814060183792</v>
      </c>
      <c r="GL33" s="363">
        <f t="shared" ca="1" si="370"/>
        <v>1.1040682093581011</v>
      </c>
      <c r="GM33" s="363">
        <f t="shared" ca="1" si="370"/>
        <v>1.0024179481640598</v>
      </c>
      <c r="GN33" s="363">
        <f t="shared" ca="1" si="370"/>
        <v>0.89374953427379977</v>
      </c>
      <c r="GO33" s="363">
        <f t="shared" ca="1" si="370"/>
        <v>0.97438260397205712</v>
      </c>
      <c r="GP33" s="363">
        <f t="shared" ca="1" si="370"/>
        <v>0.971477441271689</v>
      </c>
      <c r="GQ33" s="363">
        <f t="shared" ca="1" si="370"/>
        <v>0.94128990162583659</v>
      </c>
      <c r="GR33" s="363">
        <f t="shared" ca="1" si="370"/>
        <v>1.1397545341300208</v>
      </c>
      <c r="GS33" s="363">
        <f t="shared" ca="1" si="370"/>
        <v>0.91139637980985966</v>
      </c>
      <c r="GT33" s="363">
        <f t="shared" ca="1" si="370"/>
        <v>0.88159806975794264</v>
      </c>
      <c r="GU33" s="363">
        <f t="shared" ca="1" si="370"/>
        <v>1.0620282189572445</v>
      </c>
      <c r="GV33" s="363">
        <f t="shared" ca="1" si="370"/>
        <v>1.0382436750968798</v>
      </c>
      <c r="GW33" s="363">
        <f t="shared" ca="1" si="370"/>
        <v>0.85607758810702728</v>
      </c>
      <c r="GX33" s="363">
        <f t="shared" ca="1" si="370"/>
        <v>0.98501205057372121</v>
      </c>
      <c r="GY33" s="363">
        <f t="shared" ca="1" si="370"/>
        <v>0.91063178115117627</v>
      </c>
      <c r="GZ33" s="363">
        <f t="shared" ca="1" si="370"/>
        <v>0.92808429591342634</v>
      </c>
      <c r="HA33" s="363">
        <f t="shared" ca="1" si="370"/>
        <v>0.93792698466802216</v>
      </c>
      <c r="HB33" s="363">
        <f t="shared" ca="1" si="370"/>
        <v>0.95694946391168856</v>
      </c>
      <c r="HC33" s="363">
        <f t="shared" ca="1" si="370"/>
        <v>0.97346442892879947</v>
      </c>
      <c r="HD33" s="363">
        <f t="shared" ca="1" si="370"/>
        <v>1.051529236298139</v>
      </c>
      <c r="HE33" s="363">
        <f ca="1">_xlfn.LOGNORM.INV(RAND(),$I$33,$J$33)</f>
        <v>1.1037927750138119</v>
      </c>
      <c r="HF33" s="363">
        <f t="shared" ref="HF33:JQ33" ca="1" si="371">_xlfn.LOGNORM.INV(RAND(),$I$33,$J$33)</f>
        <v>1.0601249437041287</v>
      </c>
      <c r="HG33" s="363">
        <f t="shared" ca="1" si="371"/>
        <v>1.026365766806749</v>
      </c>
      <c r="HH33" s="363">
        <f t="shared" ca="1" si="371"/>
        <v>0.89917985029381997</v>
      </c>
      <c r="HI33" s="363">
        <f t="shared" ca="1" si="371"/>
        <v>1.0916647762256564</v>
      </c>
      <c r="HJ33" s="363">
        <f t="shared" ca="1" si="371"/>
        <v>0.89297842463496369</v>
      </c>
      <c r="HK33" s="363">
        <f t="shared" ca="1" si="371"/>
        <v>1.0548678521218795</v>
      </c>
      <c r="HL33" s="363">
        <f t="shared" ca="1" si="371"/>
        <v>1.1864602749829041</v>
      </c>
      <c r="HM33" s="363">
        <f t="shared" ca="1" si="371"/>
        <v>0.85161373221943137</v>
      </c>
      <c r="HN33" s="363">
        <f t="shared" ca="1" si="371"/>
        <v>0.94822442642114635</v>
      </c>
      <c r="HO33" s="363">
        <f t="shared" ca="1" si="371"/>
        <v>1.0115539347803915</v>
      </c>
      <c r="HP33" s="363">
        <f t="shared" ca="1" si="371"/>
        <v>1.0741265565673128</v>
      </c>
      <c r="HQ33" s="363">
        <f t="shared" ca="1" si="371"/>
        <v>1.0151301196741975</v>
      </c>
      <c r="HR33" s="363">
        <f t="shared" ca="1" si="371"/>
        <v>0.99388935665593425</v>
      </c>
      <c r="HS33" s="363">
        <f t="shared" ca="1" si="371"/>
        <v>1.086295528322466</v>
      </c>
      <c r="HT33" s="363">
        <f t="shared" ca="1" si="371"/>
        <v>0.88387270791562378</v>
      </c>
      <c r="HU33" s="363">
        <f t="shared" ca="1" si="371"/>
        <v>1.1594353376915398</v>
      </c>
      <c r="HV33" s="363">
        <f t="shared" ca="1" si="371"/>
        <v>1.089819106075171</v>
      </c>
      <c r="HW33" s="363">
        <f t="shared" ca="1" si="371"/>
        <v>0.8850563402861884</v>
      </c>
      <c r="HX33" s="363">
        <f t="shared" ca="1" si="371"/>
        <v>1.0794579591574838</v>
      </c>
      <c r="HY33" s="363">
        <f t="shared" ca="1" si="371"/>
        <v>1.0437671202569005</v>
      </c>
      <c r="HZ33" s="363">
        <f t="shared" ca="1" si="371"/>
        <v>0.9449761348416541</v>
      </c>
      <c r="IA33" s="363">
        <f t="shared" ca="1" si="371"/>
        <v>1.0727426985035449</v>
      </c>
      <c r="IB33" s="363">
        <f t="shared" ca="1" si="371"/>
        <v>0.99606054572876213</v>
      </c>
      <c r="IC33" s="363">
        <f t="shared" ca="1" si="371"/>
        <v>0.96881138267337674</v>
      </c>
      <c r="ID33" s="363">
        <f t="shared" ca="1" si="371"/>
        <v>1.0693243701393227</v>
      </c>
      <c r="IE33" s="363">
        <f t="shared" ca="1" si="371"/>
        <v>1.1179999005821122</v>
      </c>
      <c r="IF33" s="363">
        <f t="shared" ca="1" si="371"/>
        <v>0.98306588514027582</v>
      </c>
      <c r="IG33" s="363">
        <f t="shared" ca="1" si="371"/>
        <v>0.96716449583317976</v>
      </c>
      <c r="IH33" s="363">
        <f t="shared" ca="1" si="371"/>
        <v>0.90233255047353622</v>
      </c>
      <c r="II33" s="363">
        <f t="shared" ca="1" si="371"/>
        <v>0.96191940180392521</v>
      </c>
      <c r="IJ33" s="363">
        <f t="shared" ca="1" si="371"/>
        <v>1.0784485865804663</v>
      </c>
      <c r="IK33" s="363">
        <f t="shared" ca="1" si="371"/>
        <v>0.88331880093730775</v>
      </c>
      <c r="IL33" s="363">
        <f t="shared" ca="1" si="371"/>
        <v>1.0179881087513238</v>
      </c>
      <c r="IM33" s="363">
        <f t="shared" ca="1" si="371"/>
        <v>0.87836109005433216</v>
      </c>
      <c r="IN33" s="363">
        <f t="shared" ca="1" si="371"/>
        <v>0.88480408895885965</v>
      </c>
      <c r="IO33" s="363">
        <f t="shared" ca="1" si="371"/>
        <v>0.97874878382151176</v>
      </c>
      <c r="IP33" s="363">
        <f t="shared" ca="1" si="371"/>
        <v>1.0401827165161299</v>
      </c>
      <c r="IQ33" s="363">
        <f t="shared" ca="1" si="371"/>
        <v>0.91937683582284246</v>
      </c>
      <c r="IR33" s="363">
        <f t="shared" ca="1" si="371"/>
        <v>0.98127122013713364</v>
      </c>
      <c r="IS33" s="363">
        <f t="shared" ca="1" si="371"/>
        <v>1.0271249940588456</v>
      </c>
      <c r="IT33" s="363">
        <f t="shared" ca="1" si="371"/>
        <v>0.93053146146372256</v>
      </c>
      <c r="IU33" s="363">
        <f t="shared" ca="1" si="371"/>
        <v>0.88047849505944908</v>
      </c>
      <c r="IV33" s="363">
        <f t="shared" ca="1" si="371"/>
        <v>1.0330003865243889</v>
      </c>
      <c r="IW33" s="363">
        <f t="shared" ca="1" si="371"/>
        <v>1.0529355817869241</v>
      </c>
      <c r="IX33" s="363">
        <f t="shared" ca="1" si="371"/>
        <v>0.80806711253308205</v>
      </c>
      <c r="IY33" s="363">
        <f t="shared" ca="1" si="371"/>
        <v>1.0177109751312297</v>
      </c>
      <c r="IZ33" s="363">
        <f t="shared" ca="1" si="371"/>
        <v>0.98981236900784497</v>
      </c>
      <c r="JA33" s="363">
        <f t="shared" ca="1" si="371"/>
        <v>0.99066819091368208</v>
      </c>
      <c r="JB33" s="363">
        <f t="shared" ca="1" si="371"/>
        <v>1.069890257787528</v>
      </c>
      <c r="JC33" s="363">
        <f t="shared" ca="1" si="371"/>
        <v>0.98196170172062669</v>
      </c>
      <c r="JD33" s="363">
        <f t="shared" ca="1" si="371"/>
        <v>1.1609009054726189</v>
      </c>
      <c r="JE33" s="363">
        <f t="shared" ca="1" si="371"/>
        <v>1.0337328552479446</v>
      </c>
      <c r="JF33" s="363">
        <f t="shared" ca="1" si="371"/>
        <v>1.0733165872103778</v>
      </c>
      <c r="JG33" s="363">
        <f t="shared" ca="1" si="371"/>
        <v>1.2538861954116871</v>
      </c>
      <c r="JH33" s="363">
        <f t="shared" ca="1" si="371"/>
        <v>1.0412336366215313</v>
      </c>
      <c r="JI33" s="363">
        <f t="shared" ca="1" si="371"/>
        <v>1.1433313614253264</v>
      </c>
      <c r="JJ33" s="363">
        <f t="shared" ca="1" si="371"/>
        <v>0.97139740356009052</v>
      </c>
      <c r="JK33" s="363">
        <f t="shared" ca="1" si="371"/>
        <v>0.92803580425302967</v>
      </c>
      <c r="JL33" s="363">
        <f t="shared" ca="1" si="371"/>
        <v>1.0211908570119212</v>
      </c>
      <c r="JM33" s="363">
        <f t="shared" ca="1" si="371"/>
        <v>0.95987819612257697</v>
      </c>
      <c r="JN33" s="363">
        <f t="shared" ca="1" si="371"/>
        <v>1.0652858297829693</v>
      </c>
      <c r="JO33" s="363">
        <f t="shared" ca="1" si="371"/>
        <v>0.83633322290017242</v>
      </c>
      <c r="JP33" s="363">
        <f t="shared" ca="1" si="371"/>
        <v>1.052597438208791</v>
      </c>
      <c r="JQ33" s="363">
        <f t="shared" ca="1" si="371"/>
        <v>0.92945680800007424</v>
      </c>
      <c r="JR33" s="363">
        <f t="shared" ref="JR33:KZ33" ca="1" si="372">_xlfn.LOGNORM.INV(RAND(),$I$33,$J$33)</f>
        <v>1.0504812653029989</v>
      </c>
      <c r="JS33" s="363">
        <f t="shared" ca="1" si="372"/>
        <v>1.030988734189261</v>
      </c>
      <c r="JT33" s="363">
        <f t="shared" ca="1" si="372"/>
        <v>0.97772099518096567</v>
      </c>
      <c r="JU33" s="363">
        <f t="shared" ca="1" si="372"/>
        <v>1.1585752047538687</v>
      </c>
      <c r="JV33" s="363">
        <f t="shared" ca="1" si="372"/>
        <v>1.0653563681670315</v>
      </c>
      <c r="JW33" s="363">
        <f t="shared" ca="1" si="372"/>
        <v>1.080520770451074</v>
      </c>
      <c r="JX33" s="363">
        <f t="shared" ca="1" si="372"/>
        <v>0.98892488593348316</v>
      </c>
      <c r="JY33" s="363">
        <f t="shared" ca="1" si="372"/>
        <v>0.92783734953564412</v>
      </c>
      <c r="JZ33" s="363">
        <f t="shared" ca="1" si="372"/>
        <v>0.99414576466941362</v>
      </c>
      <c r="KA33" s="363">
        <f t="shared" ca="1" si="372"/>
        <v>0.98387091376673075</v>
      </c>
      <c r="KB33" s="363">
        <f t="shared" ca="1" si="372"/>
        <v>0.88302092220368034</v>
      </c>
      <c r="KC33" s="363">
        <f t="shared" ca="1" si="372"/>
        <v>0.92238398853310588</v>
      </c>
      <c r="KD33" s="363">
        <f t="shared" ca="1" si="372"/>
        <v>0.96210050734446995</v>
      </c>
      <c r="KE33" s="363">
        <f t="shared" ca="1" si="372"/>
        <v>1.0794090836650507</v>
      </c>
      <c r="KF33" s="363">
        <f t="shared" ca="1" si="372"/>
        <v>1.1029650924236187</v>
      </c>
      <c r="KG33" s="363">
        <f t="shared" ca="1" si="372"/>
        <v>1.0116178292058984</v>
      </c>
      <c r="KH33" s="363">
        <f t="shared" ca="1" si="372"/>
        <v>1.0234445892959576</v>
      </c>
      <c r="KI33" s="363">
        <f t="shared" ca="1" si="372"/>
        <v>0.81630531157165886</v>
      </c>
      <c r="KJ33" s="363">
        <f t="shared" ca="1" si="372"/>
        <v>0.94500845032942615</v>
      </c>
      <c r="KK33" s="363">
        <f t="shared" ca="1" si="372"/>
        <v>1.223146593988373</v>
      </c>
      <c r="KL33" s="363">
        <f t="shared" ca="1" si="372"/>
        <v>1.0165679945530461</v>
      </c>
      <c r="KM33" s="363">
        <f t="shared" ca="1" si="372"/>
        <v>1.1030955542636325</v>
      </c>
      <c r="KN33" s="363">
        <f t="shared" ca="1" si="372"/>
        <v>1.0475401456483526</v>
      </c>
      <c r="KO33" s="363">
        <f t="shared" ca="1" si="372"/>
        <v>1.0043546277929831</v>
      </c>
      <c r="KP33" s="363">
        <f t="shared" ca="1" si="372"/>
        <v>1.1351600031648221</v>
      </c>
      <c r="KQ33" s="363">
        <f t="shared" ca="1" si="372"/>
        <v>1.0160889877052497</v>
      </c>
      <c r="KR33" s="363">
        <f t="shared" ca="1" si="372"/>
        <v>1.0140777446613825</v>
      </c>
      <c r="KS33" s="363">
        <f t="shared" ca="1" si="372"/>
        <v>1.1124810997227026</v>
      </c>
      <c r="KT33" s="363">
        <f t="shared" ca="1" si="372"/>
        <v>0.99228163718595186</v>
      </c>
      <c r="KU33" s="363">
        <f t="shared" ca="1" si="372"/>
        <v>1.0258790618872</v>
      </c>
      <c r="KV33" s="363">
        <f t="shared" ca="1" si="372"/>
        <v>1.0416798324913752</v>
      </c>
      <c r="KW33" s="363">
        <f t="shared" ca="1" si="372"/>
        <v>0.89699692569434364</v>
      </c>
      <c r="KX33" s="363">
        <f t="shared" ca="1" si="372"/>
        <v>1.0527915215705914</v>
      </c>
      <c r="KY33" s="363">
        <f t="shared" ca="1" si="372"/>
        <v>0.88553654525053138</v>
      </c>
      <c r="KZ33" s="363">
        <f t="shared" ca="1" si="372"/>
        <v>1.0001038150126158</v>
      </c>
      <c r="LA33" s="363">
        <f ca="1">_xlfn.LOGNORM.INV(RAND(),$I$33,$J$33)</f>
        <v>0.94674633010863074</v>
      </c>
      <c r="LB33" s="363">
        <f t="shared" ref="LB33:NM33" ca="1" si="373">_xlfn.LOGNORM.INV(RAND(),$I$33,$J$33)</f>
        <v>0.86141030342060421</v>
      </c>
      <c r="LC33" s="363">
        <f t="shared" ca="1" si="373"/>
        <v>1.0380092063913275</v>
      </c>
      <c r="LD33" s="363">
        <f t="shared" ca="1" si="373"/>
        <v>1.0810660272454167</v>
      </c>
      <c r="LE33" s="363">
        <f t="shared" ca="1" si="373"/>
        <v>1.0840775755225101</v>
      </c>
      <c r="LF33" s="363">
        <f t="shared" ca="1" si="373"/>
        <v>1.0145855513754143</v>
      </c>
      <c r="LG33" s="363">
        <f t="shared" ca="1" si="373"/>
        <v>1.1188438885587422</v>
      </c>
      <c r="LH33" s="363">
        <f t="shared" ca="1" si="373"/>
        <v>0.98987434608769176</v>
      </c>
      <c r="LI33" s="363">
        <f t="shared" ca="1" si="373"/>
        <v>0.97127301925818665</v>
      </c>
      <c r="LJ33" s="363">
        <f t="shared" ca="1" si="373"/>
        <v>1.0422959697490075</v>
      </c>
      <c r="LK33" s="363">
        <f t="shared" ca="1" si="373"/>
        <v>0.90955506374992168</v>
      </c>
      <c r="LL33" s="363">
        <f t="shared" ca="1" si="373"/>
        <v>1.0335548475386225</v>
      </c>
      <c r="LM33" s="363">
        <f t="shared" ca="1" si="373"/>
        <v>1.0311308056401181</v>
      </c>
      <c r="LN33" s="363">
        <f t="shared" ca="1" si="373"/>
        <v>1.0777500337194099</v>
      </c>
      <c r="LO33" s="363">
        <f t="shared" ca="1" si="373"/>
        <v>1.0094776943190824</v>
      </c>
      <c r="LP33" s="363">
        <f t="shared" ca="1" si="373"/>
        <v>1.0388483877400376</v>
      </c>
      <c r="LQ33" s="363">
        <f t="shared" ca="1" si="373"/>
        <v>0.9993255607309286</v>
      </c>
      <c r="LR33" s="363">
        <f t="shared" ca="1" si="373"/>
        <v>0.99368343073574383</v>
      </c>
      <c r="LS33" s="363">
        <f t="shared" ca="1" si="373"/>
        <v>0.96673630281281442</v>
      </c>
      <c r="LT33" s="363">
        <f t="shared" ca="1" si="373"/>
        <v>0.99757993746470863</v>
      </c>
      <c r="LU33" s="363">
        <f t="shared" ca="1" si="373"/>
        <v>0.90266145222137284</v>
      </c>
      <c r="LV33" s="363">
        <f t="shared" ca="1" si="373"/>
        <v>1.0340427059526183</v>
      </c>
      <c r="LW33" s="363">
        <f t="shared" ca="1" si="373"/>
        <v>0.90861395638080433</v>
      </c>
      <c r="LX33" s="363">
        <f t="shared" ca="1" si="373"/>
        <v>0.84590146106486419</v>
      </c>
      <c r="LY33" s="363">
        <f t="shared" ca="1" si="373"/>
        <v>1.1063318015069634</v>
      </c>
      <c r="LZ33" s="363">
        <f t="shared" ca="1" si="373"/>
        <v>1.1088880899771154</v>
      </c>
      <c r="MA33" s="363">
        <f t="shared" ca="1" si="373"/>
        <v>0.86496398683770781</v>
      </c>
      <c r="MB33" s="363">
        <f t="shared" ca="1" si="373"/>
        <v>1.0398771045563493</v>
      </c>
      <c r="MC33" s="363">
        <f t="shared" ca="1" si="373"/>
        <v>1.0169707318180694</v>
      </c>
      <c r="MD33" s="363">
        <f t="shared" ca="1" si="373"/>
        <v>1.0791222260559086</v>
      </c>
      <c r="ME33" s="363">
        <f t="shared" ca="1" si="373"/>
        <v>1.0223476936996532</v>
      </c>
      <c r="MF33" s="363">
        <f t="shared" ca="1" si="373"/>
        <v>1.1138045459950687</v>
      </c>
      <c r="MG33" s="363">
        <f t="shared" ca="1" si="373"/>
        <v>0.99606932383931468</v>
      </c>
      <c r="MH33" s="363">
        <f t="shared" ca="1" si="373"/>
        <v>0.90895949405000076</v>
      </c>
      <c r="MI33" s="363">
        <f t="shared" ca="1" si="373"/>
        <v>0.97643806925344878</v>
      </c>
      <c r="MJ33" s="363">
        <f t="shared" ca="1" si="373"/>
        <v>1.0287926264650737</v>
      </c>
      <c r="MK33" s="363">
        <f t="shared" ca="1" si="373"/>
        <v>0.89507869079859559</v>
      </c>
      <c r="ML33" s="363">
        <f t="shared" ca="1" si="373"/>
        <v>0.92407333472119713</v>
      </c>
      <c r="MM33" s="363">
        <f t="shared" ca="1" si="373"/>
        <v>1.020802404420198</v>
      </c>
      <c r="MN33" s="363">
        <f t="shared" ca="1" si="373"/>
        <v>1.0903501754373268</v>
      </c>
      <c r="MO33" s="363">
        <f t="shared" ca="1" si="373"/>
        <v>0.99028640517775735</v>
      </c>
      <c r="MP33" s="363">
        <f t="shared" ca="1" si="373"/>
        <v>1.0170733430435639</v>
      </c>
      <c r="MQ33" s="363">
        <f t="shared" ca="1" si="373"/>
        <v>0.98325322286135775</v>
      </c>
      <c r="MR33" s="363">
        <f t="shared" ca="1" si="373"/>
        <v>0.93427282580724502</v>
      </c>
      <c r="MS33" s="363">
        <f t="shared" ca="1" si="373"/>
        <v>1.0955774450734781</v>
      </c>
      <c r="MT33" s="363">
        <f t="shared" ca="1" si="373"/>
        <v>1.0671436586104688</v>
      </c>
      <c r="MU33" s="363">
        <f t="shared" ca="1" si="373"/>
        <v>1.0175500831130151</v>
      </c>
      <c r="MV33" s="363">
        <f t="shared" ca="1" si="373"/>
        <v>1.0064246199832749</v>
      </c>
      <c r="MW33" s="363">
        <f t="shared" ca="1" si="373"/>
        <v>0.98320048165216989</v>
      </c>
      <c r="MX33" s="363">
        <f t="shared" ca="1" si="373"/>
        <v>0.87578604670540317</v>
      </c>
      <c r="MY33" s="363">
        <f t="shared" ca="1" si="373"/>
        <v>0.89637601180858473</v>
      </c>
      <c r="MZ33" s="363">
        <f t="shared" ca="1" si="373"/>
        <v>0.98661289518025141</v>
      </c>
      <c r="NA33" s="363">
        <f t="shared" ca="1" si="373"/>
        <v>0.98206008219302976</v>
      </c>
      <c r="NB33" s="363">
        <f t="shared" ca="1" si="373"/>
        <v>0.92174885684955166</v>
      </c>
      <c r="NC33" s="363">
        <f t="shared" ca="1" si="373"/>
        <v>0.98652815348338563</v>
      </c>
      <c r="ND33" s="363">
        <f t="shared" ca="1" si="373"/>
        <v>1.0414924682095237</v>
      </c>
      <c r="NE33" s="363">
        <f t="shared" ca="1" si="373"/>
        <v>0.93157128686702251</v>
      </c>
      <c r="NF33" s="363">
        <f t="shared" ca="1" si="373"/>
        <v>0.94726756835567039</v>
      </c>
      <c r="NG33" s="363">
        <f t="shared" ca="1" si="373"/>
        <v>1.0714754265495501</v>
      </c>
      <c r="NH33" s="363">
        <f t="shared" ca="1" si="373"/>
        <v>0.90535719062577924</v>
      </c>
      <c r="NI33" s="363">
        <f t="shared" ca="1" si="373"/>
        <v>0.90632329447135318</v>
      </c>
      <c r="NJ33" s="363">
        <f t="shared" ca="1" si="373"/>
        <v>0.99752975023904744</v>
      </c>
      <c r="NK33" s="363">
        <f t="shared" ca="1" si="373"/>
        <v>0.91472672370943586</v>
      </c>
      <c r="NL33" s="363">
        <f t="shared" ca="1" si="373"/>
        <v>0.85531683943537129</v>
      </c>
      <c r="NM33" s="363">
        <f t="shared" ca="1" si="373"/>
        <v>0.81376751406586267</v>
      </c>
      <c r="NN33" s="363">
        <f t="shared" ref="NN33:OV33" ca="1" si="374">_xlfn.LOGNORM.INV(RAND(),$I$33,$J$33)</f>
        <v>0.88942574565033261</v>
      </c>
      <c r="NO33" s="363">
        <f t="shared" ca="1" si="374"/>
        <v>1.1409535572804415</v>
      </c>
      <c r="NP33" s="363">
        <f t="shared" ca="1" si="374"/>
        <v>0.9098031709305946</v>
      </c>
      <c r="NQ33" s="363">
        <f t="shared" ca="1" si="374"/>
        <v>1.1043782528739716</v>
      </c>
      <c r="NR33" s="363">
        <f t="shared" ca="1" si="374"/>
        <v>0.91943107336691432</v>
      </c>
      <c r="NS33" s="363">
        <f t="shared" ca="1" si="374"/>
        <v>1.07879378491773</v>
      </c>
      <c r="NT33" s="363">
        <f t="shared" ca="1" si="374"/>
        <v>1.0497676876894686</v>
      </c>
      <c r="NU33" s="363">
        <f t="shared" ca="1" si="374"/>
        <v>1.2091870723102067</v>
      </c>
      <c r="NV33" s="363">
        <f t="shared" ca="1" si="374"/>
        <v>0.86395755229706672</v>
      </c>
      <c r="NW33" s="363">
        <f t="shared" ca="1" si="374"/>
        <v>0.94868622580044615</v>
      </c>
      <c r="NX33" s="363">
        <f t="shared" ca="1" si="374"/>
        <v>1.0262939538916596</v>
      </c>
      <c r="NY33" s="363">
        <f t="shared" ca="1" si="374"/>
        <v>0.90952084675191014</v>
      </c>
      <c r="NZ33" s="363">
        <f t="shared" ca="1" si="374"/>
        <v>0.98856292243992083</v>
      </c>
      <c r="OA33" s="363">
        <f t="shared" ca="1" si="374"/>
        <v>1.0043324331818912</v>
      </c>
      <c r="OB33" s="363">
        <f t="shared" ca="1" si="374"/>
        <v>0.97425838949157562</v>
      </c>
      <c r="OC33" s="363">
        <f t="shared" ca="1" si="374"/>
        <v>1.0429262019152847</v>
      </c>
      <c r="OD33" s="363">
        <f t="shared" ca="1" si="374"/>
        <v>1.0666946858764124</v>
      </c>
      <c r="OE33" s="363">
        <f t="shared" ca="1" si="374"/>
        <v>1.0198532712313206</v>
      </c>
      <c r="OF33" s="363">
        <f t="shared" ca="1" si="374"/>
        <v>0.98729206004646342</v>
      </c>
      <c r="OG33" s="363">
        <f t="shared" ca="1" si="374"/>
        <v>1.0484993658572443</v>
      </c>
      <c r="OH33" s="363">
        <f t="shared" ca="1" si="374"/>
        <v>1.145849630988647</v>
      </c>
      <c r="OI33" s="363">
        <f t="shared" ca="1" si="374"/>
        <v>1.1040519979880916</v>
      </c>
      <c r="OJ33" s="363">
        <f t="shared" ca="1" si="374"/>
        <v>0.89831763742772641</v>
      </c>
      <c r="OK33" s="363">
        <f t="shared" ca="1" si="374"/>
        <v>0.94548036387797274</v>
      </c>
      <c r="OL33" s="363">
        <f t="shared" ca="1" si="374"/>
        <v>1.1151130038439521</v>
      </c>
      <c r="OM33" s="363">
        <f t="shared" ca="1" si="374"/>
        <v>1.0567556084223906</v>
      </c>
      <c r="ON33" s="363">
        <f t="shared" ca="1" si="374"/>
        <v>1.0466610884458536</v>
      </c>
      <c r="OO33" s="363">
        <f t="shared" ca="1" si="374"/>
        <v>1.1740586497797794</v>
      </c>
      <c r="OP33" s="363">
        <f t="shared" ca="1" si="374"/>
        <v>1.0288906711455021</v>
      </c>
      <c r="OQ33" s="363">
        <f t="shared" ca="1" si="374"/>
        <v>1.0104668524579972</v>
      </c>
      <c r="OR33" s="363">
        <f t="shared" ca="1" si="374"/>
        <v>1.1362622081028562</v>
      </c>
      <c r="OS33" s="363">
        <f t="shared" ca="1" si="374"/>
        <v>0.96659690995546488</v>
      </c>
      <c r="OT33" s="363">
        <f t="shared" ca="1" si="374"/>
        <v>1.187768838317294</v>
      </c>
      <c r="OU33" s="363">
        <f t="shared" ca="1" si="374"/>
        <v>0.93283844273360239</v>
      </c>
      <c r="OV33" s="363">
        <f t="shared" ca="1" si="374"/>
        <v>0.97696446664504133</v>
      </c>
      <c r="OW33" s="363">
        <f ca="1">_xlfn.LOGNORM.INV(RAND(),$I$33,$J$33)</f>
        <v>0.95565072932975836</v>
      </c>
      <c r="OX33" s="363">
        <f t="shared" ref="OX33:RI33" ca="1" si="375">_xlfn.LOGNORM.INV(RAND(),$I$33,$J$33)</f>
        <v>1.1834794689610315</v>
      </c>
      <c r="OY33" s="363">
        <f t="shared" ca="1" si="375"/>
        <v>0.97327328068043562</v>
      </c>
      <c r="OZ33" s="363">
        <f t="shared" ca="1" si="375"/>
        <v>1.0928470657172129</v>
      </c>
      <c r="PA33" s="363">
        <f t="shared" ca="1" si="375"/>
        <v>1.0069349326205204</v>
      </c>
      <c r="PB33" s="363">
        <f t="shared" ca="1" si="375"/>
        <v>0.94598051044377851</v>
      </c>
      <c r="PC33" s="363">
        <f t="shared" ca="1" si="375"/>
        <v>0.89029879014291813</v>
      </c>
      <c r="PD33" s="363">
        <f t="shared" ca="1" si="375"/>
        <v>1.018614804360003</v>
      </c>
      <c r="PE33" s="363">
        <f t="shared" ca="1" si="375"/>
        <v>1.0176866735841588</v>
      </c>
      <c r="PF33" s="363">
        <f t="shared" ca="1" si="375"/>
        <v>1.0925946924222782</v>
      </c>
      <c r="PG33" s="363">
        <f t="shared" ca="1" si="375"/>
        <v>0.92740809753644615</v>
      </c>
      <c r="PH33" s="363">
        <f t="shared" ca="1" si="375"/>
        <v>0.98625512690159356</v>
      </c>
      <c r="PI33" s="363">
        <f t="shared" ca="1" si="375"/>
        <v>0.97374451316942734</v>
      </c>
      <c r="PJ33" s="363">
        <f t="shared" ca="1" si="375"/>
        <v>0.94552773132378953</v>
      </c>
      <c r="PK33" s="363">
        <f t="shared" ca="1" si="375"/>
        <v>0.93935473725045493</v>
      </c>
      <c r="PL33" s="363">
        <f t="shared" ca="1" si="375"/>
        <v>0.97971653804471281</v>
      </c>
      <c r="PM33" s="363">
        <f t="shared" ca="1" si="375"/>
        <v>1.0094010342893716</v>
      </c>
      <c r="PN33" s="363">
        <f t="shared" ca="1" si="375"/>
        <v>0.95168375512403802</v>
      </c>
      <c r="PO33" s="363">
        <f t="shared" ca="1" si="375"/>
        <v>0.99907830620460292</v>
      </c>
      <c r="PP33" s="363">
        <f t="shared" ca="1" si="375"/>
        <v>1.0636166595778898</v>
      </c>
      <c r="PQ33" s="363">
        <f t="shared" ca="1" si="375"/>
        <v>0.99189142455602319</v>
      </c>
      <c r="PR33" s="363">
        <f t="shared" ca="1" si="375"/>
        <v>0.87486476205051622</v>
      </c>
      <c r="PS33" s="363">
        <f t="shared" ca="1" si="375"/>
        <v>0.91972518263354497</v>
      </c>
      <c r="PT33" s="363">
        <f t="shared" ca="1" si="375"/>
        <v>0.91556721939040786</v>
      </c>
      <c r="PU33" s="363">
        <f t="shared" ca="1" si="375"/>
        <v>0.96470250738128838</v>
      </c>
      <c r="PV33" s="363">
        <f t="shared" ca="1" si="375"/>
        <v>0.98121382346830288</v>
      </c>
      <c r="PW33" s="363">
        <f t="shared" ca="1" si="375"/>
        <v>1.0372893846907802</v>
      </c>
      <c r="PX33" s="363">
        <f t="shared" ca="1" si="375"/>
        <v>1.0738651081179791</v>
      </c>
      <c r="PY33" s="363">
        <f t="shared" ca="1" si="375"/>
        <v>1.0306452920583411</v>
      </c>
      <c r="PZ33" s="363">
        <f t="shared" ca="1" si="375"/>
        <v>0.95608653152615897</v>
      </c>
      <c r="QA33" s="363">
        <f t="shared" ca="1" si="375"/>
        <v>0.99229874539729668</v>
      </c>
      <c r="QB33" s="363">
        <f t="shared" ca="1" si="375"/>
        <v>0.94330086697091831</v>
      </c>
      <c r="QC33" s="363">
        <f t="shared" ca="1" si="375"/>
        <v>1.1030616347576876</v>
      </c>
      <c r="QD33" s="363">
        <f t="shared" ca="1" si="375"/>
        <v>0.94515474750903039</v>
      </c>
      <c r="QE33" s="363">
        <f t="shared" ca="1" si="375"/>
        <v>0.92803588693057026</v>
      </c>
      <c r="QF33" s="363">
        <f t="shared" ca="1" si="375"/>
        <v>1.0469705810245598</v>
      </c>
      <c r="QG33" s="363">
        <f t="shared" ca="1" si="375"/>
        <v>0.96299923348508909</v>
      </c>
      <c r="QH33" s="363">
        <f t="shared" ca="1" si="375"/>
        <v>0.92338849329390393</v>
      </c>
      <c r="QI33" s="363">
        <f t="shared" ca="1" si="375"/>
        <v>1.0188365023787807</v>
      </c>
      <c r="QJ33" s="363">
        <f t="shared" ca="1" si="375"/>
        <v>1.0306668365916354</v>
      </c>
      <c r="QK33" s="363">
        <f t="shared" ca="1" si="375"/>
        <v>1.0516939719635043</v>
      </c>
      <c r="QL33" s="363">
        <f t="shared" ca="1" si="375"/>
        <v>0.9263389432929342</v>
      </c>
      <c r="QM33" s="363">
        <f t="shared" ca="1" si="375"/>
        <v>1.0000575892295385</v>
      </c>
      <c r="QN33" s="363">
        <f t="shared" ca="1" si="375"/>
        <v>0.98632766540900552</v>
      </c>
      <c r="QO33" s="363">
        <f t="shared" ca="1" si="375"/>
        <v>0.94914759696469297</v>
      </c>
      <c r="QP33" s="363">
        <f t="shared" ca="1" si="375"/>
        <v>0.95156409517750939</v>
      </c>
      <c r="QQ33" s="363">
        <f t="shared" ca="1" si="375"/>
        <v>1.0428855914551531</v>
      </c>
      <c r="QR33" s="363">
        <f t="shared" ca="1" si="375"/>
        <v>0.96030260593382932</v>
      </c>
      <c r="QS33" s="363">
        <f t="shared" ca="1" si="375"/>
        <v>1.1541969857764536</v>
      </c>
      <c r="QT33" s="363">
        <f t="shared" ca="1" si="375"/>
        <v>0.93899694130625466</v>
      </c>
      <c r="QU33" s="363">
        <f t="shared" ca="1" si="375"/>
        <v>0.98445384720021734</v>
      </c>
      <c r="QV33" s="363">
        <f t="shared" ca="1" si="375"/>
        <v>1.0194273553088979</v>
      </c>
      <c r="QW33" s="363">
        <f t="shared" ca="1" si="375"/>
        <v>0.89966030784034412</v>
      </c>
      <c r="QX33" s="363">
        <f t="shared" ca="1" si="375"/>
        <v>1.0388021101310747</v>
      </c>
      <c r="QY33" s="363">
        <f t="shared" ca="1" si="375"/>
        <v>0.91757879535848119</v>
      </c>
      <c r="QZ33" s="363">
        <f t="shared" ca="1" si="375"/>
        <v>0.98822569131346538</v>
      </c>
      <c r="RA33" s="363">
        <f t="shared" ca="1" si="375"/>
        <v>0.94639458159762946</v>
      </c>
      <c r="RB33" s="363">
        <f t="shared" ca="1" si="375"/>
        <v>1.0281385151824396</v>
      </c>
      <c r="RC33" s="363">
        <f t="shared" ca="1" si="375"/>
        <v>0.93106003275454197</v>
      </c>
      <c r="RD33" s="363">
        <f t="shared" ca="1" si="375"/>
        <v>1.036244249939257</v>
      </c>
      <c r="RE33" s="363">
        <f t="shared" ca="1" si="375"/>
        <v>1.1264556189349735</v>
      </c>
      <c r="RF33" s="363">
        <f t="shared" ca="1" si="375"/>
        <v>0.87747855049375634</v>
      </c>
      <c r="RG33" s="363">
        <f t="shared" ca="1" si="375"/>
        <v>1.037910089502555</v>
      </c>
      <c r="RH33" s="363">
        <f t="shared" ca="1" si="375"/>
        <v>1.0846380377159335</v>
      </c>
      <c r="RI33" s="363">
        <f t="shared" ca="1" si="375"/>
        <v>0.99981201779736351</v>
      </c>
      <c r="RJ33" s="363">
        <f t="shared" ref="RJ33:SR33" ca="1" si="376">_xlfn.LOGNORM.INV(RAND(),$I$33,$J$33)</f>
        <v>1.0623511859648982</v>
      </c>
      <c r="RK33" s="363">
        <f t="shared" ca="1" si="376"/>
        <v>1.0265648519649115</v>
      </c>
      <c r="RL33" s="363">
        <f t="shared" ca="1" si="376"/>
        <v>1.0068782413212092</v>
      </c>
      <c r="RM33" s="363">
        <f t="shared" ca="1" si="376"/>
        <v>1.0062811189443761</v>
      </c>
      <c r="RN33" s="363">
        <f t="shared" ca="1" si="376"/>
        <v>0.94446447071999418</v>
      </c>
      <c r="RO33" s="363">
        <f t="shared" ca="1" si="376"/>
        <v>0.9519413992659258</v>
      </c>
      <c r="RP33" s="363">
        <f t="shared" ca="1" si="376"/>
        <v>1.0695505859458749</v>
      </c>
      <c r="RQ33" s="363">
        <f t="shared" ca="1" si="376"/>
        <v>0.97799169031383415</v>
      </c>
      <c r="RR33" s="363">
        <f t="shared" ca="1" si="376"/>
        <v>1.0114553281946226</v>
      </c>
      <c r="RS33" s="363">
        <f t="shared" ca="1" si="376"/>
        <v>1.0459215871727148</v>
      </c>
      <c r="RT33" s="363">
        <f t="shared" ca="1" si="376"/>
        <v>1.0266256045701518</v>
      </c>
      <c r="RU33" s="363">
        <f t="shared" ca="1" si="376"/>
        <v>0.88552201722664481</v>
      </c>
      <c r="RV33" s="363">
        <f t="shared" ca="1" si="376"/>
        <v>0.87409273434056245</v>
      </c>
      <c r="RW33" s="363">
        <f t="shared" ca="1" si="376"/>
        <v>1.0836555623440089</v>
      </c>
      <c r="RX33" s="363">
        <f t="shared" ca="1" si="376"/>
        <v>0.92537090152164414</v>
      </c>
      <c r="RY33" s="363">
        <f t="shared" ca="1" si="376"/>
        <v>1.0118793585897508</v>
      </c>
      <c r="RZ33" s="363">
        <f t="shared" ca="1" si="376"/>
        <v>0.99627715857458532</v>
      </c>
      <c r="SA33" s="363">
        <f t="shared" ca="1" si="376"/>
        <v>0.92366573050535605</v>
      </c>
      <c r="SB33" s="363">
        <f t="shared" ca="1" si="376"/>
        <v>0.96270797903642813</v>
      </c>
      <c r="SC33" s="363">
        <f t="shared" ca="1" si="376"/>
        <v>0.98561111844818117</v>
      </c>
      <c r="SD33" s="363">
        <f t="shared" ca="1" si="376"/>
        <v>0.8862232968716911</v>
      </c>
      <c r="SE33" s="363">
        <f t="shared" ca="1" si="376"/>
        <v>1.053938699025692</v>
      </c>
      <c r="SF33" s="363">
        <f t="shared" ca="1" si="376"/>
        <v>1.132166627033435</v>
      </c>
      <c r="SG33" s="363">
        <f t="shared" ca="1" si="376"/>
        <v>0.99912773759055451</v>
      </c>
      <c r="SH33" s="363">
        <f t="shared" ca="1" si="376"/>
        <v>0.91811289865454282</v>
      </c>
      <c r="SI33" s="363">
        <f t="shared" ca="1" si="376"/>
        <v>0.97352401273353917</v>
      </c>
      <c r="SJ33" s="363">
        <f t="shared" ca="1" si="376"/>
        <v>0.95225936344118622</v>
      </c>
      <c r="SK33" s="363">
        <f t="shared" ca="1" si="376"/>
        <v>0.89925970672526967</v>
      </c>
      <c r="SL33" s="363">
        <f t="shared" ca="1" si="376"/>
        <v>0.96920258095642875</v>
      </c>
      <c r="SM33" s="363">
        <f t="shared" ca="1" si="376"/>
        <v>0.95665002523095699</v>
      </c>
      <c r="SN33" s="363">
        <f t="shared" ca="1" si="376"/>
        <v>1.1421381607028516</v>
      </c>
      <c r="SO33" s="363">
        <f t="shared" ca="1" si="376"/>
        <v>1.0046851048508638</v>
      </c>
      <c r="SP33" s="363">
        <f t="shared" ca="1" si="376"/>
        <v>1.1059894050601045</v>
      </c>
      <c r="SQ33" s="363">
        <f t="shared" ca="1" si="376"/>
        <v>1.0308655797449022</v>
      </c>
      <c r="SR33" s="363">
        <f t="shared" ca="1" si="376"/>
        <v>0.87875313693321355</v>
      </c>
      <c r="SS33" s="363">
        <f ca="1">_xlfn.LOGNORM.INV(RAND(),$I$33,$J$33)</f>
        <v>1.0700811544851545</v>
      </c>
      <c r="ST33" s="363">
        <f t="shared" ref="ST33:VE33" ca="1" si="377">_xlfn.LOGNORM.INV(RAND(),$I$33,$J$33)</f>
        <v>1.0424996828261355</v>
      </c>
      <c r="SU33" s="363">
        <f t="shared" ca="1" si="377"/>
        <v>0.9490021287206013</v>
      </c>
      <c r="SV33" s="363">
        <f t="shared" ca="1" si="377"/>
        <v>1.1283120181106765</v>
      </c>
      <c r="SW33" s="363">
        <f t="shared" ca="1" si="377"/>
        <v>0.883696766475494</v>
      </c>
      <c r="SX33" s="363">
        <f t="shared" ca="1" si="377"/>
        <v>0.99940840826673627</v>
      </c>
      <c r="SY33" s="363">
        <f t="shared" ca="1" si="377"/>
        <v>1.0289969091202069</v>
      </c>
      <c r="SZ33" s="363">
        <f t="shared" ca="1" si="377"/>
        <v>1.0142368833864244</v>
      </c>
      <c r="TA33" s="363">
        <f t="shared" ca="1" si="377"/>
        <v>1.0210944139651361</v>
      </c>
      <c r="TB33" s="363">
        <f t="shared" ca="1" si="377"/>
        <v>1.0220253588185593</v>
      </c>
      <c r="TC33" s="363">
        <f t="shared" ca="1" si="377"/>
        <v>0.98611240233157271</v>
      </c>
      <c r="TD33" s="363">
        <f t="shared" ca="1" si="377"/>
        <v>0.92050366854758858</v>
      </c>
      <c r="TE33" s="363">
        <f t="shared" ca="1" si="377"/>
        <v>1.0371928570733595</v>
      </c>
      <c r="TF33" s="363">
        <f t="shared" ca="1" si="377"/>
        <v>0.98412203662340647</v>
      </c>
      <c r="TG33" s="363">
        <f t="shared" ca="1" si="377"/>
        <v>0.97743968031572892</v>
      </c>
      <c r="TH33" s="363">
        <f t="shared" ca="1" si="377"/>
        <v>0.94859352488607784</v>
      </c>
      <c r="TI33" s="363">
        <f t="shared" ca="1" si="377"/>
        <v>0.97385704376041093</v>
      </c>
      <c r="TJ33" s="363">
        <f t="shared" ca="1" si="377"/>
        <v>1.0088031554704837</v>
      </c>
      <c r="TK33" s="363">
        <f t="shared" ca="1" si="377"/>
        <v>0.96697795017846533</v>
      </c>
      <c r="TL33" s="363">
        <f t="shared" ca="1" si="377"/>
        <v>0.86499394556906217</v>
      </c>
      <c r="TM33" s="363">
        <f t="shared" ca="1" si="377"/>
        <v>1.0638332213317732</v>
      </c>
      <c r="TN33" s="363">
        <f t="shared" ca="1" si="377"/>
        <v>1.1185584148867489</v>
      </c>
      <c r="TO33" s="363">
        <f t="shared" ca="1" si="377"/>
        <v>1.0171346409467754</v>
      </c>
      <c r="TP33" s="363">
        <f t="shared" ca="1" si="377"/>
        <v>1.1138078008686823</v>
      </c>
      <c r="TQ33" s="363">
        <f t="shared" ca="1" si="377"/>
        <v>0.82994249084409977</v>
      </c>
      <c r="TR33" s="363">
        <f t="shared" ca="1" si="377"/>
        <v>1.0798596470887654</v>
      </c>
      <c r="TS33" s="363">
        <f t="shared" ca="1" si="377"/>
        <v>1.0387537191737441</v>
      </c>
      <c r="TT33" s="363">
        <f t="shared" ca="1" si="377"/>
        <v>0.92817146180949905</v>
      </c>
      <c r="TU33" s="363">
        <f t="shared" ca="1" si="377"/>
        <v>0.89189573035339564</v>
      </c>
      <c r="TV33" s="363">
        <f t="shared" ca="1" si="377"/>
        <v>1.1362001083281019</v>
      </c>
      <c r="TW33" s="363">
        <f t="shared" ca="1" si="377"/>
        <v>1.1445788484159669</v>
      </c>
      <c r="TX33" s="363">
        <f t="shared" ca="1" si="377"/>
        <v>1.0462560171469273</v>
      </c>
      <c r="TY33" s="363">
        <f t="shared" ca="1" si="377"/>
        <v>0.90124029531074323</v>
      </c>
      <c r="TZ33" s="363">
        <f t="shared" ca="1" si="377"/>
        <v>0.87478806124881514</v>
      </c>
      <c r="UA33" s="363">
        <f t="shared" ca="1" si="377"/>
        <v>1.0072043277747402</v>
      </c>
      <c r="UB33" s="363">
        <f t="shared" ca="1" si="377"/>
        <v>1.0450067228126354</v>
      </c>
      <c r="UC33" s="363">
        <f t="shared" ca="1" si="377"/>
        <v>0.97365135056028518</v>
      </c>
      <c r="UD33" s="363">
        <f t="shared" ca="1" si="377"/>
        <v>0.9736536655879896</v>
      </c>
      <c r="UE33" s="363">
        <f t="shared" ca="1" si="377"/>
        <v>0.93096472033112976</v>
      </c>
      <c r="UF33" s="363">
        <f t="shared" ca="1" si="377"/>
        <v>0.99757906978468325</v>
      </c>
      <c r="UG33" s="363">
        <f t="shared" ca="1" si="377"/>
        <v>0.9724685467446289</v>
      </c>
      <c r="UH33" s="363">
        <f t="shared" ca="1" si="377"/>
        <v>0.89056635463395561</v>
      </c>
      <c r="UI33" s="363">
        <f t="shared" ca="1" si="377"/>
        <v>1.1131975900280915</v>
      </c>
      <c r="UJ33" s="363">
        <f t="shared" ca="1" si="377"/>
        <v>1.0395168219887578</v>
      </c>
      <c r="UK33" s="363">
        <f t="shared" ca="1" si="377"/>
        <v>0.94153566151956336</v>
      </c>
      <c r="UL33" s="363">
        <f t="shared" ca="1" si="377"/>
        <v>1.0322719633807338</v>
      </c>
      <c r="UM33" s="363">
        <f t="shared" ca="1" si="377"/>
        <v>0.97257836026613109</v>
      </c>
      <c r="UN33" s="363">
        <f t="shared" ca="1" si="377"/>
        <v>0.9992093330060271</v>
      </c>
      <c r="UO33" s="363">
        <f t="shared" ca="1" si="377"/>
        <v>1.0404090638024321</v>
      </c>
      <c r="UP33" s="363">
        <f t="shared" ca="1" si="377"/>
        <v>0.92441560621512142</v>
      </c>
      <c r="UQ33" s="363">
        <f t="shared" ca="1" si="377"/>
        <v>0.96218961599818265</v>
      </c>
      <c r="UR33" s="363">
        <f t="shared" ca="1" si="377"/>
        <v>0.99133687050782726</v>
      </c>
      <c r="US33" s="363">
        <f t="shared" ca="1" si="377"/>
        <v>0.91765828431676166</v>
      </c>
      <c r="UT33" s="363">
        <f t="shared" ca="1" si="377"/>
        <v>0.95786983240265078</v>
      </c>
      <c r="UU33" s="363">
        <f t="shared" ca="1" si="377"/>
        <v>1.023763953133723</v>
      </c>
      <c r="UV33" s="363">
        <f t="shared" ca="1" si="377"/>
        <v>0.89250892658240177</v>
      </c>
      <c r="UW33" s="363">
        <f t="shared" ca="1" si="377"/>
        <v>0.90695656308380324</v>
      </c>
      <c r="UX33" s="363">
        <f t="shared" ca="1" si="377"/>
        <v>0.95464972405879145</v>
      </c>
      <c r="UY33" s="363">
        <f t="shared" ca="1" si="377"/>
        <v>1.1373530994706764</v>
      </c>
      <c r="UZ33" s="363">
        <f t="shared" ca="1" si="377"/>
        <v>1.224576980609027</v>
      </c>
      <c r="VA33" s="363">
        <f t="shared" ca="1" si="377"/>
        <v>0.9773554236000801</v>
      </c>
      <c r="VB33" s="363">
        <f t="shared" ca="1" si="377"/>
        <v>0.98864910715931664</v>
      </c>
      <c r="VC33" s="363">
        <f t="shared" ca="1" si="377"/>
        <v>0.81879347637229671</v>
      </c>
      <c r="VD33" s="363">
        <f t="shared" ca="1" si="377"/>
        <v>1.0584586029433054</v>
      </c>
      <c r="VE33" s="363">
        <f t="shared" ca="1" si="377"/>
        <v>0.91865983854732958</v>
      </c>
      <c r="VF33" s="363">
        <f t="shared" ref="VF33:WN33" ca="1" si="378">_xlfn.LOGNORM.INV(RAND(),$I$33,$J$33)</f>
        <v>1.0061779137188696</v>
      </c>
      <c r="VG33" s="363">
        <f t="shared" ca="1" si="378"/>
        <v>1.0737509900059248</v>
      </c>
      <c r="VH33" s="363">
        <f t="shared" ca="1" si="378"/>
        <v>1.0108407141386633</v>
      </c>
      <c r="VI33" s="363">
        <f t="shared" ca="1" si="378"/>
        <v>1.0604633603513374</v>
      </c>
      <c r="VJ33" s="363">
        <f t="shared" ca="1" si="378"/>
        <v>1.0512015623337541</v>
      </c>
      <c r="VK33" s="363">
        <f t="shared" ca="1" si="378"/>
        <v>0.97289864089085776</v>
      </c>
      <c r="VL33" s="363">
        <f t="shared" ca="1" si="378"/>
        <v>1.0038971795191056</v>
      </c>
      <c r="VM33" s="363">
        <f t="shared" ca="1" si="378"/>
        <v>0.92972161910910767</v>
      </c>
      <c r="VN33" s="363">
        <f t="shared" ca="1" si="378"/>
        <v>0.95547636343751896</v>
      </c>
      <c r="VO33" s="363">
        <f t="shared" ca="1" si="378"/>
        <v>0.97768379165662234</v>
      </c>
      <c r="VP33" s="363">
        <f t="shared" ca="1" si="378"/>
        <v>0.96308102236499371</v>
      </c>
      <c r="VQ33" s="363">
        <f t="shared" ca="1" si="378"/>
        <v>0.94931346206538747</v>
      </c>
      <c r="VR33" s="363">
        <f t="shared" ca="1" si="378"/>
        <v>1.0205849497405206</v>
      </c>
      <c r="VS33" s="363">
        <f t="shared" ca="1" si="378"/>
        <v>0.90027295678037689</v>
      </c>
      <c r="VT33" s="363">
        <f t="shared" ca="1" si="378"/>
        <v>1.0801184740643832</v>
      </c>
      <c r="VU33" s="363">
        <f t="shared" ca="1" si="378"/>
        <v>0.99796295614652397</v>
      </c>
      <c r="VV33" s="363">
        <f t="shared" ca="1" si="378"/>
        <v>0.92553022043298305</v>
      </c>
      <c r="VW33" s="363">
        <f t="shared" ca="1" si="378"/>
        <v>1.1320349062954291</v>
      </c>
      <c r="VX33" s="363">
        <f t="shared" ca="1" si="378"/>
        <v>1.0410514227111696</v>
      </c>
      <c r="VY33" s="363">
        <f t="shared" ca="1" si="378"/>
        <v>1.119304129024713</v>
      </c>
      <c r="VZ33" s="363">
        <f t="shared" ca="1" si="378"/>
        <v>0.98206066951198434</v>
      </c>
      <c r="WA33" s="363">
        <f t="shared" ca="1" si="378"/>
        <v>1.0398932621318018</v>
      </c>
      <c r="WB33" s="363">
        <f t="shared" ca="1" si="378"/>
        <v>0.98904049074699585</v>
      </c>
      <c r="WC33" s="363">
        <f t="shared" ca="1" si="378"/>
        <v>0.94504360261726061</v>
      </c>
      <c r="WD33" s="363">
        <f t="shared" ca="1" si="378"/>
        <v>0.99076692595734084</v>
      </c>
      <c r="WE33" s="363">
        <f t="shared" ca="1" si="378"/>
        <v>0.80197467698893721</v>
      </c>
      <c r="WF33" s="363">
        <f t="shared" ca="1" si="378"/>
        <v>0.95582603896950458</v>
      </c>
      <c r="WG33" s="363">
        <f t="shared" ca="1" si="378"/>
        <v>1.0430732102713951</v>
      </c>
      <c r="WH33" s="363">
        <f t="shared" ca="1" si="378"/>
        <v>1.0650394242430115</v>
      </c>
      <c r="WI33" s="363">
        <f t="shared" ca="1" si="378"/>
        <v>1.0475965854238891</v>
      </c>
      <c r="WJ33" s="363">
        <f t="shared" ca="1" si="378"/>
        <v>0.9995071941181487</v>
      </c>
      <c r="WK33" s="363">
        <f t="shared" ca="1" si="378"/>
        <v>0.99302997007730098</v>
      </c>
      <c r="WL33" s="363">
        <f t="shared" ca="1" si="378"/>
        <v>1.0036833198195909</v>
      </c>
      <c r="WM33" s="363">
        <f t="shared" ca="1" si="378"/>
        <v>0.96121664553437558</v>
      </c>
      <c r="WN33" s="363">
        <f t="shared" ca="1" si="378"/>
        <v>1.1091679734122608</v>
      </c>
    </row>
    <row r="34" spans="2:612" x14ac:dyDescent="0.15">
      <c r="B34" s="469" t="s">
        <v>1067</v>
      </c>
      <c r="D34" s="363">
        <f t="shared" si="0"/>
        <v>7.85E-2</v>
      </c>
      <c r="F34" s="363">
        <v>7.85E-2</v>
      </c>
      <c r="G34" s="367">
        <v>4387</v>
      </c>
      <c r="H34" s="363" t="s">
        <v>350</v>
      </c>
      <c r="I34" s="438">
        <f>F34*G34</f>
        <v>344.37950000000001</v>
      </c>
      <c r="J34" s="438">
        <f>G34-I34</f>
        <v>4042.6205</v>
      </c>
      <c r="K34" s="367" t="s">
        <v>1273</v>
      </c>
      <c r="M34" s="363">
        <f ca="1">_xlfn.BETA.INV(RAND(),$I$34,$J$34)</f>
        <v>7.2952743677359946E-2</v>
      </c>
      <c r="N34" s="363">
        <f t="shared" ref="N34:BY34" ca="1" si="379">_xlfn.BETA.INV(RAND(),$I$34,$J$34)</f>
        <v>8.6613406136241022E-2</v>
      </c>
      <c r="O34" s="363">
        <f t="shared" ca="1" si="379"/>
        <v>7.356563003473568E-2</v>
      </c>
      <c r="P34" s="363">
        <f t="shared" ca="1" si="379"/>
        <v>7.4699292913082235E-2</v>
      </c>
      <c r="Q34" s="363">
        <f t="shared" ca="1" si="379"/>
        <v>7.8923749398049692E-2</v>
      </c>
      <c r="R34" s="363">
        <f t="shared" ca="1" si="379"/>
        <v>7.6025999002599681E-2</v>
      </c>
      <c r="S34" s="363">
        <f t="shared" ca="1" si="379"/>
        <v>7.841381219637604E-2</v>
      </c>
      <c r="T34" s="363">
        <f t="shared" ca="1" si="379"/>
        <v>7.6058055970090382E-2</v>
      </c>
      <c r="U34" s="363">
        <f t="shared" ca="1" si="379"/>
        <v>8.3157531675091878E-2</v>
      </c>
      <c r="V34" s="363">
        <f t="shared" ca="1" si="379"/>
        <v>7.6434515199828718E-2</v>
      </c>
      <c r="W34" s="363">
        <f t="shared" ca="1" si="379"/>
        <v>8.1349062753640955E-2</v>
      </c>
      <c r="X34" s="363">
        <f t="shared" ca="1" si="379"/>
        <v>8.2101096545959651E-2</v>
      </c>
      <c r="Y34" s="363">
        <f t="shared" ca="1" si="379"/>
        <v>8.1120787048055587E-2</v>
      </c>
      <c r="Z34" s="363">
        <f t="shared" ca="1" si="379"/>
        <v>7.8572951357089971E-2</v>
      </c>
      <c r="AA34" s="363">
        <f t="shared" ca="1" si="379"/>
        <v>7.6927382247473752E-2</v>
      </c>
      <c r="AB34" s="363">
        <f t="shared" ca="1" si="379"/>
        <v>7.3782722823629493E-2</v>
      </c>
      <c r="AC34" s="363">
        <f t="shared" ca="1" si="379"/>
        <v>7.4813495645409248E-2</v>
      </c>
      <c r="AD34" s="363">
        <f t="shared" ca="1" si="379"/>
        <v>8.0377780002515609E-2</v>
      </c>
      <c r="AE34" s="363">
        <f t="shared" ca="1" si="379"/>
        <v>7.6687083073191303E-2</v>
      </c>
      <c r="AF34" s="363">
        <f t="shared" ca="1" si="379"/>
        <v>7.8790671748935948E-2</v>
      </c>
      <c r="AG34" s="363">
        <f t="shared" ca="1" si="379"/>
        <v>8.1280616508398684E-2</v>
      </c>
      <c r="AH34" s="363">
        <f t="shared" ca="1" si="379"/>
        <v>7.8152509043147522E-2</v>
      </c>
      <c r="AI34" s="363">
        <f t="shared" ca="1" si="379"/>
        <v>8.0942384498933206E-2</v>
      </c>
      <c r="AJ34" s="363">
        <f t="shared" ca="1" si="379"/>
        <v>7.5693694487617993E-2</v>
      </c>
      <c r="AK34" s="363">
        <f t="shared" ca="1" si="379"/>
        <v>7.7074849215849728E-2</v>
      </c>
      <c r="AL34" s="363">
        <f t="shared" ca="1" si="379"/>
        <v>8.3685067712249372E-2</v>
      </c>
      <c r="AM34" s="363">
        <f t="shared" ca="1" si="379"/>
        <v>7.7228293002346723E-2</v>
      </c>
      <c r="AN34" s="363">
        <f t="shared" ca="1" si="379"/>
        <v>8.022798124165853E-2</v>
      </c>
      <c r="AO34" s="363">
        <f t="shared" ca="1" si="379"/>
        <v>7.316884163642727E-2</v>
      </c>
      <c r="AP34" s="363">
        <f t="shared" ca="1" si="379"/>
        <v>8.2664864289741069E-2</v>
      </c>
      <c r="AQ34" s="363">
        <f t="shared" ca="1" si="379"/>
        <v>8.4559670171983625E-2</v>
      </c>
      <c r="AR34" s="363">
        <f t="shared" ca="1" si="379"/>
        <v>7.8696088375325823E-2</v>
      </c>
      <c r="AS34" s="363">
        <f t="shared" ca="1" si="379"/>
        <v>7.3873104088298294E-2</v>
      </c>
      <c r="AT34" s="363">
        <f t="shared" ca="1" si="379"/>
        <v>7.7667569839563605E-2</v>
      </c>
      <c r="AU34" s="363">
        <f t="shared" ca="1" si="379"/>
        <v>8.2340887463736467E-2</v>
      </c>
      <c r="AV34" s="363">
        <f t="shared" ca="1" si="379"/>
        <v>7.9968890453963049E-2</v>
      </c>
      <c r="AW34" s="363">
        <f t="shared" ca="1" si="379"/>
        <v>8.0245375088133342E-2</v>
      </c>
      <c r="AX34" s="363">
        <f t="shared" ca="1" si="379"/>
        <v>8.064980102950936E-2</v>
      </c>
      <c r="AY34" s="363">
        <f t="shared" ca="1" si="379"/>
        <v>7.870161956765942E-2</v>
      </c>
      <c r="AZ34" s="363">
        <f t="shared" ca="1" si="379"/>
        <v>8.3923972987181461E-2</v>
      </c>
      <c r="BA34" s="363">
        <f t="shared" ca="1" si="379"/>
        <v>7.7357849949389171E-2</v>
      </c>
      <c r="BB34" s="363">
        <f t="shared" ca="1" si="379"/>
        <v>7.9308647541578847E-2</v>
      </c>
      <c r="BC34" s="363">
        <f t="shared" ca="1" si="379"/>
        <v>8.2483801484439345E-2</v>
      </c>
      <c r="BD34" s="363">
        <f t="shared" ca="1" si="379"/>
        <v>7.9681344932145626E-2</v>
      </c>
      <c r="BE34" s="363">
        <f t="shared" ca="1" si="379"/>
        <v>6.9626468921065721E-2</v>
      </c>
      <c r="BF34" s="363">
        <f t="shared" ca="1" si="379"/>
        <v>8.270947701243625E-2</v>
      </c>
      <c r="BG34" s="363">
        <f t="shared" ca="1" si="379"/>
        <v>7.817877110831023E-2</v>
      </c>
      <c r="BH34" s="363">
        <f t="shared" ca="1" si="379"/>
        <v>8.2315884102771575E-2</v>
      </c>
      <c r="BI34" s="363">
        <f t="shared" ca="1" si="379"/>
        <v>8.3185258131695305E-2</v>
      </c>
      <c r="BJ34" s="363">
        <f t="shared" ca="1" si="379"/>
        <v>8.2078261442316114E-2</v>
      </c>
      <c r="BK34" s="363">
        <f t="shared" ca="1" si="379"/>
        <v>8.6665823708355183E-2</v>
      </c>
      <c r="BL34" s="363">
        <f t="shared" ca="1" si="379"/>
        <v>7.3841568176420361E-2</v>
      </c>
      <c r="BM34" s="363">
        <f t="shared" ca="1" si="379"/>
        <v>7.6844900424288945E-2</v>
      </c>
      <c r="BN34" s="363">
        <f t="shared" ca="1" si="379"/>
        <v>7.9173280438763372E-2</v>
      </c>
      <c r="BO34" s="363">
        <f t="shared" ca="1" si="379"/>
        <v>7.2616741726726011E-2</v>
      </c>
      <c r="BP34" s="363">
        <f t="shared" ca="1" si="379"/>
        <v>8.0084345989509087E-2</v>
      </c>
      <c r="BQ34" s="363">
        <f t="shared" ca="1" si="379"/>
        <v>8.0596496077369739E-2</v>
      </c>
      <c r="BR34" s="363">
        <f t="shared" ca="1" si="379"/>
        <v>7.7196413023769186E-2</v>
      </c>
      <c r="BS34" s="363">
        <f t="shared" ca="1" si="379"/>
        <v>7.6190948139685133E-2</v>
      </c>
      <c r="BT34" s="363">
        <f t="shared" ca="1" si="379"/>
        <v>7.4371647444130468E-2</v>
      </c>
      <c r="BU34" s="363">
        <f t="shared" ca="1" si="379"/>
        <v>7.4038029275692988E-2</v>
      </c>
      <c r="BV34" s="363">
        <f t="shared" ca="1" si="379"/>
        <v>7.227658166931443E-2</v>
      </c>
      <c r="BW34" s="363">
        <f t="shared" ca="1" si="379"/>
        <v>7.7734656575427427E-2</v>
      </c>
      <c r="BX34" s="363">
        <f t="shared" ca="1" si="379"/>
        <v>8.1376087213016035E-2</v>
      </c>
      <c r="BY34" s="363">
        <f t="shared" ca="1" si="379"/>
        <v>8.3597218694576481E-2</v>
      </c>
      <c r="BZ34" s="363">
        <f t="shared" ref="BZ34:DH34" ca="1" si="380">_xlfn.BETA.INV(RAND(),$I$34,$J$34)</f>
        <v>7.6757698825736728E-2</v>
      </c>
      <c r="CA34" s="363">
        <f t="shared" ca="1" si="380"/>
        <v>7.2933627092324135E-2</v>
      </c>
      <c r="CB34" s="363">
        <f t="shared" ca="1" si="380"/>
        <v>7.9979777234687632E-2</v>
      </c>
      <c r="CC34" s="363">
        <f t="shared" ca="1" si="380"/>
        <v>7.5388510047687027E-2</v>
      </c>
      <c r="CD34" s="363">
        <f t="shared" ca="1" si="380"/>
        <v>7.9982439453850085E-2</v>
      </c>
      <c r="CE34" s="363">
        <f t="shared" ca="1" si="380"/>
        <v>8.5361894137621741E-2</v>
      </c>
      <c r="CF34" s="363">
        <f t="shared" ca="1" si="380"/>
        <v>7.1037365606217484E-2</v>
      </c>
      <c r="CG34" s="363">
        <f t="shared" ca="1" si="380"/>
        <v>9.0105721863683486E-2</v>
      </c>
      <c r="CH34" s="363">
        <f t="shared" ca="1" si="380"/>
        <v>8.2623609584613122E-2</v>
      </c>
      <c r="CI34" s="363">
        <f t="shared" ca="1" si="380"/>
        <v>8.2272795983794333E-2</v>
      </c>
      <c r="CJ34" s="363">
        <f t="shared" ca="1" si="380"/>
        <v>7.7722028811695543E-2</v>
      </c>
      <c r="CK34" s="363">
        <f t="shared" ca="1" si="380"/>
        <v>8.3798639333340752E-2</v>
      </c>
      <c r="CL34" s="363">
        <f t="shared" ca="1" si="380"/>
        <v>7.3310879263880871E-2</v>
      </c>
      <c r="CM34" s="363">
        <f t="shared" ca="1" si="380"/>
        <v>7.6706553597179553E-2</v>
      </c>
      <c r="CN34" s="363">
        <f t="shared" ca="1" si="380"/>
        <v>7.593989177536499E-2</v>
      </c>
      <c r="CO34" s="363">
        <f t="shared" ca="1" si="380"/>
        <v>7.4715229551743631E-2</v>
      </c>
      <c r="CP34" s="363">
        <f t="shared" ca="1" si="380"/>
        <v>7.7718786764592276E-2</v>
      </c>
      <c r="CQ34" s="363">
        <f t="shared" ca="1" si="380"/>
        <v>8.1042741656906725E-2</v>
      </c>
      <c r="CR34" s="363">
        <f t="shared" ca="1" si="380"/>
        <v>8.1346790101284094E-2</v>
      </c>
      <c r="CS34" s="363">
        <f t="shared" ca="1" si="380"/>
        <v>7.524327119114832E-2</v>
      </c>
      <c r="CT34" s="363">
        <f t="shared" ca="1" si="380"/>
        <v>8.1519423618538478E-2</v>
      </c>
      <c r="CU34" s="363">
        <f t="shared" ca="1" si="380"/>
        <v>7.0224686118561433E-2</v>
      </c>
      <c r="CV34" s="363">
        <f t="shared" ca="1" si="380"/>
        <v>8.394582478130419E-2</v>
      </c>
      <c r="CW34" s="363">
        <f t="shared" ca="1" si="380"/>
        <v>8.5759042819258391E-2</v>
      </c>
      <c r="CX34" s="363">
        <f t="shared" ca="1" si="380"/>
        <v>7.0538486826147662E-2</v>
      </c>
      <c r="CY34" s="363">
        <f t="shared" ca="1" si="380"/>
        <v>7.4486781560744356E-2</v>
      </c>
      <c r="CZ34" s="363">
        <f t="shared" ca="1" si="380"/>
        <v>7.3800516648570721E-2</v>
      </c>
      <c r="DA34" s="363">
        <f t="shared" ca="1" si="380"/>
        <v>8.2809392890618394E-2</v>
      </c>
      <c r="DB34" s="363">
        <f t="shared" ca="1" si="380"/>
        <v>8.2640545511880492E-2</v>
      </c>
      <c r="DC34" s="363">
        <f t="shared" ca="1" si="380"/>
        <v>8.0417214385833158E-2</v>
      </c>
      <c r="DD34" s="363">
        <f t="shared" ca="1" si="380"/>
        <v>7.3535386679390941E-2</v>
      </c>
      <c r="DE34" s="363">
        <f t="shared" ca="1" si="380"/>
        <v>7.7477766917219609E-2</v>
      </c>
      <c r="DF34" s="363">
        <f t="shared" ca="1" si="380"/>
        <v>8.8709786598896057E-2</v>
      </c>
      <c r="DG34" s="363">
        <f t="shared" ca="1" si="380"/>
        <v>8.1136059002895555E-2</v>
      </c>
      <c r="DH34" s="363">
        <f t="shared" ca="1" si="380"/>
        <v>8.0930689352784135E-2</v>
      </c>
      <c r="DI34" s="363">
        <f ca="1">_xlfn.BETA.INV(RAND(),$I$34,$J$34)</f>
        <v>7.5619612006242107E-2</v>
      </c>
      <c r="DJ34" s="363">
        <f t="shared" ref="DJ34:FU34" ca="1" si="381">_xlfn.BETA.INV(RAND(),$I$34,$J$34)</f>
        <v>7.9368530947598548E-2</v>
      </c>
      <c r="DK34" s="363">
        <f t="shared" ca="1" si="381"/>
        <v>7.1970273441827229E-2</v>
      </c>
      <c r="DL34" s="363">
        <f t="shared" ca="1" si="381"/>
        <v>7.4125301595009505E-2</v>
      </c>
      <c r="DM34" s="363">
        <f t="shared" ca="1" si="381"/>
        <v>8.1290141386510584E-2</v>
      </c>
      <c r="DN34" s="363">
        <f t="shared" ca="1" si="381"/>
        <v>8.0247500009466233E-2</v>
      </c>
      <c r="DO34" s="363">
        <f t="shared" ca="1" si="381"/>
        <v>7.0277753470151333E-2</v>
      </c>
      <c r="DP34" s="363">
        <f t="shared" ca="1" si="381"/>
        <v>7.8693962603326506E-2</v>
      </c>
      <c r="DQ34" s="363">
        <f t="shared" ca="1" si="381"/>
        <v>8.4219561891875738E-2</v>
      </c>
      <c r="DR34" s="363">
        <f t="shared" ca="1" si="381"/>
        <v>7.6528588970644115E-2</v>
      </c>
      <c r="DS34" s="363">
        <f t="shared" ca="1" si="381"/>
        <v>8.1799078702510686E-2</v>
      </c>
      <c r="DT34" s="363">
        <f t="shared" ca="1" si="381"/>
        <v>8.0375615505362097E-2</v>
      </c>
      <c r="DU34" s="363">
        <f t="shared" ca="1" si="381"/>
        <v>8.4170352385858349E-2</v>
      </c>
      <c r="DV34" s="363">
        <f t="shared" ca="1" si="381"/>
        <v>6.7403825883369572E-2</v>
      </c>
      <c r="DW34" s="363">
        <f t="shared" ca="1" si="381"/>
        <v>8.0313721936519311E-2</v>
      </c>
      <c r="DX34" s="363">
        <f t="shared" ca="1" si="381"/>
        <v>7.7313096765711978E-2</v>
      </c>
      <c r="DY34" s="363">
        <f t="shared" ca="1" si="381"/>
        <v>8.182804525720655E-2</v>
      </c>
      <c r="DZ34" s="363">
        <f t="shared" ca="1" si="381"/>
        <v>7.9128200267318705E-2</v>
      </c>
      <c r="EA34" s="363">
        <f t="shared" ca="1" si="381"/>
        <v>7.8608376973825611E-2</v>
      </c>
      <c r="EB34" s="363">
        <f t="shared" ca="1" si="381"/>
        <v>8.0795348028848579E-2</v>
      </c>
      <c r="EC34" s="363">
        <f t="shared" ca="1" si="381"/>
        <v>8.371323339502923E-2</v>
      </c>
      <c r="ED34" s="363">
        <f t="shared" ca="1" si="381"/>
        <v>8.3877706606363955E-2</v>
      </c>
      <c r="EE34" s="363">
        <f t="shared" ca="1" si="381"/>
        <v>7.8377654095433402E-2</v>
      </c>
      <c r="EF34" s="363">
        <f t="shared" ca="1" si="381"/>
        <v>7.9426293708414253E-2</v>
      </c>
      <c r="EG34" s="363">
        <f t="shared" ca="1" si="381"/>
        <v>8.0592044635714566E-2</v>
      </c>
      <c r="EH34" s="363">
        <f t="shared" ca="1" si="381"/>
        <v>7.5823818866142936E-2</v>
      </c>
      <c r="EI34" s="363">
        <f t="shared" ca="1" si="381"/>
        <v>7.4360007470842218E-2</v>
      </c>
      <c r="EJ34" s="363">
        <f t="shared" ca="1" si="381"/>
        <v>8.7761685906141085E-2</v>
      </c>
      <c r="EK34" s="363">
        <f t="shared" ca="1" si="381"/>
        <v>8.3238563377982633E-2</v>
      </c>
      <c r="EL34" s="363">
        <f t="shared" ca="1" si="381"/>
        <v>7.4387257143625027E-2</v>
      </c>
      <c r="EM34" s="363">
        <f t="shared" ca="1" si="381"/>
        <v>7.5391455896070866E-2</v>
      </c>
      <c r="EN34" s="363">
        <f t="shared" ca="1" si="381"/>
        <v>7.8692098176104675E-2</v>
      </c>
      <c r="EO34" s="363">
        <f t="shared" ca="1" si="381"/>
        <v>7.3620713668255996E-2</v>
      </c>
      <c r="EP34" s="363">
        <f t="shared" ca="1" si="381"/>
        <v>7.3161203310429287E-2</v>
      </c>
      <c r="EQ34" s="363">
        <f t="shared" ca="1" si="381"/>
        <v>7.6475484072510841E-2</v>
      </c>
      <c r="ER34" s="363">
        <f t="shared" ca="1" si="381"/>
        <v>8.0957375367235684E-2</v>
      </c>
      <c r="ES34" s="363">
        <f t="shared" ca="1" si="381"/>
        <v>7.7512357641417021E-2</v>
      </c>
      <c r="ET34" s="363">
        <f t="shared" ca="1" si="381"/>
        <v>8.8346310480077461E-2</v>
      </c>
      <c r="EU34" s="363">
        <f t="shared" ca="1" si="381"/>
        <v>7.8995128247342117E-2</v>
      </c>
      <c r="EV34" s="363">
        <f t="shared" ca="1" si="381"/>
        <v>8.4749651330144338E-2</v>
      </c>
      <c r="EW34" s="363">
        <f t="shared" ca="1" si="381"/>
        <v>7.6009041078467995E-2</v>
      </c>
      <c r="EX34" s="363">
        <f t="shared" ca="1" si="381"/>
        <v>8.3907482004431211E-2</v>
      </c>
      <c r="EY34" s="363">
        <f t="shared" ca="1" si="381"/>
        <v>7.9508807027407813E-2</v>
      </c>
      <c r="EZ34" s="363">
        <f t="shared" ca="1" si="381"/>
        <v>8.0901489414951344E-2</v>
      </c>
      <c r="FA34" s="363">
        <f t="shared" ca="1" si="381"/>
        <v>7.6884061496776013E-2</v>
      </c>
      <c r="FB34" s="363">
        <f t="shared" ca="1" si="381"/>
        <v>7.4285430678588532E-2</v>
      </c>
      <c r="FC34" s="363">
        <f t="shared" ca="1" si="381"/>
        <v>8.1823006073558191E-2</v>
      </c>
      <c r="FD34" s="363">
        <f t="shared" ca="1" si="381"/>
        <v>7.974270875602707E-2</v>
      </c>
      <c r="FE34" s="363">
        <f t="shared" ca="1" si="381"/>
        <v>8.7071093422653845E-2</v>
      </c>
      <c r="FF34" s="363">
        <f t="shared" ca="1" si="381"/>
        <v>8.5173989275347362E-2</v>
      </c>
      <c r="FG34" s="363">
        <f t="shared" ca="1" si="381"/>
        <v>7.5658113060710339E-2</v>
      </c>
      <c r="FH34" s="363">
        <f t="shared" ca="1" si="381"/>
        <v>8.2411196285987587E-2</v>
      </c>
      <c r="FI34" s="363">
        <f t="shared" ca="1" si="381"/>
        <v>7.3948747582108357E-2</v>
      </c>
      <c r="FJ34" s="363">
        <f t="shared" ca="1" si="381"/>
        <v>7.7802405704698763E-2</v>
      </c>
      <c r="FK34" s="363">
        <f t="shared" ca="1" si="381"/>
        <v>8.5986662102939371E-2</v>
      </c>
      <c r="FL34" s="363">
        <f t="shared" ca="1" si="381"/>
        <v>7.8588339310070143E-2</v>
      </c>
      <c r="FM34" s="363">
        <f t="shared" ca="1" si="381"/>
        <v>8.0037951321279666E-2</v>
      </c>
      <c r="FN34" s="363">
        <f t="shared" ca="1" si="381"/>
        <v>7.6369588017441287E-2</v>
      </c>
      <c r="FO34" s="363">
        <f t="shared" ca="1" si="381"/>
        <v>7.3951292939863841E-2</v>
      </c>
      <c r="FP34" s="363">
        <f t="shared" ca="1" si="381"/>
        <v>7.8789728913019941E-2</v>
      </c>
      <c r="FQ34" s="363">
        <f t="shared" ca="1" si="381"/>
        <v>7.8832330131656581E-2</v>
      </c>
      <c r="FR34" s="363">
        <f t="shared" ca="1" si="381"/>
        <v>7.9738628171880266E-2</v>
      </c>
      <c r="FS34" s="363">
        <f t="shared" ca="1" si="381"/>
        <v>7.6985472643210484E-2</v>
      </c>
      <c r="FT34" s="363">
        <f t="shared" ca="1" si="381"/>
        <v>8.6484012734571292E-2</v>
      </c>
      <c r="FU34" s="363">
        <f t="shared" ca="1" si="381"/>
        <v>7.0917452859228403E-2</v>
      </c>
      <c r="FV34" s="363">
        <f t="shared" ref="FV34:HD34" ca="1" si="382">_xlfn.BETA.INV(RAND(),$I$34,$J$34)</f>
        <v>7.4256389187164873E-2</v>
      </c>
      <c r="FW34" s="363">
        <f t="shared" ca="1" si="382"/>
        <v>7.7701426146143254E-2</v>
      </c>
      <c r="FX34" s="363">
        <f t="shared" ca="1" si="382"/>
        <v>7.5647865444489537E-2</v>
      </c>
      <c r="FY34" s="363">
        <f t="shared" ca="1" si="382"/>
        <v>7.9265222915176903E-2</v>
      </c>
      <c r="FZ34" s="363">
        <f t="shared" ca="1" si="382"/>
        <v>7.4522189382286927E-2</v>
      </c>
      <c r="GA34" s="363">
        <f t="shared" ca="1" si="382"/>
        <v>8.3541107657765012E-2</v>
      </c>
      <c r="GB34" s="363">
        <f t="shared" ca="1" si="382"/>
        <v>7.8038151409423648E-2</v>
      </c>
      <c r="GC34" s="363">
        <f t="shared" ca="1" si="382"/>
        <v>7.4160856064201558E-2</v>
      </c>
      <c r="GD34" s="363">
        <f t="shared" ca="1" si="382"/>
        <v>7.6200755914127144E-2</v>
      </c>
      <c r="GE34" s="363">
        <f t="shared" ca="1" si="382"/>
        <v>8.0111864788539267E-2</v>
      </c>
      <c r="GF34" s="363">
        <f t="shared" ca="1" si="382"/>
        <v>7.5944889203706886E-2</v>
      </c>
      <c r="GG34" s="363">
        <f t="shared" ca="1" si="382"/>
        <v>8.2058392601752517E-2</v>
      </c>
      <c r="GH34" s="363">
        <f t="shared" ca="1" si="382"/>
        <v>8.9920947269060969E-2</v>
      </c>
      <c r="GI34" s="363">
        <f t="shared" ca="1" si="382"/>
        <v>7.4293286914657419E-2</v>
      </c>
      <c r="GJ34" s="363">
        <f t="shared" ca="1" si="382"/>
        <v>6.9034582032245495E-2</v>
      </c>
      <c r="GK34" s="363">
        <f t="shared" ca="1" si="382"/>
        <v>7.8611971533036562E-2</v>
      </c>
      <c r="GL34" s="363">
        <f t="shared" ca="1" si="382"/>
        <v>7.9989058978361061E-2</v>
      </c>
      <c r="GM34" s="363">
        <f t="shared" ca="1" si="382"/>
        <v>8.0831305449445279E-2</v>
      </c>
      <c r="GN34" s="363">
        <f t="shared" ca="1" si="382"/>
        <v>8.1176983338698272E-2</v>
      </c>
      <c r="GO34" s="363">
        <f t="shared" ca="1" si="382"/>
        <v>8.5699713072107886E-2</v>
      </c>
      <c r="GP34" s="363">
        <f t="shared" ca="1" si="382"/>
        <v>8.3438494091048088E-2</v>
      </c>
      <c r="GQ34" s="363">
        <f t="shared" ca="1" si="382"/>
        <v>7.8728245992124801E-2</v>
      </c>
      <c r="GR34" s="363">
        <f t="shared" ca="1" si="382"/>
        <v>7.9206651569224351E-2</v>
      </c>
      <c r="GS34" s="363">
        <f t="shared" ca="1" si="382"/>
        <v>7.583507731535713E-2</v>
      </c>
      <c r="GT34" s="363">
        <f t="shared" ca="1" si="382"/>
        <v>7.1472414435394302E-2</v>
      </c>
      <c r="GU34" s="363">
        <f t="shared" ca="1" si="382"/>
        <v>7.6235845861230361E-2</v>
      </c>
      <c r="GV34" s="363">
        <f t="shared" ca="1" si="382"/>
        <v>8.1792376483682094E-2</v>
      </c>
      <c r="GW34" s="363">
        <f t="shared" ca="1" si="382"/>
        <v>7.0959824060556287E-2</v>
      </c>
      <c r="GX34" s="363">
        <f t="shared" ca="1" si="382"/>
        <v>7.5418734920643299E-2</v>
      </c>
      <c r="GY34" s="363">
        <f t="shared" ca="1" si="382"/>
        <v>8.6999965673034807E-2</v>
      </c>
      <c r="GZ34" s="363">
        <f t="shared" ca="1" si="382"/>
        <v>7.3509924213729247E-2</v>
      </c>
      <c r="HA34" s="363">
        <f t="shared" ca="1" si="382"/>
        <v>7.5701547865720364E-2</v>
      </c>
      <c r="HB34" s="363">
        <f t="shared" ca="1" si="382"/>
        <v>7.6687615380125515E-2</v>
      </c>
      <c r="HC34" s="363">
        <f t="shared" ca="1" si="382"/>
        <v>7.8144540224946671E-2</v>
      </c>
      <c r="HD34" s="363">
        <f t="shared" ca="1" si="382"/>
        <v>7.6405419155057538E-2</v>
      </c>
      <c r="HE34" s="363">
        <f ca="1">_xlfn.BETA.INV(RAND(),$I$34,$J$34)</f>
        <v>7.5481872450114645E-2</v>
      </c>
      <c r="HF34" s="363">
        <f t="shared" ref="HF34:JQ34" ca="1" si="383">_xlfn.BETA.INV(RAND(),$I$34,$J$34)</f>
        <v>7.1981321905355569E-2</v>
      </c>
      <c r="HG34" s="363">
        <f t="shared" ca="1" si="383"/>
        <v>7.8776685674248892E-2</v>
      </c>
      <c r="HH34" s="363">
        <f t="shared" ca="1" si="383"/>
        <v>7.8601908496362394E-2</v>
      </c>
      <c r="HI34" s="363">
        <f t="shared" ca="1" si="383"/>
        <v>7.9320021588949352E-2</v>
      </c>
      <c r="HJ34" s="363">
        <f t="shared" ca="1" si="383"/>
        <v>8.1750828663741171E-2</v>
      </c>
      <c r="HK34" s="363">
        <f t="shared" ca="1" si="383"/>
        <v>8.0212437017779581E-2</v>
      </c>
      <c r="HL34" s="363">
        <f t="shared" ca="1" si="383"/>
        <v>7.929570415871956E-2</v>
      </c>
      <c r="HM34" s="363">
        <f t="shared" ca="1" si="383"/>
        <v>8.3875094524726523E-2</v>
      </c>
      <c r="HN34" s="363">
        <f t="shared" ca="1" si="383"/>
        <v>7.75780831848987E-2</v>
      </c>
      <c r="HO34" s="363">
        <f t="shared" ca="1" si="383"/>
        <v>7.9863977881051706E-2</v>
      </c>
      <c r="HP34" s="363">
        <f t="shared" ca="1" si="383"/>
        <v>8.0970355657810078E-2</v>
      </c>
      <c r="HQ34" s="363">
        <f t="shared" ca="1" si="383"/>
        <v>7.8627614388961709E-2</v>
      </c>
      <c r="HR34" s="363">
        <f t="shared" ca="1" si="383"/>
        <v>7.4715960706054713E-2</v>
      </c>
      <c r="HS34" s="363">
        <f t="shared" ca="1" si="383"/>
        <v>7.9815070518292952E-2</v>
      </c>
      <c r="HT34" s="363">
        <f t="shared" ca="1" si="383"/>
        <v>7.22959686594081E-2</v>
      </c>
      <c r="HU34" s="363">
        <f t="shared" ca="1" si="383"/>
        <v>7.4334895218178598E-2</v>
      </c>
      <c r="HV34" s="363">
        <f t="shared" ca="1" si="383"/>
        <v>8.4564910394707038E-2</v>
      </c>
      <c r="HW34" s="363">
        <f t="shared" ca="1" si="383"/>
        <v>8.239480901558105E-2</v>
      </c>
      <c r="HX34" s="363">
        <f t="shared" ca="1" si="383"/>
        <v>8.0161777521254973E-2</v>
      </c>
      <c r="HY34" s="363">
        <f t="shared" ca="1" si="383"/>
        <v>7.9577978587309306E-2</v>
      </c>
      <c r="HZ34" s="363">
        <f t="shared" ca="1" si="383"/>
        <v>7.8773870589654904E-2</v>
      </c>
      <c r="IA34" s="363">
        <f t="shared" ca="1" si="383"/>
        <v>8.4725684405046797E-2</v>
      </c>
      <c r="IB34" s="363">
        <f t="shared" ca="1" si="383"/>
        <v>8.1886683960417428E-2</v>
      </c>
      <c r="IC34" s="363">
        <f t="shared" ca="1" si="383"/>
        <v>8.1604874618767531E-2</v>
      </c>
      <c r="ID34" s="363">
        <f t="shared" ca="1" si="383"/>
        <v>7.5589704048194428E-2</v>
      </c>
      <c r="IE34" s="363">
        <f t="shared" ca="1" si="383"/>
        <v>8.1605130280745453E-2</v>
      </c>
      <c r="IF34" s="363">
        <f t="shared" ca="1" si="383"/>
        <v>7.7393286205653916E-2</v>
      </c>
      <c r="IG34" s="363">
        <f t="shared" ca="1" si="383"/>
        <v>7.555287174000655E-2</v>
      </c>
      <c r="IH34" s="363">
        <f t="shared" ca="1" si="383"/>
        <v>8.0571196724292915E-2</v>
      </c>
      <c r="II34" s="363">
        <f t="shared" ca="1" si="383"/>
        <v>7.5348950109552837E-2</v>
      </c>
      <c r="IJ34" s="363">
        <f t="shared" ca="1" si="383"/>
        <v>7.6457228252853005E-2</v>
      </c>
      <c r="IK34" s="363">
        <f t="shared" ca="1" si="383"/>
        <v>8.3495772181497507E-2</v>
      </c>
      <c r="IL34" s="363">
        <f t="shared" ca="1" si="383"/>
        <v>7.2366023976447993E-2</v>
      </c>
      <c r="IM34" s="363">
        <f t="shared" ca="1" si="383"/>
        <v>7.862054445073352E-2</v>
      </c>
      <c r="IN34" s="363">
        <f t="shared" ca="1" si="383"/>
        <v>8.3494006609511784E-2</v>
      </c>
      <c r="IO34" s="363">
        <f t="shared" ca="1" si="383"/>
        <v>8.1576446806178593E-2</v>
      </c>
      <c r="IP34" s="363">
        <f t="shared" ca="1" si="383"/>
        <v>7.9028600195199417E-2</v>
      </c>
      <c r="IQ34" s="363">
        <f t="shared" ca="1" si="383"/>
        <v>8.1087983839193467E-2</v>
      </c>
      <c r="IR34" s="363">
        <f t="shared" ca="1" si="383"/>
        <v>8.5292138501835146E-2</v>
      </c>
      <c r="IS34" s="363">
        <f t="shared" ca="1" si="383"/>
        <v>7.468194840217357E-2</v>
      </c>
      <c r="IT34" s="363">
        <f t="shared" ca="1" si="383"/>
        <v>7.0417794778582107E-2</v>
      </c>
      <c r="IU34" s="363">
        <f t="shared" ca="1" si="383"/>
        <v>7.2287380466274143E-2</v>
      </c>
      <c r="IV34" s="363">
        <f t="shared" ca="1" si="383"/>
        <v>7.6107758650073493E-2</v>
      </c>
      <c r="IW34" s="363">
        <f t="shared" ca="1" si="383"/>
        <v>7.3959868918426791E-2</v>
      </c>
      <c r="IX34" s="363">
        <f t="shared" ca="1" si="383"/>
        <v>9.6189058600270383E-2</v>
      </c>
      <c r="IY34" s="363">
        <f t="shared" ca="1" si="383"/>
        <v>7.1604220492297407E-2</v>
      </c>
      <c r="IZ34" s="363">
        <f t="shared" ca="1" si="383"/>
        <v>6.9015927708934013E-2</v>
      </c>
      <c r="JA34" s="363">
        <f t="shared" ca="1" si="383"/>
        <v>8.0319079886865041E-2</v>
      </c>
      <c r="JB34" s="363">
        <f t="shared" ca="1" si="383"/>
        <v>7.066354862814947E-2</v>
      </c>
      <c r="JC34" s="363">
        <f t="shared" ca="1" si="383"/>
        <v>7.456522197808016E-2</v>
      </c>
      <c r="JD34" s="363">
        <f t="shared" ca="1" si="383"/>
        <v>7.9230548765576669E-2</v>
      </c>
      <c r="JE34" s="363">
        <f t="shared" ca="1" si="383"/>
        <v>7.4614712578957673E-2</v>
      </c>
      <c r="JF34" s="363">
        <f t="shared" ca="1" si="383"/>
        <v>8.0780456609403806E-2</v>
      </c>
      <c r="JG34" s="363">
        <f t="shared" ca="1" si="383"/>
        <v>7.5704755816762559E-2</v>
      </c>
      <c r="JH34" s="363">
        <f t="shared" ca="1" si="383"/>
        <v>7.2149887905658822E-2</v>
      </c>
      <c r="JI34" s="363">
        <f t="shared" ca="1" si="383"/>
        <v>8.1515916022412704E-2</v>
      </c>
      <c r="JJ34" s="363">
        <f t="shared" ca="1" si="383"/>
        <v>8.3361800886180282E-2</v>
      </c>
      <c r="JK34" s="363">
        <f t="shared" ca="1" si="383"/>
        <v>7.2552423196916391E-2</v>
      </c>
      <c r="JL34" s="363">
        <f t="shared" ca="1" si="383"/>
        <v>7.6391311024024952E-2</v>
      </c>
      <c r="JM34" s="363">
        <f t="shared" ca="1" si="383"/>
        <v>8.6037453974471378E-2</v>
      </c>
      <c r="JN34" s="363">
        <f t="shared" ca="1" si="383"/>
        <v>8.2330534553759938E-2</v>
      </c>
      <c r="JO34" s="363">
        <f t="shared" ca="1" si="383"/>
        <v>8.0101161384511066E-2</v>
      </c>
      <c r="JP34" s="363">
        <f t="shared" ca="1" si="383"/>
        <v>8.3000535658988017E-2</v>
      </c>
      <c r="JQ34" s="363">
        <f t="shared" ca="1" si="383"/>
        <v>8.6860853410113292E-2</v>
      </c>
      <c r="JR34" s="363">
        <f t="shared" ref="JR34:KZ34" ca="1" si="384">_xlfn.BETA.INV(RAND(),$I$34,$J$34)</f>
        <v>7.5844960842454262E-2</v>
      </c>
      <c r="JS34" s="363">
        <f t="shared" ca="1" si="384"/>
        <v>7.7708049399491108E-2</v>
      </c>
      <c r="JT34" s="363">
        <f t="shared" ca="1" si="384"/>
        <v>7.548358282133634E-2</v>
      </c>
      <c r="JU34" s="363">
        <f t="shared" ca="1" si="384"/>
        <v>8.2123926404516379E-2</v>
      </c>
      <c r="JV34" s="363">
        <f t="shared" ca="1" si="384"/>
        <v>8.1415834700719669E-2</v>
      </c>
      <c r="JW34" s="363">
        <f t="shared" ca="1" si="384"/>
        <v>7.5087719684835214E-2</v>
      </c>
      <c r="JX34" s="363">
        <f t="shared" ca="1" si="384"/>
        <v>7.9840646100689083E-2</v>
      </c>
      <c r="JY34" s="363">
        <f t="shared" ca="1" si="384"/>
        <v>7.5945936370288666E-2</v>
      </c>
      <c r="JZ34" s="363">
        <f t="shared" ca="1" si="384"/>
        <v>8.1778769159055575E-2</v>
      </c>
      <c r="KA34" s="363">
        <f t="shared" ca="1" si="384"/>
        <v>8.2558632073193805E-2</v>
      </c>
      <c r="KB34" s="363">
        <f t="shared" ca="1" si="384"/>
        <v>8.0538447622823028E-2</v>
      </c>
      <c r="KC34" s="363">
        <f t="shared" ca="1" si="384"/>
        <v>7.8874522705073891E-2</v>
      </c>
      <c r="KD34" s="363">
        <f t="shared" ca="1" si="384"/>
        <v>7.9491518437624809E-2</v>
      </c>
      <c r="KE34" s="363">
        <f t="shared" ca="1" si="384"/>
        <v>7.6851834817327741E-2</v>
      </c>
      <c r="KF34" s="363">
        <f t="shared" ca="1" si="384"/>
        <v>7.632605024811881E-2</v>
      </c>
      <c r="KG34" s="363">
        <f t="shared" ca="1" si="384"/>
        <v>8.9406418267058974E-2</v>
      </c>
      <c r="KH34" s="363">
        <f t="shared" ca="1" si="384"/>
        <v>8.0597149932526757E-2</v>
      </c>
      <c r="KI34" s="363">
        <f t="shared" ca="1" si="384"/>
        <v>7.7902522611180719E-2</v>
      </c>
      <c r="KJ34" s="363">
        <f t="shared" ca="1" si="384"/>
        <v>7.9180381595377214E-2</v>
      </c>
      <c r="KK34" s="363">
        <f t="shared" ca="1" si="384"/>
        <v>8.0455284096574209E-2</v>
      </c>
      <c r="KL34" s="363">
        <f t="shared" ca="1" si="384"/>
        <v>8.2227549911926379E-2</v>
      </c>
      <c r="KM34" s="363">
        <f t="shared" ca="1" si="384"/>
        <v>8.0500125743399153E-2</v>
      </c>
      <c r="KN34" s="363">
        <f t="shared" ca="1" si="384"/>
        <v>8.0532087926885598E-2</v>
      </c>
      <c r="KO34" s="363">
        <f t="shared" ca="1" si="384"/>
        <v>7.7310812992062619E-2</v>
      </c>
      <c r="KP34" s="363">
        <f t="shared" ca="1" si="384"/>
        <v>7.6652471591215104E-2</v>
      </c>
      <c r="KQ34" s="363">
        <f t="shared" ca="1" si="384"/>
        <v>8.0393119631404386E-2</v>
      </c>
      <c r="KR34" s="363">
        <f t="shared" ca="1" si="384"/>
        <v>7.619870241630769E-2</v>
      </c>
      <c r="KS34" s="363">
        <f t="shared" ca="1" si="384"/>
        <v>7.7769308960776801E-2</v>
      </c>
      <c r="KT34" s="363">
        <f t="shared" ca="1" si="384"/>
        <v>7.9947941779732967E-2</v>
      </c>
      <c r="KU34" s="363">
        <f t="shared" ca="1" si="384"/>
        <v>7.418599902100638E-2</v>
      </c>
      <c r="KV34" s="363">
        <f t="shared" ca="1" si="384"/>
        <v>8.3141175764711361E-2</v>
      </c>
      <c r="KW34" s="363">
        <f t="shared" ca="1" si="384"/>
        <v>8.1375567827659423E-2</v>
      </c>
      <c r="KX34" s="363">
        <f t="shared" ca="1" si="384"/>
        <v>7.6077711617879892E-2</v>
      </c>
      <c r="KY34" s="363">
        <f t="shared" ca="1" si="384"/>
        <v>7.4632600455354248E-2</v>
      </c>
      <c r="KZ34" s="363">
        <f t="shared" ca="1" si="384"/>
        <v>7.1613604174328313E-2</v>
      </c>
      <c r="LA34" s="363">
        <f ca="1">_xlfn.BETA.INV(RAND(),$I$34,$J$34)</f>
        <v>7.4983173027829073E-2</v>
      </c>
      <c r="LB34" s="363">
        <f t="shared" ref="LB34:NM34" ca="1" si="385">_xlfn.BETA.INV(RAND(),$I$34,$J$34)</f>
        <v>8.0988527388030085E-2</v>
      </c>
      <c r="LC34" s="363">
        <f t="shared" ca="1" si="385"/>
        <v>8.3745625637264287E-2</v>
      </c>
      <c r="LD34" s="363">
        <f t="shared" ca="1" si="385"/>
        <v>7.9485075480741019E-2</v>
      </c>
      <c r="LE34" s="363">
        <f t="shared" ca="1" si="385"/>
        <v>7.5738468478047133E-2</v>
      </c>
      <c r="LF34" s="363">
        <f t="shared" ca="1" si="385"/>
        <v>8.2677559137023016E-2</v>
      </c>
      <c r="LG34" s="363">
        <f t="shared" ca="1" si="385"/>
        <v>7.7606907336664671E-2</v>
      </c>
      <c r="LH34" s="363">
        <f t="shared" ca="1" si="385"/>
        <v>8.1002158740634989E-2</v>
      </c>
      <c r="LI34" s="363">
        <f t="shared" ca="1" si="385"/>
        <v>8.1701831493560917E-2</v>
      </c>
      <c r="LJ34" s="363">
        <f t="shared" ca="1" si="385"/>
        <v>7.9899115112511021E-2</v>
      </c>
      <c r="LK34" s="363">
        <f t="shared" ca="1" si="385"/>
        <v>8.1374456449513355E-2</v>
      </c>
      <c r="LL34" s="363">
        <f t="shared" ca="1" si="385"/>
        <v>8.4158512499464044E-2</v>
      </c>
      <c r="LM34" s="363">
        <f t="shared" ca="1" si="385"/>
        <v>7.7564118365535173E-2</v>
      </c>
      <c r="LN34" s="363">
        <f t="shared" ca="1" si="385"/>
        <v>8.1486314461555187E-2</v>
      </c>
      <c r="LO34" s="363">
        <f t="shared" ca="1" si="385"/>
        <v>7.3982049561707369E-2</v>
      </c>
      <c r="LP34" s="363">
        <f t="shared" ca="1" si="385"/>
        <v>8.1264274646470458E-2</v>
      </c>
      <c r="LQ34" s="363">
        <f t="shared" ca="1" si="385"/>
        <v>8.2020150879425158E-2</v>
      </c>
      <c r="LR34" s="363">
        <f t="shared" ca="1" si="385"/>
        <v>7.7447596265297292E-2</v>
      </c>
      <c r="LS34" s="363">
        <f t="shared" ca="1" si="385"/>
        <v>7.8468527328752313E-2</v>
      </c>
      <c r="LT34" s="363">
        <f t="shared" ca="1" si="385"/>
        <v>7.7771158347121408E-2</v>
      </c>
      <c r="LU34" s="363">
        <f t="shared" ca="1" si="385"/>
        <v>7.4386121921773338E-2</v>
      </c>
      <c r="LV34" s="363">
        <f t="shared" ca="1" si="385"/>
        <v>8.2165395223781301E-2</v>
      </c>
      <c r="LW34" s="363">
        <f t="shared" ca="1" si="385"/>
        <v>7.9890222259387911E-2</v>
      </c>
      <c r="LX34" s="363">
        <f t="shared" ca="1" si="385"/>
        <v>7.5715727456853357E-2</v>
      </c>
      <c r="LY34" s="363">
        <f t="shared" ca="1" si="385"/>
        <v>7.7631177813110797E-2</v>
      </c>
      <c r="LZ34" s="363">
        <f t="shared" ca="1" si="385"/>
        <v>8.2554135754332125E-2</v>
      </c>
      <c r="MA34" s="363">
        <f t="shared" ca="1" si="385"/>
        <v>8.0231667032591103E-2</v>
      </c>
      <c r="MB34" s="363">
        <f t="shared" ca="1" si="385"/>
        <v>8.3498691779164247E-2</v>
      </c>
      <c r="MC34" s="363">
        <f t="shared" ca="1" si="385"/>
        <v>7.1288309926593518E-2</v>
      </c>
      <c r="MD34" s="363">
        <f t="shared" ca="1" si="385"/>
        <v>8.2171726043675952E-2</v>
      </c>
      <c r="ME34" s="363">
        <f t="shared" ca="1" si="385"/>
        <v>8.46949744747445E-2</v>
      </c>
      <c r="MF34" s="363">
        <f t="shared" ca="1" si="385"/>
        <v>8.1404937941575106E-2</v>
      </c>
      <c r="MG34" s="363">
        <f t="shared" ca="1" si="385"/>
        <v>7.976706052500171E-2</v>
      </c>
      <c r="MH34" s="363">
        <f t="shared" ca="1" si="385"/>
        <v>7.9448300137977657E-2</v>
      </c>
      <c r="MI34" s="363">
        <f t="shared" ca="1" si="385"/>
        <v>7.8173848188761996E-2</v>
      </c>
      <c r="MJ34" s="363">
        <f t="shared" ca="1" si="385"/>
        <v>7.0218731720111061E-2</v>
      </c>
      <c r="MK34" s="363">
        <f t="shared" ca="1" si="385"/>
        <v>8.3695804822322861E-2</v>
      </c>
      <c r="ML34" s="363">
        <f t="shared" ca="1" si="385"/>
        <v>7.5039105390639155E-2</v>
      </c>
      <c r="MM34" s="363">
        <f t="shared" ca="1" si="385"/>
        <v>7.5381374963322589E-2</v>
      </c>
      <c r="MN34" s="363">
        <f t="shared" ca="1" si="385"/>
        <v>7.50653538252814E-2</v>
      </c>
      <c r="MO34" s="363">
        <f t="shared" ca="1" si="385"/>
        <v>8.2449862711961752E-2</v>
      </c>
      <c r="MP34" s="363">
        <f t="shared" ca="1" si="385"/>
        <v>8.3960350494323155E-2</v>
      </c>
      <c r="MQ34" s="363">
        <f t="shared" ca="1" si="385"/>
        <v>7.7726245547478742E-2</v>
      </c>
      <c r="MR34" s="363">
        <f t="shared" ca="1" si="385"/>
        <v>8.0801004405280596E-2</v>
      </c>
      <c r="MS34" s="363">
        <f t="shared" ca="1" si="385"/>
        <v>8.0546835628446667E-2</v>
      </c>
      <c r="MT34" s="363">
        <f t="shared" ca="1" si="385"/>
        <v>7.7639969088142968E-2</v>
      </c>
      <c r="MU34" s="363">
        <f t="shared" ca="1" si="385"/>
        <v>7.7303659977530872E-2</v>
      </c>
      <c r="MV34" s="363">
        <f t="shared" ca="1" si="385"/>
        <v>7.903188934959815E-2</v>
      </c>
      <c r="MW34" s="363">
        <f t="shared" ca="1" si="385"/>
        <v>7.4008088539834579E-2</v>
      </c>
      <c r="MX34" s="363">
        <f t="shared" ca="1" si="385"/>
        <v>8.0552035715510395E-2</v>
      </c>
      <c r="MY34" s="363">
        <f t="shared" ca="1" si="385"/>
        <v>7.609633691689531E-2</v>
      </c>
      <c r="MZ34" s="363">
        <f t="shared" ca="1" si="385"/>
        <v>8.2754116326471894E-2</v>
      </c>
      <c r="NA34" s="363">
        <f t="shared" ca="1" si="385"/>
        <v>7.5566493245818406E-2</v>
      </c>
      <c r="NB34" s="363">
        <f t="shared" ca="1" si="385"/>
        <v>7.5952025305226753E-2</v>
      </c>
      <c r="NC34" s="363">
        <f t="shared" ca="1" si="385"/>
        <v>8.6167199476634426E-2</v>
      </c>
      <c r="ND34" s="363">
        <f t="shared" ca="1" si="385"/>
        <v>8.42694550182711E-2</v>
      </c>
      <c r="NE34" s="363">
        <f t="shared" ca="1" si="385"/>
        <v>7.454331887822932E-2</v>
      </c>
      <c r="NF34" s="363">
        <f t="shared" ca="1" si="385"/>
        <v>8.0022003410662457E-2</v>
      </c>
      <c r="NG34" s="363">
        <f t="shared" ca="1" si="385"/>
        <v>7.3325528506148777E-2</v>
      </c>
      <c r="NH34" s="363">
        <f t="shared" ca="1" si="385"/>
        <v>8.4139160916991584E-2</v>
      </c>
      <c r="NI34" s="363">
        <f t="shared" ca="1" si="385"/>
        <v>7.8880977049794909E-2</v>
      </c>
      <c r="NJ34" s="363">
        <f t="shared" ca="1" si="385"/>
        <v>8.2108308815126096E-2</v>
      </c>
      <c r="NK34" s="363">
        <f t="shared" ca="1" si="385"/>
        <v>7.8490558201038674E-2</v>
      </c>
      <c r="NL34" s="363">
        <f t="shared" ca="1" si="385"/>
        <v>8.7072887611931771E-2</v>
      </c>
      <c r="NM34" s="363">
        <f t="shared" ca="1" si="385"/>
        <v>7.0112183068477982E-2</v>
      </c>
      <c r="NN34" s="363">
        <f t="shared" ref="NN34:OV34" ca="1" si="386">_xlfn.BETA.INV(RAND(),$I$34,$J$34)</f>
        <v>8.3634305825854405E-2</v>
      </c>
      <c r="NO34" s="363">
        <f t="shared" ca="1" si="386"/>
        <v>7.5966955255455396E-2</v>
      </c>
      <c r="NP34" s="363">
        <f t="shared" ca="1" si="386"/>
        <v>7.8391247965404934E-2</v>
      </c>
      <c r="NQ34" s="363">
        <f t="shared" ca="1" si="386"/>
        <v>7.5635142004937442E-2</v>
      </c>
      <c r="NR34" s="363">
        <f t="shared" ca="1" si="386"/>
        <v>8.0224733670469783E-2</v>
      </c>
      <c r="NS34" s="363">
        <f t="shared" ca="1" si="386"/>
        <v>6.9069522073225767E-2</v>
      </c>
      <c r="NT34" s="363">
        <f t="shared" ca="1" si="386"/>
        <v>7.6898099134717388E-2</v>
      </c>
      <c r="NU34" s="363">
        <f t="shared" ca="1" si="386"/>
        <v>7.5191037455622348E-2</v>
      </c>
      <c r="NV34" s="363">
        <f t="shared" ca="1" si="386"/>
        <v>7.7530816557479995E-2</v>
      </c>
      <c r="NW34" s="363">
        <f t="shared" ca="1" si="386"/>
        <v>7.828076281304272E-2</v>
      </c>
      <c r="NX34" s="363">
        <f t="shared" ca="1" si="386"/>
        <v>8.1100007556866083E-2</v>
      </c>
      <c r="NY34" s="363">
        <f t="shared" ca="1" si="386"/>
        <v>8.0938131167223593E-2</v>
      </c>
      <c r="NZ34" s="363">
        <f t="shared" ca="1" si="386"/>
        <v>8.1204009445607017E-2</v>
      </c>
      <c r="OA34" s="363">
        <f t="shared" ca="1" si="386"/>
        <v>8.0737696901630129E-2</v>
      </c>
      <c r="OB34" s="363">
        <f t="shared" ca="1" si="386"/>
        <v>7.2773261467491079E-2</v>
      </c>
      <c r="OC34" s="363">
        <f t="shared" ca="1" si="386"/>
        <v>7.9955653958823758E-2</v>
      </c>
      <c r="OD34" s="363">
        <f t="shared" ca="1" si="386"/>
        <v>8.1156543256298397E-2</v>
      </c>
      <c r="OE34" s="363">
        <f t="shared" ca="1" si="386"/>
        <v>8.1412502918639995E-2</v>
      </c>
      <c r="OF34" s="363">
        <f t="shared" ca="1" si="386"/>
        <v>7.6748473120341595E-2</v>
      </c>
      <c r="OG34" s="363">
        <f t="shared" ca="1" si="386"/>
        <v>7.5901329413299676E-2</v>
      </c>
      <c r="OH34" s="363">
        <f t="shared" ca="1" si="386"/>
        <v>7.5423761743400763E-2</v>
      </c>
      <c r="OI34" s="363">
        <f t="shared" ca="1" si="386"/>
        <v>7.8476786579630198E-2</v>
      </c>
      <c r="OJ34" s="363">
        <f t="shared" ca="1" si="386"/>
        <v>7.5381644454598273E-2</v>
      </c>
      <c r="OK34" s="363">
        <f t="shared" ca="1" si="386"/>
        <v>7.3635697737269357E-2</v>
      </c>
      <c r="OL34" s="363">
        <f t="shared" ca="1" si="386"/>
        <v>8.7034860369040623E-2</v>
      </c>
      <c r="OM34" s="363">
        <f t="shared" ca="1" si="386"/>
        <v>7.6789424657977487E-2</v>
      </c>
      <c r="ON34" s="363">
        <f t="shared" ca="1" si="386"/>
        <v>8.7794589122027422E-2</v>
      </c>
      <c r="OO34" s="363">
        <f t="shared" ca="1" si="386"/>
        <v>8.2982480716478291E-2</v>
      </c>
      <c r="OP34" s="363">
        <f t="shared" ca="1" si="386"/>
        <v>8.3564428308251837E-2</v>
      </c>
      <c r="OQ34" s="363">
        <f t="shared" ca="1" si="386"/>
        <v>7.8461473085162603E-2</v>
      </c>
      <c r="OR34" s="363">
        <f t="shared" ca="1" si="386"/>
        <v>8.2020070395409594E-2</v>
      </c>
      <c r="OS34" s="363">
        <f t="shared" ca="1" si="386"/>
        <v>7.4258059937857862E-2</v>
      </c>
      <c r="OT34" s="363">
        <f t="shared" ca="1" si="386"/>
        <v>7.8667255286533844E-2</v>
      </c>
      <c r="OU34" s="363">
        <f t="shared" ca="1" si="386"/>
        <v>8.2146895718776536E-2</v>
      </c>
      <c r="OV34" s="363">
        <f t="shared" ca="1" si="386"/>
        <v>7.0949547978926733E-2</v>
      </c>
      <c r="OW34" s="363">
        <f ca="1">_xlfn.BETA.INV(RAND(),$I$34,$J$34)</f>
        <v>8.1971817623217813E-2</v>
      </c>
      <c r="OX34" s="363">
        <f t="shared" ref="OX34:RI34" ca="1" si="387">_xlfn.BETA.INV(RAND(),$I$34,$J$34)</f>
        <v>7.6575426578233408E-2</v>
      </c>
      <c r="OY34" s="363">
        <f t="shared" ca="1" si="387"/>
        <v>8.3961606802577804E-2</v>
      </c>
      <c r="OZ34" s="363">
        <f t="shared" ca="1" si="387"/>
        <v>8.5463906289907299E-2</v>
      </c>
      <c r="PA34" s="363">
        <f t="shared" ca="1" si="387"/>
        <v>7.4096924415960691E-2</v>
      </c>
      <c r="PB34" s="363">
        <f t="shared" ca="1" si="387"/>
        <v>7.5284822950874242E-2</v>
      </c>
      <c r="PC34" s="363">
        <f t="shared" ca="1" si="387"/>
        <v>7.6446069568862171E-2</v>
      </c>
      <c r="PD34" s="363">
        <f t="shared" ca="1" si="387"/>
        <v>8.0686167833377453E-2</v>
      </c>
      <c r="PE34" s="363">
        <f t="shared" ca="1" si="387"/>
        <v>7.8056372491583287E-2</v>
      </c>
      <c r="PF34" s="363">
        <f t="shared" ca="1" si="387"/>
        <v>7.6887787001713823E-2</v>
      </c>
      <c r="PG34" s="363">
        <f t="shared" ca="1" si="387"/>
        <v>7.7890823388923461E-2</v>
      </c>
      <c r="PH34" s="363">
        <f t="shared" ca="1" si="387"/>
        <v>7.1412759302589224E-2</v>
      </c>
      <c r="PI34" s="363">
        <f t="shared" ca="1" si="387"/>
        <v>7.7738077020985508E-2</v>
      </c>
      <c r="PJ34" s="363">
        <f t="shared" ca="1" si="387"/>
        <v>7.5236531283019187E-2</v>
      </c>
      <c r="PK34" s="363">
        <f t="shared" ca="1" si="387"/>
        <v>7.8869882346135123E-2</v>
      </c>
      <c r="PL34" s="363">
        <f t="shared" ca="1" si="387"/>
        <v>7.4015674689112604E-2</v>
      </c>
      <c r="PM34" s="363">
        <f t="shared" ca="1" si="387"/>
        <v>7.4983399560675332E-2</v>
      </c>
      <c r="PN34" s="363">
        <f t="shared" ca="1" si="387"/>
        <v>8.297671475010826E-2</v>
      </c>
      <c r="PO34" s="363">
        <f t="shared" ca="1" si="387"/>
        <v>7.6927765049601859E-2</v>
      </c>
      <c r="PP34" s="363">
        <f t="shared" ca="1" si="387"/>
        <v>8.0308597146037441E-2</v>
      </c>
      <c r="PQ34" s="363">
        <f t="shared" ca="1" si="387"/>
        <v>7.0599688199087282E-2</v>
      </c>
      <c r="PR34" s="363">
        <f t="shared" ca="1" si="387"/>
        <v>8.3117562852746074E-2</v>
      </c>
      <c r="PS34" s="363">
        <f t="shared" ca="1" si="387"/>
        <v>8.3295857045876054E-2</v>
      </c>
      <c r="PT34" s="363">
        <f t="shared" ca="1" si="387"/>
        <v>7.9552803398808769E-2</v>
      </c>
      <c r="PU34" s="363">
        <f t="shared" ca="1" si="387"/>
        <v>7.5785235116402019E-2</v>
      </c>
      <c r="PV34" s="363">
        <f t="shared" ca="1" si="387"/>
        <v>7.1469308438022808E-2</v>
      </c>
      <c r="PW34" s="363">
        <f t="shared" ca="1" si="387"/>
        <v>8.1930951382736761E-2</v>
      </c>
      <c r="PX34" s="363">
        <f t="shared" ca="1" si="387"/>
        <v>7.2640127148721131E-2</v>
      </c>
      <c r="PY34" s="363">
        <f t="shared" ca="1" si="387"/>
        <v>8.2037805068984615E-2</v>
      </c>
      <c r="PZ34" s="363">
        <f t="shared" ca="1" si="387"/>
        <v>7.7441619347974402E-2</v>
      </c>
      <c r="QA34" s="363">
        <f t="shared" ca="1" si="387"/>
        <v>7.8008909500157472E-2</v>
      </c>
      <c r="QB34" s="363">
        <f t="shared" ca="1" si="387"/>
        <v>8.1473522565201906E-2</v>
      </c>
      <c r="QC34" s="363">
        <f t="shared" ca="1" si="387"/>
        <v>8.2717933807815336E-2</v>
      </c>
      <c r="QD34" s="363">
        <f t="shared" ca="1" si="387"/>
        <v>7.1036573720751034E-2</v>
      </c>
      <c r="QE34" s="363">
        <f t="shared" ca="1" si="387"/>
        <v>8.2287951769977385E-2</v>
      </c>
      <c r="QF34" s="363">
        <f t="shared" ca="1" si="387"/>
        <v>7.9695997135879049E-2</v>
      </c>
      <c r="QG34" s="363">
        <f t="shared" ca="1" si="387"/>
        <v>7.9201418832007708E-2</v>
      </c>
      <c r="QH34" s="363">
        <f t="shared" ca="1" si="387"/>
        <v>7.4188824122606176E-2</v>
      </c>
      <c r="QI34" s="363">
        <f t="shared" ca="1" si="387"/>
        <v>7.4735694534127511E-2</v>
      </c>
      <c r="QJ34" s="363">
        <f t="shared" ca="1" si="387"/>
        <v>7.8203547155493464E-2</v>
      </c>
      <c r="QK34" s="363">
        <f t="shared" ca="1" si="387"/>
        <v>7.4149737123276799E-2</v>
      </c>
      <c r="QL34" s="363">
        <f t="shared" ca="1" si="387"/>
        <v>8.0826017949031548E-2</v>
      </c>
      <c r="QM34" s="363">
        <f t="shared" ca="1" si="387"/>
        <v>7.6515918718681991E-2</v>
      </c>
      <c r="QN34" s="363">
        <f t="shared" ca="1" si="387"/>
        <v>7.5987600615569736E-2</v>
      </c>
      <c r="QO34" s="363">
        <f t="shared" ca="1" si="387"/>
        <v>8.1445370675878648E-2</v>
      </c>
      <c r="QP34" s="363">
        <f t="shared" ca="1" si="387"/>
        <v>7.7227075619035968E-2</v>
      </c>
      <c r="QQ34" s="363">
        <f t="shared" ca="1" si="387"/>
        <v>7.5748877642763543E-2</v>
      </c>
      <c r="QR34" s="363">
        <f t="shared" ca="1" si="387"/>
        <v>8.4036728856718979E-2</v>
      </c>
      <c r="QS34" s="363">
        <f t="shared" ca="1" si="387"/>
        <v>7.5038144119564679E-2</v>
      </c>
      <c r="QT34" s="363">
        <f t="shared" ca="1" si="387"/>
        <v>8.0070885662376523E-2</v>
      </c>
      <c r="QU34" s="363">
        <f t="shared" ca="1" si="387"/>
        <v>8.1648642626131362E-2</v>
      </c>
      <c r="QV34" s="363">
        <f t="shared" ca="1" si="387"/>
        <v>7.9857887288534379E-2</v>
      </c>
      <c r="QW34" s="363">
        <f t="shared" ca="1" si="387"/>
        <v>7.654614440603108E-2</v>
      </c>
      <c r="QX34" s="363">
        <f t="shared" ca="1" si="387"/>
        <v>8.4091554348221131E-2</v>
      </c>
      <c r="QY34" s="363">
        <f t="shared" ca="1" si="387"/>
        <v>8.9322892578068913E-2</v>
      </c>
      <c r="QZ34" s="363">
        <f t="shared" ca="1" si="387"/>
        <v>7.7778281671018551E-2</v>
      </c>
      <c r="RA34" s="363">
        <f t="shared" ca="1" si="387"/>
        <v>7.9900802002503823E-2</v>
      </c>
      <c r="RB34" s="363">
        <f t="shared" ca="1" si="387"/>
        <v>7.6856001612104152E-2</v>
      </c>
      <c r="RC34" s="363">
        <f t="shared" ca="1" si="387"/>
        <v>7.6519374234763599E-2</v>
      </c>
      <c r="RD34" s="363">
        <f t="shared" ca="1" si="387"/>
        <v>7.9091797288358912E-2</v>
      </c>
      <c r="RE34" s="363">
        <f t="shared" ca="1" si="387"/>
        <v>8.3884767142462069E-2</v>
      </c>
      <c r="RF34" s="363">
        <f t="shared" ca="1" si="387"/>
        <v>7.3539104795376925E-2</v>
      </c>
      <c r="RG34" s="363">
        <f t="shared" ca="1" si="387"/>
        <v>7.819660858082525E-2</v>
      </c>
      <c r="RH34" s="363">
        <f t="shared" ca="1" si="387"/>
        <v>7.4244335991855301E-2</v>
      </c>
      <c r="RI34" s="363">
        <f t="shared" ca="1" si="387"/>
        <v>7.8483139149433501E-2</v>
      </c>
      <c r="RJ34" s="363">
        <f t="shared" ref="RJ34:SR34" ca="1" si="388">_xlfn.BETA.INV(RAND(),$I$34,$J$34)</f>
        <v>7.2713672381068808E-2</v>
      </c>
      <c r="RK34" s="363">
        <f t="shared" ca="1" si="388"/>
        <v>8.1969749146418414E-2</v>
      </c>
      <c r="RL34" s="363">
        <f t="shared" ca="1" si="388"/>
        <v>7.4500555375368357E-2</v>
      </c>
      <c r="RM34" s="363">
        <f t="shared" ca="1" si="388"/>
        <v>8.1149498997605263E-2</v>
      </c>
      <c r="RN34" s="363">
        <f t="shared" ca="1" si="388"/>
        <v>7.8186009929583369E-2</v>
      </c>
      <c r="RO34" s="363">
        <f t="shared" ca="1" si="388"/>
        <v>8.0359559920422541E-2</v>
      </c>
      <c r="RP34" s="363">
        <f t="shared" ca="1" si="388"/>
        <v>7.6678188551453794E-2</v>
      </c>
      <c r="RQ34" s="363">
        <f t="shared" ca="1" si="388"/>
        <v>7.5242670438229409E-2</v>
      </c>
      <c r="RR34" s="363">
        <f t="shared" ca="1" si="388"/>
        <v>8.485971592909336E-2</v>
      </c>
      <c r="RS34" s="363">
        <f t="shared" ca="1" si="388"/>
        <v>8.539332365947383E-2</v>
      </c>
      <c r="RT34" s="363">
        <f t="shared" ca="1" si="388"/>
        <v>7.7286288634610206E-2</v>
      </c>
      <c r="RU34" s="363">
        <f t="shared" ca="1" si="388"/>
        <v>7.8166077353128208E-2</v>
      </c>
      <c r="RV34" s="363">
        <f t="shared" ca="1" si="388"/>
        <v>7.908858646782102E-2</v>
      </c>
      <c r="RW34" s="363">
        <f t="shared" ca="1" si="388"/>
        <v>8.0437369433575601E-2</v>
      </c>
      <c r="RX34" s="363">
        <f t="shared" ca="1" si="388"/>
        <v>8.2703847529495111E-2</v>
      </c>
      <c r="RY34" s="363">
        <f t="shared" ca="1" si="388"/>
        <v>7.3283787516502205E-2</v>
      </c>
      <c r="RZ34" s="363">
        <f t="shared" ca="1" si="388"/>
        <v>7.5713896100712358E-2</v>
      </c>
      <c r="SA34" s="363">
        <f t="shared" ca="1" si="388"/>
        <v>7.6751604047747765E-2</v>
      </c>
      <c r="SB34" s="363">
        <f t="shared" ca="1" si="388"/>
        <v>7.6940806964963693E-2</v>
      </c>
      <c r="SC34" s="363">
        <f t="shared" ca="1" si="388"/>
        <v>7.7014973017804314E-2</v>
      </c>
      <c r="SD34" s="363">
        <f t="shared" ca="1" si="388"/>
        <v>7.8699894823617167E-2</v>
      </c>
      <c r="SE34" s="363">
        <f t="shared" ca="1" si="388"/>
        <v>7.5863658458879643E-2</v>
      </c>
      <c r="SF34" s="363">
        <f t="shared" ca="1" si="388"/>
        <v>8.1754677189404323E-2</v>
      </c>
      <c r="SG34" s="363">
        <f t="shared" ca="1" si="388"/>
        <v>7.511560884406733E-2</v>
      </c>
      <c r="SH34" s="363">
        <f t="shared" ca="1" si="388"/>
        <v>7.2375258307643769E-2</v>
      </c>
      <c r="SI34" s="363">
        <f t="shared" ca="1" si="388"/>
        <v>8.3753076718378172E-2</v>
      </c>
      <c r="SJ34" s="363">
        <f t="shared" ca="1" si="388"/>
        <v>7.3143712309544098E-2</v>
      </c>
      <c r="SK34" s="363">
        <f t="shared" ca="1" si="388"/>
        <v>8.524367140642819E-2</v>
      </c>
      <c r="SL34" s="363">
        <f t="shared" ca="1" si="388"/>
        <v>6.986110922515025E-2</v>
      </c>
      <c r="SM34" s="363">
        <f t="shared" ca="1" si="388"/>
        <v>7.8100174761207786E-2</v>
      </c>
      <c r="SN34" s="363">
        <f t="shared" ca="1" si="388"/>
        <v>7.6683315132467969E-2</v>
      </c>
      <c r="SO34" s="363">
        <f t="shared" ca="1" si="388"/>
        <v>7.2542106275944512E-2</v>
      </c>
      <c r="SP34" s="363">
        <f t="shared" ca="1" si="388"/>
        <v>8.104564924283697E-2</v>
      </c>
      <c r="SQ34" s="363">
        <f t="shared" ca="1" si="388"/>
        <v>7.9509221851880585E-2</v>
      </c>
      <c r="SR34" s="363">
        <f t="shared" ca="1" si="388"/>
        <v>7.9922227545493274E-2</v>
      </c>
      <c r="SS34" s="363">
        <f ca="1">_xlfn.BETA.INV(RAND(),$I$34,$J$34)</f>
        <v>8.3921180410716834E-2</v>
      </c>
      <c r="ST34" s="363">
        <f t="shared" ref="ST34:VE34" ca="1" si="389">_xlfn.BETA.INV(RAND(),$I$34,$J$34)</f>
        <v>8.5229661342108964E-2</v>
      </c>
      <c r="SU34" s="363">
        <f t="shared" ca="1" si="389"/>
        <v>7.7404416583905067E-2</v>
      </c>
      <c r="SV34" s="363">
        <f t="shared" ca="1" si="389"/>
        <v>8.5537428706641716E-2</v>
      </c>
      <c r="SW34" s="363">
        <f t="shared" ca="1" si="389"/>
        <v>8.4178917897137717E-2</v>
      </c>
      <c r="SX34" s="363">
        <f t="shared" ca="1" si="389"/>
        <v>7.8757608839613691E-2</v>
      </c>
      <c r="SY34" s="363">
        <f t="shared" ca="1" si="389"/>
        <v>8.1609980475869315E-2</v>
      </c>
      <c r="SZ34" s="363">
        <f t="shared" ca="1" si="389"/>
        <v>7.6561248367741641E-2</v>
      </c>
      <c r="TA34" s="363">
        <f t="shared" ca="1" si="389"/>
        <v>8.079570215302545E-2</v>
      </c>
      <c r="TB34" s="363">
        <f t="shared" ca="1" si="389"/>
        <v>7.0046154714804867E-2</v>
      </c>
      <c r="TC34" s="363">
        <f t="shared" ca="1" si="389"/>
        <v>7.369178432811041E-2</v>
      </c>
      <c r="TD34" s="363">
        <f t="shared" ca="1" si="389"/>
        <v>8.0931632577250778E-2</v>
      </c>
      <c r="TE34" s="363">
        <f t="shared" ca="1" si="389"/>
        <v>7.9321281898975138E-2</v>
      </c>
      <c r="TF34" s="363">
        <f t="shared" ca="1" si="389"/>
        <v>7.7133422257252074E-2</v>
      </c>
      <c r="TG34" s="363">
        <f t="shared" ca="1" si="389"/>
        <v>8.3123525158961709E-2</v>
      </c>
      <c r="TH34" s="363">
        <f t="shared" ca="1" si="389"/>
        <v>7.8021541062477939E-2</v>
      </c>
      <c r="TI34" s="363">
        <f t="shared" ca="1" si="389"/>
        <v>8.7828897498957614E-2</v>
      </c>
      <c r="TJ34" s="363">
        <f t="shared" ca="1" si="389"/>
        <v>7.173748292209052E-2</v>
      </c>
      <c r="TK34" s="363">
        <f t="shared" ca="1" si="389"/>
        <v>8.3126943355498528E-2</v>
      </c>
      <c r="TL34" s="363">
        <f t="shared" ca="1" si="389"/>
        <v>8.2437140005616749E-2</v>
      </c>
      <c r="TM34" s="363">
        <f t="shared" ca="1" si="389"/>
        <v>7.2201013011751719E-2</v>
      </c>
      <c r="TN34" s="363">
        <f t="shared" ca="1" si="389"/>
        <v>8.1122756648536298E-2</v>
      </c>
      <c r="TO34" s="363">
        <f t="shared" ca="1" si="389"/>
        <v>7.6998108894589065E-2</v>
      </c>
      <c r="TP34" s="363">
        <f t="shared" ca="1" si="389"/>
        <v>7.7859140278383171E-2</v>
      </c>
      <c r="TQ34" s="363">
        <f t="shared" ca="1" si="389"/>
        <v>8.0439028567553361E-2</v>
      </c>
      <c r="TR34" s="363">
        <f t="shared" ca="1" si="389"/>
        <v>8.4499245287810942E-2</v>
      </c>
      <c r="TS34" s="363">
        <f t="shared" ca="1" si="389"/>
        <v>7.7612620386304149E-2</v>
      </c>
      <c r="TT34" s="363">
        <f t="shared" ca="1" si="389"/>
        <v>8.1975839411910778E-2</v>
      </c>
      <c r="TU34" s="363">
        <f t="shared" ca="1" si="389"/>
        <v>7.2574124387301889E-2</v>
      </c>
      <c r="TV34" s="363">
        <f t="shared" ca="1" si="389"/>
        <v>7.5086708885102549E-2</v>
      </c>
      <c r="TW34" s="363">
        <f t="shared" ca="1" si="389"/>
        <v>7.347651114873413E-2</v>
      </c>
      <c r="TX34" s="363">
        <f t="shared" ca="1" si="389"/>
        <v>8.0776556530709587E-2</v>
      </c>
      <c r="TY34" s="363">
        <f t="shared" ca="1" si="389"/>
        <v>7.4006110382529564E-2</v>
      </c>
      <c r="TZ34" s="363">
        <f t="shared" ca="1" si="389"/>
        <v>7.4839955681542628E-2</v>
      </c>
      <c r="UA34" s="363">
        <f t="shared" ca="1" si="389"/>
        <v>8.0410887129387598E-2</v>
      </c>
      <c r="UB34" s="363">
        <f t="shared" ca="1" si="389"/>
        <v>8.2482977610080832E-2</v>
      </c>
      <c r="UC34" s="363">
        <f t="shared" ca="1" si="389"/>
        <v>8.0477445798387004E-2</v>
      </c>
      <c r="UD34" s="363">
        <f t="shared" ca="1" si="389"/>
        <v>8.0276725323149889E-2</v>
      </c>
      <c r="UE34" s="363">
        <f t="shared" ca="1" si="389"/>
        <v>7.5140898137145681E-2</v>
      </c>
      <c r="UF34" s="363">
        <f t="shared" ca="1" si="389"/>
        <v>8.4430395283774495E-2</v>
      </c>
      <c r="UG34" s="363">
        <f t="shared" ca="1" si="389"/>
        <v>8.3901728387033803E-2</v>
      </c>
      <c r="UH34" s="363">
        <f t="shared" ca="1" si="389"/>
        <v>8.1073703935598096E-2</v>
      </c>
      <c r="UI34" s="363">
        <f t="shared" ca="1" si="389"/>
        <v>7.9440404869123848E-2</v>
      </c>
      <c r="UJ34" s="363">
        <f t="shared" ca="1" si="389"/>
        <v>7.8045231908156543E-2</v>
      </c>
      <c r="UK34" s="363">
        <f t="shared" ca="1" si="389"/>
        <v>7.8132876591787137E-2</v>
      </c>
      <c r="UL34" s="363">
        <f t="shared" ca="1" si="389"/>
        <v>8.1158475438534161E-2</v>
      </c>
      <c r="UM34" s="363">
        <f t="shared" ca="1" si="389"/>
        <v>8.1316266074352495E-2</v>
      </c>
      <c r="UN34" s="363">
        <f t="shared" ca="1" si="389"/>
        <v>7.3039627057772491E-2</v>
      </c>
      <c r="UO34" s="363">
        <f t="shared" ca="1" si="389"/>
        <v>7.8589757789733983E-2</v>
      </c>
      <c r="UP34" s="363">
        <f t="shared" ca="1" si="389"/>
        <v>8.5079495497220492E-2</v>
      </c>
      <c r="UQ34" s="363">
        <f t="shared" ca="1" si="389"/>
        <v>6.8003203373816365E-2</v>
      </c>
      <c r="UR34" s="363">
        <f t="shared" ca="1" si="389"/>
        <v>7.8065974629052653E-2</v>
      </c>
      <c r="US34" s="363">
        <f t="shared" ca="1" si="389"/>
        <v>7.6273004944723333E-2</v>
      </c>
      <c r="UT34" s="363">
        <f t="shared" ca="1" si="389"/>
        <v>7.52466615809394E-2</v>
      </c>
      <c r="UU34" s="363">
        <f t="shared" ca="1" si="389"/>
        <v>7.3654539148627421E-2</v>
      </c>
      <c r="UV34" s="363">
        <f t="shared" ca="1" si="389"/>
        <v>7.998190804563321E-2</v>
      </c>
      <c r="UW34" s="363">
        <f t="shared" ca="1" si="389"/>
        <v>7.9638978921516168E-2</v>
      </c>
      <c r="UX34" s="363">
        <f t="shared" ca="1" si="389"/>
        <v>7.6636608410147369E-2</v>
      </c>
      <c r="UY34" s="363">
        <f t="shared" ca="1" si="389"/>
        <v>7.5865286540313367E-2</v>
      </c>
      <c r="UZ34" s="363">
        <f t="shared" ca="1" si="389"/>
        <v>8.1008079571062708E-2</v>
      </c>
      <c r="VA34" s="363">
        <f t="shared" ca="1" si="389"/>
        <v>8.3533581602887486E-2</v>
      </c>
      <c r="VB34" s="363">
        <f t="shared" ca="1" si="389"/>
        <v>8.3148761643572655E-2</v>
      </c>
      <c r="VC34" s="363">
        <f t="shared" ca="1" si="389"/>
        <v>7.4484948648647339E-2</v>
      </c>
      <c r="VD34" s="363">
        <f t="shared" ca="1" si="389"/>
        <v>7.8021644296966619E-2</v>
      </c>
      <c r="VE34" s="363">
        <f t="shared" ca="1" si="389"/>
        <v>7.945898382439387E-2</v>
      </c>
      <c r="VF34" s="363">
        <f t="shared" ref="VF34:WN34" ca="1" si="390">_xlfn.BETA.INV(RAND(),$I$34,$J$34)</f>
        <v>8.3951927926594228E-2</v>
      </c>
      <c r="VG34" s="363">
        <f t="shared" ca="1" si="390"/>
        <v>7.865639371337374E-2</v>
      </c>
      <c r="VH34" s="363">
        <f t="shared" ca="1" si="390"/>
        <v>7.8760603267167939E-2</v>
      </c>
      <c r="VI34" s="363">
        <f t="shared" ca="1" si="390"/>
        <v>8.137804880116084E-2</v>
      </c>
      <c r="VJ34" s="363">
        <f t="shared" ca="1" si="390"/>
        <v>7.7360707142143215E-2</v>
      </c>
      <c r="VK34" s="363">
        <f t="shared" ca="1" si="390"/>
        <v>7.4456466714794237E-2</v>
      </c>
      <c r="VL34" s="363">
        <f t="shared" ca="1" si="390"/>
        <v>7.3772803459981051E-2</v>
      </c>
      <c r="VM34" s="363">
        <f t="shared" ca="1" si="390"/>
        <v>7.9145070696830078E-2</v>
      </c>
      <c r="VN34" s="363">
        <f t="shared" ca="1" si="390"/>
        <v>7.9783226311987754E-2</v>
      </c>
      <c r="VO34" s="363">
        <f t="shared" ca="1" si="390"/>
        <v>7.3623323951267888E-2</v>
      </c>
      <c r="VP34" s="363">
        <f t="shared" ca="1" si="390"/>
        <v>7.1334915979885519E-2</v>
      </c>
      <c r="VQ34" s="363">
        <f t="shared" ca="1" si="390"/>
        <v>7.3606057782786088E-2</v>
      </c>
      <c r="VR34" s="363">
        <f t="shared" ca="1" si="390"/>
        <v>7.8800388476016003E-2</v>
      </c>
      <c r="VS34" s="363">
        <f t="shared" ca="1" si="390"/>
        <v>8.2133659044879348E-2</v>
      </c>
      <c r="VT34" s="363">
        <f t="shared" ca="1" si="390"/>
        <v>7.8313611930180826E-2</v>
      </c>
      <c r="VU34" s="363">
        <f t="shared" ca="1" si="390"/>
        <v>8.0505548011068684E-2</v>
      </c>
      <c r="VV34" s="363">
        <f t="shared" ca="1" si="390"/>
        <v>7.2554194135847364E-2</v>
      </c>
      <c r="VW34" s="363">
        <f t="shared" ca="1" si="390"/>
        <v>7.274531304175276E-2</v>
      </c>
      <c r="VX34" s="363">
        <f t="shared" ca="1" si="390"/>
        <v>7.1691854702231841E-2</v>
      </c>
      <c r="VY34" s="363">
        <f t="shared" ca="1" si="390"/>
        <v>7.4426334126191318E-2</v>
      </c>
      <c r="VZ34" s="363">
        <f t="shared" ca="1" si="390"/>
        <v>7.9727516099112994E-2</v>
      </c>
      <c r="WA34" s="363">
        <f t="shared" ca="1" si="390"/>
        <v>7.6688314996017706E-2</v>
      </c>
      <c r="WB34" s="363">
        <f t="shared" ca="1" si="390"/>
        <v>8.2746325662803377E-2</v>
      </c>
      <c r="WC34" s="363">
        <f t="shared" ca="1" si="390"/>
        <v>7.6034418326929337E-2</v>
      </c>
      <c r="WD34" s="363">
        <f t="shared" ca="1" si="390"/>
        <v>8.0327292776991577E-2</v>
      </c>
      <c r="WE34" s="363">
        <f t="shared" ca="1" si="390"/>
        <v>7.8009087577610881E-2</v>
      </c>
      <c r="WF34" s="363">
        <f t="shared" ca="1" si="390"/>
        <v>8.5472962480293235E-2</v>
      </c>
      <c r="WG34" s="363">
        <f t="shared" ca="1" si="390"/>
        <v>7.3904394128553597E-2</v>
      </c>
      <c r="WH34" s="363">
        <f t="shared" ca="1" si="390"/>
        <v>8.5749101185384369E-2</v>
      </c>
      <c r="WI34" s="363">
        <f t="shared" ca="1" si="390"/>
        <v>7.3913009846333561E-2</v>
      </c>
      <c r="WJ34" s="363">
        <f t="shared" ca="1" si="390"/>
        <v>7.80532281441743E-2</v>
      </c>
      <c r="WK34" s="363">
        <f t="shared" ca="1" si="390"/>
        <v>8.2021093007263568E-2</v>
      </c>
      <c r="WL34" s="363">
        <f t="shared" ca="1" si="390"/>
        <v>7.1280678902667149E-2</v>
      </c>
      <c r="WM34" s="363">
        <f t="shared" ca="1" si="390"/>
        <v>7.7274191349701885E-2</v>
      </c>
      <c r="WN34" s="363">
        <f t="shared" ca="1" si="390"/>
        <v>8.2264921844528383E-2</v>
      </c>
    </row>
    <row r="35" spans="2:612" x14ac:dyDescent="0.15">
      <c r="B35" s="469" t="s">
        <v>1070</v>
      </c>
      <c r="D35" s="363">
        <f t="shared" si="0"/>
        <v>1.77</v>
      </c>
      <c r="F35" s="367">
        <v>1.77</v>
      </c>
      <c r="G35" s="367">
        <v>4387</v>
      </c>
      <c r="H35" s="363" t="s">
        <v>1275</v>
      </c>
      <c r="I35" s="363">
        <f>LN(F35)-((H35^2)/2)</f>
        <v>0.5678511415857378</v>
      </c>
      <c r="J35" s="367">
        <f>SQRT( LN( 1 + (H35^2)/(F35^2) ) )</f>
        <v>4.4666977068303006E-2</v>
      </c>
      <c r="K35" s="367" t="s">
        <v>1274</v>
      </c>
      <c r="M35" s="363">
        <f ca="1">_xlfn.LOGNORM.INV(RAND(),$I$35,$J$35)</f>
        <v>1.6866452689450835</v>
      </c>
      <c r="N35" s="363">
        <f t="shared" ref="N35:BY35" ca="1" si="391">_xlfn.LOGNORM.INV(RAND(),$I$35,$J$35)</f>
        <v>1.6920498405188109</v>
      </c>
      <c r="O35" s="363">
        <f t="shared" ca="1" si="391"/>
        <v>1.7607337540521262</v>
      </c>
      <c r="P35" s="363">
        <f t="shared" ca="1" si="391"/>
        <v>1.93023822044802</v>
      </c>
      <c r="Q35" s="363">
        <f t="shared" ca="1" si="391"/>
        <v>1.8328495550291792</v>
      </c>
      <c r="R35" s="363">
        <f t="shared" ca="1" si="391"/>
        <v>1.7729668751125931</v>
      </c>
      <c r="S35" s="363">
        <f t="shared" ca="1" si="391"/>
        <v>1.7710947468379707</v>
      </c>
      <c r="T35" s="363">
        <f t="shared" ca="1" si="391"/>
        <v>1.7012222888810815</v>
      </c>
      <c r="U35" s="363">
        <f t="shared" ca="1" si="391"/>
        <v>1.6977678374347573</v>
      </c>
      <c r="V35" s="363">
        <f t="shared" ca="1" si="391"/>
        <v>1.6620764561267789</v>
      </c>
      <c r="W35" s="363">
        <f t="shared" ca="1" si="391"/>
        <v>1.8733290950476544</v>
      </c>
      <c r="X35" s="363">
        <f t="shared" ca="1" si="391"/>
        <v>1.8234010131588991</v>
      </c>
      <c r="Y35" s="363">
        <f t="shared" ca="1" si="391"/>
        <v>1.7935388488693287</v>
      </c>
      <c r="Z35" s="363">
        <f t="shared" ca="1" si="391"/>
        <v>1.6539105492377213</v>
      </c>
      <c r="AA35" s="363">
        <f t="shared" ca="1" si="391"/>
        <v>1.7956355985629238</v>
      </c>
      <c r="AB35" s="363">
        <f t="shared" ca="1" si="391"/>
        <v>1.6881805393372675</v>
      </c>
      <c r="AC35" s="363">
        <f t="shared" ca="1" si="391"/>
        <v>1.7659610373573826</v>
      </c>
      <c r="AD35" s="363">
        <f t="shared" ca="1" si="391"/>
        <v>1.7814006220178198</v>
      </c>
      <c r="AE35" s="363">
        <f t="shared" ca="1" si="391"/>
        <v>1.7651922579495056</v>
      </c>
      <c r="AF35" s="363">
        <f t="shared" ca="1" si="391"/>
        <v>1.7312505690608808</v>
      </c>
      <c r="AG35" s="363">
        <f t="shared" ca="1" si="391"/>
        <v>1.6543450115564258</v>
      </c>
      <c r="AH35" s="363">
        <f t="shared" ca="1" si="391"/>
        <v>1.768909474645008</v>
      </c>
      <c r="AI35" s="363">
        <f t="shared" ca="1" si="391"/>
        <v>1.8082175523347468</v>
      </c>
      <c r="AJ35" s="363">
        <f t="shared" ca="1" si="391"/>
        <v>1.8115607590773377</v>
      </c>
      <c r="AK35" s="363">
        <f t="shared" ca="1" si="391"/>
        <v>1.7827615485199382</v>
      </c>
      <c r="AL35" s="363">
        <f t="shared" ca="1" si="391"/>
        <v>1.7544192320054657</v>
      </c>
      <c r="AM35" s="363">
        <f t="shared" ca="1" si="391"/>
        <v>1.642218234354933</v>
      </c>
      <c r="AN35" s="363">
        <f t="shared" ca="1" si="391"/>
        <v>1.6128858856613872</v>
      </c>
      <c r="AO35" s="363">
        <f t="shared" ca="1" si="391"/>
        <v>1.8859814247844777</v>
      </c>
      <c r="AP35" s="363">
        <f t="shared" ca="1" si="391"/>
        <v>1.7036286550606698</v>
      </c>
      <c r="AQ35" s="363">
        <f t="shared" ca="1" si="391"/>
        <v>1.7879377080714742</v>
      </c>
      <c r="AR35" s="363">
        <f t="shared" ca="1" si="391"/>
        <v>1.8228335589011113</v>
      </c>
      <c r="AS35" s="363">
        <f t="shared" ca="1" si="391"/>
        <v>1.8179013856936053</v>
      </c>
      <c r="AT35" s="363">
        <f t="shared" ca="1" si="391"/>
        <v>1.801365175659285</v>
      </c>
      <c r="AU35" s="363">
        <f t="shared" ca="1" si="391"/>
        <v>1.7836683717811084</v>
      </c>
      <c r="AV35" s="363">
        <f t="shared" ca="1" si="391"/>
        <v>1.7628157366899293</v>
      </c>
      <c r="AW35" s="363">
        <f t="shared" ca="1" si="391"/>
        <v>1.7304236354226661</v>
      </c>
      <c r="AX35" s="363">
        <f t="shared" ca="1" si="391"/>
        <v>1.7208900619535725</v>
      </c>
      <c r="AY35" s="363">
        <f t="shared" ca="1" si="391"/>
        <v>1.7621205305557464</v>
      </c>
      <c r="AZ35" s="363">
        <f t="shared" ca="1" si="391"/>
        <v>1.7976652620345575</v>
      </c>
      <c r="BA35" s="363">
        <f t="shared" ca="1" si="391"/>
        <v>1.7497110556019642</v>
      </c>
      <c r="BB35" s="363">
        <f t="shared" ca="1" si="391"/>
        <v>1.7620305704029877</v>
      </c>
      <c r="BC35" s="363">
        <f t="shared" ca="1" si="391"/>
        <v>1.7989288294624937</v>
      </c>
      <c r="BD35" s="363">
        <f t="shared" ca="1" si="391"/>
        <v>1.8656546438076267</v>
      </c>
      <c r="BE35" s="363">
        <f t="shared" ca="1" si="391"/>
        <v>1.9342827311219857</v>
      </c>
      <c r="BF35" s="363">
        <f t="shared" ca="1" si="391"/>
        <v>1.7065489306670956</v>
      </c>
      <c r="BG35" s="363">
        <f t="shared" ca="1" si="391"/>
        <v>1.7030568434221525</v>
      </c>
      <c r="BH35" s="363">
        <f t="shared" ca="1" si="391"/>
        <v>1.9618142197539541</v>
      </c>
      <c r="BI35" s="363">
        <f t="shared" ca="1" si="391"/>
        <v>1.8199147812005545</v>
      </c>
      <c r="BJ35" s="363">
        <f t="shared" ca="1" si="391"/>
        <v>1.9161176431285687</v>
      </c>
      <c r="BK35" s="363">
        <f t="shared" ca="1" si="391"/>
        <v>1.625738985890361</v>
      </c>
      <c r="BL35" s="363">
        <f t="shared" ca="1" si="391"/>
        <v>1.7891433618737795</v>
      </c>
      <c r="BM35" s="363">
        <f t="shared" ca="1" si="391"/>
        <v>1.7326055067951218</v>
      </c>
      <c r="BN35" s="363">
        <f t="shared" ca="1" si="391"/>
        <v>1.7387738748820585</v>
      </c>
      <c r="BO35" s="363">
        <f t="shared" ca="1" si="391"/>
        <v>1.7425263173388841</v>
      </c>
      <c r="BP35" s="363">
        <f t="shared" ca="1" si="391"/>
        <v>1.7382142471951436</v>
      </c>
      <c r="BQ35" s="363">
        <f t="shared" ca="1" si="391"/>
        <v>1.8342941047045707</v>
      </c>
      <c r="BR35" s="363">
        <f t="shared" ca="1" si="391"/>
        <v>1.8902761193324455</v>
      </c>
      <c r="BS35" s="363">
        <f t="shared" ca="1" si="391"/>
        <v>1.6128509777331861</v>
      </c>
      <c r="BT35" s="363">
        <f t="shared" ca="1" si="391"/>
        <v>1.7917944452910615</v>
      </c>
      <c r="BU35" s="363">
        <f t="shared" ca="1" si="391"/>
        <v>1.7712373173423264</v>
      </c>
      <c r="BV35" s="363">
        <f t="shared" ca="1" si="391"/>
        <v>1.7117687146533793</v>
      </c>
      <c r="BW35" s="363">
        <f t="shared" ca="1" si="391"/>
        <v>1.8223143820254244</v>
      </c>
      <c r="BX35" s="363">
        <f t="shared" ca="1" si="391"/>
        <v>1.867157018801525</v>
      </c>
      <c r="BY35" s="363">
        <f t="shared" ca="1" si="391"/>
        <v>1.7006782642580462</v>
      </c>
      <c r="BZ35" s="363">
        <f t="shared" ref="BZ35:DH35" ca="1" si="392">_xlfn.LOGNORM.INV(RAND(),$I$35,$J$35)</f>
        <v>1.7564438745077509</v>
      </c>
      <c r="CA35" s="363">
        <f t="shared" ca="1" si="392"/>
        <v>1.8293493849204385</v>
      </c>
      <c r="CB35" s="363">
        <f t="shared" ca="1" si="392"/>
        <v>1.8336285245424591</v>
      </c>
      <c r="CC35" s="363">
        <f t="shared" ca="1" si="392"/>
        <v>1.5932999202017333</v>
      </c>
      <c r="CD35" s="363">
        <f t="shared" ca="1" si="392"/>
        <v>1.8227910601225301</v>
      </c>
      <c r="CE35" s="363">
        <f t="shared" ca="1" si="392"/>
        <v>1.7264987960058951</v>
      </c>
      <c r="CF35" s="363">
        <f t="shared" ca="1" si="392"/>
        <v>1.7257067157611621</v>
      </c>
      <c r="CG35" s="363">
        <f t="shared" ca="1" si="392"/>
        <v>1.8001808590170274</v>
      </c>
      <c r="CH35" s="363">
        <f t="shared" ca="1" si="392"/>
        <v>1.7599415222030386</v>
      </c>
      <c r="CI35" s="363">
        <f t="shared" ca="1" si="392"/>
        <v>1.8397970638579531</v>
      </c>
      <c r="CJ35" s="363">
        <f t="shared" ca="1" si="392"/>
        <v>1.701314706690829</v>
      </c>
      <c r="CK35" s="363">
        <f t="shared" ca="1" si="392"/>
        <v>1.7528160377324469</v>
      </c>
      <c r="CL35" s="363">
        <f t="shared" ca="1" si="392"/>
        <v>1.7523031506373254</v>
      </c>
      <c r="CM35" s="363">
        <f t="shared" ca="1" si="392"/>
        <v>1.6569799734645454</v>
      </c>
      <c r="CN35" s="363">
        <f t="shared" ca="1" si="392"/>
        <v>1.7720180576524345</v>
      </c>
      <c r="CO35" s="363">
        <f t="shared" ca="1" si="392"/>
        <v>1.6402166631227124</v>
      </c>
      <c r="CP35" s="363">
        <f t="shared" ca="1" si="392"/>
        <v>1.6302366812344395</v>
      </c>
      <c r="CQ35" s="363">
        <f t="shared" ca="1" si="392"/>
        <v>1.7248867607451885</v>
      </c>
      <c r="CR35" s="363">
        <f t="shared" ca="1" si="392"/>
        <v>1.723621966186405</v>
      </c>
      <c r="CS35" s="363">
        <f t="shared" ca="1" si="392"/>
        <v>1.7550239483962309</v>
      </c>
      <c r="CT35" s="363">
        <f t="shared" ca="1" si="392"/>
        <v>1.6694060727558977</v>
      </c>
      <c r="CU35" s="363">
        <f t="shared" ca="1" si="392"/>
        <v>1.8796092832858757</v>
      </c>
      <c r="CV35" s="363">
        <f t="shared" ca="1" si="392"/>
        <v>1.900321778590067</v>
      </c>
      <c r="CW35" s="363">
        <f t="shared" ca="1" si="392"/>
        <v>1.8168914833001832</v>
      </c>
      <c r="CX35" s="363">
        <f t="shared" ca="1" si="392"/>
        <v>1.7998951400462138</v>
      </c>
      <c r="CY35" s="363">
        <f t="shared" ca="1" si="392"/>
        <v>1.8654215622994652</v>
      </c>
      <c r="CZ35" s="363">
        <f t="shared" ca="1" si="392"/>
        <v>1.9587350878877332</v>
      </c>
      <c r="DA35" s="363">
        <f t="shared" ca="1" si="392"/>
        <v>1.7648622151676125</v>
      </c>
      <c r="DB35" s="363">
        <f t="shared" ca="1" si="392"/>
        <v>1.7990047998075815</v>
      </c>
      <c r="DC35" s="363">
        <f t="shared" ca="1" si="392"/>
        <v>1.719547006840151</v>
      </c>
      <c r="DD35" s="363">
        <f t="shared" ca="1" si="392"/>
        <v>1.6699481165811705</v>
      </c>
      <c r="DE35" s="363">
        <f t="shared" ca="1" si="392"/>
        <v>1.7624299122435272</v>
      </c>
      <c r="DF35" s="363">
        <f t="shared" ca="1" si="392"/>
        <v>1.7973252749478164</v>
      </c>
      <c r="DG35" s="363">
        <f t="shared" ca="1" si="392"/>
        <v>1.7733279806162465</v>
      </c>
      <c r="DH35" s="363">
        <f t="shared" ca="1" si="392"/>
        <v>1.768154416900646</v>
      </c>
      <c r="DI35" s="363">
        <f ca="1">_xlfn.LOGNORM.INV(RAND(),$I$35,$J$35)</f>
        <v>1.731212993608483</v>
      </c>
      <c r="DJ35" s="363">
        <f t="shared" ref="DJ35:FU35" ca="1" si="393">_xlfn.LOGNORM.INV(RAND(),$I$35,$J$35)</f>
        <v>1.7567076743299945</v>
      </c>
      <c r="DK35" s="363">
        <f t="shared" ca="1" si="393"/>
        <v>1.8982141160342083</v>
      </c>
      <c r="DL35" s="363">
        <f t="shared" ca="1" si="393"/>
        <v>1.7450220431868713</v>
      </c>
      <c r="DM35" s="363">
        <f t="shared" ca="1" si="393"/>
        <v>1.6372924792514025</v>
      </c>
      <c r="DN35" s="363">
        <f t="shared" ca="1" si="393"/>
        <v>1.7518316339489208</v>
      </c>
      <c r="DO35" s="363">
        <f t="shared" ca="1" si="393"/>
        <v>1.9253558344931481</v>
      </c>
      <c r="DP35" s="363">
        <f t="shared" ca="1" si="393"/>
        <v>1.7085268477507229</v>
      </c>
      <c r="DQ35" s="363">
        <f t="shared" ca="1" si="393"/>
        <v>1.7985724645636201</v>
      </c>
      <c r="DR35" s="363">
        <f t="shared" ca="1" si="393"/>
        <v>1.6809998736892062</v>
      </c>
      <c r="DS35" s="363">
        <f t="shared" ca="1" si="393"/>
        <v>1.871090419148363</v>
      </c>
      <c r="DT35" s="363">
        <f t="shared" ca="1" si="393"/>
        <v>1.7856537371578931</v>
      </c>
      <c r="DU35" s="363">
        <f t="shared" ca="1" si="393"/>
        <v>1.7688474600314799</v>
      </c>
      <c r="DV35" s="363">
        <f t="shared" ca="1" si="393"/>
        <v>1.7812481491661236</v>
      </c>
      <c r="DW35" s="363">
        <f t="shared" ca="1" si="393"/>
        <v>1.6637809043168721</v>
      </c>
      <c r="DX35" s="363">
        <f t="shared" ca="1" si="393"/>
        <v>1.8872151077416215</v>
      </c>
      <c r="DY35" s="363">
        <f t="shared" ca="1" si="393"/>
        <v>1.8329732076463157</v>
      </c>
      <c r="DZ35" s="363">
        <f t="shared" ca="1" si="393"/>
        <v>1.80333973375182</v>
      </c>
      <c r="EA35" s="363">
        <f t="shared" ca="1" si="393"/>
        <v>1.6121688606682607</v>
      </c>
      <c r="EB35" s="363">
        <f t="shared" ca="1" si="393"/>
        <v>1.8417073555315775</v>
      </c>
      <c r="EC35" s="363">
        <f t="shared" ca="1" si="393"/>
        <v>1.8236035875621153</v>
      </c>
      <c r="ED35" s="363">
        <f t="shared" ca="1" si="393"/>
        <v>1.747385740023754</v>
      </c>
      <c r="EE35" s="363">
        <f t="shared" ca="1" si="393"/>
        <v>1.7816257960484791</v>
      </c>
      <c r="EF35" s="363">
        <f t="shared" ca="1" si="393"/>
        <v>1.8784504057421025</v>
      </c>
      <c r="EG35" s="363">
        <f t="shared" ca="1" si="393"/>
        <v>1.8725283217773345</v>
      </c>
      <c r="EH35" s="363">
        <f t="shared" ca="1" si="393"/>
        <v>1.8819536537135175</v>
      </c>
      <c r="EI35" s="363">
        <f t="shared" ca="1" si="393"/>
        <v>1.8201585841863246</v>
      </c>
      <c r="EJ35" s="363">
        <f t="shared" ca="1" si="393"/>
        <v>1.7344452693249226</v>
      </c>
      <c r="EK35" s="363">
        <f t="shared" ca="1" si="393"/>
        <v>1.7450308374338364</v>
      </c>
      <c r="EL35" s="363">
        <f t="shared" ca="1" si="393"/>
        <v>1.7848669947003777</v>
      </c>
      <c r="EM35" s="363">
        <f t="shared" ca="1" si="393"/>
        <v>1.7772203409188383</v>
      </c>
      <c r="EN35" s="363">
        <f t="shared" ca="1" si="393"/>
        <v>1.8322618852810133</v>
      </c>
      <c r="EO35" s="363">
        <f t="shared" ca="1" si="393"/>
        <v>1.7869756601969704</v>
      </c>
      <c r="EP35" s="363">
        <f t="shared" ca="1" si="393"/>
        <v>1.8006688699196092</v>
      </c>
      <c r="EQ35" s="363">
        <f t="shared" ca="1" si="393"/>
        <v>1.7135193168192011</v>
      </c>
      <c r="ER35" s="363">
        <f t="shared" ca="1" si="393"/>
        <v>1.7162195509269245</v>
      </c>
      <c r="ES35" s="363">
        <f t="shared" ca="1" si="393"/>
        <v>1.7100537281709427</v>
      </c>
      <c r="ET35" s="363">
        <f t="shared" ca="1" si="393"/>
        <v>1.7220675711338234</v>
      </c>
      <c r="EU35" s="363">
        <f t="shared" ca="1" si="393"/>
        <v>1.9270216340434883</v>
      </c>
      <c r="EV35" s="363">
        <f t="shared" ca="1" si="393"/>
        <v>1.6676019264137545</v>
      </c>
      <c r="EW35" s="363">
        <f t="shared" ca="1" si="393"/>
        <v>1.7861547749051785</v>
      </c>
      <c r="EX35" s="363">
        <f t="shared" ca="1" si="393"/>
        <v>1.6807539459019938</v>
      </c>
      <c r="EY35" s="363">
        <f t="shared" ca="1" si="393"/>
        <v>1.846334330488794</v>
      </c>
      <c r="EZ35" s="363">
        <f t="shared" ca="1" si="393"/>
        <v>1.8918094771635734</v>
      </c>
      <c r="FA35" s="363">
        <f t="shared" ca="1" si="393"/>
        <v>1.7856267575525764</v>
      </c>
      <c r="FB35" s="363">
        <f t="shared" ca="1" si="393"/>
        <v>1.8074834794445072</v>
      </c>
      <c r="FC35" s="363">
        <f t="shared" ca="1" si="393"/>
        <v>1.7625594708205568</v>
      </c>
      <c r="FD35" s="363">
        <f t="shared" ca="1" si="393"/>
        <v>1.8556204604131998</v>
      </c>
      <c r="FE35" s="363">
        <f t="shared" ca="1" si="393"/>
        <v>1.7670574848663854</v>
      </c>
      <c r="FF35" s="363">
        <f t="shared" ca="1" si="393"/>
        <v>1.9282847321633565</v>
      </c>
      <c r="FG35" s="363">
        <f t="shared" ca="1" si="393"/>
        <v>1.7808552998132046</v>
      </c>
      <c r="FH35" s="363">
        <f t="shared" ca="1" si="393"/>
        <v>1.8411846685804669</v>
      </c>
      <c r="FI35" s="363">
        <f t="shared" ca="1" si="393"/>
        <v>1.8629871601137611</v>
      </c>
      <c r="FJ35" s="363">
        <f t="shared" ca="1" si="393"/>
        <v>1.8495451982148479</v>
      </c>
      <c r="FK35" s="363">
        <f t="shared" ca="1" si="393"/>
        <v>1.8219389939375636</v>
      </c>
      <c r="FL35" s="363">
        <f t="shared" ca="1" si="393"/>
        <v>1.7424365842105711</v>
      </c>
      <c r="FM35" s="363">
        <f t="shared" ca="1" si="393"/>
        <v>1.759409913740126</v>
      </c>
      <c r="FN35" s="363">
        <f t="shared" ca="1" si="393"/>
        <v>1.6582634079312917</v>
      </c>
      <c r="FO35" s="363">
        <f t="shared" ca="1" si="393"/>
        <v>1.6350574356274312</v>
      </c>
      <c r="FP35" s="363">
        <f t="shared" ca="1" si="393"/>
        <v>1.7146515113292033</v>
      </c>
      <c r="FQ35" s="363">
        <f t="shared" ca="1" si="393"/>
        <v>1.8438349202847664</v>
      </c>
      <c r="FR35" s="363">
        <f t="shared" ca="1" si="393"/>
        <v>1.6086452425731954</v>
      </c>
      <c r="FS35" s="363">
        <f t="shared" ca="1" si="393"/>
        <v>1.8304553322910904</v>
      </c>
      <c r="FT35" s="363">
        <f t="shared" ca="1" si="393"/>
        <v>1.6631634800345825</v>
      </c>
      <c r="FU35" s="363">
        <f t="shared" ca="1" si="393"/>
        <v>1.7930371153350901</v>
      </c>
      <c r="FV35" s="363">
        <f t="shared" ref="FV35:HD35" ca="1" si="394">_xlfn.LOGNORM.INV(RAND(),$I$35,$J$35)</f>
        <v>1.77434114893872</v>
      </c>
      <c r="FW35" s="363">
        <f t="shared" ca="1" si="394"/>
        <v>1.644524945561562</v>
      </c>
      <c r="FX35" s="363">
        <f t="shared" ca="1" si="394"/>
        <v>1.8095094823338775</v>
      </c>
      <c r="FY35" s="363">
        <f t="shared" ca="1" si="394"/>
        <v>1.6768519447464472</v>
      </c>
      <c r="FZ35" s="363">
        <f t="shared" ca="1" si="394"/>
        <v>1.8619786878243612</v>
      </c>
      <c r="GA35" s="363">
        <f t="shared" ca="1" si="394"/>
        <v>1.9102206948492542</v>
      </c>
      <c r="GB35" s="363">
        <f t="shared" ca="1" si="394"/>
        <v>1.7444243694676596</v>
      </c>
      <c r="GC35" s="363">
        <f t="shared" ca="1" si="394"/>
        <v>1.7224998352531617</v>
      </c>
      <c r="GD35" s="363">
        <f t="shared" ca="1" si="394"/>
        <v>1.7367563358904561</v>
      </c>
      <c r="GE35" s="363">
        <f t="shared" ca="1" si="394"/>
        <v>1.7197105648472557</v>
      </c>
      <c r="GF35" s="363">
        <f t="shared" ca="1" si="394"/>
        <v>1.7425196747691531</v>
      </c>
      <c r="GG35" s="363">
        <f t="shared" ca="1" si="394"/>
        <v>1.7078519590178518</v>
      </c>
      <c r="GH35" s="363">
        <f t="shared" ca="1" si="394"/>
        <v>1.7949995796696501</v>
      </c>
      <c r="GI35" s="363">
        <f t="shared" ca="1" si="394"/>
        <v>1.7682340151361085</v>
      </c>
      <c r="GJ35" s="363">
        <f t="shared" ca="1" si="394"/>
        <v>1.6940628704357557</v>
      </c>
      <c r="GK35" s="363">
        <f t="shared" ca="1" si="394"/>
        <v>1.8034127990520585</v>
      </c>
      <c r="GL35" s="363">
        <f t="shared" ca="1" si="394"/>
        <v>1.8161861440905693</v>
      </c>
      <c r="GM35" s="363">
        <f t="shared" ca="1" si="394"/>
        <v>1.7532890002785515</v>
      </c>
      <c r="GN35" s="363">
        <f t="shared" ca="1" si="394"/>
        <v>1.7362167486607896</v>
      </c>
      <c r="GO35" s="363">
        <f t="shared" ca="1" si="394"/>
        <v>1.7355333555208832</v>
      </c>
      <c r="GP35" s="363">
        <f t="shared" ca="1" si="394"/>
        <v>1.7565572811045105</v>
      </c>
      <c r="GQ35" s="363">
        <f t="shared" ca="1" si="394"/>
        <v>1.6757625116863843</v>
      </c>
      <c r="GR35" s="363">
        <f t="shared" ca="1" si="394"/>
        <v>1.7733007588351142</v>
      </c>
      <c r="GS35" s="363">
        <f t="shared" ca="1" si="394"/>
        <v>1.7733218134765756</v>
      </c>
      <c r="GT35" s="363">
        <f t="shared" ca="1" si="394"/>
        <v>1.7107134031988884</v>
      </c>
      <c r="GU35" s="363">
        <f t="shared" ca="1" si="394"/>
        <v>1.7226619285464539</v>
      </c>
      <c r="GV35" s="363">
        <f t="shared" ca="1" si="394"/>
        <v>1.8158066621027071</v>
      </c>
      <c r="GW35" s="363">
        <f t="shared" ca="1" si="394"/>
        <v>1.7878799446906106</v>
      </c>
      <c r="GX35" s="363">
        <f t="shared" ca="1" si="394"/>
        <v>1.8541164571736801</v>
      </c>
      <c r="GY35" s="363">
        <f t="shared" ca="1" si="394"/>
        <v>1.7467635400137118</v>
      </c>
      <c r="GZ35" s="363">
        <f t="shared" ca="1" si="394"/>
        <v>1.7585755184146372</v>
      </c>
      <c r="HA35" s="363">
        <f t="shared" ca="1" si="394"/>
        <v>1.7676683584725179</v>
      </c>
      <c r="HB35" s="363">
        <f t="shared" ca="1" si="394"/>
        <v>1.7653412753678621</v>
      </c>
      <c r="HC35" s="363">
        <f t="shared" ca="1" si="394"/>
        <v>1.8469129191249083</v>
      </c>
      <c r="HD35" s="363">
        <f t="shared" ca="1" si="394"/>
        <v>1.7839827429181372</v>
      </c>
      <c r="HE35" s="363">
        <f ca="1">_xlfn.LOGNORM.INV(RAND(),$I$35,$J$35)</f>
        <v>1.8559887741687311</v>
      </c>
      <c r="HF35" s="363">
        <f t="shared" ref="HF35:JQ35" ca="1" si="395">_xlfn.LOGNORM.INV(RAND(),$I$35,$J$35)</f>
        <v>1.8149218174840374</v>
      </c>
      <c r="HG35" s="363">
        <f t="shared" ca="1" si="395"/>
        <v>1.7644136602459215</v>
      </c>
      <c r="HH35" s="363">
        <f t="shared" ca="1" si="395"/>
        <v>1.772890128615805</v>
      </c>
      <c r="HI35" s="363">
        <f t="shared" ca="1" si="395"/>
        <v>1.8041015949819321</v>
      </c>
      <c r="HJ35" s="363">
        <f t="shared" ca="1" si="395"/>
        <v>1.8840971446297305</v>
      </c>
      <c r="HK35" s="363">
        <f t="shared" ca="1" si="395"/>
        <v>1.6848190655853943</v>
      </c>
      <c r="HL35" s="363">
        <f t="shared" ca="1" si="395"/>
        <v>2.0201516681480514</v>
      </c>
      <c r="HM35" s="363">
        <f t="shared" ca="1" si="395"/>
        <v>1.6959760607574121</v>
      </c>
      <c r="HN35" s="363">
        <f t="shared" ca="1" si="395"/>
        <v>1.8539659341130139</v>
      </c>
      <c r="HO35" s="363">
        <f t="shared" ca="1" si="395"/>
        <v>1.767011687537446</v>
      </c>
      <c r="HP35" s="363">
        <f t="shared" ca="1" si="395"/>
        <v>1.9787500265416638</v>
      </c>
      <c r="HQ35" s="363">
        <f t="shared" ca="1" si="395"/>
        <v>1.8181764819192807</v>
      </c>
      <c r="HR35" s="363">
        <f t="shared" ca="1" si="395"/>
        <v>1.7784243779859092</v>
      </c>
      <c r="HS35" s="363">
        <f t="shared" ca="1" si="395"/>
        <v>1.8199280600297834</v>
      </c>
      <c r="HT35" s="363">
        <f t="shared" ca="1" si="395"/>
        <v>1.7797320965228567</v>
      </c>
      <c r="HU35" s="363">
        <f t="shared" ca="1" si="395"/>
        <v>1.6682254663720375</v>
      </c>
      <c r="HV35" s="363">
        <f t="shared" ca="1" si="395"/>
        <v>1.8120280033386531</v>
      </c>
      <c r="HW35" s="363">
        <f t="shared" ca="1" si="395"/>
        <v>1.7752805510487262</v>
      </c>
      <c r="HX35" s="363">
        <f t="shared" ca="1" si="395"/>
        <v>1.7651034618237047</v>
      </c>
      <c r="HY35" s="363">
        <f t="shared" ca="1" si="395"/>
        <v>1.7759303004014741</v>
      </c>
      <c r="HZ35" s="363">
        <f t="shared" ca="1" si="395"/>
        <v>1.7165770048411038</v>
      </c>
      <c r="IA35" s="363">
        <f t="shared" ca="1" si="395"/>
        <v>1.8833057353017126</v>
      </c>
      <c r="IB35" s="363">
        <f t="shared" ca="1" si="395"/>
        <v>1.7857612001139418</v>
      </c>
      <c r="IC35" s="363">
        <f t="shared" ca="1" si="395"/>
        <v>1.7634201645735543</v>
      </c>
      <c r="ID35" s="363">
        <f t="shared" ca="1" si="395"/>
        <v>1.7102746571055039</v>
      </c>
      <c r="IE35" s="363">
        <f t="shared" ca="1" si="395"/>
        <v>1.6985356138134862</v>
      </c>
      <c r="IF35" s="363">
        <f t="shared" ca="1" si="395"/>
        <v>1.8249611311002993</v>
      </c>
      <c r="IG35" s="363">
        <f t="shared" ca="1" si="395"/>
        <v>1.8224724020265499</v>
      </c>
      <c r="IH35" s="363">
        <f t="shared" ca="1" si="395"/>
        <v>1.7121273153353425</v>
      </c>
      <c r="II35" s="363">
        <f t="shared" ca="1" si="395"/>
        <v>1.8557799413069112</v>
      </c>
      <c r="IJ35" s="363">
        <f t="shared" ca="1" si="395"/>
        <v>1.8352904863097903</v>
      </c>
      <c r="IK35" s="363">
        <f t="shared" ca="1" si="395"/>
        <v>1.6613692983486295</v>
      </c>
      <c r="IL35" s="363">
        <f t="shared" ca="1" si="395"/>
        <v>1.7811915824426816</v>
      </c>
      <c r="IM35" s="363">
        <f t="shared" ca="1" si="395"/>
        <v>1.5684579258363951</v>
      </c>
      <c r="IN35" s="363">
        <f t="shared" ca="1" si="395"/>
        <v>1.8081930618839177</v>
      </c>
      <c r="IO35" s="363">
        <f t="shared" ca="1" si="395"/>
        <v>1.7502018986908381</v>
      </c>
      <c r="IP35" s="363">
        <f t="shared" ca="1" si="395"/>
        <v>1.8432945222907795</v>
      </c>
      <c r="IQ35" s="363">
        <f t="shared" ca="1" si="395"/>
        <v>1.7843463538645448</v>
      </c>
      <c r="IR35" s="363">
        <f t="shared" ca="1" si="395"/>
        <v>1.7766838446188402</v>
      </c>
      <c r="IS35" s="363">
        <f t="shared" ca="1" si="395"/>
        <v>1.8277260767520771</v>
      </c>
      <c r="IT35" s="363">
        <f t="shared" ca="1" si="395"/>
        <v>1.7595644997136073</v>
      </c>
      <c r="IU35" s="363">
        <f t="shared" ca="1" si="395"/>
        <v>1.7618578354132048</v>
      </c>
      <c r="IV35" s="363">
        <f t="shared" ca="1" si="395"/>
        <v>1.7680584063641358</v>
      </c>
      <c r="IW35" s="363">
        <f t="shared" ca="1" si="395"/>
        <v>1.7990147894081627</v>
      </c>
      <c r="IX35" s="363">
        <f t="shared" ca="1" si="395"/>
        <v>1.6801042506319221</v>
      </c>
      <c r="IY35" s="363">
        <f t="shared" ca="1" si="395"/>
        <v>1.8484515683721934</v>
      </c>
      <c r="IZ35" s="363">
        <f t="shared" ca="1" si="395"/>
        <v>1.879174778074864</v>
      </c>
      <c r="JA35" s="363">
        <f t="shared" ca="1" si="395"/>
        <v>1.8759620486351252</v>
      </c>
      <c r="JB35" s="363">
        <f t="shared" ca="1" si="395"/>
        <v>1.7937162857929771</v>
      </c>
      <c r="JC35" s="363">
        <f t="shared" ca="1" si="395"/>
        <v>1.7058704947181569</v>
      </c>
      <c r="JD35" s="363">
        <f t="shared" ca="1" si="395"/>
        <v>1.7406361831539268</v>
      </c>
      <c r="JE35" s="363">
        <f t="shared" ca="1" si="395"/>
        <v>1.7121671121690722</v>
      </c>
      <c r="JF35" s="363">
        <f t="shared" ca="1" si="395"/>
        <v>1.6851840576044721</v>
      </c>
      <c r="JG35" s="363">
        <f t="shared" ca="1" si="395"/>
        <v>1.8489558350816215</v>
      </c>
      <c r="JH35" s="363">
        <f t="shared" ca="1" si="395"/>
        <v>1.7248809209106777</v>
      </c>
      <c r="JI35" s="363">
        <f t="shared" ca="1" si="395"/>
        <v>1.7803577062629612</v>
      </c>
      <c r="JJ35" s="363">
        <f t="shared" ca="1" si="395"/>
        <v>1.7813020676270317</v>
      </c>
      <c r="JK35" s="363">
        <f t="shared" ca="1" si="395"/>
        <v>1.8441020140956763</v>
      </c>
      <c r="JL35" s="363">
        <f t="shared" ca="1" si="395"/>
        <v>1.8545713649166022</v>
      </c>
      <c r="JM35" s="363">
        <f t="shared" ca="1" si="395"/>
        <v>1.7598180006637176</v>
      </c>
      <c r="JN35" s="363">
        <f t="shared" ca="1" si="395"/>
        <v>1.5984955017772027</v>
      </c>
      <c r="JO35" s="363">
        <f t="shared" ca="1" si="395"/>
        <v>1.7080004570946647</v>
      </c>
      <c r="JP35" s="363">
        <f t="shared" ca="1" si="395"/>
        <v>1.8210111748678088</v>
      </c>
      <c r="JQ35" s="363">
        <f t="shared" ca="1" si="395"/>
        <v>1.7316086480834165</v>
      </c>
      <c r="JR35" s="363">
        <f t="shared" ref="JR35:KZ35" ca="1" si="396">_xlfn.LOGNORM.INV(RAND(),$I$35,$J$35)</f>
        <v>1.7107019890412678</v>
      </c>
      <c r="JS35" s="363">
        <f t="shared" ca="1" si="396"/>
        <v>1.7761390194518405</v>
      </c>
      <c r="JT35" s="363">
        <f t="shared" ca="1" si="396"/>
        <v>1.7861748395126971</v>
      </c>
      <c r="JU35" s="363">
        <f t="shared" ca="1" si="396"/>
        <v>1.8866367073726125</v>
      </c>
      <c r="JV35" s="363">
        <f t="shared" ca="1" si="396"/>
        <v>1.6991774455955369</v>
      </c>
      <c r="JW35" s="363">
        <f t="shared" ca="1" si="396"/>
        <v>1.9114752478219159</v>
      </c>
      <c r="JX35" s="363">
        <f t="shared" ca="1" si="396"/>
        <v>1.8248867715111903</v>
      </c>
      <c r="JY35" s="363">
        <f t="shared" ca="1" si="396"/>
        <v>1.793695976885477</v>
      </c>
      <c r="JZ35" s="363">
        <f t="shared" ca="1" si="396"/>
        <v>1.7190213595324442</v>
      </c>
      <c r="KA35" s="363">
        <f t="shared" ca="1" si="396"/>
        <v>1.7854134832751003</v>
      </c>
      <c r="KB35" s="363">
        <f t="shared" ca="1" si="396"/>
        <v>1.8167743586626883</v>
      </c>
      <c r="KC35" s="363">
        <f t="shared" ca="1" si="396"/>
        <v>1.8781783598519133</v>
      </c>
      <c r="KD35" s="363">
        <f t="shared" ca="1" si="396"/>
        <v>1.7412113758079444</v>
      </c>
      <c r="KE35" s="363">
        <f t="shared" ca="1" si="396"/>
        <v>1.7449321076311253</v>
      </c>
      <c r="KF35" s="363">
        <f t="shared" ca="1" si="396"/>
        <v>1.7574498825422742</v>
      </c>
      <c r="KG35" s="363">
        <f t="shared" ca="1" si="396"/>
        <v>1.7859181580481178</v>
      </c>
      <c r="KH35" s="363">
        <f t="shared" ca="1" si="396"/>
        <v>1.797038388870358</v>
      </c>
      <c r="KI35" s="363">
        <f t="shared" ca="1" si="396"/>
        <v>1.8621039945345779</v>
      </c>
      <c r="KJ35" s="363">
        <f t="shared" ca="1" si="396"/>
        <v>1.8216869412552141</v>
      </c>
      <c r="KK35" s="363">
        <f t="shared" ca="1" si="396"/>
        <v>1.8230808006933337</v>
      </c>
      <c r="KL35" s="363">
        <f t="shared" ca="1" si="396"/>
        <v>1.769790686163206</v>
      </c>
      <c r="KM35" s="363">
        <f t="shared" ca="1" si="396"/>
        <v>1.8282733632016641</v>
      </c>
      <c r="KN35" s="363">
        <f t="shared" ca="1" si="396"/>
        <v>1.8133865940369875</v>
      </c>
      <c r="KO35" s="363">
        <f t="shared" ca="1" si="396"/>
        <v>1.7147072097062406</v>
      </c>
      <c r="KP35" s="363">
        <f t="shared" ca="1" si="396"/>
        <v>1.7857076975994319</v>
      </c>
      <c r="KQ35" s="363">
        <f t="shared" ca="1" si="396"/>
        <v>1.791387163224935</v>
      </c>
      <c r="KR35" s="363">
        <f t="shared" ca="1" si="396"/>
        <v>1.6256665834522619</v>
      </c>
      <c r="KS35" s="363">
        <f t="shared" ca="1" si="396"/>
        <v>1.7689145781671991</v>
      </c>
      <c r="KT35" s="363">
        <f t="shared" ca="1" si="396"/>
        <v>1.6580489262640195</v>
      </c>
      <c r="KU35" s="363">
        <f t="shared" ca="1" si="396"/>
        <v>1.9419698628730773</v>
      </c>
      <c r="KV35" s="363">
        <f t="shared" ca="1" si="396"/>
        <v>1.7956651767565803</v>
      </c>
      <c r="KW35" s="363">
        <f t="shared" ca="1" si="396"/>
        <v>1.7799912397351032</v>
      </c>
      <c r="KX35" s="363">
        <f t="shared" ca="1" si="396"/>
        <v>1.6860403979975553</v>
      </c>
      <c r="KY35" s="363">
        <f t="shared" ca="1" si="396"/>
        <v>1.6810099780189791</v>
      </c>
      <c r="KZ35" s="363">
        <f t="shared" ca="1" si="396"/>
        <v>1.6870360911421511</v>
      </c>
      <c r="LA35" s="363">
        <f ca="1">_xlfn.LOGNORM.INV(RAND(),$I$35,$J$35)</f>
        <v>1.7159712441547559</v>
      </c>
      <c r="LB35" s="363">
        <f t="shared" ref="LB35:NM35" ca="1" si="397">_xlfn.LOGNORM.INV(RAND(),$I$35,$J$35)</f>
        <v>1.8841641881255411</v>
      </c>
      <c r="LC35" s="363">
        <f t="shared" ca="1" si="397"/>
        <v>1.7290302370286506</v>
      </c>
      <c r="LD35" s="363">
        <f t="shared" ca="1" si="397"/>
        <v>1.8182321070556224</v>
      </c>
      <c r="LE35" s="363">
        <f t="shared" ca="1" si="397"/>
        <v>1.7632111334410308</v>
      </c>
      <c r="LF35" s="363">
        <f t="shared" ca="1" si="397"/>
        <v>1.7401116977765758</v>
      </c>
      <c r="LG35" s="363">
        <f t="shared" ca="1" si="397"/>
        <v>1.6824869144200698</v>
      </c>
      <c r="LH35" s="363">
        <f t="shared" ca="1" si="397"/>
        <v>1.6916657999693741</v>
      </c>
      <c r="LI35" s="363">
        <f t="shared" ca="1" si="397"/>
        <v>1.7702448644204161</v>
      </c>
      <c r="LJ35" s="363">
        <f t="shared" ca="1" si="397"/>
        <v>1.7720684350920779</v>
      </c>
      <c r="LK35" s="363">
        <f t="shared" ca="1" si="397"/>
        <v>1.7831567845944265</v>
      </c>
      <c r="LL35" s="363">
        <f t="shared" ca="1" si="397"/>
        <v>1.7357450468390292</v>
      </c>
      <c r="LM35" s="363">
        <f t="shared" ca="1" si="397"/>
        <v>1.8258756846706159</v>
      </c>
      <c r="LN35" s="363">
        <f t="shared" ca="1" si="397"/>
        <v>1.6560541541763334</v>
      </c>
      <c r="LO35" s="363">
        <f t="shared" ca="1" si="397"/>
        <v>1.7880898866425456</v>
      </c>
      <c r="LP35" s="363">
        <f t="shared" ca="1" si="397"/>
        <v>1.8105932374541318</v>
      </c>
      <c r="LQ35" s="363">
        <f t="shared" ca="1" si="397"/>
        <v>1.8277101918286753</v>
      </c>
      <c r="LR35" s="363">
        <f t="shared" ca="1" si="397"/>
        <v>1.826409246972855</v>
      </c>
      <c r="LS35" s="363">
        <f t="shared" ca="1" si="397"/>
        <v>1.8993845214895348</v>
      </c>
      <c r="LT35" s="363">
        <f t="shared" ca="1" si="397"/>
        <v>1.7568373924235869</v>
      </c>
      <c r="LU35" s="363">
        <f t="shared" ca="1" si="397"/>
        <v>1.9039775869133955</v>
      </c>
      <c r="LV35" s="363">
        <f t="shared" ca="1" si="397"/>
        <v>1.7861465711515139</v>
      </c>
      <c r="LW35" s="363">
        <f t="shared" ca="1" si="397"/>
        <v>1.570029247312958</v>
      </c>
      <c r="LX35" s="363">
        <f t="shared" ca="1" si="397"/>
        <v>1.7795684864919987</v>
      </c>
      <c r="LY35" s="363">
        <f t="shared" ca="1" si="397"/>
        <v>1.6417640851927617</v>
      </c>
      <c r="LZ35" s="363">
        <f t="shared" ca="1" si="397"/>
        <v>1.6158202791641407</v>
      </c>
      <c r="MA35" s="363">
        <f t="shared" ca="1" si="397"/>
        <v>1.7049633152166466</v>
      </c>
      <c r="MB35" s="363">
        <f t="shared" ca="1" si="397"/>
        <v>1.681168696787311</v>
      </c>
      <c r="MC35" s="363">
        <f t="shared" ca="1" si="397"/>
        <v>1.8033851343140632</v>
      </c>
      <c r="MD35" s="363">
        <f t="shared" ca="1" si="397"/>
        <v>1.7217623641450785</v>
      </c>
      <c r="ME35" s="363">
        <f t="shared" ca="1" si="397"/>
        <v>1.6507757637760911</v>
      </c>
      <c r="MF35" s="363">
        <f t="shared" ca="1" si="397"/>
        <v>1.770964350866975</v>
      </c>
      <c r="MG35" s="363">
        <f t="shared" ca="1" si="397"/>
        <v>1.9115842197998489</v>
      </c>
      <c r="MH35" s="363">
        <f t="shared" ca="1" si="397"/>
        <v>1.8358898004064348</v>
      </c>
      <c r="MI35" s="363">
        <f t="shared" ca="1" si="397"/>
        <v>1.9021072237024199</v>
      </c>
      <c r="MJ35" s="363">
        <f t="shared" ca="1" si="397"/>
        <v>1.6983954967241273</v>
      </c>
      <c r="MK35" s="363">
        <f t="shared" ca="1" si="397"/>
        <v>1.6632752877482713</v>
      </c>
      <c r="ML35" s="363">
        <f t="shared" ca="1" si="397"/>
        <v>1.7380707283572299</v>
      </c>
      <c r="MM35" s="363">
        <f t="shared" ca="1" si="397"/>
        <v>1.8943973801438065</v>
      </c>
      <c r="MN35" s="363">
        <f t="shared" ca="1" si="397"/>
        <v>1.7110119182271357</v>
      </c>
      <c r="MO35" s="363">
        <f t="shared" ca="1" si="397"/>
        <v>1.6959106521686345</v>
      </c>
      <c r="MP35" s="363">
        <f t="shared" ca="1" si="397"/>
        <v>1.7690000586359891</v>
      </c>
      <c r="MQ35" s="363">
        <f t="shared" ca="1" si="397"/>
        <v>1.6897729453707664</v>
      </c>
      <c r="MR35" s="363">
        <f t="shared" ca="1" si="397"/>
        <v>1.8336016015849026</v>
      </c>
      <c r="MS35" s="363">
        <f t="shared" ca="1" si="397"/>
        <v>1.6052136657698526</v>
      </c>
      <c r="MT35" s="363">
        <f t="shared" ca="1" si="397"/>
        <v>1.6424822903502299</v>
      </c>
      <c r="MU35" s="363">
        <f t="shared" ca="1" si="397"/>
        <v>1.6684226661324888</v>
      </c>
      <c r="MV35" s="363">
        <f t="shared" ca="1" si="397"/>
        <v>1.7747247284085415</v>
      </c>
      <c r="MW35" s="363">
        <f t="shared" ca="1" si="397"/>
        <v>1.6934741524620947</v>
      </c>
      <c r="MX35" s="363">
        <f t="shared" ca="1" si="397"/>
        <v>1.6975769391303355</v>
      </c>
      <c r="MY35" s="363">
        <f t="shared" ca="1" si="397"/>
        <v>1.8316801972132377</v>
      </c>
      <c r="MZ35" s="363">
        <f t="shared" ca="1" si="397"/>
        <v>1.6830631340961284</v>
      </c>
      <c r="NA35" s="363">
        <f t="shared" ca="1" si="397"/>
        <v>1.7996279580022636</v>
      </c>
      <c r="NB35" s="363">
        <f t="shared" ca="1" si="397"/>
        <v>1.6691469419496365</v>
      </c>
      <c r="NC35" s="363">
        <f t="shared" ca="1" si="397"/>
        <v>1.7534248156578187</v>
      </c>
      <c r="ND35" s="363">
        <f t="shared" ca="1" si="397"/>
        <v>1.7409591280501806</v>
      </c>
      <c r="NE35" s="363">
        <f t="shared" ca="1" si="397"/>
        <v>1.8152403583325287</v>
      </c>
      <c r="NF35" s="363">
        <f t="shared" ca="1" si="397"/>
        <v>1.768528655200087</v>
      </c>
      <c r="NG35" s="363">
        <f t="shared" ca="1" si="397"/>
        <v>1.7041321320877889</v>
      </c>
      <c r="NH35" s="363">
        <f t="shared" ca="1" si="397"/>
        <v>1.8581413703746286</v>
      </c>
      <c r="NI35" s="363">
        <f t="shared" ca="1" si="397"/>
        <v>1.8369397518896797</v>
      </c>
      <c r="NJ35" s="363">
        <f t="shared" ca="1" si="397"/>
        <v>1.6669600656544439</v>
      </c>
      <c r="NK35" s="363">
        <f t="shared" ca="1" si="397"/>
        <v>1.7675731418084943</v>
      </c>
      <c r="NL35" s="363">
        <f t="shared" ca="1" si="397"/>
        <v>1.7948283103209894</v>
      </c>
      <c r="NM35" s="363">
        <f t="shared" ca="1" si="397"/>
        <v>1.8303233413154447</v>
      </c>
      <c r="NN35" s="363">
        <f t="shared" ref="NN35:OV35" ca="1" si="398">_xlfn.LOGNORM.INV(RAND(),$I$35,$J$35)</f>
        <v>1.8765417961547399</v>
      </c>
      <c r="NO35" s="363">
        <f t="shared" ca="1" si="398"/>
        <v>1.7936152120505169</v>
      </c>
      <c r="NP35" s="363">
        <f t="shared" ca="1" si="398"/>
        <v>1.8099178005440175</v>
      </c>
      <c r="NQ35" s="363">
        <f t="shared" ca="1" si="398"/>
        <v>1.8275330726861658</v>
      </c>
      <c r="NR35" s="363">
        <f t="shared" ca="1" si="398"/>
        <v>1.6069706910110662</v>
      </c>
      <c r="NS35" s="363">
        <f t="shared" ca="1" si="398"/>
        <v>1.9077918906813394</v>
      </c>
      <c r="NT35" s="363">
        <f t="shared" ca="1" si="398"/>
        <v>1.8427967426469867</v>
      </c>
      <c r="NU35" s="363">
        <f t="shared" ca="1" si="398"/>
        <v>1.8443473590809141</v>
      </c>
      <c r="NV35" s="363">
        <f t="shared" ca="1" si="398"/>
        <v>1.6874272507237931</v>
      </c>
      <c r="NW35" s="363">
        <f t="shared" ca="1" si="398"/>
        <v>1.6161349181678646</v>
      </c>
      <c r="NX35" s="363">
        <f t="shared" ca="1" si="398"/>
        <v>1.6739642000100501</v>
      </c>
      <c r="NY35" s="363">
        <f t="shared" ca="1" si="398"/>
        <v>1.7028684252735995</v>
      </c>
      <c r="NZ35" s="363">
        <f t="shared" ca="1" si="398"/>
        <v>1.8333480618010074</v>
      </c>
      <c r="OA35" s="363">
        <f t="shared" ca="1" si="398"/>
        <v>1.8365374305631796</v>
      </c>
      <c r="OB35" s="363">
        <f t="shared" ca="1" si="398"/>
        <v>1.8472691352353601</v>
      </c>
      <c r="OC35" s="363">
        <f t="shared" ca="1" si="398"/>
        <v>1.7579165799356353</v>
      </c>
      <c r="OD35" s="363">
        <f t="shared" ca="1" si="398"/>
        <v>1.8605708730893524</v>
      </c>
      <c r="OE35" s="363">
        <f t="shared" ca="1" si="398"/>
        <v>1.8356114387213895</v>
      </c>
      <c r="OF35" s="363">
        <f t="shared" ca="1" si="398"/>
        <v>1.6789051652152536</v>
      </c>
      <c r="OG35" s="363">
        <f t="shared" ca="1" si="398"/>
        <v>1.7678450081190453</v>
      </c>
      <c r="OH35" s="363">
        <f t="shared" ca="1" si="398"/>
        <v>1.8604344551227183</v>
      </c>
      <c r="OI35" s="363">
        <f t="shared" ca="1" si="398"/>
        <v>1.7068928512186394</v>
      </c>
      <c r="OJ35" s="363">
        <f t="shared" ca="1" si="398"/>
        <v>1.6804877040849873</v>
      </c>
      <c r="OK35" s="363">
        <f t="shared" ca="1" si="398"/>
        <v>1.7910006144885706</v>
      </c>
      <c r="OL35" s="363">
        <f t="shared" ca="1" si="398"/>
        <v>1.7675158447272825</v>
      </c>
      <c r="OM35" s="363">
        <f t="shared" ca="1" si="398"/>
        <v>1.7873192889098442</v>
      </c>
      <c r="ON35" s="363">
        <f t="shared" ca="1" si="398"/>
        <v>1.8214400127307542</v>
      </c>
      <c r="OO35" s="363">
        <f t="shared" ca="1" si="398"/>
        <v>1.7504524043259559</v>
      </c>
      <c r="OP35" s="363">
        <f t="shared" ca="1" si="398"/>
        <v>1.8179632627668387</v>
      </c>
      <c r="OQ35" s="363">
        <f t="shared" ca="1" si="398"/>
        <v>1.9403475714086222</v>
      </c>
      <c r="OR35" s="363">
        <f t="shared" ca="1" si="398"/>
        <v>1.86402515375204</v>
      </c>
      <c r="OS35" s="363">
        <f t="shared" ca="1" si="398"/>
        <v>1.7516608991391194</v>
      </c>
      <c r="OT35" s="363">
        <f t="shared" ca="1" si="398"/>
        <v>1.829723308726497</v>
      </c>
      <c r="OU35" s="363">
        <f t="shared" ca="1" si="398"/>
        <v>1.8066085405278829</v>
      </c>
      <c r="OV35" s="363">
        <f t="shared" ca="1" si="398"/>
        <v>1.7423614792821001</v>
      </c>
      <c r="OW35" s="363">
        <f ca="1">_xlfn.LOGNORM.INV(RAND(),$I$35,$J$35)</f>
        <v>1.6541423367549772</v>
      </c>
      <c r="OX35" s="363">
        <f t="shared" ref="OX35:RI35" ca="1" si="399">_xlfn.LOGNORM.INV(RAND(),$I$35,$J$35)</f>
        <v>1.8189721216902868</v>
      </c>
      <c r="OY35" s="363">
        <f t="shared" ca="1" si="399"/>
        <v>1.6423371626549057</v>
      </c>
      <c r="OZ35" s="363">
        <f t="shared" ca="1" si="399"/>
        <v>1.8818210610784412</v>
      </c>
      <c r="PA35" s="363">
        <f t="shared" ca="1" si="399"/>
        <v>1.8420085510144761</v>
      </c>
      <c r="PB35" s="363">
        <f t="shared" ca="1" si="399"/>
        <v>1.7188261910961709</v>
      </c>
      <c r="PC35" s="363">
        <f t="shared" ca="1" si="399"/>
        <v>1.7694489138822052</v>
      </c>
      <c r="PD35" s="363">
        <f t="shared" ca="1" si="399"/>
        <v>1.6879374312317033</v>
      </c>
      <c r="PE35" s="363">
        <f t="shared" ca="1" si="399"/>
        <v>1.8808017958295791</v>
      </c>
      <c r="PF35" s="363">
        <f t="shared" ca="1" si="399"/>
        <v>1.6972212108928098</v>
      </c>
      <c r="PG35" s="363">
        <f t="shared" ca="1" si="399"/>
        <v>1.7807217897644341</v>
      </c>
      <c r="PH35" s="363">
        <f t="shared" ca="1" si="399"/>
        <v>1.6926633011836907</v>
      </c>
      <c r="PI35" s="363">
        <f t="shared" ca="1" si="399"/>
        <v>1.834751921485152</v>
      </c>
      <c r="PJ35" s="363">
        <f t="shared" ca="1" si="399"/>
        <v>1.7393240623635307</v>
      </c>
      <c r="PK35" s="363">
        <f t="shared" ca="1" si="399"/>
        <v>1.8320922759993739</v>
      </c>
      <c r="PL35" s="363">
        <f t="shared" ca="1" si="399"/>
        <v>1.7942988340575008</v>
      </c>
      <c r="PM35" s="363">
        <f t="shared" ca="1" si="399"/>
        <v>1.7083694363940198</v>
      </c>
      <c r="PN35" s="363">
        <f t="shared" ca="1" si="399"/>
        <v>1.8745522115850441</v>
      </c>
      <c r="PO35" s="363">
        <f t="shared" ca="1" si="399"/>
        <v>1.7331740390993691</v>
      </c>
      <c r="PP35" s="363">
        <f t="shared" ca="1" si="399"/>
        <v>1.858829252579455</v>
      </c>
      <c r="PQ35" s="363">
        <f t="shared" ca="1" si="399"/>
        <v>1.6942576254837025</v>
      </c>
      <c r="PR35" s="363">
        <f t="shared" ca="1" si="399"/>
        <v>1.6334178530210537</v>
      </c>
      <c r="PS35" s="363">
        <f t="shared" ca="1" si="399"/>
        <v>1.7953144738346198</v>
      </c>
      <c r="PT35" s="363">
        <f t="shared" ca="1" si="399"/>
        <v>1.6760903198491237</v>
      </c>
      <c r="PU35" s="363">
        <f t="shared" ca="1" si="399"/>
        <v>1.5747524164190139</v>
      </c>
      <c r="PV35" s="363">
        <f t="shared" ca="1" si="399"/>
        <v>1.7585764226444844</v>
      </c>
      <c r="PW35" s="363">
        <f t="shared" ca="1" si="399"/>
        <v>1.6479828065641882</v>
      </c>
      <c r="PX35" s="363">
        <f t="shared" ca="1" si="399"/>
        <v>1.7082589040536038</v>
      </c>
      <c r="PY35" s="363">
        <f t="shared" ca="1" si="399"/>
        <v>1.9065065028419368</v>
      </c>
      <c r="PZ35" s="363">
        <f t="shared" ca="1" si="399"/>
        <v>1.7658778170885305</v>
      </c>
      <c r="QA35" s="363">
        <f t="shared" ca="1" si="399"/>
        <v>1.6631437805178984</v>
      </c>
      <c r="QB35" s="363">
        <f t="shared" ca="1" si="399"/>
        <v>1.8084462592703723</v>
      </c>
      <c r="QC35" s="363">
        <f t="shared" ca="1" si="399"/>
        <v>1.6549475700869485</v>
      </c>
      <c r="QD35" s="363">
        <f t="shared" ca="1" si="399"/>
        <v>1.8000377665261731</v>
      </c>
      <c r="QE35" s="363">
        <f t="shared" ca="1" si="399"/>
        <v>1.7533959949536377</v>
      </c>
      <c r="QF35" s="363">
        <f t="shared" ca="1" si="399"/>
        <v>1.8557719381343414</v>
      </c>
      <c r="QG35" s="363">
        <f t="shared" ca="1" si="399"/>
        <v>1.6040727930549876</v>
      </c>
      <c r="QH35" s="363">
        <f t="shared" ca="1" si="399"/>
        <v>1.6462029078781957</v>
      </c>
      <c r="QI35" s="363">
        <f t="shared" ca="1" si="399"/>
        <v>1.8078656569179161</v>
      </c>
      <c r="QJ35" s="363">
        <f t="shared" ca="1" si="399"/>
        <v>1.8213055732372392</v>
      </c>
      <c r="QK35" s="363">
        <f t="shared" ca="1" si="399"/>
        <v>1.8157115610940415</v>
      </c>
      <c r="QL35" s="363">
        <f t="shared" ca="1" si="399"/>
        <v>1.6722958126686001</v>
      </c>
      <c r="QM35" s="363">
        <f t="shared" ca="1" si="399"/>
        <v>1.7307731184377597</v>
      </c>
      <c r="QN35" s="363">
        <f t="shared" ca="1" si="399"/>
        <v>1.7357926069812035</v>
      </c>
      <c r="QO35" s="363">
        <f t="shared" ca="1" si="399"/>
        <v>1.8343023485024692</v>
      </c>
      <c r="QP35" s="363">
        <f t="shared" ca="1" si="399"/>
        <v>1.7207938861213572</v>
      </c>
      <c r="QQ35" s="363">
        <f t="shared" ca="1" si="399"/>
        <v>1.9216746343567257</v>
      </c>
      <c r="QR35" s="363">
        <f t="shared" ca="1" si="399"/>
        <v>1.7765543995618263</v>
      </c>
      <c r="QS35" s="363">
        <f t="shared" ca="1" si="399"/>
        <v>1.7385404098916131</v>
      </c>
      <c r="QT35" s="363">
        <f t="shared" ca="1" si="399"/>
        <v>1.8698907042682813</v>
      </c>
      <c r="QU35" s="363">
        <f t="shared" ca="1" si="399"/>
        <v>1.719500653817176</v>
      </c>
      <c r="QV35" s="363">
        <f t="shared" ca="1" si="399"/>
        <v>1.7206035479326658</v>
      </c>
      <c r="QW35" s="363">
        <f t="shared" ca="1" si="399"/>
        <v>1.7836053306940001</v>
      </c>
      <c r="QX35" s="363">
        <f t="shared" ca="1" si="399"/>
        <v>1.6168402755904727</v>
      </c>
      <c r="QY35" s="363">
        <f t="shared" ca="1" si="399"/>
        <v>1.7310816961872217</v>
      </c>
      <c r="QZ35" s="363">
        <f t="shared" ca="1" si="399"/>
        <v>1.6469109107376292</v>
      </c>
      <c r="RA35" s="363">
        <f t="shared" ca="1" si="399"/>
        <v>1.7363608071710219</v>
      </c>
      <c r="RB35" s="363">
        <f t="shared" ca="1" si="399"/>
        <v>1.7569287113493022</v>
      </c>
      <c r="RC35" s="363">
        <f t="shared" ca="1" si="399"/>
        <v>1.7000096658925428</v>
      </c>
      <c r="RD35" s="363">
        <f t="shared" ca="1" si="399"/>
        <v>1.7044978846111491</v>
      </c>
      <c r="RE35" s="363">
        <f t="shared" ca="1" si="399"/>
        <v>1.6970024889519244</v>
      </c>
      <c r="RF35" s="363">
        <f t="shared" ca="1" si="399"/>
        <v>1.7406402606141373</v>
      </c>
      <c r="RG35" s="363">
        <f t="shared" ca="1" si="399"/>
        <v>1.7698224937504017</v>
      </c>
      <c r="RH35" s="363">
        <f t="shared" ca="1" si="399"/>
        <v>1.845352162726414</v>
      </c>
      <c r="RI35" s="363">
        <f t="shared" ca="1" si="399"/>
        <v>1.6749238257422958</v>
      </c>
      <c r="RJ35" s="363">
        <f t="shared" ref="RJ35:SR35" ca="1" si="400">_xlfn.LOGNORM.INV(RAND(),$I$35,$J$35)</f>
        <v>1.7747753549406351</v>
      </c>
      <c r="RK35" s="363">
        <f t="shared" ca="1" si="400"/>
        <v>1.7294899533794641</v>
      </c>
      <c r="RL35" s="363">
        <f t="shared" ca="1" si="400"/>
        <v>1.7437161542836268</v>
      </c>
      <c r="RM35" s="363">
        <f t="shared" ca="1" si="400"/>
        <v>1.7330650110555219</v>
      </c>
      <c r="RN35" s="363">
        <f t="shared" ca="1" si="400"/>
        <v>1.8090011467701068</v>
      </c>
      <c r="RO35" s="363">
        <f t="shared" ca="1" si="400"/>
        <v>1.7667669426971835</v>
      </c>
      <c r="RP35" s="363">
        <f t="shared" ca="1" si="400"/>
        <v>1.9015396129754982</v>
      </c>
      <c r="RQ35" s="363">
        <f t="shared" ca="1" si="400"/>
        <v>1.759548304016795</v>
      </c>
      <c r="RR35" s="363">
        <f t="shared" ca="1" si="400"/>
        <v>1.6846983699661697</v>
      </c>
      <c r="RS35" s="363">
        <f t="shared" ca="1" si="400"/>
        <v>1.7863262515005673</v>
      </c>
      <c r="RT35" s="363">
        <f t="shared" ca="1" si="400"/>
        <v>1.7721558128915655</v>
      </c>
      <c r="RU35" s="363">
        <f t="shared" ca="1" si="400"/>
        <v>1.7628702968377432</v>
      </c>
      <c r="RV35" s="363">
        <f t="shared" ca="1" si="400"/>
        <v>1.8733317636103028</v>
      </c>
      <c r="RW35" s="363">
        <f t="shared" ca="1" si="400"/>
        <v>1.7827549843681261</v>
      </c>
      <c r="RX35" s="363">
        <f t="shared" ca="1" si="400"/>
        <v>1.7885633797095812</v>
      </c>
      <c r="RY35" s="363">
        <f t="shared" ca="1" si="400"/>
        <v>1.782167753669635</v>
      </c>
      <c r="RZ35" s="363">
        <f t="shared" ca="1" si="400"/>
        <v>1.8559458688347332</v>
      </c>
      <c r="SA35" s="363">
        <f t="shared" ca="1" si="400"/>
        <v>1.7926618967098762</v>
      </c>
      <c r="SB35" s="363">
        <f t="shared" ca="1" si="400"/>
        <v>1.6640673245604882</v>
      </c>
      <c r="SC35" s="363">
        <f t="shared" ca="1" si="400"/>
        <v>1.5944823776081638</v>
      </c>
      <c r="SD35" s="363">
        <f t="shared" ca="1" si="400"/>
        <v>1.7856615750771989</v>
      </c>
      <c r="SE35" s="363">
        <f t="shared" ca="1" si="400"/>
        <v>1.8263432591125159</v>
      </c>
      <c r="SF35" s="363">
        <f t="shared" ca="1" si="400"/>
        <v>1.8339077718817229</v>
      </c>
      <c r="SG35" s="363">
        <f t="shared" ca="1" si="400"/>
        <v>1.84685191110178</v>
      </c>
      <c r="SH35" s="363">
        <f t="shared" ca="1" si="400"/>
        <v>1.7844310477876801</v>
      </c>
      <c r="SI35" s="363">
        <f t="shared" ca="1" si="400"/>
        <v>1.8852559462172105</v>
      </c>
      <c r="SJ35" s="363">
        <f t="shared" ca="1" si="400"/>
        <v>1.7398463541955984</v>
      </c>
      <c r="SK35" s="363">
        <f t="shared" ca="1" si="400"/>
        <v>1.8834741729603703</v>
      </c>
      <c r="SL35" s="363">
        <f t="shared" ca="1" si="400"/>
        <v>1.8151079588283925</v>
      </c>
      <c r="SM35" s="363">
        <f t="shared" ca="1" si="400"/>
        <v>1.7640048492687739</v>
      </c>
      <c r="SN35" s="363">
        <f t="shared" ca="1" si="400"/>
        <v>1.7277976357287566</v>
      </c>
      <c r="SO35" s="363">
        <f t="shared" ca="1" si="400"/>
        <v>1.810628657553633</v>
      </c>
      <c r="SP35" s="363">
        <f t="shared" ca="1" si="400"/>
        <v>1.6613427020484655</v>
      </c>
      <c r="SQ35" s="363">
        <f t="shared" ca="1" si="400"/>
        <v>1.8525540400830873</v>
      </c>
      <c r="SR35" s="363">
        <f t="shared" ca="1" si="400"/>
        <v>1.7428352248304819</v>
      </c>
      <c r="SS35" s="363">
        <f ca="1">_xlfn.LOGNORM.INV(RAND(),$I$35,$J$35)</f>
        <v>1.7479988270433007</v>
      </c>
      <c r="ST35" s="363">
        <f t="shared" ref="ST35:VE35" ca="1" si="401">_xlfn.LOGNORM.INV(RAND(),$I$35,$J$35)</f>
        <v>1.8592770834852315</v>
      </c>
      <c r="SU35" s="363">
        <f t="shared" ca="1" si="401"/>
        <v>1.6341612590571428</v>
      </c>
      <c r="SV35" s="363">
        <f t="shared" ca="1" si="401"/>
        <v>1.6299032143548213</v>
      </c>
      <c r="SW35" s="363">
        <f t="shared" ca="1" si="401"/>
        <v>1.709691282411004</v>
      </c>
      <c r="SX35" s="363">
        <f t="shared" ca="1" si="401"/>
        <v>1.7051853978254825</v>
      </c>
      <c r="SY35" s="363">
        <f t="shared" ca="1" si="401"/>
        <v>1.7180396273803886</v>
      </c>
      <c r="SZ35" s="363">
        <f t="shared" ca="1" si="401"/>
        <v>1.7320207954163667</v>
      </c>
      <c r="TA35" s="363">
        <f t="shared" ca="1" si="401"/>
        <v>1.7752299424884022</v>
      </c>
      <c r="TB35" s="363">
        <f t="shared" ca="1" si="401"/>
        <v>1.8124283315016811</v>
      </c>
      <c r="TC35" s="363">
        <f t="shared" ca="1" si="401"/>
        <v>1.775835881897359</v>
      </c>
      <c r="TD35" s="363">
        <f t="shared" ca="1" si="401"/>
        <v>1.7560473271168833</v>
      </c>
      <c r="TE35" s="363">
        <f t="shared" ca="1" si="401"/>
        <v>1.9212552826469798</v>
      </c>
      <c r="TF35" s="363">
        <f t="shared" ca="1" si="401"/>
        <v>1.7939115283599578</v>
      </c>
      <c r="TG35" s="363">
        <f t="shared" ca="1" si="401"/>
        <v>1.9191290639476215</v>
      </c>
      <c r="TH35" s="363">
        <f t="shared" ca="1" si="401"/>
        <v>1.8917902894986596</v>
      </c>
      <c r="TI35" s="363">
        <f t="shared" ca="1" si="401"/>
        <v>1.8325717708021616</v>
      </c>
      <c r="TJ35" s="363">
        <f t="shared" ca="1" si="401"/>
        <v>1.8095829790898059</v>
      </c>
      <c r="TK35" s="363">
        <f t="shared" ca="1" si="401"/>
        <v>1.9368669608890725</v>
      </c>
      <c r="TL35" s="363">
        <f t="shared" ca="1" si="401"/>
        <v>1.7641711537104925</v>
      </c>
      <c r="TM35" s="363">
        <f t="shared" ca="1" si="401"/>
        <v>1.8661391019764684</v>
      </c>
      <c r="TN35" s="363">
        <f t="shared" ca="1" si="401"/>
        <v>1.7118154605027947</v>
      </c>
      <c r="TO35" s="363">
        <f t="shared" ca="1" si="401"/>
        <v>1.8654254934655925</v>
      </c>
      <c r="TP35" s="363">
        <f t="shared" ca="1" si="401"/>
        <v>1.7331401896603054</v>
      </c>
      <c r="TQ35" s="363">
        <f t="shared" ca="1" si="401"/>
        <v>1.7742005767379272</v>
      </c>
      <c r="TR35" s="363">
        <f t="shared" ca="1" si="401"/>
        <v>1.7638287547502827</v>
      </c>
      <c r="TS35" s="363">
        <f t="shared" ca="1" si="401"/>
        <v>1.7664725197005415</v>
      </c>
      <c r="TT35" s="363">
        <f t="shared" ca="1" si="401"/>
        <v>1.7225860433036</v>
      </c>
      <c r="TU35" s="363">
        <f t="shared" ca="1" si="401"/>
        <v>1.77067068671579</v>
      </c>
      <c r="TV35" s="363">
        <f t="shared" ca="1" si="401"/>
        <v>1.7341251047737434</v>
      </c>
      <c r="TW35" s="363">
        <f t="shared" ca="1" si="401"/>
        <v>1.8504463338435895</v>
      </c>
      <c r="TX35" s="363">
        <f t="shared" ca="1" si="401"/>
        <v>1.715658259803748</v>
      </c>
      <c r="TY35" s="363">
        <f t="shared" ca="1" si="401"/>
        <v>1.6526087785045058</v>
      </c>
      <c r="TZ35" s="363">
        <f t="shared" ca="1" si="401"/>
        <v>1.7980537814466713</v>
      </c>
      <c r="UA35" s="363">
        <f t="shared" ca="1" si="401"/>
        <v>1.7891092416247159</v>
      </c>
      <c r="UB35" s="363">
        <f t="shared" ca="1" si="401"/>
        <v>1.7250278874836185</v>
      </c>
      <c r="UC35" s="363">
        <f t="shared" ca="1" si="401"/>
        <v>1.7616518508643164</v>
      </c>
      <c r="UD35" s="363">
        <f t="shared" ca="1" si="401"/>
        <v>1.6225912970535268</v>
      </c>
      <c r="UE35" s="363">
        <f t="shared" ca="1" si="401"/>
        <v>1.7187167955945002</v>
      </c>
      <c r="UF35" s="363">
        <f t="shared" ca="1" si="401"/>
        <v>1.8737071574331636</v>
      </c>
      <c r="UG35" s="363">
        <f t="shared" ca="1" si="401"/>
        <v>1.8883981635290468</v>
      </c>
      <c r="UH35" s="363">
        <f t="shared" ca="1" si="401"/>
        <v>1.8384703034169492</v>
      </c>
      <c r="UI35" s="363">
        <f t="shared" ca="1" si="401"/>
        <v>1.8257925934795944</v>
      </c>
      <c r="UJ35" s="363">
        <f t="shared" ca="1" si="401"/>
        <v>1.7259606210700154</v>
      </c>
      <c r="UK35" s="363">
        <f t="shared" ca="1" si="401"/>
        <v>1.9435777664953118</v>
      </c>
      <c r="UL35" s="363">
        <f t="shared" ca="1" si="401"/>
        <v>1.7982880545600239</v>
      </c>
      <c r="UM35" s="363">
        <f t="shared" ca="1" si="401"/>
        <v>1.7950856576062246</v>
      </c>
      <c r="UN35" s="363">
        <f t="shared" ca="1" si="401"/>
        <v>1.6913477867450057</v>
      </c>
      <c r="UO35" s="363">
        <f t="shared" ca="1" si="401"/>
        <v>1.7087660860127143</v>
      </c>
      <c r="UP35" s="363">
        <f t="shared" ca="1" si="401"/>
        <v>1.6458011735847762</v>
      </c>
      <c r="UQ35" s="363">
        <f t="shared" ca="1" si="401"/>
        <v>1.7098356381697062</v>
      </c>
      <c r="UR35" s="363">
        <f t="shared" ca="1" si="401"/>
        <v>1.7363630359385269</v>
      </c>
      <c r="US35" s="363">
        <f t="shared" ca="1" si="401"/>
        <v>1.7415042640377552</v>
      </c>
      <c r="UT35" s="363">
        <f t="shared" ca="1" si="401"/>
        <v>1.8335303300938526</v>
      </c>
      <c r="UU35" s="363">
        <f t="shared" ca="1" si="401"/>
        <v>1.7355437790791612</v>
      </c>
      <c r="UV35" s="363">
        <f t="shared" ca="1" si="401"/>
        <v>1.8673791283987051</v>
      </c>
      <c r="UW35" s="363">
        <f t="shared" ca="1" si="401"/>
        <v>1.7702108659060398</v>
      </c>
      <c r="UX35" s="363">
        <f t="shared" ca="1" si="401"/>
        <v>1.8257989396578547</v>
      </c>
      <c r="UY35" s="363">
        <f t="shared" ca="1" si="401"/>
        <v>1.6395073780953977</v>
      </c>
      <c r="UZ35" s="363">
        <f t="shared" ca="1" si="401"/>
        <v>1.7707152792741667</v>
      </c>
      <c r="VA35" s="363">
        <f t="shared" ca="1" si="401"/>
        <v>1.80572997963874</v>
      </c>
      <c r="VB35" s="363">
        <f t="shared" ca="1" si="401"/>
        <v>1.7283887930876796</v>
      </c>
      <c r="VC35" s="363">
        <f t="shared" ca="1" si="401"/>
        <v>1.7304726657784331</v>
      </c>
      <c r="VD35" s="363">
        <f t="shared" ca="1" si="401"/>
        <v>1.7461495972670935</v>
      </c>
      <c r="VE35" s="363">
        <f t="shared" ca="1" si="401"/>
        <v>1.681473033584167</v>
      </c>
      <c r="VF35" s="363">
        <f t="shared" ref="VF35:WN35" ca="1" si="402">_xlfn.LOGNORM.INV(RAND(),$I$35,$J$35)</f>
        <v>1.6370772526171131</v>
      </c>
      <c r="VG35" s="363">
        <f t="shared" ca="1" si="402"/>
        <v>1.6144793967564264</v>
      </c>
      <c r="VH35" s="363">
        <f t="shared" ca="1" si="402"/>
        <v>1.777999092947633</v>
      </c>
      <c r="VI35" s="363">
        <f t="shared" ca="1" si="402"/>
        <v>1.6827598531367933</v>
      </c>
      <c r="VJ35" s="363">
        <f t="shared" ca="1" si="402"/>
        <v>1.8082937454269745</v>
      </c>
      <c r="VK35" s="363">
        <f t="shared" ca="1" si="402"/>
        <v>1.8035622176169039</v>
      </c>
      <c r="VL35" s="363">
        <f t="shared" ca="1" si="402"/>
        <v>1.8101860750606351</v>
      </c>
      <c r="VM35" s="363">
        <f t="shared" ca="1" si="402"/>
        <v>1.7425695294874401</v>
      </c>
      <c r="VN35" s="363">
        <f t="shared" ca="1" si="402"/>
        <v>1.7523151548214266</v>
      </c>
      <c r="VO35" s="363">
        <f t="shared" ca="1" si="402"/>
        <v>1.8230403012755749</v>
      </c>
      <c r="VP35" s="363">
        <f t="shared" ca="1" si="402"/>
        <v>1.7886787986525532</v>
      </c>
      <c r="VQ35" s="363">
        <f t="shared" ca="1" si="402"/>
        <v>1.7801582069711652</v>
      </c>
      <c r="VR35" s="363">
        <f t="shared" ca="1" si="402"/>
        <v>1.6218633372971338</v>
      </c>
      <c r="VS35" s="363">
        <f t="shared" ca="1" si="402"/>
        <v>1.8187131327698687</v>
      </c>
      <c r="VT35" s="363">
        <f t="shared" ca="1" si="402"/>
        <v>1.6172038058575862</v>
      </c>
      <c r="VU35" s="363">
        <f t="shared" ca="1" si="402"/>
        <v>1.8130359555955626</v>
      </c>
      <c r="VV35" s="363">
        <f t="shared" ca="1" si="402"/>
        <v>1.8502269861538769</v>
      </c>
      <c r="VW35" s="363">
        <f t="shared" ca="1" si="402"/>
        <v>1.6422450138290008</v>
      </c>
      <c r="VX35" s="363">
        <f t="shared" ca="1" si="402"/>
        <v>1.7362133837086666</v>
      </c>
      <c r="VY35" s="363">
        <f t="shared" ca="1" si="402"/>
        <v>1.7536509076748708</v>
      </c>
      <c r="VZ35" s="363">
        <f t="shared" ca="1" si="402"/>
        <v>1.7771273856629226</v>
      </c>
      <c r="WA35" s="363">
        <f t="shared" ca="1" si="402"/>
        <v>1.6807792466104305</v>
      </c>
      <c r="WB35" s="363">
        <f t="shared" ca="1" si="402"/>
        <v>1.7784118005284562</v>
      </c>
      <c r="WC35" s="363">
        <f t="shared" ca="1" si="402"/>
        <v>1.8151402537835046</v>
      </c>
      <c r="WD35" s="363">
        <f t="shared" ca="1" si="402"/>
        <v>1.7303303769148526</v>
      </c>
      <c r="WE35" s="363">
        <f t="shared" ca="1" si="402"/>
        <v>1.6920720354311678</v>
      </c>
      <c r="WF35" s="363">
        <f t="shared" ca="1" si="402"/>
        <v>1.8562632966450903</v>
      </c>
      <c r="WG35" s="363">
        <f t="shared" ca="1" si="402"/>
        <v>1.6999200287887815</v>
      </c>
      <c r="WH35" s="363">
        <f t="shared" ca="1" si="402"/>
        <v>1.8230527198209094</v>
      </c>
      <c r="WI35" s="363">
        <f t="shared" ca="1" si="402"/>
        <v>1.7781589688902719</v>
      </c>
      <c r="WJ35" s="363">
        <f t="shared" ca="1" si="402"/>
        <v>1.8337950707383988</v>
      </c>
      <c r="WK35" s="363">
        <f t="shared" ca="1" si="402"/>
        <v>1.8723967746002614</v>
      </c>
      <c r="WL35" s="363">
        <f t="shared" ca="1" si="402"/>
        <v>1.7533439041199714</v>
      </c>
      <c r="WM35" s="363">
        <f t="shared" ca="1" si="402"/>
        <v>1.7230401302342615</v>
      </c>
      <c r="WN35" s="363">
        <f t="shared" ca="1" si="402"/>
        <v>1.6255747177514994</v>
      </c>
    </row>
    <row r="36" spans="2:612" x14ac:dyDescent="0.15">
      <c r="B36" s="469" t="s">
        <v>1075</v>
      </c>
      <c r="D36" s="363">
        <f t="shared" si="0"/>
        <v>4.9000000000000002E-2</v>
      </c>
      <c r="F36" s="367">
        <v>4.9000000000000002E-2</v>
      </c>
      <c r="G36" s="367" t="s">
        <v>350</v>
      </c>
      <c r="H36" s="363">
        <f>0.1*F36</f>
        <v>4.9000000000000007E-3</v>
      </c>
      <c r="I36" s="438">
        <f>(F36/H36)^2</f>
        <v>99.999999999999972</v>
      </c>
      <c r="J36" s="367">
        <f>(H36^2)/F36</f>
        <v>4.9000000000000009E-4</v>
      </c>
      <c r="K36" s="367" t="s">
        <v>1310</v>
      </c>
      <c r="M36" s="363">
        <f ca="1">_xlfn.GAMMA.INV(RAND(), $I$36,$J$36)</f>
        <v>4.9120901913601259E-2</v>
      </c>
      <c r="N36" s="363">
        <f t="shared" ref="N36:BY36" ca="1" si="403">_xlfn.GAMMA.INV(RAND(), $I$36,$J$36)</f>
        <v>5.055214485741296E-2</v>
      </c>
      <c r="O36" s="363">
        <f t="shared" ca="1" si="403"/>
        <v>5.1800427718055521E-2</v>
      </c>
      <c r="P36" s="363">
        <f t="shared" ca="1" si="403"/>
        <v>5.2707951966055121E-2</v>
      </c>
      <c r="Q36" s="363">
        <f t="shared" ca="1" si="403"/>
        <v>5.8725099744181282E-2</v>
      </c>
      <c r="R36" s="363">
        <f t="shared" ca="1" si="403"/>
        <v>4.1651839068737082E-2</v>
      </c>
      <c r="S36" s="363">
        <f t="shared" ca="1" si="403"/>
        <v>5.7876825411347595E-2</v>
      </c>
      <c r="T36" s="363">
        <f t="shared" ca="1" si="403"/>
        <v>4.2082394521795727E-2</v>
      </c>
      <c r="U36" s="363">
        <f t="shared" ca="1" si="403"/>
        <v>4.8797281394785348E-2</v>
      </c>
      <c r="V36" s="363">
        <f t="shared" ca="1" si="403"/>
        <v>4.1072977130429941E-2</v>
      </c>
      <c r="W36" s="363">
        <f t="shared" ca="1" si="403"/>
        <v>3.689341445125606E-2</v>
      </c>
      <c r="X36" s="363">
        <f t="shared" ca="1" si="403"/>
        <v>5.1246197270304765E-2</v>
      </c>
      <c r="Y36" s="363">
        <f t="shared" ca="1" si="403"/>
        <v>5.562030917139988E-2</v>
      </c>
      <c r="Z36" s="363">
        <f t="shared" ca="1" si="403"/>
        <v>4.582431992245057E-2</v>
      </c>
      <c r="AA36" s="363">
        <f t="shared" ca="1" si="403"/>
        <v>4.6612472661352322E-2</v>
      </c>
      <c r="AB36" s="363">
        <f t="shared" ca="1" si="403"/>
        <v>4.6425311953009495E-2</v>
      </c>
      <c r="AC36" s="363">
        <f t="shared" ca="1" si="403"/>
        <v>5.7596695924396313E-2</v>
      </c>
      <c r="AD36" s="363">
        <f t="shared" ca="1" si="403"/>
        <v>5.1818066107585943E-2</v>
      </c>
      <c r="AE36" s="363">
        <f t="shared" ca="1" si="403"/>
        <v>4.6403027244045041E-2</v>
      </c>
      <c r="AF36" s="363">
        <f t="shared" ca="1" si="403"/>
        <v>3.9637028488217527E-2</v>
      </c>
      <c r="AG36" s="363">
        <f t="shared" ca="1" si="403"/>
        <v>5.8038628588872217E-2</v>
      </c>
      <c r="AH36" s="363">
        <f t="shared" ca="1" si="403"/>
        <v>5.0978889222871915E-2</v>
      </c>
      <c r="AI36" s="363">
        <f t="shared" ca="1" si="403"/>
        <v>5.5614591966324081E-2</v>
      </c>
      <c r="AJ36" s="363">
        <f t="shared" ca="1" si="403"/>
        <v>5.8315309980245138E-2</v>
      </c>
      <c r="AK36" s="363">
        <f t="shared" ca="1" si="403"/>
        <v>4.8680017364969234E-2</v>
      </c>
      <c r="AL36" s="363">
        <f t="shared" ca="1" si="403"/>
        <v>5.0477459746410699E-2</v>
      </c>
      <c r="AM36" s="363">
        <f t="shared" ca="1" si="403"/>
        <v>3.8325016716678317E-2</v>
      </c>
      <c r="AN36" s="363">
        <f t="shared" ca="1" si="403"/>
        <v>4.9725787431362342E-2</v>
      </c>
      <c r="AO36" s="363">
        <f t="shared" ca="1" si="403"/>
        <v>4.2463205847477523E-2</v>
      </c>
      <c r="AP36" s="363">
        <f t="shared" ca="1" si="403"/>
        <v>4.6265322108042461E-2</v>
      </c>
      <c r="AQ36" s="363">
        <f t="shared" ca="1" si="403"/>
        <v>4.9188985781708092E-2</v>
      </c>
      <c r="AR36" s="363">
        <f t="shared" ca="1" si="403"/>
        <v>5.5784139474396914E-2</v>
      </c>
      <c r="AS36" s="363">
        <f t="shared" ca="1" si="403"/>
        <v>4.6853415643628153E-2</v>
      </c>
      <c r="AT36" s="363">
        <f t="shared" ca="1" si="403"/>
        <v>4.6320253824328576E-2</v>
      </c>
      <c r="AU36" s="363">
        <f t="shared" ca="1" si="403"/>
        <v>4.9210196921431894E-2</v>
      </c>
      <c r="AV36" s="363">
        <f t="shared" ca="1" si="403"/>
        <v>4.6823891431308169E-2</v>
      </c>
      <c r="AW36" s="363">
        <f t="shared" ca="1" si="403"/>
        <v>5.0146436645088707E-2</v>
      </c>
      <c r="AX36" s="363">
        <f t="shared" ca="1" si="403"/>
        <v>5.6612401526933816E-2</v>
      </c>
      <c r="AY36" s="363">
        <f t="shared" ca="1" si="403"/>
        <v>5.8559933496909841E-2</v>
      </c>
      <c r="AZ36" s="363">
        <f t="shared" ca="1" si="403"/>
        <v>5.3533178350704667E-2</v>
      </c>
      <c r="BA36" s="363">
        <f t="shared" ca="1" si="403"/>
        <v>4.3790613976934067E-2</v>
      </c>
      <c r="BB36" s="363">
        <f t="shared" ca="1" si="403"/>
        <v>4.6683727904041281E-2</v>
      </c>
      <c r="BC36" s="363">
        <f t="shared" ca="1" si="403"/>
        <v>4.076712897207712E-2</v>
      </c>
      <c r="BD36" s="363">
        <f t="shared" ca="1" si="403"/>
        <v>5.3614396884771431E-2</v>
      </c>
      <c r="BE36" s="363">
        <f t="shared" ca="1" si="403"/>
        <v>5.5946636321950086E-2</v>
      </c>
      <c r="BF36" s="363">
        <f t="shared" ca="1" si="403"/>
        <v>5.4888445194816102E-2</v>
      </c>
      <c r="BG36" s="363">
        <f t="shared" ca="1" si="403"/>
        <v>4.6882375362011293E-2</v>
      </c>
      <c r="BH36" s="363">
        <f t="shared" ca="1" si="403"/>
        <v>4.6877088183659862E-2</v>
      </c>
      <c r="BI36" s="363">
        <f t="shared" ca="1" si="403"/>
        <v>4.9697368978145612E-2</v>
      </c>
      <c r="BJ36" s="363">
        <f t="shared" ca="1" si="403"/>
        <v>5.1180685212484103E-2</v>
      </c>
      <c r="BK36" s="363">
        <f t="shared" ca="1" si="403"/>
        <v>4.4915102425848369E-2</v>
      </c>
      <c r="BL36" s="363">
        <f t="shared" ca="1" si="403"/>
        <v>4.6837459226644673E-2</v>
      </c>
      <c r="BM36" s="363">
        <f t="shared" ca="1" si="403"/>
        <v>4.8024715520907695E-2</v>
      </c>
      <c r="BN36" s="363">
        <f t="shared" ca="1" si="403"/>
        <v>4.9760777324106678E-2</v>
      </c>
      <c r="BO36" s="363">
        <f t="shared" ca="1" si="403"/>
        <v>5.417294462902985E-2</v>
      </c>
      <c r="BP36" s="363">
        <f t="shared" ca="1" si="403"/>
        <v>5.1191479780077889E-2</v>
      </c>
      <c r="BQ36" s="363">
        <f t="shared" ca="1" si="403"/>
        <v>4.385400424842742E-2</v>
      </c>
      <c r="BR36" s="363">
        <f t="shared" ca="1" si="403"/>
        <v>4.8023811709331239E-2</v>
      </c>
      <c r="BS36" s="363">
        <f t="shared" ca="1" si="403"/>
        <v>4.675231392539396E-2</v>
      </c>
      <c r="BT36" s="363">
        <f t="shared" ca="1" si="403"/>
        <v>3.8411119645795119E-2</v>
      </c>
      <c r="BU36" s="363">
        <f t="shared" ca="1" si="403"/>
        <v>4.4731213879569166E-2</v>
      </c>
      <c r="BV36" s="363">
        <f t="shared" ca="1" si="403"/>
        <v>4.5680023594524749E-2</v>
      </c>
      <c r="BW36" s="363">
        <f t="shared" ca="1" si="403"/>
        <v>5.623288735982488E-2</v>
      </c>
      <c r="BX36" s="363">
        <f t="shared" ca="1" si="403"/>
        <v>4.9283823738324836E-2</v>
      </c>
      <c r="BY36" s="363">
        <f t="shared" ca="1" si="403"/>
        <v>4.9217892759226251E-2</v>
      </c>
      <c r="BZ36" s="363">
        <f t="shared" ref="BZ36:DH36" ca="1" si="404">_xlfn.GAMMA.INV(RAND(), $I$36,$J$36)</f>
        <v>5.1884690195209561E-2</v>
      </c>
      <c r="CA36" s="363">
        <f t="shared" ca="1" si="404"/>
        <v>4.7116403538483981E-2</v>
      </c>
      <c r="CB36" s="363">
        <f t="shared" ca="1" si="404"/>
        <v>4.7819962143272644E-2</v>
      </c>
      <c r="CC36" s="363">
        <f t="shared" ca="1" si="404"/>
        <v>4.6682566894957936E-2</v>
      </c>
      <c r="CD36" s="363">
        <f t="shared" ca="1" si="404"/>
        <v>4.9229598087059311E-2</v>
      </c>
      <c r="CE36" s="363">
        <f t="shared" ca="1" si="404"/>
        <v>5.1229525862240388E-2</v>
      </c>
      <c r="CF36" s="363">
        <f t="shared" ca="1" si="404"/>
        <v>5.2007117306528135E-2</v>
      </c>
      <c r="CG36" s="363">
        <f t="shared" ca="1" si="404"/>
        <v>5.112906735019869E-2</v>
      </c>
      <c r="CH36" s="363">
        <f t="shared" ca="1" si="404"/>
        <v>5.1310489435446319E-2</v>
      </c>
      <c r="CI36" s="363">
        <f t="shared" ca="1" si="404"/>
        <v>4.9291155428490427E-2</v>
      </c>
      <c r="CJ36" s="363">
        <f t="shared" ca="1" si="404"/>
        <v>4.9825317076237399E-2</v>
      </c>
      <c r="CK36" s="363">
        <f t="shared" ca="1" si="404"/>
        <v>5.1961706166532777E-2</v>
      </c>
      <c r="CL36" s="363">
        <f t="shared" ca="1" si="404"/>
        <v>4.8692665914914751E-2</v>
      </c>
      <c r="CM36" s="363">
        <f t="shared" ca="1" si="404"/>
        <v>5.3961865825786048E-2</v>
      </c>
      <c r="CN36" s="363">
        <f t="shared" ca="1" si="404"/>
        <v>4.9360691281428372E-2</v>
      </c>
      <c r="CO36" s="363">
        <f t="shared" ca="1" si="404"/>
        <v>5.1785198816935073E-2</v>
      </c>
      <c r="CP36" s="363">
        <f t="shared" ca="1" si="404"/>
        <v>4.4941220621543779E-2</v>
      </c>
      <c r="CQ36" s="363">
        <f t="shared" ca="1" si="404"/>
        <v>4.5644782826974553E-2</v>
      </c>
      <c r="CR36" s="363">
        <f t="shared" ca="1" si="404"/>
        <v>4.7567442595751824E-2</v>
      </c>
      <c r="CS36" s="363">
        <f t="shared" ca="1" si="404"/>
        <v>5.3523708391205294E-2</v>
      </c>
      <c r="CT36" s="363">
        <f t="shared" ca="1" si="404"/>
        <v>5.1646410127675513E-2</v>
      </c>
      <c r="CU36" s="363">
        <f t="shared" ca="1" si="404"/>
        <v>4.6865910513635284E-2</v>
      </c>
      <c r="CV36" s="363">
        <f t="shared" ca="1" si="404"/>
        <v>5.4290634630949831E-2</v>
      </c>
      <c r="CW36" s="363">
        <f t="shared" ca="1" si="404"/>
        <v>4.1634629486113232E-2</v>
      </c>
      <c r="CX36" s="363">
        <f t="shared" ca="1" si="404"/>
        <v>4.9324557470354205E-2</v>
      </c>
      <c r="CY36" s="363">
        <f t="shared" ca="1" si="404"/>
        <v>4.847986317636617E-2</v>
      </c>
      <c r="CZ36" s="363">
        <f t="shared" ca="1" si="404"/>
        <v>4.0749349923784747E-2</v>
      </c>
      <c r="DA36" s="363">
        <f t="shared" ca="1" si="404"/>
        <v>4.6131547355141342E-2</v>
      </c>
      <c r="DB36" s="363">
        <f t="shared" ca="1" si="404"/>
        <v>4.3358193793055194E-2</v>
      </c>
      <c r="DC36" s="363">
        <f t="shared" ca="1" si="404"/>
        <v>5.0162219429710518E-2</v>
      </c>
      <c r="DD36" s="363">
        <f t="shared" ca="1" si="404"/>
        <v>4.6987639292248827E-2</v>
      </c>
      <c r="DE36" s="363">
        <f t="shared" ca="1" si="404"/>
        <v>4.5177872352693646E-2</v>
      </c>
      <c r="DF36" s="363">
        <f t="shared" ca="1" si="404"/>
        <v>4.8653809973610115E-2</v>
      </c>
      <c r="DG36" s="363">
        <f t="shared" ca="1" si="404"/>
        <v>5.1191213000051881E-2</v>
      </c>
      <c r="DH36" s="363">
        <f t="shared" ca="1" si="404"/>
        <v>4.7495518853706148E-2</v>
      </c>
      <c r="DI36" s="363">
        <f ca="1">_xlfn.GAMMA.INV(RAND(), $I$36,$J$36)</f>
        <v>5.5649949754456182E-2</v>
      </c>
      <c r="DJ36" s="363">
        <f t="shared" ref="DJ36:FU36" ca="1" si="405">_xlfn.GAMMA.INV(RAND(), $I$36,$J$36)</f>
        <v>4.3449585902220554E-2</v>
      </c>
      <c r="DK36" s="363">
        <f t="shared" ca="1" si="405"/>
        <v>4.4003693237752016E-2</v>
      </c>
      <c r="DL36" s="363">
        <f t="shared" ca="1" si="405"/>
        <v>4.9535421309362525E-2</v>
      </c>
      <c r="DM36" s="363">
        <f t="shared" ca="1" si="405"/>
        <v>5.3106936442735717E-2</v>
      </c>
      <c r="DN36" s="363">
        <f t="shared" ca="1" si="405"/>
        <v>5.4717937318009467E-2</v>
      </c>
      <c r="DO36" s="363">
        <f t="shared" ca="1" si="405"/>
        <v>5.2461530583026113E-2</v>
      </c>
      <c r="DP36" s="363">
        <f t="shared" ca="1" si="405"/>
        <v>4.7694981211300801E-2</v>
      </c>
      <c r="DQ36" s="363">
        <f t="shared" ca="1" si="405"/>
        <v>4.8703098039120138E-2</v>
      </c>
      <c r="DR36" s="363">
        <f t="shared" ca="1" si="405"/>
        <v>4.4735734420567497E-2</v>
      </c>
      <c r="DS36" s="363">
        <f t="shared" ca="1" si="405"/>
        <v>5.0724108095971353E-2</v>
      </c>
      <c r="DT36" s="363">
        <f t="shared" ca="1" si="405"/>
        <v>5.2528545658186779E-2</v>
      </c>
      <c r="DU36" s="363">
        <f t="shared" ca="1" si="405"/>
        <v>4.0953984842153415E-2</v>
      </c>
      <c r="DV36" s="363">
        <f t="shared" ca="1" si="405"/>
        <v>3.6357617156933926E-2</v>
      </c>
      <c r="DW36" s="363">
        <f t="shared" ca="1" si="405"/>
        <v>4.8363241223949124E-2</v>
      </c>
      <c r="DX36" s="363">
        <f t="shared" ca="1" si="405"/>
        <v>5.2753909060122041E-2</v>
      </c>
      <c r="DY36" s="363">
        <f t="shared" ca="1" si="405"/>
        <v>4.6868581794864278E-2</v>
      </c>
      <c r="DZ36" s="363">
        <f t="shared" ca="1" si="405"/>
        <v>4.5210353201036751E-2</v>
      </c>
      <c r="EA36" s="363">
        <f t="shared" ca="1" si="405"/>
        <v>4.9966091285774235E-2</v>
      </c>
      <c r="EB36" s="363">
        <f t="shared" ca="1" si="405"/>
        <v>5.9095622172569723E-2</v>
      </c>
      <c r="EC36" s="363">
        <f t="shared" ca="1" si="405"/>
        <v>3.9422314949671369E-2</v>
      </c>
      <c r="ED36" s="363">
        <f t="shared" ca="1" si="405"/>
        <v>5.2741681722300836E-2</v>
      </c>
      <c r="EE36" s="363">
        <f t="shared" ca="1" si="405"/>
        <v>5.5011954480011137E-2</v>
      </c>
      <c r="EF36" s="363">
        <f t="shared" ca="1" si="405"/>
        <v>4.4833022037795919E-2</v>
      </c>
      <c r="EG36" s="363">
        <f t="shared" ca="1" si="405"/>
        <v>5.1756948417762551E-2</v>
      </c>
      <c r="EH36" s="363">
        <f t="shared" ca="1" si="405"/>
        <v>4.8929826080345344E-2</v>
      </c>
      <c r="EI36" s="363">
        <f t="shared" ca="1" si="405"/>
        <v>5.8390913695404806E-2</v>
      </c>
      <c r="EJ36" s="363">
        <f t="shared" ca="1" si="405"/>
        <v>5.3386267200638264E-2</v>
      </c>
      <c r="EK36" s="363">
        <f t="shared" ca="1" si="405"/>
        <v>5.7626500165658061E-2</v>
      </c>
      <c r="EL36" s="363">
        <f t="shared" ca="1" si="405"/>
        <v>4.8293162840254096E-2</v>
      </c>
      <c r="EM36" s="363">
        <f t="shared" ca="1" si="405"/>
        <v>4.883880369601637E-2</v>
      </c>
      <c r="EN36" s="363">
        <f t="shared" ca="1" si="405"/>
        <v>5.735723801871536E-2</v>
      </c>
      <c r="EO36" s="363">
        <f t="shared" ca="1" si="405"/>
        <v>5.5148216769873172E-2</v>
      </c>
      <c r="EP36" s="363">
        <f t="shared" ca="1" si="405"/>
        <v>4.3885292609825932E-2</v>
      </c>
      <c r="EQ36" s="363">
        <f t="shared" ca="1" si="405"/>
        <v>5.1331935063364545E-2</v>
      </c>
      <c r="ER36" s="363">
        <f t="shared" ca="1" si="405"/>
        <v>5.6534750666232439E-2</v>
      </c>
      <c r="ES36" s="363">
        <f t="shared" ca="1" si="405"/>
        <v>4.7898223984694933E-2</v>
      </c>
      <c r="ET36" s="363">
        <f t="shared" ca="1" si="405"/>
        <v>4.3344141686678307E-2</v>
      </c>
      <c r="EU36" s="363">
        <f t="shared" ca="1" si="405"/>
        <v>4.3815366789306177E-2</v>
      </c>
      <c r="EV36" s="363">
        <f t="shared" ca="1" si="405"/>
        <v>5.66066551423621E-2</v>
      </c>
      <c r="EW36" s="363">
        <f t="shared" ca="1" si="405"/>
        <v>4.9915814864224216E-2</v>
      </c>
      <c r="EX36" s="363">
        <f t="shared" ca="1" si="405"/>
        <v>4.886556734722558E-2</v>
      </c>
      <c r="EY36" s="363">
        <f t="shared" ca="1" si="405"/>
        <v>4.145735302736888E-2</v>
      </c>
      <c r="EZ36" s="363">
        <f t="shared" ca="1" si="405"/>
        <v>5.025661361626553E-2</v>
      </c>
      <c r="FA36" s="363">
        <f t="shared" ca="1" si="405"/>
        <v>4.1271672967907264E-2</v>
      </c>
      <c r="FB36" s="363">
        <f t="shared" ca="1" si="405"/>
        <v>4.8793807412315399E-2</v>
      </c>
      <c r="FC36" s="363">
        <f t="shared" ca="1" si="405"/>
        <v>5.2657018945841821E-2</v>
      </c>
      <c r="FD36" s="363">
        <f t="shared" ca="1" si="405"/>
        <v>4.2161824301835134E-2</v>
      </c>
      <c r="FE36" s="363">
        <f t="shared" ca="1" si="405"/>
        <v>5.1875419702817095E-2</v>
      </c>
      <c r="FF36" s="363">
        <f t="shared" ca="1" si="405"/>
        <v>5.3446876539920488E-2</v>
      </c>
      <c r="FG36" s="363">
        <f t="shared" ca="1" si="405"/>
        <v>5.0295290884725112E-2</v>
      </c>
      <c r="FH36" s="363">
        <f t="shared" ca="1" si="405"/>
        <v>4.8512480261604519E-2</v>
      </c>
      <c r="FI36" s="363">
        <f t="shared" ca="1" si="405"/>
        <v>4.6441104678896443E-2</v>
      </c>
      <c r="FJ36" s="363">
        <f t="shared" ca="1" si="405"/>
        <v>4.8368067512396397E-2</v>
      </c>
      <c r="FK36" s="363">
        <f t="shared" ca="1" si="405"/>
        <v>4.8584701432624909E-2</v>
      </c>
      <c r="FL36" s="363">
        <f t="shared" ca="1" si="405"/>
        <v>4.9003400970601241E-2</v>
      </c>
      <c r="FM36" s="363">
        <f t="shared" ca="1" si="405"/>
        <v>4.6870934459390778E-2</v>
      </c>
      <c r="FN36" s="363">
        <f t="shared" ca="1" si="405"/>
        <v>5.6209845568317367E-2</v>
      </c>
      <c r="FO36" s="363">
        <f t="shared" ca="1" si="405"/>
        <v>4.1404412893701066E-2</v>
      </c>
      <c r="FP36" s="363">
        <f t="shared" ca="1" si="405"/>
        <v>4.309643474607807E-2</v>
      </c>
      <c r="FQ36" s="363">
        <f t="shared" ca="1" si="405"/>
        <v>5.3097660591853557E-2</v>
      </c>
      <c r="FR36" s="363">
        <f t="shared" ca="1" si="405"/>
        <v>5.0585360729428701E-2</v>
      </c>
      <c r="FS36" s="363">
        <f t="shared" ca="1" si="405"/>
        <v>5.7231544385260152E-2</v>
      </c>
      <c r="FT36" s="363">
        <f t="shared" ca="1" si="405"/>
        <v>4.759496713464436E-2</v>
      </c>
      <c r="FU36" s="363">
        <f t="shared" ca="1" si="405"/>
        <v>3.9498494387741945E-2</v>
      </c>
      <c r="FV36" s="363">
        <f t="shared" ref="FV36:HD36" ca="1" si="406">_xlfn.GAMMA.INV(RAND(), $I$36,$J$36)</f>
        <v>4.4267432008703415E-2</v>
      </c>
      <c r="FW36" s="363">
        <f t="shared" ca="1" si="406"/>
        <v>4.4986194836589159E-2</v>
      </c>
      <c r="FX36" s="363">
        <f t="shared" ca="1" si="406"/>
        <v>5.5400060028771105E-2</v>
      </c>
      <c r="FY36" s="363">
        <f t="shared" ca="1" si="406"/>
        <v>5.0274820669926626E-2</v>
      </c>
      <c r="FZ36" s="363">
        <f t="shared" ca="1" si="406"/>
        <v>5.1592097724002778E-2</v>
      </c>
      <c r="GA36" s="363">
        <f t="shared" ca="1" si="406"/>
        <v>5.0999076400056131E-2</v>
      </c>
      <c r="GB36" s="363">
        <f t="shared" ca="1" si="406"/>
        <v>4.675890308557528E-2</v>
      </c>
      <c r="GC36" s="363">
        <f t="shared" ca="1" si="406"/>
        <v>4.775495386779495E-2</v>
      </c>
      <c r="GD36" s="363">
        <f t="shared" ca="1" si="406"/>
        <v>5.9909703862313986E-2</v>
      </c>
      <c r="GE36" s="363">
        <f t="shared" ca="1" si="406"/>
        <v>4.7776791576478773E-2</v>
      </c>
      <c r="GF36" s="363">
        <f t="shared" ca="1" si="406"/>
        <v>5.4991518604175511E-2</v>
      </c>
      <c r="GG36" s="363">
        <f t="shared" ca="1" si="406"/>
        <v>4.154751664463207E-2</v>
      </c>
      <c r="GH36" s="363">
        <f t="shared" ca="1" si="406"/>
        <v>4.6666842314549678E-2</v>
      </c>
      <c r="GI36" s="363">
        <f t="shared" ca="1" si="406"/>
        <v>4.3009795948522209E-2</v>
      </c>
      <c r="GJ36" s="363">
        <f t="shared" ca="1" si="406"/>
        <v>4.3578952734640922E-2</v>
      </c>
      <c r="GK36" s="363">
        <f t="shared" ca="1" si="406"/>
        <v>4.9847467097123385E-2</v>
      </c>
      <c r="GL36" s="363">
        <f t="shared" ca="1" si="406"/>
        <v>4.4989509745350695E-2</v>
      </c>
      <c r="GM36" s="363">
        <f t="shared" ca="1" si="406"/>
        <v>5.1168609040982457E-2</v>
      </c>
      <c r="GN36" s="363">
        <f t="shared" ca="1" si="406"/>
        <v>5.5142947762537073E-2</v>
      </c>
      <c r="GO36" s="363">
        <f t="shared" ca="1" si="406"/>
        <v>4.6617154728838199E-2</v>
      </c>
      <c r="GP36" s="363">
        <f t="shared" ca="1" si="406"/>
        <v>4.6768446148483266E-2</v>
      </c>
      <c r="GQ36" s="363">
        <f t="shared" ca="1" si="406"/>
        <v>5.289076080772704E-2</v>
      </c>
      <c r="GR36" s="363">
        <f t="shared" ca="1" si="406"/>
        <v>4.2559845139602717E-2</v>
      </c>
      <c r="GS36" s="363">
        <f t="shared" ca="1" si="406"/>
        <v>4.7896277893128426E-2</v>
      </c>
      <c r="GT36" s="363">
        <f t="shared" ca="1" si="406"/>
        <v>4.9905201524465224E-2</v>
      </c>
      <c r="GU36" s="363">
        <f t="shared" ca="1" si="406"/>
        <v>5.1391671627973465E-2</v>
      </c>
      <c r="GV36" s="363">
        <f t="shared" ca="1" si="406"/>
        <v>4.9063604322419845E-2</v>
      </c>
      <c r="GW36" s="363">
        <f t="shared" ca="1" si="406"/>
        <v>4.2195718937826351E-2</v>
      </c>
      <c r="GX36" s="363">
        <f t="shared" ca="1" si="406"/>
        <v>4.3949023262363461E-2</v>
      </c>
      <c r="GY36" s="363">
        <f t="shared" ca="1" si="406"/>
        <v>5.011806134930985E-2</v>
      </c>
      <c r="GZ36" s="363">
        <f t="shared" ca="1" si="406"/>
        <v>4.858080120599062E-2</v>
      </c>
      <c r="HA36" s="363">
        <f t="shared" ca="1" si="406"/>
        <v>4.7196456213898265E-2</v>
      </c>
      <c r="HB36" s="363">
        <f t="shared" ca="1" si="406"/>
        <v>4.638850387096833E-2</v>
      </c>
      <c r="HC36" s="363">
        <f t="shared" ca="1" si="406"/>
        <v>5.6114018164700297E-2</v>
      </c>
      <c r="HD36" s="363">
        <f t="shared" ca="1" si="406"/>
        <v>4.8886072727623339E-2</v>
      </c>
      <c r="HE36" s="363">
        <f ca="1">_xlfn.GAMMA.INV(RAND(), $I$36,$J$36)</f>
        <v>4.07699797112034E-2</v>
      </c>
      <c r="HF36" s="363">
        <f t="shared" ref="HF36:JQ36" ca="1" si="407">_xlfn.GAMMA.INV(RAND(), $I$36,$J$36)</f>
        <v>4.780130987426115E-2</v>
      </c>
      <c r="HG36" s="363">
        <f t="shared" ca="1" si="407"/>
        <v>4.1306922596761511E-2</v>
      </c>
      <c r="HH36" s="363">
        <f t="shared" ca="1" si="407"/>
        <v>5.2672204181493161E-2</v>
      </c>
      <c r="HI36" s="363">
        <f t="shared" ca="1" si="407"/>
        <v>4.731976940065704E-2</v>
      </c>
      <c r="HJ36" s="363">
        <f t="shared" ca="1" si="407"/>
        <v>5.077740115537565E-2</v>
      </c>
      <c r="HK36" s="363">
        <f t="shared" ca="1" si="407"/>
        <v>5.676350131572612E-2</v>
      </c>
      <c r="HL36" s="363">
        <f t="shared" ca="1" si="407"/>
        <v>4.3609198506970877E-2</v>
      </c>
      <c r="HM36" s="363">
        <f t="shared" ca="1" si="407"/>
        <v>4.4066005834712541E-2</v>
      </c>
      <c r="HN36" s="363">
        <f t="shared" ca="1" si="407"/>
        <v>4.4692067883891226E-2</v>
      </c>
      <c r="HO36" s="363">
        <f t="shared" ca="1" si="407"/>
        <v>4.9768593442259257E-2</v>
      </c>
      <c r="HP36" s="363">
        <f t="shared" ca="1" si="407"/>
        <v>4.5361336366480598E-2</v>
      </c>
      <c r="HQ36" s="363">
        <f t="shared" ca="1" si="407"/>
        <v>5.3935250770775295E-2</v>
      </c>
      <c r="HR36" s="363">
        <f t="shared" ca="1" si="407"/>
        <v>4.054791106833304E-2</v>
      </c>
      <c r="HS36" s="363">
        <f t="shared" ca="1" si="407"/>
        <v>5.2229324709548899E-2</v>
      </c>
      <c r="HT36" s="363">
        <f t="shared" ca="1" si="407"/>
        <v>4.8219547866687099E-2</v>
      </c>
      <c r="HU36" s="363">
        <f t="shared" ca="1" si="407"/>
        <v>4.3736685925692464E-2</v>
      </c>
      <c r="HV36" s="363">
        <f t="shared" ca="1" si="407"/>
        <v>5.089440045656967E-2</v>
      </c>
      <c r="HW36" s="363">
        <f t="shared" ca="1" si="407"/>
        <v>5.1255402672700033E-2</v>
      </c>
      <c r="HX36" s="363">
        <f t="shared" ca="1" si="407"/>
        <v>4.5885111771252797E-2</v>
      </c>
      <c r="HY36" s="363">
        <f t="shared" ca="1" si="407"/>
        <v>5.6005824759401149E-2</v>
      </c>
      <c r="HZ36" s="363">
        <f t="shared" ca="1" si="407"/>
        <v>4.4188846828655454E-2</v>
      </c>
      <c r="IA36" s="363">
        <f t="shared" ca="1" si="407"/>
        <v>5.2885845884582811E-2</v>
      </c>
      <c r="IB36" s="363">
        <f t="shared" ca="1" si="407"/>
        <v>4.6538768079583313E-2</v>
      </c>
      <c r="IC36" s="363">
        <f t="shared" ca="1" si="407"/>
        <v>4.4067792856071535E-2</v>
      </c>
      <c r="ID36" s="363">
        <f t="shared" ca="1" si="407"/>
        <v>4.3761359297144392E-2</v>
      </c>
      <c r="IE36" s="363">
        <f t="shared" ca="1" si="407"/>
        <v>4.2411065264668264E-2</v>
      </c>
      <c r="IF36" s="363">
        <f t="shared" ca="1" si="407"/>
        <v>4.6743265770895541E-2</v>
      </c>
      <c r="IG36" s="363">
        <f t="shared" ca="1" si="407"/>
        <v>4.6962845395247234E-2</v>
      </c>
      <c r="IH36" s="363">
        <f t="shared" ca="1" si="407"/>
        <v>5.2822348038243448E-2</v>
      </c>
      <c r="II36" s="363">
        <f t="shared" ca="1" si="407"/>
        <v>5.0990366979123312E-2</v>
      </c>
      <c r="IJ36" s="363">
        <f t="shared" ca="1" si="407"/>
        <v>4.5005810358998463E-2</v>
      </c>
      <c r="IK36" s="363">
        <f t="shared" ca="1" si="407"/>
        <v>5.0749761927169686E-2</v>
      </c>
      <c r="IL36" s="363">
        <f t="shared" ca="1" si="407"/>
        <v>4.7289742751203005E-2</v>
      </c>
      <c r="IM36" s="363">
        <f t="shared" ca="1" si="407"/>
        <v>4.9213037811839014E-2</v>
      </c>
      <c r="IN36" s="363">
        <f t="shared" ca="1" si="407"/>
        <v>5.2943888455158856E-2</v>
      </c>
      <c r="IO36" s="363">
        <f t="shared" ca="1" si="407"/>
        <v>5.250949018669656E-2</v>
      </c>
      <c r="IP36" s="363">
        <f t="shared" ca="1" si="407"/>
        <v>4.8386415092688859E-2</v>
      </c>
      <c r="IQ36" s="363">
        <f t="shared" ca="1" si="407"/>
        <v>4.2562669353217716E-2</v>
      </c>
      <c r="IR36" s="363">
        <f t="shared" ca="1" si="407"/>
        <v>5.5823371797592239E-2</v>
      </c>
      <c r="IS36" s="363">
        <f t="shared" ca="1" si="407"/>
        <v>4.950195570858669E-2</v>
      </c>
      <c r="IT36" s="363">
        <f t="shared" ca="1" si="407"/>
        <v>5.3839701017694509E-2</v>
      </c>
      <c r="IU36" s="363">
        <f t="shared" ca="1" si="407"/>
        <v>5.3055084344966238E-2</v>
      </c>
      <c r="IV36" s="363">
        <f t="shared" ca="1" si="407"/>
        <v>4.7660369590349971E-2</v>
      </c>
      <c r="IW36" s="363">
        <f t="shared" ca="1" si="407"/>
        <v>5.0202923029467002E-2</v>
      </c>
      <c r="IX36" s="363">
        <f t="shared" ca="1" si="407"/>
        <v>4.6196660449382317E-2</v>
      </c>
      <c r="IY36" s="363">
        <f t="shared" ca="1" si="407"/>
        <v>5.2284555655061626E-2</v>
      </c>
      <c r="IZ36" s="363">
        <f t="shared" ca="1" si="407"/>
        <v>4.778902300358033E-2</v>
      </c>
      <c r="JA36" s="363">
        <f t="shared" ca="1" si="407"/>
        <v>5.0852176151895898E-2</v>
      </c>
      <c r="JB36" s="363">
        <f t="shared" ca="1" si="407"/>
        <v>3.6027345641975794E-2</v>
      </c>
      <c r="JC36" s="363">
        <f t="shared" ca="1" si="407"/>
        <v>4.6751079434332585E-2</v>
      </c>
      <c r="JD36" s="363">
        <f t="shared" ca="1" si="407"/>
        <v>5.2012076721125525E-2</v>
      </c>
      <c r="JE36" s="363">
        <f t="shared" ca="1" si="407"/>
        <v>5.1976411647428791E-2</v>
      </c>
      <c r="JF36" s="363">
        <f t="shared" ca="1" si="407"/>
        <v>4.1875251217009704E-2</v>
      </c>
      <c r="JG36" s="363">
        <f t="shared" ca="1" si="407"/>
        <v>4.8738104389062918E-2</v>
      </c>
      <c r="JH36" s="363">
        <f t="shared" ca="1" si="407"/>
        <v>4.3009312064737515E-2</v>
      </c>
      <c r="JI36" s="363">
        <f t="shared" ca="1" si="407"/>
        <v>4.3303447033383388E-2</v>
      </c>
      <c r="JJ36" s="363">
        <f t="shared" ca="1" si="407"/>
        <v>4.9286424164716923E-2</v>
      </c>
      <c r="JK36" s="363">
        <f t="shared" ca="1" si="407"/>
        <v>4.3751655110028001E-2</v>
      </c>
      <c r="JL36" s="363">
        <f t="shared" ca="1" si="407"/>
        <v>5.4338118550405379E-2</v>
      </c>
      <c r="JM36" s="363">
        <f t="shared" ca="1" si="407"/>
        <v>5.1563807388872347E-2</v>
      </c>
      <c r="JN36" s="363">
        <f t="shared" ca="1" si="407"/>
        <v>5.3370218489586355E-2</v>
      </c>
      <c r="JO36" s="363">
        <f t="shared" ca="1" si="407"/>
        <v>5.0594245291386897E-2</v>
      </c>
      <c r="JP36" s="363">
        <f t="shared" ca="1" si="407"/>
        <v>4.6314319125533882E-2</v>
      </c>
      <c r="JQ36" s="363">
        <f t="shared" ca="1" si="407"/>
        <v>4.5332583469829692E-2</v>
      </c>
      <c r="JR36" s="363">
        <f t="shared" ref="JR36:KZ36" ca="1" si="408">_xlfn.GAMMA.INV(RAND(), $I$36,$J$36)</f>
        <v>4.5053509864762462E-2</v>
      </c>
      <c r="JS36" s="363">
        <f t="shared" ca="1" si="408"/>
        <v>4.8660542278431002E-2</v>
      </c>
      <c r="JT36" s="363">
        <f t="shared" ca="1" si="408"/>
        <v>5.0791868288593792E-2</v>
      </c>
      <c r="JU36" s="363">
        <f t="shared" ca="1" si="408"/>
        <v>4.9366529077785888E-2</v>
      </c>
      <c r="JV36" s="363">
        <f t="shared" ca="1" si="408"/>
        <v>5.9105135678514616E-2</v>
      </c>
      <c r="JW36" s="363">
        <f t="shared" ca="1" si="408"/>
        <v>4.7509835368900175E-2</v>
      </c>
      <c r="JX36" s="363">
        <f t="shared" ca="1" si="408"/>
        <v>5.1177686951060543E-2</v>
      </c>
      <c r="JY36" s="363">
        <f t="shared" ca="1" si="408"/>
        <v>4.6321897030188165E-2</v>
      </c>
      <c r="JZ36" s="363">
        <f t="shared" ca="1" si="408"/>
        <v>3.9723208623499144E-2</v>
      </c>
      <c r="KA36" s="363">
        <f t="shared" ca="1" si="408"/>
        <v>4.8274582109619713E-2</v>
      </c>
      <c r="KB36" s="363">
        <f t="shared" ca="1" si="408"/>
        <v>4.5632013955291602E-2</v>
      </c>
      <c r="KC36" s="363">
        <f t="shared" ca="1" si="408"/>
        <v>4.8271131471707453E-2</v>
      </c>
      <c r="KD36" s="363">
        <f t="shared" ca="1" si="408"/>
        <v>4.9717897787051199E-2</v>
      </c>
      <c r="KE36" s="363">
        <f t="shared" ca="1" si="408"/>
        <v>4.7652097331518865E-2</v>
      </c>
      <c r="KF36" s="363">
        <f t="shared" ca="1" si="408"/>
        <v>4.1130472453453616E-2</v>
      </c>
      <c r="KG36" s="363">
        <f t="shared" ca="1" si="408"/>
        <v>4.8498375689349109E-2</v>
      </c>
      <c r="KH36" s="363">
        <f t="shared" ca="1" si="408"/>
        <v>4.3608578142526055E-2</v>
      </c>
      <c r="KI36" s="363">
        <f t="shared" ca="1" si="408"/>
        <v>4.6533696675836511E-2</v>
      </c>
      <c r="KJ36" s="363">
        <f t="shared" ca="1" si="408"/>
        <v>4.5893333813048144E-2</v>
      </c>
      <c r="KK36" s="363">
        <f t="shared" ca="1" si="408"/>
        <v>5.4761525611001102E-2</v>
      </c>
      <c r="KL36" s="363">
        <f t="shared" ca="1" si="408"/>
        <v>4.1056060391098048E-2</v>
      </c>
      <c r="KM36" s="363">
        <f t="shared" ca="1" si="408"/>
        <v>5.4296044650164015E-2</v>
      </c>
      <c r="KN36" s="363">
        <f t="shared" ca="1" si="408"/>
        <v>5.4667359418511689E-2</v>
      </c>
      <c r="KO36" s="363">
        <f t="shared" ca="1" si="408"/>
        <v>5.4168665638856105E-2</v>
      </c>
      <c r="KP36" s="363">
        <f t="shared" ca="1" si="408"/>
        <v>4.4527605322592929E-2</v>
      </c>
      <c r="KQ36" s="363">
        <f t="shared" ca="1" si="408"/>
        <v>5.1290282270340146E-2</v>
      </c>
      <c r="KR36" s="363">
        <f t="shared" ca="1" si="408"/>
        <v>5.4665027469877704E-2</v>
      </c>
      <c r="KS36" s="363">
        <f t="shared" ca="1" si="408"/>
        <v>4.6684003422577551E-2</v>
      </c>
      <c r="KT36" s="363">
        <f t="shared" ca="1" si="408"/>
        <v>5.3395132966172591E-2</v>
      </c>
      <c r="KU36" s="363">
        <f t="shared" ca="1" si="408"/>
        <v>4.1083882208437159E-2</v>
      </c>
      <c r="KV36" s="363">
        <f t="shared" ca="1" si="408"/>
        <v>4.6134973048122585E-2</v>
      </c>
      <c r="KW36" s="363">
        <f t="shared" ca="1" si="408"/>
        <v>5.247189776294435E-2</v>
      </c>
      <c r="KX36" s="363">
        <f t="shared" ca="1" si="408"/>
        <v>5.0171096543277643E-2</v>
      </c>
      <c r="KY36" s="363">
        <f t="shared" ca="1" si="408"/>
        <v>5.1942234760980324E-2</v>
      </c>
      <c r="KZ36" s="363">
        <f t="shared" ca="1" si="408"/>
        <v>6.3469652641536548E-2</v>
      </c>
      <c r="LA36" s="363">
        <f ca="1">_xlfn.GAMMA.INV(RAND(), $I$36,$J$36)</f>
        <v>5.1994802728357652E-2</v>
      </c>
      <c r="LB36" s="363">
        <f t="shared" ref="LB36:NM36" ca="1" si="409">_xlfn.GAMMA.INV(RAND(), $I$36,$J$36)</f>
        <v>4.3504827287433816E-2</v>
      </c>
      <c r="LC36" s="363">
        <f t="shared" ca="1" si="409"/>
        <v>4.6546318585831407E-2</v>
      </c>
      <c r="LD36" s="363">
        <f t="shared" ca="1" si="409"/>
        <v>5.4181873328704389E-2</v>
      </c>
      <c r="LE36" s="363">
        <f t="shared" ca="1" si="409"/>
        <v>4.5341680334314273E-2</v>
      </c>
      <c r="LF36" s="363">
        <f t="shared" ca="1" si="409"/>
        <v>5.1128258616518284E-2</v>
      </c>
      <c r="LG36" s="363">
        <f t="shared" ca="1" si="409"/>
        <v>4.5480990310520081E-2</v>
      </c>
      <c r="LH36" s="363">
        <f t="shared" ca="1" si="409"/>
        <v>4.8328862723210922E-2</v>
      </c>
      <c r="LI36" s="363">
        <f t="shared" ca="1" si="409"/>
        <v>5.1358000844904002E-2</v>
      </c>
      <c r="LJ36" s="363">
        <f t="shared" ca="1" si="409"/>
        <v>4.568840248259437E-2</v>
      </c>
      <c r="LK36" s="363">
        <f t="shared" ca="1" si="409"/>
        <v>5.2175176177843396E-2</v>
      </c>
      <c r="LL36" s="363">
        <f t="shared" ca="1" si="409"/>
        <v>4.4037078003773066E-2</v>
      </c>
      <c r="LM36" s="363">
        <f t="shared" ca="1" si="409"/>
        <v>4.7453251990097332E-2</v>
      </c>
      <c r="LN36" s="363">
        <f t="shared" ca="1" si="409"/>
        <v>5.2986294967618461E-2</v>
      </c>
      <c r="LO36" s="363">
        <f t="shared" ca="1" si="409"/>
        <v>5.100087198140825E-2</v>
      </c>
      <c r="LP36" s="363">
        <f t="shared" ca="1" si="409"/>
        <v>4.909749773127757E-2</v>
      </c>
      <c r="LQ36" s="363">
        <f t="shared" ca="1" si="409"/>
        <v>5.5608550421254337E-2</v>
      </c>
      <c r="LR36" s="363">
        <f t="shared" ca="1" si="409"/>
        <v>4.8549461575665566E-2</v>
      </c>
      <c r="LS36" s="363">
        <f t="shared" ca="1" si="409"/>
        <v>4.5782897271803409E-2</v>
      </c>
      <c r="LT36" s="363">
        <f t="shared" ca="1" si="409"/>
        <v>5.1466711456071769E-2</v>
      </c>
      <c r="LU36" s="363">
        <f t="shared" ca="1" si="409"/>
        <v>4.4193610677762243E-2</v>
      </c>
      <c r="LV36" s="363">
        <f t="shared" ca="1" si="409"/>
        <v>4.4036904677214571E-2</v>
      </c>
      <c r="LW36" s="363">
        <f t="shared" ca="1" si="409"/>
        <v>5.3728182979801503E-2</v>
      </c>
      <c r="LX36" s="363">
        <f t="shared" ca="1" si="409"/>
        <v>4.9115316905473466E-2</v>
      </c>
      <c r="LY36" s="363">
        <f t="shared" ca="1" si="409"/>
        <v>5.423242036971683E-2</v>
      </c>
      <c r="LZ36" s="363">
        <f t="shared" ca="1" si="409"/>
        <v>5.0997612686515932E-2</v>
      </c>
      <c r="MA36" s="363">
        <f t="shared" ca="1" si="409"/>
        <v>5.1415497337151422E-2</v>
      </c>
      <c r="MB36" s="363">
        <f t="shared" ca="1" si="409"/>
        <v>4.6223984497775879E-2</v>
      </c>
      <c r="MC36" s="363">
        <f t="shared" ca="1" si="409"/>
        <v>5.3805545373495418E-2</v>
      </c>
      <c r="MD36" s="363">
        <f t="shared" ca="1" si="409"/>
        <v>4.7970137236934274E-2</v>
      </c>
      <c r="ME36" s="363">
        <f t="shared" ca="1" si="409"/>
        <v>4.7520761195708722E-2</v>
      </c>
      <c r="MF36" s="363">
        <f t="shared" ca="1" si="409"/>
        <v>5.0879794959250053E-2</v>
      </c>
      <c r="MG36" s="363">
        <f t="shared" ca="1" si="409"/>
        <v>4.6242644893471047E-2</v>
      </c>
      <c r="MH36" s="363">
        <f t="shared" ca="1" si="409"/>
        <v>4.2412746367822739E-2</v>
      </c>
      <c r="MI36" s="363">
        <f t="shared" ca="1" si="409"/>
        <v>5.053342979915431E-2</v>
      </c>
      <c r="MJ36" s="363">
        <f t="shared" ca="1" si="409"/>
        <v>4.4766439720830165E-2</v>
      </c>
      <c r="MK36" s="363">
        <f t="shared" ca="1" si="409"/>
        <v>4.9666173261775248E-2</v>
      </c>
      <c r="ML36" s="363">
        <f t="shared" ca="1" si="409"/>
        <v>4.8828108531176855E-2</v>
      </c>
      <c r="MM36" s="363">
        <f t="shared" ca="1" si="409"/>
        <v>4.4746785119557299E-2</v>
      </c>
      <c r="MN36" s="363">
        <f t="shared" ca="1" si="409"/>
        <v>5.0973328685607167E-2</v>
      </c>
      <c r="MO36" s="363">
        <f t="shared" ca="1" si="409"/>
        <v>4.9048956301642167E-2</v>
      </c>
      <c r="MP36" s="363">
        <f t="shared" ca="1" si="409"/>
        <v>5.2231102424432733E-2</v>
      </c>
      <c r="MQ36" s="363">
        <f t="shared" ca="1" si="409"/>
        <v>4.7330986081673562E-2</v>
      </c>
      <c r="MR36" s="363">
        <f t="shared" ca="1" si="409"/>
        <v>4.9228070326231728E-2</v>
      </c>
      <c r="MS36" s="363">
        <f t="shared" ca="1" si="409"/>
        <v>5.401434557026235E-2</v>
      </c>
      <c r="MT36" s="363">
        <f t="shared" ca="1" si="409"/>
        <v>5.2727566958929661E-2</v>
      </c>
      <c r="MU36" s="363">
        <f t="shared" ca="1" si="409"/>
        <v>4.7709796755708335E-2</v>
      </c>
      <c r="MV36" s="363">
        <f t="shared" ca="1" si="409"/>
        <v>5.3974149067159888E-2</v>
      </c>
      <c r="MW36" s="363">
        <f t="shared" ca="1" si="409"/>
        <v>5.846865149655834E-2</v>
      </c>
      <c r="MX36" s="363">
        <f t="shared" ca="1" si="409"/>
        <v>5.2145516787241095E-2</v>
      </c>
      <c r="MY36" s="363">
        <f t="shared" ca="1" si="409"/>
        <v>5.4697769046341625E-2</v>
      </c>
      <c r="MZ36" s="363">
        <f t="shared" ca="1" si="409"/>
        <v>5.3555434369924312E-2</v>
      </c>
      <c r="NA36" s="363">
        <f t="shared" ca="1" si="409"/>
        <v>5.3089694740517078E-2</v>
      </c>
      <c r="NB36" s="363">
        <f t="shared" ca="1" si="409"/>
        <v>4.5794836974897855E-2</v>
      </c>
      <c r="NC36" s="363">
        <f t="shared" ca="1" si="409"/>
        <v>5.4832986755813232E-2</v>
      </c>
      <c r="ND36" s="363">
        <f t="shared" ca="1" si="409"/>
        <v>4.1912979377100278E-2</v>
      </c>
      <c r="NE36" s="363">
        <f t="shared" ca="1" si="409"/>
        <v>3.9439514542395054E-2</v>
      </c>
      <c r="NF36" s="363">
        <f t="shared" ca="1" si="409"/>
        <v>5.340807816420437E-2</v>
      </c>
      <c r="NG36" s="363">
        <f t="shared" ca="1" si="409"/>
        <v>4.5072840433517308E-2</v>
      </c>
      <c r="NH36" s="363">
        <f t="shared" ca="1" si="409"/>
        <v>4.2032438424914755E-2</v>
      </c>
      <c r="NI36" s="363">
        <f t="shared" ca="1" si="409"/>
        <v>3.8547652494192119E-2</v>
      </c>
      <c r="NJ36" s="363">
        <f t="shared" ca="1" si="409"/>
        <v>5.253840043603545E-2</v>
      </c>
      <c r="NK36" s="363">
        <f t="shared" ca="1" si="409"/>
        <v>4.9205862832626776E-2</v>
      </c>
      <c r="NL36" s="363">
        <f t="shared" ca="1" si="409"/>
        <v>5.0578826014840324E-2</v>
      </c>
      <c r="NM36" s="363">
        <f t="shared" ca="1" si="409"/>
        <v>4.8565931105520946E-2</v>
      </c>
      <c r="NN36" s="363">
        <f t="shared" ref="NN36:OV36" ca="1" si="410">_xlfn.GAMMA.INV(RAND(), $I$36,$J$36)</f>
        <v>5.0910302868896078E-2</v>
      </c>
      <c r="NO36" s="363">
        <f t="shared" ca="1" si="410"/>
        <v>4.8472727040009891E-2</v>
      </c>
      <c r="NP36" s="363">
        <f t="shared" ca="1" si="410"/>
        <v>4.815376544460466E-2</v>
      </c>
      <c r="NQ36" s="363">
        <f t="shared" ca="1" si="410"/>
        <v>4.8566014440365832E-2</v>
      </c>
      <c r="NR36" s="363">
        <f t="shared" ca="1" si="410"/>
        <v>4.8496450499898119E-2</v>
      </c>
      <c r="NS36" s="363">
        <f t="shared" ca="1" si="410"/>
        <v>4.8739278643341134E-2</v>
      </c>
      <c r="NT36" s="363">
        <f t="shared" ca="1" si="410"/>
        <v>4.9750175672915099E-2</v>
      </c>
      <c r="NU36" s="363">
        <f t="shared" ca="1" si="410"/>
        <v>4.6687796905514112E-2</v>
      </c>
      <c r="NV36" s="363">
        <f t="shared" ca="1" si="410"/>
        <v>5.4013177761389045E-2</v>
      </c>
      <c r="NW36" s="363">
        <f t="shared" ca="1" si="410"/>
        <v>5.026000412941526E-2</v>
      </c>
      <c r="NX36" s="363">
        <f t="shared" ca="1" si="410"/>
        <v>4.7021568649882939E-2</v>
      </c>
      <c r="NY36" s="363">
        <f t="shared" ca="1" si="410"/>
        <v>4.7525906927618967E-2</v>
      </c>
      <c r="NZ36" s="363">
        <f t="shared" ca="1" si="410"/>
        <v>4.7885168899884027E-2</v>
      </c>
      <c r="OA36" s="363">
        <f t="shared" ca="1" si="410"/>
        <v>4.9612781828392537E-2</v>
      </c>
      <c r="OB36" s="363">
        <f t="shared" ca="1" si="410"/>
        <v>4.9278506165613994E-2</v>
      </c>
      <c r="OC36" s="363">
        <f t="shared" ca="1" si="410"/>
        <v>4.861843142517127E-2</v>
      </c>
      <c r="OD36" s="363">
        <f t="shared" ca="1" si="410"/>
        <v>4.9865939101200844E-2</v>
      </c>
      <c r="OE36" s="363">
        <f t="shared" ca="1" si="410"/>
        <v>4.449936469324102E-2</v>
      </c>
      <c r="OF36" s="363">
        <f t="shared" ca="1" si="410"/>
        <v>4.6655551469516866E-2</v>
      </c>
      <c r="OG36" s="363">
        <f t="shared" ca="1" si="410"/>
        <v>5.7873177655085456E-2</v>
      </c>
      <c r="OH36" s="363">
        <f t="shared" ca="1" si="410"/>
        <v>4.8769875956643075E-2</v>
      </c>
      <c r="OI36" s="363">
        <f t="shared" ca="1" si="410"/>
        <v>5.8119253830320225E-2</v>
      </c>
      <c r="OJ36" s="363">
        <f t="shared" ca="1" si="410"/>
        <v>4.9243798425611128E-2</v>
      </c>
      <c r="OK36" s="363">
        <f t="shared" ca="1" si="410"/>
        <v>4.5609740999274041E-2</v>
      </c>
      <c r="OL36" s="363">
        <f t="shared" ca="1" si="410"/>
        <v>4.7796305158135211E-2</v>
      </c>
      <c r="OM36" s="363">
        <f t="shared" ca="1" si="410"/>
        <v>5.8539383029509472E-2</v>
      </c>
      <c r="ON36" s="363">
        <f t="shared" ca="1" si="410"/>
        <v>4.73796721289877E-2</v>
      </c>
      <c r="OO36" s="363">
        <f t="shared" ca="1" si="410"/>
        <v>4.4530528633414709E-2</v>
      </c>
      <c r="OP36" s="363">
        <f t="shared" ca="1" si="410"/>
        <v>4.9532454831156043E-2</v>
      </c>
      <c r="OQ36" s="363">
        <f t="shared" ca="1" si="410"/>
        <v>4.762339266485674E-2</v>
      </c>
      <c r="OR36" s="363">
        <f t="shared" ca="1" si="410"/>
        <v>5.1568565266217087E-2</v>
      </c>
      <c r="OS36" s="363">
        <f t="shared" ca="1" si="410"/>
        <v>4.5974897656321033E-2</v>
      </c>
      <c r="OT36" s="363">
        <f t="shared" ca="1" si="410"/>
        <v>4.9905551400581658E-2</v>
      </c>
      <c r="OU36" s="363">
        <f t="shared" ca="1" si="410"/>
        <v>4.6619890362339413E-2</v>
      </c>
      <c r="OV36" s="363">
        <f t="shared" ca="1" si="410"/>
        <v>6.3366944204361064E-2</v>
      </c>
      <c r="OW36" s="363">
        <f ca="1">_xlfn.GAMMA.INV(RAND(), $I$36,$J$36)</f>
        <v>4.8242906267442737E-2</v>
      </c>
      <c r="OX36" s="363">
        <f t="shared" ref="OX36:RI36" ca="1" si="411">_xlfn.GAMMA.INV(RAND(), $I$36,$J$36)</f>
        <v>5.7057895934690246E-2</v>
      </c>
      <c r="OY36" s="363">
        <f t="shared" ca="1" si="411"/>
        <v>5.2798832855528562E-2</v>
      </c>
      <c r="OZ36" s="363">
        <f t="shared" ca="1" si="411"/>
        <v>4.898902539515422E-2</v>
      </c>
      <c r="PA36" s="363">
        <f t="shared" ca="1" si="411"/>
        <v>5.2137160712317734E-2</v>
      </c>
      <c r="PB36" s="363">
        <f t="shared" ca="1" si="411"/>
        <v>4.9598209625270985E-2</v>
      </c>
      <c r="PC36" s="363">
        <f t="shared" ca="1" si="411"/>
        <v>4.3556658497360623E-2</v>
      </c>
      <c r="PD36" s="363">
        <f t="shared" ca="1" si="411"/>
        <v>4.091509603419119E-2</v>
      </c>
      <c r="PE36" s="363">
        <f t="shared" ca="1" si="411"/>
        <v>6.3989484578563141E-2</v>
      </c>
      <c r="PF36" s="363">
        <f t="shared" ca="1" si="411"/>
        <v>4.8720411176155422E-2</v>
      </c>
      <c r="PG36" s="363">
        <f t="shared" ca="1" si="411"/>
        <v>4.2249531476732057E-2</v>
      </c>
      <c r="PH36" s="363">
        <f t="shared" ca="1" si="411"/>
        <v>4.5032172624314637E-2</v>
      </c>
      <c r="PI36" s="363">
        <f t="shared" ca="1" si="411"/>
        <v>4.5181196022545438E-2</v>
      </c>
      <c r="PJ36" s="363">
        <f t="shared" ca="1" si="411"/>
        <v>5.52993681741073E-2</v>
      </c>
      <c r="PK36" s="363">
        <f t="shared" ca="1" si="411"/>
        <v>4.0976429934615165E-2</v>
      </c>
      <c r="PL36" s="363">
        <f t="shared" ca="1" si="411"/>
        <v>5.0924237612559278E-2</v>
      </c>
      <c r="PM36" s="363">
        <f t="shared" ca="1" si="411"/>
        <v>5.4711565305048178E-2</v>
      </c>
      <c r="PN36" s="363">
        <f t="shared" ca="1" si="411"/>
        <v>4.4913681980045965E-2</v>
      </c>
      <c r="PO36" s="363">
        <f t="shared" ca="1" si="411"/>
        <v>4.7959366925703933E-2</v>
      </c>
      <c r="PP36" s="363">
        <f t="shared" ca="1" si="411"/>
        <v>4.2970687640512657E-2</v>
      </c>
      <c r="PQ36" s="363">
        <f t="shared" ca="1" si="411"/>
        <v>5.3238500551609544E-2</v>
      </c>
      <c r="PR36" s="363">
        <f t="shared" ca="1" si="411"/>
        <v>4.1644435327674839E-2</v>
      </c>
      <c r="PS36" s="363">
        <f t="shared" ca="1" si="411"/>
        <v>4.9058218928070003E-2</v>
      </c>
      <c r="PT36" s="363">
        <f t="shared" ca="1" si="411"/>
        <v>4.9479115602387297E-2</v>
      </c>
      <c r="PU36" s="363">
        <f t="shared" ca="1" si="411"/>
        <v>5.2760989985348956E-2</v>
      </c>
      <c r="PV36" s="363">
        <f t="shared" ca="1" si="411"/>
        <v>4.5289214355247367E-2</v>
      </c>
      <c r="PW36" s="363">
        <f t="shared" ca="1" si="411"/>
        <v>4.2626015211504872E-2</v>
      </c>
      <c r="PX36" s="363">
        <f t="shared" ca="1" si="411"/>
        <v>5.2652200988061629E-2</v>
      </c>
      <c r="PY36" s="363">
        <f t="shared" ca="1" si="411"/>
        <v>5.1762954166816165E-2</v>
      </c>
      <c r="PZ36" s="363">
        <f t="shared" ca="1" si="411"/>
        <v>5.0421423472412394E-2</v>
      </c>
      <c r="QA36" s="363">
        <f t="shared" ca="1" si="411"/>
        <v>4.9808217686058212E-2</v>
      </c>
      <c r="QB36" s="363">
        <f t="shared" ca="1" si="411"/>
        <v>4.7470546205420315E-2</v>
      </c>
      <c r="QC36" s="363">
        <f t="shared" ca="1" si="411"/>
        <v>4.1046046038058642E-2</v>
      </c>
      <c r="QD36" s="363">
        <f t="shared" ca="1" si="411"/>
        <v>4.0132583632271519E-2</v>
      </c>
      <c r="QE36" s="363">
        <f t="shared" ca="1" si="411"/>
        <v>4.6027240299719718E-2</v>
      </c>
      <c r="QF36" s="363">
        <f t="shared" ca="1" si="411"/>
        <v>5.144695506240686E-2</v>
      </c>
      <c r="QG36" s="363">
        <f t="shared" ca="1" si="411"/>
        <v>4.7006063352541531E-2</v>
      </c>
      <c r="QH36" s="363">
        <f t="shared" ca="1" si="411"/>
        <v>4.8774343827884689E-2</v>
      </c>
      <c r="QI36" s="363">
        <f t="shared" ca="1" si="411"/>
        <v>4.4171534300289805E-2</v>
      </c>
      <c r="QJ36" s="363">
        <f t="shared" ca="1" si="411"/>
        <v>4.659943499167446E-2</v>
      </c>
      <c r="QK36" s="363">
        <f t="shared" ca="1" si="411"/>
        <v>4.8437049549763495E-2</v>
      </c>
      <c r="QL36" s="363">
        <f t="shared" ca="1" si="411"/>
        <v>5.7522025301932393E-2</v>
      </c>
      <c r="QM36" s="363">
        <f t="shared" ca="1" si="411"/>
        <v>4.8847175059086166E-2</v>
      </c>
      <c r="QN36" s="363">
        <f t="shared" ca="1" si="411"/>
        <v>4.8717344866531259E-2</v>
      </c>
      <c r="QO36" s="363">
        <f t="shared" ca="1" si="411"/>
        <v>5.2141855095734296E-2</v>
      </c>
      <c r="QP36" s="363">
        <f t="shared" ca="1" si="411"/>
        <v>4.3804552121722358E-2</v>
      </c>
      <c r="QQ36" s="363">
        <f t="shared" ca="1" si="411"/>
        <v>4.6513208501243374E-2</v>
      </c>
      <c r="QR36" s="363">
        <f t="shared" ca="1" si="411"/>
        <v>4.7806700518167995E-2</v>
      </c>
      <c r="QS36" s="363">
        <f t="shared" ca="1" si="411"/>
        <v>4.7282424944922942E-2</v>
      </c>
      <c r="QT36" s="363">
        <f t="shared" ca="1" si="411"/>
        <v>3.8658808213007059E-2</v>
      </c>
      <c r="QU36" s="363">
        <f t="shared" ca="1" si="411"/>
        <v>4.472321171980323E-2</v>
      </c>
      <c r="QV36" s="363">
        <f t="shared" ca="1" si="411"/>
        <v>5.2004494938651238E-2</v>
      </c>
      <c r="QW36" s="363">
        <f t="shared" ca="1" si="411"/>
        <v>4.889263422919355E-2</v>
      </c>
      <c r="QX36" s="363">
        <f t="shared" ca="1" si="411"/>
        <v>4.6545167317047415E-2</v>
      </c>
      <c r="QY36" s="363">
        <f t="shared" ca="1" si="411"/>
        <v>5.2542955620394828E-2</v>
      </c>
      <c r="QZ36" s="363">
        <f t="shared" ca="1" si="411"/>
        <v>4.6301090907303305E-2</v>
      </c>
      <c r="RA36" s="363">
        <f t="shared" ca="1" si="411"/>
        <v>4.8488597236787841E-2</v>
      </c>
      <c r="RB36" s="363">
        <f t="shared" ca="1" si="411"/>
        <v>4.2086770710269832E-2</v>
      </c>
      <c r="RC36" s="363">
        <f t="shared" ca="1" si="411"/>
        <v>5.21854283316203E-2</v>
      </c>
      <c r="RD36" s="363">
        <f t="shared" ca="1" si="411"/>
        <v>4.2059305971627277E-2</v>
      </c>
      <c r="RE36" s="363">
        <f t="shared" ca="1" si="411"/>
        <v>4.2827831426310414E-2</v>
      </c>
      <c r="RF36" s="363">
        <f t="shared" ca="1" si="411"/>
        <v>5.3414601064528826E-2</v>
      </c>
      <c r="RG36" s="363">
        <f t="shared" ca="1" si="411"/>
        <v>4.9882903332518436E-2</v>
      </c>
      <c r="RH36" s="363">
        <f t="shared" ca="1" si="411"/>
        <v>5.295214406283117E-2</v>
      </c>
      <c r="RI36" s="363">
        <f t="shared" ca="1" si="411"/>
        <v>5.2772206842319667E-2</v>
      </c>
      <c r="RJ36" s="363">
        <f t="shared" ref="RJ36:SR36" ca="1" si="412">_xlfn.GAMMA.INV(RAND(), $I$36,$J$36)</f>
        <v>5.1447775500846019E-2</v>
      </c>
      <c r="RK36" s="363">
        <f t="shared" ca="1" si="412"/>
        <v>5.0186482118726908E-2</v>
      </c>
      <c r="RL36" s="363">
        <f t="shared" ca="1" si="412"/>
        <v>4.600077019050311E-2</v>
      </c>
      <c r="RM36" s="363">
        <f t="shared" ca="1" si="412"/>
        <v>5.6564034107028219E-2</v>
      </c>
      <c r="RN36" s="363">
        <f t="shared" ca="1" si="412"/>
        <v>5.8355871584364331E-2</v>
      </c>
      <c r="RO36" s="363">
        <f t="shared" ca="1" si="412"/>
        <v>5.0494481460215852E-2</v>
      </c>
      <c r="RP36" s="363">
        <f t="shared" ca="1" si="412"/>
        <v>3.7734148822629925E-2</v>
      </c>
      <c r="RQ36" s="363">
        <f t="shared" ca="1" si="412"/>
        <v>5.9573682381842331E-2</v>
      </c>
      <c r="RR36" s="363">
        <f t="shared" ca="1" si="412"/>
        <v>4.7888361611873681E-2</v>
      </c>
      <c r="RS36" s="363">
        <f t="shared" ca="1" si="412"/>
        <v>4.349801135859719E-2</v>
      </c>
      <c r="RT36" s="363">
        <f t="shared" ca="1" si="412"/>
        <v>4.917174016496708E-2</v>
      </c>
      <c r="RU36" s="363">
        <f t="shared" ca="1" si="412"/>
        <v>4.9674418789174807E-2</v>
      </c>
      <c r="RV36" s="363">
        <f t="shared" ca="1" si="412"/>
        <v>4.5907703370732911E-2</v>
      </c>
      <c r="RW36" s="363">
        <f t="shared" ca="1" si="412"/>
        <v>3.6777698101559182E-2</v>
      </c>
      <c r="RX36" s="363">
        <f t="shared" ca="1" si="412"/>
        <v>4.1768052146478156E-2</v>
      </c>
      <c r="RY36" s="363">
        <f t="shared" ca="1" si="412"/>
        <v>4.77560082695484E-2</v>
      </c>
      <c r="RZ36" s="363">
        <f t="shared" ca="1" si="412"/>
        <v>5.3588111026628436E-2</v>
      </c>
      <c r="SA36" s="363">
        <f t="shared" ca="1" si="412"/>
        <v>5.0277768214618039E-2</v>
      </c>
      <c r="SB36" s="363">
        <f t="shared" ca="1" si="412"/>
        <v>4.2662544933673267E-2</v>
      </c>
      <c r="SC36" s="363">
        <f t="shared" ca="1" si="412"/>
        <v>5.2635057694463985E-2</v>
      </c>
      <c r="SD36" s="363">
        <f t="shared" ca="1" si="412"/>
        <v>4.4383548102282684E-2</v>
      </c>
      <c r="SE36" s="363">
        <f t="shared" ca="1" si="412"/>
        <v>4.3253326881459574E-2</v>
      </c>
      <c r="SF36" s="363">
        <f t="shared" ca="1" si="412"/>
        <v>4.9697292155680688E-2</v>
      </c>
      <c r="SG36" s="363">
        <f t="shared" ca="1" si="412"/>
        <v>5.6025337951321176E-2</v>
      </c>
      <c r="SH36" s="363">
        <f t="shared" ca="1" si="412"/>
        <v>5.2335341635877546E-2</v>
      </c>
      <c r="SI36" s="363">
        <f t="shared" ca="1" si="412"/>
        <v>4.860500130082375E-2</v>
      </c>
      <c r="SJ36" s="363">
        <f t="shared" ca="1" si="412"/>
        <v>4.8672772576682025E-2</v>
      </c>
      <c r="SK36" s="363">
        <f t="shared" ca="1" si="412"/>
        <v>5.6443011780449914E-2</v>
      </c>
      <c r="SL36" s="363">
        <f t="shared" ca="1" si="412"/>
        <v>4.0407434922530017E-2</v>
      </c>
      <c r="SM36" s="363">
        <f t="shared" ca="1" si="412"/>
        <v>5.174831209746452E-2</v>
      </c>
      <c r="SN36" s="363">
        <f t="shared" ca="1" si="412"/>
        <v>4.6385659595896384E-2</v>
      </c>
      <c r="SO36" s="363">
        <f t="shared" ca="1" si="412"/>
        <v>5.1351212638044048E-2</v>
      </c>
      <c r="SP36" s="363">
        <f t="shared" ca="1" si="412"/>
        <v>4.867914168491197E-2</v>
      </c>
      <c r="SQ36" s="363">
        <f t="shared" ca="1" si="412"/>
        <v>5.497388754304755E-2</v>
      </c>
      <c r="SR36" s="363">
        <f t="shared" ca="1" si="412"/>
        <v>5.0900976613917986E-2</v>
      </c>
      <c r="SS36" s="363">
        <f ca="1">_xlfn.GAMMA.INV(RAND(), $I$36,$J$36)</f>
        <v>5.0272231623618567E-2</v>
      </c>
      <c r="ST36" s="363">
        <f t="shared" ref="ST36:VE36" ca="1" si="413">_xlfn.GAMMA.INV(RAND(), $I$36,$J$36)</f>
        <v>5.5033424864193513E-2</v>
      </c>
      <c r="SU36" s="363">
        <f t="shared" ca="1" si="413"/>
        <v>4.3155025883498933E-2</v>
      </c>
      <c r="SV36" s="363">
        <f t="shared" ca="1" si="413"/>
        <v>5.2612575791664375E-2</v>
      </c>
      <c r="SW36" s="363">
        <f t="shared" ca="1" si="413"/>
        <v>4.639532648014378E-2</v>
      </c>
      <c r="SX36" s="363">
        <f t="shared" ca="1" si="413"/>
        <v>5.825318275404031E-2</v>
      </c>
      <c r="SY36" s="363">
        <f t="shared" ca="1" si="413"/>
        <v>4.5677834605333673E-2</v>
      </c>
      <c r="SZ36" s="363">
        <f t="shared" ca="1" si="413"/>
        <v>5.0756321170242626E-2</v>
      </c>
      <c r="TA36" s="363">
        <f t="shared" ca="1" si="413"/>
        <v>5.4186043644427681E-2</v>
      </c>
      <c r="TB36" s="363">
        <f t="shared" ca="1" si="413"/>
        <v>5.8002859689091885E-2</v>
      </c>
      <c r="TC36" s="363">
        <f t="shared" ca="1" si="413"/>
        <v>5.3204829421099421E-2</v>
      </c>
      <c r="TD36" s="363">
        <f t="shared" ca="1" si="413"/>
        <v>4.7340062700393093E-2</v>
      </c>
      <c r="TE36" s="363">
        <f t="shared" ca="1" si="413"/>
        <v>4.4160617971120225E-2</v>
      </c>
      <c r="TF36" s="363">
        <f t="shared" ca="1" si="413"/>
        <v>4.4919441754535973E-2</v>
      </c>
      <c r="TG36" s="363">
        <f t="shared" ca="1" si="413"/>
        <v>4.2366386840938963E-2</v>
      </c>
      <c r="TH36" s="363">
        <f t="shared" ca="1" si="413"/>
        <v>4.7770176269483856E-2</v>
      </c>
      <c r="TI36" s="363">
        <f t="shared" ca="1" si="413"/>
        <v>4.2926122605071504E-2</v>
      </c>
      <c r="TJ36" s="363">
        <f t="shared" ca="1" si="413"/>
        <v>5.5419225450327063E-2</v>
      </c>
      <c r="TK36" s="363">
        <f t="shared" ca="1" si="413"/>
        <v>5.2578946736808928E-2</v>
      </c>
      <c r="TL36" s="363">
        <f t="shared" ca="1" si="413"/>
        <v>4.6027254765398797E-2</v>
      </c>
      <c r="TM36" s="363">
        <f t="shared" ca="1" si="413"/>
        <v>4.8180922444365122E-2</v>
      </c>
      <c r="TN36" s="363">
        <f t="shared" ca="1" si="413"/>
        <v>4.4179043742092763E-2</v>
      </c>
      <c r="TO36" s="363">
        <f t="shared" ca="1" si="413"/>
        <v>4.9176948375326358E-2</v>
      </c>
      <c r="TP36" s="363">
        <f t="shared" ca="1" si="413"/>
        <v>4.4782589745639055E-2</v>
      </c>
      <c r="TQ36" s="363">
        <f t="shared" ca="1" si="413"/>
        <v>4.5338319442471034E-2</v>
      </c>
      <c r="TR36" s="363">
        <f t="shared" ca="1" si="413"/>
        <v>4.431519819225891E-2</v>
      </c>
      <c r="TS36" s="363">
        <f t="shared" ca="1" si="413"/>
        <v>4.4021660275607576E-2</v>
      </c>
      <c r="TT36" s="363">
        <f t="shared" ca="1" si="413"/>
        <v>4.9332905928929506E-2</v>
      </c>
      <c r="TU36" s="363">
        <f t="shared" ca="1" si="413"/>
        <v>5.0448349375105277E-2</v>
      </c>
      <c r="TV36" s="363">
        <f t="shared" ca="1" si="413"/>
        <v>4.9097268314372909E-2</v>
      </c>
      <c r="TW36" s="363">
        <f t="shared" ca="1" si="413"/>
        <v>4.9142389370912629E-2</v>
      </c>
      <c r="TX36" s="363">
        <f t="shared" ca="1" si="413"/>
        <v>4.7840476632367269E-2</v>
      </c>
      <c r="TY36" s="363">
        <f t="shared" ca="1" si="413"/>
        <v>4.2660399110240076E-2</v>
      </c>
      <c r="TZ36" s="363">
        <f t="shared" ca="1" si="413"/>
        <v>4.8847246992498407E-2</v>
      </c>
      <c r="UA36" s="363">
        <f t="shared" ca="1" si="413"/>
        <v>5.055669252571883E-2</v>
      </c>
      <c r="UB36" s="363">
        <f t="shared" ca="1" si="413"/>
        <v>4.0962452237371098E-2</v>
      </c>
      <c r="UC36" s="363">
        <f t="shared" ca="1" si="413"/>
        <v>5.4479431634327967E-2</v>
      </c>
      <c r="UD36" s="363">
        <f t="shared" ca="1" si="413"/>
        <v>5.6085952248109451E-2</v>
      </c>
      <c r="UE36" s="363">
        <f t="shared" ca="1" si="413"/>
        <v>4.4510462328912877E-2</v>
      </c>
      <c r="UF36" s="363">
        <f t="shared" ca="1" si="413"/>
        <v>5.3030981213992981E-2</v>
      </c>
      <c r="UG36" s="363">
        <f t="shared" ca="1" si="413"/>
        <v>4.4708505093320264E-2</v>
      </c>
      <c r="UH36" s="363">
        <f t="shared" ca="1" si="413"/>
        <v>6.0955713486194829E-2</v>
      </c>
      <c r="UI36" s="363">
        <f t="shared" ca="1" si="413"/>
        <v>4.5594792862164557E-2</v>
      </c>
      <c r="UJ36" s="363">
        <f t="shared" ca="1" si="413"/>
        <v>5.4094226952431781E-2</v>
      </c>
      <c r="UK36" s="363">
        <f t="shared" ca="1" si="413"/>
        <v>4.3461987438625636E-2</v>
      </c>
      <c r="UL36" s="363">
        <f t="shared" ca="1" si="413"/>
        <v>4.7336122547134145E-2</v>
      </c>
      <c r="UM36" s="363">
        <f t="shared" ca="1" si="413"/>
        <v>4.9510398345896635E-2</v>
      </c>
      <c r="UN36" s="363">
        <f t="shared" ca="1" si="413"/>
        <v>4.1269525028052166E-2</v>
      </c>
      <c r="UO36" s="363">
        <f t="shared" ca="1" si="413"/>
        <v>4.2113649620060811E-2</v>
      </c>
      <c r="UP36" s="363">
        <f t="shared" ca="1" si="413"/>
        <v>4.9637891362604498E-2</v>
      </c>
      <c r="UQ36" s="363">
        <f t="shared" ca="1" si="413"/>
        <v>5.6458252270496334E-2</v>
      </c>
      <c r="UR36" s="363">
        <f t="shared" ca="1" si="413"/>
        <v>5.2280630576981499E-2</v>
      </c>
      <c r="US36" s="363">
        <f t="shared" ca="1" si="413"/>
        <v>4.8527750189436669E-2</v>
      </c>
      <c r="UT36" s="363">
        <f t="shared" ca="1" si="413"/>
        <v>4.7222747694550503E-2</v>
      </c>
      <c r="UU36" s="363">
        <f t="shared" ca="1" si="413"/>
        <v>4.9073196816633989E-2</v>
      </c>
      <c r="UV36" s="363">
        <f t="shared" ca="1" si="413"/>
        <v>6.0277782031033192E-2</v>
      </c>
      <c r="UW36" s="363">
        <f t="shared" ca="1" si="413"/>
        <v>5.0292221986390155E-2</v>
      </c>
      <c r="UX36" s="363">
        <f t="shared" ca="1" si="413"/>
        <v>5.5319662275500114E-2</v>
      </c>
      <c r="UY36" s="363">
        <f t="shared" ca="1" si="413"/>
        <v>4.5228238575192488E-2</v>
      </c>
      <c r="UZ36" s="363">
        <f t="shared" ca="1" si="413"/>
        <v>4.1189960702000025E-2</v>
      </c>
      <c r="VA36" s="363">
        <f t="shared" ca="1" si="413"/>
        <v>5.0090145071458925E-2</v>
      </c>
      <c r="VB36" s="363">
        <f t="shared" ca="1" si="413"/>
        <v>4.5621600589589542E-2</v>
      </c>
      <c r="VC36" s="363">
        <f t="shared" ca="1" si="413"/>
        <v>5.6118116460368142E-2</v>
      </c>
      <c r="VD36" s="363">
        <f t="shared" ca="1" si="413"/>
        <v>4.8538751616137604E-2</v>
      </c>
      <c r="VE36" s="363">
        <f t="shared" ca="1" si="413"/>
        <v>4.8709840924808477E-2</v>
      </c>
      <c r="VF36" s="363">
        <f t="shared" ref="VF36:WN36" ca="1" si="414">_xlfn.GAMMA.INV(RAND(), $I$36,$J$36)</f>
        <v>5.1317548969945982E-2</v>
      </c>
      <c r="VG36" s="363">
        <f t="shared" ca="1" si="414"/>
        <v>4.5692573482238041E-2</v>
      </c>
      <c r="VH36" s="363">
        <f t="shared" ca="1" si="414"/>
        <v>4.7750855066689274E-2</v>
      </c>
      <c r="VI36" s="363">
        <f t="shared" ca="1" si="414"/>
        <v>5.2800126572037823E-2</v>
      </c>
      <c r="VJ36" s="363">
        <f t="shared" ca="1" si="414"/>
        <v>5.4735524633424813E-2</v>
      </c>
      <c r="VK36" s="363">
        <f t="shared" ca="1" si="414"/>
        <v>5.3193192878252776E-2</v>
      </c>
      <c r="VL36" s="363">
        <f t="shared" ca="1" si="414"/>
        <v>4.279918930095384E-2</v>
      </c>
      <c r="VM36" s="363">
        <f t="shared" ca="1" si="414"/>
        <v>5.5563144849232173E-2</v>
      </c>
      <c r="VN36" s="363">
        <f t="shared" ca="1" si="414"/>
        <v>4.1885897394581019E-2</v>
      </c>
      <c r="VO36" s="363">
        <f t="shared" ca="1" si="414"/>
        <v>5.8610134722160721E-2</v>
      </c>
      <c r="VP36" s="363">
        <f t="shared" ca="1" si="414"/>
        <v>4.6160963603692567E-2</v>
      </c>
      <c r="VQ36" s="363">
        <f t="shared" ca="1" si="414"/>
        <v>4.4837767105052904E-2</v>
      </c>
      <c r="VR36" s="363">
        <f t="shared" ca="1" si="414"/>
        <v>5.0749700032143782E-2</v>
      </c>
      <c r="VS36" s="363">
        <f t="shared" ca="1" si="414"/>
        <v>5.6028790017489484E-2</v>
      </c>
      <c r="VT36" s="363">
        <f t="shared" ca="1" si="414"/>
        <v>4.9354455800003923E-2</v>
      </c>
      <c r="VU36" s="363">
        <f t="shared" ca="1" si="414"/>
        <v>4.5387609795161321E-2</v>
      </c>
      <c r="VV36" s="363">
        <f t="shared" ca="1" si="414"/>
        <v>4.242651037990261E-2</v>
      </c>
      <c r="VW36" s="363">
        <f t="shared" ca="1" si="414"/>
        <v>4.5549348429850055E-2</v>
      </c>
      <c r="VX36" s="363">
        <f t="shared" ca="1" si="414"/>
        <v>5.4636813903406689E-2</v>
      </c>
      <c r="VY36" s="363">
        <f t="shared" ca="1" si="414"/>
        <v>5.306839508895575E-2</v>
      </c>
      <c r="VZ36" s="363">
        <f t="shared" ca="1" si="414"/>
        <v>4.686846065612163E-2</v>
      </c>
      <c r="WA36" s="363">
        <f t="shared" ca="1" si="414"/>
        <v>4.9240430719267009E-2</v>
      </c>
      <c r="WB36" s="363">
        <f t="shared" ca="1" si="414"/>
        <v>4.659494184548995E-2</v>
      </c>
      <c r="WC36" s="363">
        <f t="shared" ca="1" si="414"/>
        <v>5.1108382266064845E-2</v>
      </c>
      <c r="WD36" s="363">
        <f t="shared" ca="1" si="414"/>
        <v>4.5916677710838003E-2</v>
      </c>
      <c r="WE36" s="363">
        <f t="shared" ca="1" si="414"/>
        <v>4.9682614285630207E-2</v>
      </c>
      <c r="WF36" s="363">
        <f t="shared" ca="1" si="414"/>
        <v>4.6922699296734587E-2</v>
      </c>
      <c r="WG36" s="363">
        <f t="shared" ca="1" si="414"/>
        <v>6.5339044321761741E-2</v>
      </c>
      <c r="WH36" s="363">
        <f t="shared" ca="1" si="414"/>
        <v>5.9261305943936603E-2</v>
      </c>
      <c r="WI36" s="363">
        <f t="shared" ca="1" si="414"/>
        <v>4.3963667908239863E-2</v>
      </c>
      <c r="WJ36" s="363">
        <f t="shared" ca="1" si="414"/>
        <v>5.308230697460755E-2</v>
      </c>
      <c r="WK36" s="363">
        <f t="shared" ca="1" si="414"/>
        <v>4.6458553901008733E-2</v>
      </c>
      <c r="WL36" s="363">
        <f t="shared" ca="1" si="414"/>
        <v>4.1837110372179194E-2</v>
      </c>
      <c r="WM36" s="363">
        <f t="shared" ca="1" si="414"/>
        <v>4.0992122302900801E-2</v>
      </c>
      <c r="WN36" s="363">
        <f t="shared" ca="1" si="414"/>
        <v>5.1134006044399556E-2</v>
      </c>
    </row>
    <row r="37" spans="2:612" x14ac:dyDescent="0.15">
      <c r="B37" s="469" t="s">
        <v>1304</v>
      </c>
      <c r="D37" s="363">
        <f t="shared" si="0"/>
        <v>2.2034500000000002E-2</v>
      </c>
      <c r="F37" s="363">
        <v>2.2034500000000002E-2</v>
      </c>
      <c r="G37" s="367">
        <v>4012</v>
      </c>
      <c r="H37" s="363" t="s">
        <v>350</v>
      </c>
      <c r="I37" s="438">
        <f>F37*G37</f>
        <v>88.402414000000007</v>
      </c>
      <c r="J37" s="438">
        <f>G37-I37</f>
        <v>3923.5975859999999</v>
      </c>
      <c r="K37" s="367" t="s">
        <v>1273</v>
      </c>
      <c r="M37" s="363">
        <f ca="1">_xlfn.BETA.INV(RAND(),$I$37,$J$37)</f>
        <v>1.9884748150033268E-2</v>
      </c>
      <c r="N37" s="363">
        <f t="shared" ref="N37:BY37" ca="1" si="415">_xlfn.BETA.INV(RAND(),$I$37,$J$37)</f>
        <v>2.3657853695985276E-2</v>
      </c>
      <c r="O37" s="363">
        <f t="shared" ca="1" si="415"/>
        <v>2.1426151548860208E-2</v>
      </c>
      <c r="P37" s="363">
        <f t="shared" ca="1" si="415"/>
        <v>2.1189660745470098E-2</v>
      </c>
      <c r="Q37" s="363">
        <f t="shared" ca="1" si="415"/>
        <v>2.1894846186822074E-2</v>
      </c>
      <c r="R37" s="363">
        <f t="shared" ca="1" si="415"/>
        <v>2.3951462809082669E-2</v>
      </c>
      <c r="S37" s="363">
        <f t="shared" ca="1" si="415"/>
        <v>2.4588064991826197E-2</v>
      </c>
      <c r="T37" s="363">
        <f t="shared" ca="1" si="415"/>
        <v>2.1417565609746614E-2</v>
      </c>
      <c r="U37" s="363">
        <f t="shared" ca="1" si="415"/>
        <v>2.5034925563301225E-2</v>
      </c>
      <c r="V37" s="363">
        <f t="shared" ca="1" si="415"/>
        <v>2.4766579707003245E-2</v>
      </c>
      <c r="W37" s="363">
        <f t="shared" ca="1" si="415"/>
        <v>2.3565365950524941E-2</v>
      </c>
      <c r="X37" s="363">
        <f t="shared" ca="1" si="415"/>
        <v>2.2693316753431669E-2</v>
      </c>
      <c r="Y37" s="363">
        <f t="shared" ca="1" si="415"/>
        <v>1.9274347071520426E-2</v>
      </c>
      <c r="Z37" s="363">
        <f t="shared" ca="1" si="415"/>
        <v>2.1695105407813574E-2</v>
      </c>
      <c r="AA37" s="363">
        <f t="shared" ca="1" si="415"/>
        <v>1.9814359966080677E-2</v>
      </c>
      <c r="AB37" s="363">
        <f t="shared" ca="1" si="415"/>
        <v>1.9302765176830154E-2</v>
      </c>
      <c r="AC37" s="363">
        <f t="shared" ca="1" si="415"/>
        <v>2.2737044657135774E-2</v>
      </c>
      <c r="AD37" s="363">
        <f t="shared" ca="1" si="415"/>
        <v>2.0602809868256428E-2</v>
      </c>
      <c r="AE37" s="363">
        <f t="shared" ca="1" si="415"/>
        <v>2.0598513779580562E-2</v>
      </c>
      <c r="AF37" s="363">
        <f t="shared" ca="1" si="415"/>
        <v>2.1961125654019198E-2</v>
      </c>
      <c r="AG37" s="363">
        <f t="shared" ca="1" si="415"/>
        <v>2.1098609576964064E-2</v>
      </c>
      <c r="AH37" s="363">
        <f t="shared" ca="1" si="415"/>
        <v>2.3457200627261421E-2</v>
      </c>
      <c r="AI37" s="363">
        <f t="shared" ca="1" si="415"/>
        <v>2.1247862325906638E-2</v>
      </c>
      <c r="AJ37" s="363">
        <f t="shared" ca="1" si="415"/>
        <v>1.9405704276220535E-2</v>
      </c>
      <c r="AK37" s="363">
        <f t="shared" ca="1" si="415"/>
        <v>2.0268735077892595E-2</v>
      </c>
      <c r="AL37" s="363">
        <f t="shared" ca="1" si="415"/>
        <v>2.1148569629571488E-2</v>
      </c>
      <c r="AM37" s="363">
        <f t="shared" ca="1" si="415"/>
        <v>2.2307633177620523E-2</v>
      </c>
      <c r="AN37" s="363">
        <f t="shared" ca="1" si="415"/>
        <v>2.2417686195222108E-2</v>
      </c>
      <c r="AO37" s="363">
        <f t="shared" ca="1" si="415"/>
        <v>2.2089402282077897E-2</v>
      </c>
      <c r="AP37" s="363">
        <f t="shared" ca="1" si="415"/>
        <v>2.1807279109515243E-2</v>
      </c>
      <c r="AQ37" s="363">
        <f t="shared" ca="1" si="415"/>
        <v>2.1916311373100315E-2</v>
      </c>
      <c r="AR37" s="363">
        <f t="shared" ca="1" si="415"/>
        <v>2.0226672234479028E-2</v>
      </c>
      <c r="AS37" s="363">
        <f t="shared" ca="1" si="415"/>
        <v>2.1873703048514603E-2</v>
      </c>
      <c r="AT37" s="363">
        <f t="shared" ca="1" si="415"/>
        <v>2.1059804433057123E-2</v>
      </c>
      <c r="AU37" s="363">
        <f t="shared" ca="1" si="415"/>
        <v>2.1674895858187847E-2</v>
      </c>
      <c r="AV37" s="363">
        <f t="shared" ca="1" si="415"/>
        <v>2.3769872173720175E-2</v>
      </c>
      <c r="AW37" s="363">
        <f t="shared" ca="1" si="415"/>
        <v>2.481448914174289E-2</v>
      </c>
      <c r="AX37" s="363">
        <f t="shared" ca="1" si="415"/>
        <v>2.2204061842095557E-2</v>
      </c>
      <c r="AY37" s="363">
        <f t="shared" ca="1" si="415"/>
        <v>2.4009117830369742E-2</v>
      </c>
      <c r="AZ37" s="363">
        <f t="shared" ca="1" si="415"/>
        <v>2.0431563955042063E-2</v>
      </c>
      <c r="BA37" s="363">
        <f t="shared" ca="1" si="415"/>
        <v>1.9488854891250487E-2</v>
      </c>
      <c r="BB37" s="363">
        <f t="shared" ca="1" si="415"/>
        <v>1.9928810255802617E-2</v>
      </c>
      <c r="BC37" s="363">
        <f t="shared" ca="1" si="415"/>
        <v>1.8931286915699612E-2</v>
      </c>
      <c r="BD37" s="363">
        <f t="shared" ca="1" si="415"/>
        <v>1.9203766957723984E-2</v>
      </c>
      <c r="BE37" s="363">
        <f t="shared" ca="1" si="415"/>
        <v>1.9179098907396889E-2</v>
      </c>
      <c r="BF37" s="363">
        <f t="shared" ca="1" si="415"/>
        <v>2.2835249932983026E-2</v>
      </c>
      <c r="BG37" s="363">
        <f t="shared" ca="1" si="415"/>
        <v>2.3644982137611459E-2</v>
      </c>
      <c r="BH37" s="363">
        <f t="shared" ca="1" si="415"/>
        <v>2.031011829181268E-2</v>
      </c>
      <c r="BI37" s="363">
        <f t="shared" ca="1" si="415"/>
        <v>1.8636675751782961E-2</v>
      </c>
      <c r="BJ37" s="363">
        <f t="shared" ca="1" si="415"/>
        <v>2.2643637033490038E-2</v>
      </c>
      <c r="BK37" s="363">
        <f t="shared" ca="1" si="415"/>
        <v>1.7078929562652806E-2</v>
      </c>
      <c r="BL37" s="363">
        <f t="shared" ca="1" si="415"/>
        <v>2.5757060148967392E-2</v>
      </c>
      <c r="BM37" s="363">
        <f t="shared" ca="1" si="415"/>
        <v>2.0162255423892706E-2</v>
      </c>
      <c r="BN37" s="363">
        <f t="shared" ca="1" si="415"/>
        <v>2.0436066247458785E-2</v>
      </c>
      <c r="BO37" s="363">
        <f t="shared" ca="1" si="415"/>
        <v>2.3201677911640628E-2</v>
      </c>
      <c r="BP37" s="363">
        <f t="shared" ca="1" si="415"/>
        <v>2.0084332619534937E-2</v>
      </c>
      <c r="BQ37" s="363">
        <f t="shared" ca="1" si="415"/>
        <v>2.0722438334177078E-2</v>
      </c>
      <c r="BR37" s="363">
        <f t="shared" ca="1" si="415"/>
        <v>2.117444414182492E-2</v>
      </c>
      <c r="BS37" s="363">
        <f t="shared" ca="1" si="415"/>
        <v>2.1669404016071831E-2</v>
      </c>
      <c r="BT37" s="363">
        <f t="shared" ca="1" si="415"/>
        <v>2.1488191592149774E-2</v>
      </c>
      <c r="BU37" s="363">
        <f t="shared" ca="1" si="415"/>
        <v>1.9981225312062617E-2</v>
      </c>
      <c r="BV37" s="363">
        <f t="shared" ca="1" si="415"/>
        <v>1.8601411861568547E-2</v>
      </c>
      <c r="BW37" s="363">
        <f t="shared" ca="1" si="415"/>
        <v>2.3661885571420571E-2</v>
      </c>
      <c r="BX37" s="363">
        <f t="shared" ca="1" si="415"/>
        <v>2.0977566986349342E-2</v>
      </c>
      <c r="BY37" s="363">
        <f t="shared" ca="1" si="415"/>
        <v>1.9494891430404702E-2</v>
      </c>
      <c r="BZ37" s="363">
        <f t="shared" ref="BZ37:DH37" ca="1" si="416">_xlfn.BETA.INV(RAND(),$I$37,$J$37)</f>
        <v>2.3202651973181943E-2</v>
      </c>
      <c r="CA37" s="363">
        <f t="shared" ca="1" si="416"/>
        <v>2.4096445016058565E-2</v>
      </c>
      <c r="CB37" s="363">
        <f t="shared" ca="1" si="416"/>
        <v>1.8742305041481191E-2</v>
      </c>
      <c r="CC37" s="363">
        <f t="shared" ca="1" si="416"/>
        <v>1.6041679980793481E-2</v>
      </c>
      <c r="CD37" s="363">
        <f t="shared" ca="1" si="416"/>
        <v>2.2433369056062524E-2</v>
      </c>
      <c r="CE37" s="363">
        <f t="shared" ca="1" si="416"/>
        <v>1.9040661772619406E-2</v>
      </c>
      <c r="CF37" s="363">
        <f t="shared" ca="1" si="416"/>
        <v>2.4055417174535632E-2</v>
      </c>
      <c r="CG37" s="363">
        <f t="shared" ca="1" si="416"/>
        <v>2.5669095163400768E-2</v>
      </c>
      <c r="CH37" s="363">
        <f t="shared" ca="1" si="416"/>
        <v>1.8957749173027644E-2</v>
      </c>
      <c r="CI37" s="363">
        <f t="shared" ca="1" si="416"/>
        <v>2.7360672848871781E-2</v>
      </c>
      <c r="CJ37" s="363">
        <f t="shared" ca="1" si="416"/>
        <v>1.6085774515402874E-2</v>
      </c>
      <c r="CK37" s="363">
        <f t="shared" ca="1" si="416"/>
        <v>2.273435144013225E-2</v>
      </c>
      <c r="CL37" s="363">
        <f t="shared" ca="1" si="416"/>
        <v>2.1747992651006621E-2</v>
      </c>
      <c r="CM37" s="363">
        <f t="shared" ca="1" si="416"/>
        <v>2.4339849855302464E-2</v>
      </c>
      <c r="CN37" s="363">
        <f t="shared" ca="1" si="416"/>
        <v>2.3666189125896353E-2</v>
      </c>
      <c r="CO37" s="363">
        <f t="shared" ca="1" si="416"/>
        <v>2.1222936520746392E-2</v>
      </c>
      <c r="CP37" s="363">
        <f t="shared" ca="1" si="416"/>
        <v>2.6926905383322874E-2</v>
      </c>
      <c r="CQ37" s="363">
        <f t="shared" ca="1" si="416"/>
        <v>2.5607121291530643E-2</v>
      </c>
      <c r="CR37" s="363">
        <f t="shared" ca="1" si="416"/>
        <v>1.9855679658391842E-2</v>
      </c>
      <c r="CS37" s="363">
        <f t="shared" ca="1" si="416"/>
        <v>1.8327960939897251E-2</v>
      </c>
      <c r="CT37" s="363">
        <f t="shared" ca="1" si="416"/>
        <v>2.2910552766520653E-2</v>
      </c>
      <c r="CU37" s="363">
        <f t="shared" ca="1" si="416"/>
        <v>2.0363284905319051E-2</v>
      </c>
      <c r="CV37" s="363">
        <f t="shared" ca="1" si="416"/>
        <v>2.3115558920247747E-2</v>
      </c>
      <c r="CW37" s="363">
        <f t="shared" ca="1" si="416"/>
        <v>2.2245359226323314E-2</v>
      </c>
      <c r="CX37" s="363">
        <f t="shared" ca="1" si="416"/>
        <v>1.824502609863091E-2</v>
      </c>
      <c r="CY37" s="363">
        <f t="shared" ca="1" si="416"/>
        <v>2.1414174311569747E-2</v>
      </c>
      <c r="CZ37" s="363">
        <f t="shared" ca="1" si="416"/>
        <v>1.7431427402484646E-2</v>
      </c>
      <c r="DA37" s="363">
        <f t="shared" ca="1" si="416"/>
        <v>2.1646430488258841E-2</v>
      </c>
      <c r="DB37" s="363">
        <f t="shared" ca="1" si="416"/>
        <v>2.3007729603355398E-2</v>
      </c>
      <c r="DC37" s="363">
        <f t="shared" ca="1" si="416"/>
        <v>2.3986786929972026E-2</v>
      </c>
      <c r="DD37" s="363">
        <f t="shared" ca="1" si="416"/>
        <v>2.0312963383507271E-2</v>
      </c>
      <c r="DE37" s="363">
        <f t="shared" ca="1" si="416"/>
        <v>1.955676183377765E-2</v>
      </c>
      <c r="DF37" s="363">
        <f t="shared" ca="1" si="416"/>
        <v>2.6035939209948955E-2</v>
      </c>
      <c r="DG37" s="363">
        <f t="shared" ca="1" si="416"/>
        <v>2.1854792818736681E-2</v>
      </c>
      <c r="DH37" s="363">
        <f t="shared" ca="1" si="416"/>
        <v>2.0521392287042795E-2</v>
      </c>
      <c r="DI37" s="363">
        <f ca="1">_xlfn.BETA.INV(RAND(),$I$37,$J$37)</f>
        <v>2.4245482479438363E-2</v>
      </c>
      <c r="DJ37" s="363">
        <f t="shared" ref="DJ37:FU37" ca="1" si="417">_xlfn.BETA.INV(RAND(),$I$37,$J$37)</f>
        <v>1.8137759791815797E-2</v>
      </c>
      <c r="DK37" s="363">
        <f t="shared" ca="1" si="417"/>
        <v>2.2754258638221891E-2</v>
      </c>
      <c r="DL37" s="363">
        <f t="shared" ca="1" si="417"/>
        <v>2.2004816242208847E-2</v>
      </c>
      <c r="DM37" s="363">
        <f t="shared" ca="1" si="417"/>
        <v>2.2475891717909646E-2</v>
      </c>
      <c r="DN37" s="363">
        <f t="shared" ca="1" si="417"/>
        <v>2.7999725650056928E-2</v>
      </c>
      <c r="DO37" s="363">
        <f t="shared" ca="1" si="417"/>
        <v>2.0138685260973243E-2</v>
      </c>
      <c r="DP37" s="363">
        <f t="shared" ca="1" si="417"/>
        <v>2.135316042171145E-2</v>
      </c>
      <c r="DQ37" s="363">
        <f t="shared" ca="1" si="417"/>
        <v>2.3511189571745694E-2</v>
      </c>
      <c r="DR37" s="363">
        <f t="shared" ca="1" si="417"/>
        <v>2.6136855020488237E-2</v>
      </c>
      <c r="DS37" s="363">
        <f t="shared" ca="1" si="417"/>
        <v>2.5561471720208173E-2</v>
      </c>
      <c r="DT37" s="363">
        <f t="shared" ca="1" si="417"/>
        <v>2.6532488698894241E-2</v>
      </c>
      <c r="DU37" s="363">
        <f t="shared" ca="1" si="417"/>
        <v>2.4527361032139261E-2</v>
      </c>
      <c r="DV37" s="363">
        <f t="shared" ca="1" si="417"/>
        <v>1.8094577311665441E-2</v>
      </c>
      <c r="DW37" s="363">
        <f t="shared" ca="1" si="417"/>
        <v>2.1440469340343663E-2</v>
      </c>
      <c r="DX37" s="363">
        <f t="shared" ca="1" si="417"/>
        <v>1.7519843352868127E-2</v>
      </c>
      <c r="DY37" s="363">
        <f t="shared" ca="1" si="417"/>
        <v>2.0924776107762361E-2</v>
      </c>
      <c r="DZ37" s="363">
        <f t="shared" ca="1" si="417"/>
        <v>2.1562054841833222E-2</v>
      </c>
      <c r="EA37" s="363">
        <f t="shared" ca="1" si="417"/>
        <v>1.8575270274067832E-2</v>
      </c>
      <c r="EB37" s="363">
        <f t="shared" ca="1" si="417"/>
        <v>2.4051300622773164E-2</v>
      </c>
      <c r="EC37" s="363">
        <f t="shared" ca="1" si="417"/>
        <v>2.3677341025503673E-2</v>
      </c>
      <c r="ED37" s="363">
        <f t="shared" ca="1" si="417"/>
        <v>2.1850005876841085E-2</v>
      </c>
      <c r="EE37" s="363">
        <f t="shared" ca="1" si="417"/>
        <v>2.1027410369735929E-2</v>
      </c>
      <c r="EF37" s="363">
        <f t="shared" ca="1" si="417"/>
        <v>2.2176349561564224E-2</v>
      </c>
      <c r="EG37" s="363">
        <f t="shared" ca="1" si="417"/>
        <v>2.1852589308359819E-2</v>
      </c>
      <c r="EH37" s="363">
        <f t="shared" ca="1" si="417"/>
        <v>2.2897197549246018E-2</v>
      </c>
      <c r="EI37" s="363">
        <f t="shared" ca="1" si="417"/>
        <v>2.3333557200269528E-2</v>
      </c>
      <c r="EJ37" s="363">
        <f t="shared" ca="1" si="417"/>
        <v>2.6276259155118109E-2</v>
      </c>
      <c r="EK37" s="363">
        <f t="shared" ca="1" si="417"/>
        <v>2.1624516052118986E-2</v>
      </c>
      <c r="EL37" s="363">
        <f t="shared" ca="1" si="417"/>
        <v>2.3025342196115295E-2</v>
      </c>
      <c r="EM37" s="363">
        <f t="shared" ca="1" si="417"/>
        <v>2.037658032225919E-2</v>
      </c>
      <c r="EN37" s="363">
        <f t="shared" ca="1" si="417"/>
        <v>2.1350787517756334E-2</v>
      </c>
      <c r="EO37" s="363">
        <f t="shared" ca="1" si="417"/>
        <v>1.9651700469887019E-2</v>
      </c>
      <c r="EP37" s="363">
        <f t="shared" ca="1" si="417"/>
        <v>2.1993946976937018E-2</v>
      </c>
      <c r="EQ37" s="363">
        <f t="shared" ca="1" si="417"/>
        <v>2.2995291726843781E-2</v>
      </c>
      <c r="ER37" s="363">
        <f t="shared" ca="1" si="417"/>
        <v>2.3345024743798182E-2</v>
      </c>
      <c r="ES37" s="363">
        <f t="shared" ca="1" si="417"/>
        <v>2.5212049383889212E-2</v>
      </c>
      <c r="ET37" s="363">
        <f t="shared" ca="1" si="417"/>
        <v>2.111291882053146E-2</v>
      </c>
      <c r="EU37" s="363">
        <f t="shared" ca="1" si="417"/>
        <v>2.2475204884691791E-2</v>
      </c>
      <c r="EV37" s="363">
        <f t="shared" ca="1" si="417"/>
        <v>1.9104433474450816E-2</v>
      </c>
      <c r="EW37" s="363">
        <f t="shared" ca="1" si="417"/>
        <v>2.6038509208127336E-2</v>
      </c>
      <c r="EX37" s="363">
        <f t="shared" ca="1" si="417"/>
        <v>2.4103747312071544E-2</v>
      </c>
      <c r="EY37" s="363">
        <f t="shared" ca="1" si="417"/>
        <v>2.3131215422332874E-2</v>
      </c>
      <c r="EZ37" s="363">
        <f t="shared" ca="1" si="417"/>
        <v>2.2725894697075422E-2</v>
      </c>
      <c r="FA37" s="363">
        <f t="shared" ca="1" si="417"/>
        <v>2.4603849356037655E-2</v>
      </c>
      <c r="FB37" s="363">
        <f t="shared" ca="1" si="417"/>
        <v>2.0395370456499758E-2</v>
      </c>
      <c r="FC37" s="363">
        <f t="shared" ca="1" si="417"/>
        <v>2.3069136722597583E-2</v>
      </c>
      <c r="FD37" s="363">
        <f t="shared" ca="1" si="417"/>
        <v>2.2900726236613878E-2</v>
      </c>
      <c r="FE37" s="363">
        <f t="shared" ca="1" si="417"/>
        <v>2.0620224920134295E-2</v>
      </c>
      <c r="FF37" s="363">
        <f t="shared" ca="1" si="417"/>
        <v>2.5391520630329567E-2</v>
      </c>
      <c r="FG37" s="363">
        <f t="shared" ca="1" si="417"/>
        <v>2.0000203892012892E-2</v>
      </c>
      <c r="FH37" s="363">
        <f t="shared" ca="1" si="417"/>
        <v>2.2694168679802007E-2</v>
      </c>
      <c r="FI37" s="363">
        <f t="shared" ca="1" si="417"/>
        <v>2.3022995728550932E-2</v>
      </c>
      <c r="FJ37" s="363">
        <f t="shared" ca="1" si="417"/>
        <v>2.0684913911220248E-2</v>
      </c>
      <c r="FK37" s="363">
        <f t="shared" ca="1" si="417"/>
        <v>2.2926555208652499E-2</v>
      </c>
      <c r="FL37" s="363">
        <f t="shared" ca="1" si="417"/>
        <v>1.8064332308237032E-2</v>
      </c>
      <c r="FM37" s="363">
        <f t="shared" ca="1" si="417"/>
        <v>2.4858996921012122E-2</v>
      </c>
      <c r="FN37" s="363">
        <f t="shared" ca="1" si="417"/>
        <v>2.0726159046011387E-2</v>
      </c>
      <c r="FO37" s="363">
        <f t="shared" ca="1" si="417"/>
        <v>1.9790995990211693E-2</v>
      </c>
      <c r="FP37" s="363">
        <f t="shared" ca="1" si="417"/>
        <v>2.5122149895162149E-2</v>
      </c>
      <c r="FQ37" s="363">
        <f t="shared" ca="1" si="417"/>
        <v>2.1752697763175923E-2</v>
      </c>
      <c r="FR37" s="363">
        <f t="shared" ca="1" si="417"/>
        <v>1.9760095515274499E-2</v>
      </c>
      <c r="FS37" s="363">
        <f t="shared" ca="1" si="417"/>
        <v>2.1857510491774756E-2</v>
      </c>
      <c r="FT37" s="363">
        <f t="shared" ca="1" si="417"/>
        <v>1.9673737252952964E-2</v>
      </c>
      <c r="FU37" s="363">
        <f t="shared" ca="1" si="417"/>
        <v>2.2739120941845603E-2</v>
      </c>
      <c r="FV37" s="363">
        <f t="shared" ref="FV37:HD37" ca="1" si="418">_xlfn.BETA.INV(RAND(),$I$37,$J$37)</f>
        <v>1.7792260990141834E-2</v>
      </c>
      <c r="FW37" s="363">
        <f t="shared" ca="1" si="418"/>
        <v>2.0279402224272384E-2</v>
      </c>
      <c r="FX37" s="363">
        <f t="shared" ca="1" si="418"/>
        <v>2.271404125901233E-2</v>
      </c>
      <c r="FY37" s="363">
        <f t="shared" ca="1" si="418"/>
        <v>2.0243812929550978E-2</v>
      </c>
      <c r="FZ37" s="363">
        <f t="shared" ca="1" si="418"/>
        <v>2.1608663301036345E-2</v>
      </c>
      <c r="GA37" s="363">
        <f t="shared" ca="1" si="418"/>
        <v>2.2297353081356386E-2</v>
      </c>
      <c r="GB37" s="363">
        <f t="shared" ca="1" si="418"/>
        <v>2.6243731024377048E-2</v>
      </c>
      <c r="GC37" s="363">
        <f t="shared" ca="1" si="418"/>
        <v>2.2298529391374111E-2</v>
      </c>
      <c r="GD37" s="363">
        <f t="shared" ca="1" si="418"/>
        <v>2.1793206802966036E-2</v>
      </c>
      <c r="GE37" s="363">
        <f t="shared" ca="1" si="418"/>
        <v>2.289984112429555E-2</v>
      </c>
      <c r="GF37" s="363">
        <f t="shared" ca="1" si="418"/>
        <v>2.3483467343760389E-2</v>
      </c>
      <c r="GG37" s="363">
        <f t="shared" ca="1" si="418"/>
        <v>2.141622517882516E-2</v>
      </c>
      <c r="GH37" s="363">
        <f t="shared" ca="1" si="418"/>
        <v>2.5709657270923225E-2</v>
      </c>
      <c r="GI37" s="363">
        <f t="shared" ca="1" si="418"/>
        <v>2.3646995364800749E-2</v>
      </c>
      <c r="GJ37" s="363">
        <f t="shared" ca="1" si="418"/>
        <v>2.1564414360865859E-2</v>
      </c>
      <c r="GK37" s="363">
        <f t="shared" ca="1" si="418"/>
        <v>1.9865506505312828E-2</v>
      </c>
      <c r="GL37" s="363">
        <f t="shared" ca="1" si="418"/>
        <v>1.9721814233842817E-2</v>
      </c>
      <c r="GM37" s="363">
        <f t="shared" ca="1" si="418"/>
        <v>2.7999041447704043E-2</v>
      </c>
      <c r="GN37" s="363">
        <f t="shared" ca="1" si="418"/>
        <v>2.3995012755087086E-2</v>
      </c>
      <c r="GO37" s="363">
        <f t="shared" ca="1" si="418"/>
        <v>2.084934920748481E-2</v>
      </c>
      <c r="GP37" s="363">
        <f t="shared" ca="1" si="418"/>
        <v>2.0159361408252471E-2</v>
      </c>
      <c r="GQ37" s="363">
        <f t="shared" ca="1" si="418"/>
        <v>2.4371713284357166E-2</v>
      </c>
      <c r="GR37" s="363">
        <f t="shared" ca="1" si="418"/>
        <v>2.1442458016545971E-2</v>
      </c>
      <c r="GS37" s="363">
        <f t="shared" ca="1" si="418"/>
        <v>2.4597708733231638E-2</v>
      </c>
      <c r="GT37" s="363">
        <f t="shared" ca="1" si="418"/>
        <v>2.1677674363366917E-2</v>
      </c>
      <c r="GU37" s="363">
        <f t="shared" ca="1" si="418"/>
        <v>1.8383122574686203E-2</v>
      </c>
      <c r="GV37" s="363">
        <f t="shared" ca="1" si="418"/>
        <v>2.0446174699784637E-2</v>
      </c>
      <c r="GW37" s="363">
        <f t="shared" ca="1" si="418"/>
        <v>2.1575388495173715E-2</v>
      </c>
      <c r="GX37" s="363">
        <f t="shared" ca="1" si="418"/>
        <v>2.1422998684123652E-2</v>
      </c>
      <c r="GY37" s="363">
        <f t="shared" ca="1" si="418"/>
        <v>2.3861257800786739E-2</v>
      </c>
      <c r="GZ37" s="363">
        <f t="shared" ca="1" si="418"/>
        <v>2.2829715254676586E-2</v>
      </c>
      <c r="HA37" s="363">
        <f t="shared" ca="1" si="418"/>
        <v>2.3578800991653215E-2</v>
      </c>
      <c r="HB37" s="363">
        <f t="shared" ca="1" si="418"/>
        <v>2.2136157096024123E-2</v>
      </c>
      <c r="HC37" s="363">
        <f t="shared" ca="1" si="418"/>
        <v>1.9773354011185514E-2</v>
      </c>
      <c r="HD37" s="363">
        <f t="shared" ca="1" si="418"/>
        <v>2.654035224931528E-2</v>
      </c>
      <c r="HE37" s="363">
        <f ca="1">_xlfn.BETA.INV(RAND(),$I$37,$J$37)</f>
        <v>2.1014194307134276E-2</v>
      </c>
      <c r="HF37" s="363">
        <f t="shared" ref="HF37:JQ37" ca="1" si="419">_xlfn.BETA.INV(RAND(),$I$37,$J$37)</f>
        <v>2.0040139162472305E-2</v>
      </c>
      <c r="HG37" s="363">
        <f t="shared" ca="1" si="419"/>
        <v>2.1804779803842558E-2</v>
      </c>
      <c r="HH37" s="363">
        <f t="shared" ca="1" si="419"/>
        <v>2.053328265088596E-2</v>
      </c>
      <c r="HI37" s="363">
        <f t="shared" ca="1" si="419"/>
        <v>1.9348473717824059E-2</v>
      </c>
      <c r="HJ37" s="363">
        <f t="shared" ca="1" si="419"/>
        <v>2.2785203540608423E-2</v>
      </c>
      <c r="HK37" s="363">
        <f t="shared" ca="1" si="419"/>
        <v>1.897078899695696E-2</v>
      </c>
      <c r="HL37" s="363">
        <f t="shared" ca="1" si="419"/>
        <v>2.0405877334098682E-2</v>
      </c>
      <c r="HM37" s="363">
        <f t="shared" ca="1" si="419"/>
        <v>2.0316590145021341E-2</v>
      </c>
      <c r="HN37" s="363">
        <f t="shared" ca="1" si="419"/>
        <v>2.4336385434744923E-2</v>
      </c>
      <c r="HO37" s="363">
        <f t="shared" ca="1" si="419"/>
        <v>2.9031401882990249E-2</v>
      </c>
      <c r="HP37" s="363">
        <f t="shared" ca="1" si="419"/>
        <v>2.270038262307672E-2</v>
      </c>
      <c r="HQ37" s="363">
        <f t="shared" ca="1" si="419"/>
        <v>2.2681716795479812E-2</v>
      </c>
      <c r="HR37" s="363">
        <f t="shared" ca="1" si="419"/>
        <v>2.6774078378052013E-2</v>
      </c>
      <c r="HS37" s="363">
        <f t="shared" ca="1" si="419"/>
        <v>2.3283619415976675E-2</v>
      </c>
      <c r="HT37" s="363">
        <f t="shared" ca="1" si="419"/>
        <v>1.6767867689388771E-2</v>
      </c>
      <c r="HU37" s="363">
        <f t="shared" ca="1" si="419"/>
        <v>2.2743925133565712E-2</v>
      </c>
      <c r="HV37" s="363">
        <f t="shared" ca="1" si="419"/>
        <v>2.1169049090806726E-2</v>
      </c>
      <c r="HW37" s="363">
        <f t="shared" ca="1" si="419"/>
        <v>2.2432533331423588E-2</v>
      </c>
      <c r="HX37" s="363">
        <f t="shared" ca="1" si="419"/>
        <v>2.0913880250983879E-2</v>
      </c>
      <c r="HY37" s="363">
        <f t="shared" ca="1" si="419"/>
        <v>2.2540170032115392E-2</v>
      </c>
      <c r="HZ37" s="363">
        <f t="shared" ca="1" si="419"/>
        <v>2.1339699704570086E-2</v>
      </c>
      <c r="IA37" s="363">
        <f t="shared" ca="1" si="419"/>
        <v>2.3057029283521824E-2</v>
      </c>
      <c r="IB37" s="363">
        <f t="shared" ca="1" si="419"/>
        <v>1.9064913735970059E-2</v>
      </c>
      <c r="IC37" s="363">
        <f t="shared" ca="1" si="419"/>
        <v>2.1302649297449468E-2</v>
      </c>
      <c r="ID37" s="363">
        <f t="shared" ca="1" si="419"/>
        <v>2.2665050502914785E-2</v>
      </c>
      <c r="IE37" s="363">
        <f t="shared" ca="1" si="419"/>
        <v>2.2661717676369708E-2</v>
      </c>
      <c r="IF37" s="363">
        <f t="shared" ca="1" si="419"/>
        <v>2.2928751359417188E-2</v>
      </c>
      <c r="IG37" s="363">
        <f t="shared" ca="1" si="419"/>
        <v>2.1822189439078498E-2</v>
      </c>
      <c r="IH37" s="363">
        <f t="shared" ca="1" si="419"/>
        <v>2.1637953035303754E-2</v>
      </c>
      <c r="II37" s="363">
        <f t="shared" ca="1" si="419"/>
        <v>2.4296562484525719E-2</v>
      </c>
      <c r="IJ37" s="363">
        <f t="shared" ca="1" si="419"/>
        <v>2.1059213086735019E-2</v>
      </c>
      <c r="IK37" s="363">
        <f t="shared" ca="1" si="419"/>
        <v>1.982057342738771E-2</v>
      </c>
      <c r="IL37" s="363">
        <f t="shared" ca="1" si="419"/>
        <v>2.0362770814706423E-2</v>
      </c>
      <c r="IM37" s="363">
        <f t="shared" ca="1" si="419"/>
        <v>2.0610301980959953E-2</v>
      </c>
      <c r="IN37" s="363">
        <f t="shared" ca="1" si="419"/>
        <v>2.393989473745084E-2</v>
      </c>
      <c r="IO37" s="363">
        <f t="shared" ca="1" si="419"/>
        <v>2.1480078397028739E-2</v>
      </c>
      <c r="IP37" s="363">
        <f t="shared" ca="1" si="419"/>
        <v>2.2487165026921052E-2</v>
      </c>
      <c r="IQ37" s="363">
        <f t="shared" ca="1" si="419"/>
        <v>1.8180620463438629E-2</v>
      </c>
      <c r="IR37" s="363">
        <f t="shared" ca="1" si="419"/>
        <v>2.0121767943632223E-2</v>
      </c>
      <c r="IS37" s="363">
        <f t="shared" ca="1" si="419"/>
        <v>2.2517767607043049E-2</v>
      </c>
      <c r="IT37" s="363">
        <f t="shared" ca="1" si="419"/>
        <v>2.153100025502741E-2</v>
      </c>
      <c r="IU37" s="363">
        <f t="shared" ca="1" si="419"/>
        <v>2.2599301782772252E-2</v>
      </c>
      <c r="IV37" s="363">
        <f t="shared" ca="1" si="419"/>
        <v>2.2353927447482103E-2</v>
      </c>
      <c r="IW37" s="363">
        <f t="shared" ca="1" si="419"/>
        <v>2.3416685120954184E-2</v>
      </c>
      <c r="IX37" s="363">
        <f t="shared" ca="1" si="419"/>
        <v>1.9820038675236809E-2</v>
      </c>
      <c r="IY37" s="363">
        <f t="shared" ca="1" si="419"/>
        <v>2.1262393149396628E-2</v>
      </c>
      <c r="IZ37" s="363">
        <f t="shared" ca="1" si="419"/>
        <v>2.3683142465517615E-2</v>
      </c>
      <c r="JA37" s="363">
        <f t="shared" ca="1" si="419"/>
        <v>2.3777830120249699E-2</v>
      </c>
      <c r="JB37" s="363">
        <f t="shared" ca="1" si="419"/>
        <v>2.3766339243865064E-2</v>
      </c>
      <c r="JC37" s="363">
        <f t="shared" ca="1" si="419"/>
        <v>1.9444934516401221E-2</v>
      </c>
      <c r="JD37" s="363">
        <f t="shared" ca="1" si="419"/>
        <v>2.5969119325420786E-2</v>
      </c>
      <c r="JE37" s="363">
        <f t="shared" ca="1" si="419"/>
        <v>2.4503345910726448E-2</v>
      </c>
      <c r="JF37" s="363">
        <f t="shared" ca="1" si="419"/>
        <v>2.3016518857735813E-2</v>
      </c>
      <c r="JG37" s="363">
        <f t="shared" ca="1" si="419"/>
        <v>2.1574320563756258E-2</v>
      </c>
      <c r="JH37" s="363">
        <f t="shared" ca="1" si="419"/>
        <v>2.2572474790184871E-2</v>
      </c>
      <c r="JI37" s="363">
        <f t="shared" ca="1" si="419"/>
        <v>2.2758525010835973E-2</v>
      </c>
      <c r="JJ37" s="363">
        <f t="shared" ca="1" si="419"/>
        <v>2.5066514689435215E-2</v>
      </c>
      <c r="JK37" s="363">
        <f t="shared" ca="1" si="419"/>
        <v>2.0018112963125403E-2</v>
      </c>
      <c r="JL37" s="363">
        <f t="shared" ca="1" si="419"/>
        <v>2.4685328606717905E-2</v>
      </c>
      <c r="JM37" s="363">
        <f t="shared" ca="1" si="419"/>
        <v>1.9968866229196313E-2</v>
      </c>
      <c r="JN37" s="363">
        <f t="shared" ca="1" si="419"/>
        <v>2.0840932710673048E-2</v>
      </c>
      <c r="JO37" s="363">
        <f t="shared" ca="1" si="419"/>
        <v>2.5706683037698963E-2</v>
      </c>
      <c r="JP37" s="363">
        <f t="shared" ca="1" si="419"/>
        <v>2.261174422675416E-2</v>
      </c>
      <c r="JQ37" s="363">
        <f t="shared" ca="1" si="419"/>
        <v>2.2720682257041602E-2</v>
      </c>
      <c r="JR37" s="363">
        <f t="shared" ref="JR37:KZ37" ca="1" si="420">_xlfn.BETA.INV(RAND(),$I$37,$J$37)</f>
        <v>2.1702739858532858E-2</v>
      </c>
      <c r="JS37" s="363">
        <f t="shared" ca="1" si="420"/>
        <v>1.8914115880576378E-2</v>
      </c>
      <c r="JT37" s="363">
        <f t="shared" ca="1" si="420"/>
        <v>2.5635634454716949E-2</v>
      </c>
      <c r="JU37" s="363">
        <f t="shared" ca="1" si="420"/>
        <v>2.1194605050397126E-2</v>
      </c>
      <c r="JV37" s="363">
        <f t="shared" ca="1" si="420"/>
        <v>2.2054266135584144E-2</v>
      </c>
      <c r="JW37" s="363">
        <f t="shared" ca="1" si="420"/>
        <v>2.319093971231001E-2</v>
      </c>
      <c r="JX37" s="363">
        <f t="shared" ca="1" si="420"/>
        <v>2.1115051651860384E-2</v>
      </c>
      <c r="JY37" s="363">
        <f t="shared" ca="1" si="420"/>
        <v>2.0832638750576036E-2</v>
      </c>
      <c r="JZ37" s="363">
        <f t="shared" ca="1" si="420"/>
        <v>2.7910918976581378E-2</v>
      </c>
      <c r="KA37" s="363">
        <f t="shared" ca="1" si="420"/>
        <v>2.0175669164404806E-2</v>
      </c>
      <c r="KB37" s="363">
        <f t="shared" ca="1" si="420"/>
        <v>2.710689911931552E-2</v>
      </c>
      <c r="KC37" s="363">
        <f t="shared" ca="1" si="420"/>
        <v>1.9790311489323146E-2</v>
      </c>
      <c r="KD37" s="363">
        <f t="shared" ca="1" si="420"/>
        <v>2.2652523647758382E-2</v>
      </c>
      <c r="KE37" s="363">
        <f t="shared" ca="1" si="420"/>
        <v>2.3368667482294936E-2</v>
      </c>
      <c r="KF37" s="363">
        <f t="shared" ca="1" si="420"/>
        <v>2.195004910262302E-2</v>
      </c>
      <c r="KG37" s="363">
        <f t="shared" ca="1" si="420"/>
        <v>2.3887574043750082E-2</v>
      </c>
      <c r="KH37" s="363">
        <f t="shared" ca="1" si="420"/>
        <v>2.5148823558214572E-2</v>
      </c>
      <c r="KI37" s="363">
        <f t="shared" ca="1" si="420"/>
        <v>2.5891989524959191E-2</v>
      </c>
      <c r="KJ37" s="363">
        <f t="shared" ca="1" si="420"/>
        <v>2.7866477496648168E-2</v>
      </c>
      <c r="KK37" s="363">
        <f t="shared" ca="1" si="420"/>
        <v>2.757131834479154E-2</v>
      </c>
      <c r="KL37" s="363">
        <f t="shared" ca="1" si="420"/>
        <v>2.3372355149829827E-2</v>
      </c>
      <c r="KM37" s="363">
        <f t="shared" ca="1" si="420"/>
        <v>2.1463419916075577E-2</v>
      </c>
      <c r="KN37" s="363">
        <f t="shared" ca="1" si="420"/>
        <v>2.3773808172083188E-2</v>
      </c>
      <c r="KO37" s="363">
        <f t="shared" ca="1" si="420"/>
        <v>2.0454030730761522E-2</v>
      </c>
      <c r="KP37" s="363">
        <f t="shared" ca="1" si="420"/>
        <v>2.3207569555047436E-2</v>
      </c>
      <c r="KQ37" s="363">
        <f t="shared" ca="1" si="420"/>
        <v>2.2989508580692708E-2</v>
      </c>
      <c r="KR37" s="363">
        <f t="shared" ca="1" si="420"/>
        <v>2.2261111719830473E-2</v>
      </c>
      <c r="KS37" s="363">
        <f t="shared" ca="1" si="420"/>
        <v>1.9410541382627194E-2</v>
      </c>
      <c r="KT37" s="363">
        <f t="shared" ca="1" si="420"/>
        <v>2.6716248426525757E-2</v>
      </c>
      <c r="KU37" s="363">
        <f t="shared" ca="1" si="420"/>
        <v>2.4903096033393357E-2</v>
      </c>
      <c r="KV37" s="363">
        <f t="shared" ca="1" si="420"/>
        <v>2.2233911292597885E-2</v>
      </c>
      <c r="KW37" s="363">
        <f t="shared" ca="1" si="420"/>
        <v>2.1201960829817523E-2</v>
      </c>
      <c r="KX37" s="363">
        <f t="shared" ca="1" si="420"/>
        <v>2.4391585569832452E-2</v>
      </c>
      <c r="KY37" s="363">
        <f t="shared" ca="1" si="420"/>
        <v>1.7596659774794954E-2</v>
      </c>
      <c r="KZ37" s="363">
        <f t="shared" ca="1" si="420"/>
        <v>2.5535445873435592E-2</v>
      </c>
      <c r="LA37" s="363">
        <f ca="1">_xlfn.BETA.INV(RAND(),$I$37,$J$37)</f>
        <v>1.6325885716874142E-2</v>
      </c>
      <c r="LB37" s="363">
        <f t="shared" ref="LB37:NM37" ca="1" si="421">_xlfn.BETA.INV(RAND(),$I$37,$J$37)</f>
        <v>2.4713810610243248E-2</v>
      </c>
      <c r="LC37" s="363">
        <f t="shared" ca="1" si="421"/>
        <v>2.1710115124022412E-2</v>
      </c>
      <c r="LD37" s="363">
        <f t="shared" ca="1" si="421"/>
        <v>2.1707076210874355E-2</v>
      </c>
      <c r="LE37" s="363">
        <f t="shared" ca="1" si="421"/>
        <v>2.6923454936405466E-2</v>
      </c>
      <c r="LF37" s="363">
        <f t="shared" ca="1" si="421"/>
        <v>2.3134265936990417E-2</v>
      </c>
      <c r="LG37" s="363">
        <f t="shared" ca="1" si="421"/>
        <v>2.5239691573069711E-2</v>
      </c>
      <c r="LH37" s="363">
        <f t="shared" ca="1" si="421"/>
        <v>2.1712509307755336E-2</v>
      </c>
      <c r="LI37" s="363">
        <f t="shared" ca="1" si="421"/>
        <v>1.9166048165186935E-2</v>
      </c>
      <c r="LJ37" s="363">
        <f t="shared" ca="1" si="421"/>
        <v>2.1593811428512012E-2</v>
      </c>
      <c r="LK37" s="363">
        <f t="shared" ca="1" si="421"/>
        <v>2.1159188038096518E-2</v>
      </c>
      <c r="LL37" s="363">
        <f t="shared" ca="1" si="421"/>
        <v>2.1971695264224045E-2</v>
      </c>
      <c r="LM37" s="363">
        <f t="shared" ca="1" si="421"/>
        <v>2.610173387314052E-2</v>
      </c>
      <c r="LN37" s="363">
        <f t="shared" ca="1" si="421"/>
        <v>1.9320655421078605E-2</v>
      </c>
      <c r="LO37" s="363">
        <f t="shared" ca="1" si="421"/>
        <v>2.1185363005912571E-2</v>
      </c>
      <c r="LP37" s="363">
        <f t="shared" ca="1" si="421"/>
        <v>2.1869998859825338E-2</v>
      </c>
      <c r="LQ37" s="363">
        <f t="shared" ca="1" si="421"/>
        <v>1.957138532634049E-2</v>
      </c>
      <c r="LR37" s="363">
        <f t="shared" ca="1" si="421"/>
        <v>2.1902627670908642E-2</v>
      </c>
      <c r="LS37" s="363">
        <f t="shared" ca="1" si="421"/>
        <v>1.9087698091037109E-2</v>
      </c>
      <c r="LT37" s="363">
        <f t="shared" ca="1" si="421"/>
        <v>2.0691250243125549E-2</v>
      </c>
      <c r="LU37" s="363">
        <f t="shared" ca="1" si="421"/>
        <v>2.0437567720594182E-2</v>
      </c>
      <c r="LV37" s="363">
        <f t="shared" ca="1" si="421"/>
        <v>2.3700600206700395E-2</v>
      </c>
      <c r="LW37" s="363">
        <f t="shared" ca="1" si="421"/>
        <v>2.5707173493657032E-2</v>
      </c>
      <c r="LX37" s="363">
        <f t="shared" ca="1" si="421"/>
        <v>2.2701274375534264E-2</v>
      </c>
      <c r="LY37" s="363">
        <f t="shared" ca="1" si="421"/>
        <v>2.261006499329532E-2</v>
      </c>
      <c r="LZ37" s="363">
        <f t="shared" ca="1" si="421"/>
        <v>2.0965621387524086E-2</v>
      </c>
      <c r="MA37" s="363">
        <f t="shared" ca="1" si="421"/>
        <v>2.1600136797065239E-2</v>
      </c>
      <c r="MB37" s="363">
        <f t="shared" ca="1" si="421"/>
        <v>2.3074525194588746E-2</v>
      </c>
      <c r="MC37" s="363">
        <f t="shared" ca="1" si="421"/>
        <v>2.4489138480184192E-2</v>
      </c>
      <c r="MD37" s="363">
        <f t="shared" ca="1" si="421"/>
        <v>2.1745716293877785E-2</v>
      </c>
      <c r="ME37" s="363">
        <f t="shared" ca="1" si="421"/>
        <v>1.9875546454978313E-2</v>
      </c>
      <c r="MF37" s="363">
        <f t="shared" ca="1" si="421"/>
        <v>2.517773358165698E-2</v>
      </c>
      <c r="MG37" s="363">
        <f t="shared" ca="1" si="421"/>
        <v>2.153792924750381E-2</v>
      </c>
      <c r="MH37" s="363">
        <f t="shared" ca="1" si="421"/>
        <v>2.1973529359357924E-2</v>
      </c>
      <c r="MI37" s="363">
        <f t="shared" ca="1" si="421"/>
        <v>2.1746689597277224E-2</v>
      </c>
      <c r="MJ37" s="363">
        <f t="shared" ca="1" si="421"/>
        <v>2.2812672959344527E-2</v>
      </c>
      <c r="MK37" s="363">
        <f t="shared" ca="1" si="421"/>
        <v>2.0580125313143641E-2</v>
      </c>
      <c r="ML37" s="363">
        <f t="shared" ca="1" si="421"/>
        <v>2.2306814960064925E-2</v>
      </c>
      <c r="MM37" s="363">
        <f t="shared" ca="1" si="421"/>
        <v>2.2172151016759289E-2</v>
      </c>
      <c r="MN37" s="363">
        <f t="shared" ca="1" si="421"/>
        <v>2.2315687711521925E-2</v>
      </c>
      <c r="MO37" s="363">
        <f t="shared" ca="1" si="421"/>
        <v>2.1569163639851296E-2</v>
      </c>
      <c r="MP37" s="363">
        <f t="shared" ca="1" si="421"/>
        <v>2.0767978850929916E-2</v>
      </c>
      <c r="MQ37" s="363">
        <f t="shared" ca="1" si="421"/>
        <v>2.1362948177628537E-2</v>
      </c>
      <c r="MR37" s="363">
        <f t="shared" ca="1" si="421"/>
        <v>2.1967701152894259E-2</v>
      </c>
      <c r="MS37" s="363">
        <f t="shared" ca="1" si="421"/>
        <v>2.0200176884296948E-2</v>
      </c>
      <c r="MT37" s="363">
        <f t="shared" ca="1" si="421"/>
        <v>2.2060567973845258E-2</v>
      </c>
      <c r="MU37" s="363">
        <f t="shared" ca="1" si="421"/>
        <v>1.9401304217341701E-2</v>
      </c>
      <c r="MV37" s="363">
        <f t="shared" ca="1" si="421"/>
        <v>2.2957699915922336E-2</v>
      </c>
      <c r="MW37" s="363">
        <f t="shared" ca="1" si="421"/>
        <v>2.098800082751354E-2</v>
      </c>
      <c r="MX37" s="363">
        <f t="shared" ca="1" si="421"/>
        <v>2.3200361868661257E-2</v>
      </c>
      <c r="MY37" s="363">
        <f t="shared" ca="1" si="421"/>
        <v>2.5839491088635924E-2</v>
      </c>
      <c r="MZ37" s="363">
        <f t="shared" ca="1" si="421"/>
        <v>1.9067735497953483E-2</v>
      </c>
      <c r="NA37" s="363">
        <f t="shared" ca="1" si="421"/>
        <v>2.3858569019178488E-2</v>
      </c>
      <c r="NB37" s="363">
        <f t="shared" ca="1" si="421"/>
        <v>2.3750002698657458E-2</v>
      </c>
      <c r="NC37" s="363">
        <f t="shared" ca="1" si="421"/>
        <v>2.1862293236496761E-2</v>
      </c>
      <c r="ND37" s="363">
        <f t="shared" ca="1" si="421"/>
        <v>2.0730935102564088E-2</v>
      </c>
      <c r="NE37" s="363">
        <f t="shared" ca="1" si="421"/>
        <v>2.4682296628423361E-2</v>
      </c>
      <c r="NF37" s="363">
        <f t="shared" ca="1" si="421"/>
        <v>2.2071336436796818E-2</v>
      </c>
      <c r="NG37" s="363">
        <f t="shared" ca="1" si="421"/>
        <v>2.3449757052851905E-2</v>
      </c>
      <c r="NH37" s="363">
        <f t="shared" ca="1" si="421"/>
        <v>1.8636902945191623E-2</v>
      </c>
      <c r="NI37" s="363">
        <f t="shared" ca="1" si="421"/>
        <v>2.0553232028440355E-2</v>
      </c>
      <c r="NJ37" s="363">
        <f t="shared" ca="1" si="421"/>
        <v>2.0760035562825761E-2</v>
      </c>
      <c r="NK37" s="363">
        <f t="shared" ca="1" si="421"/>
        <v>2.4222759718854903E-2</v>
      </c>
      <c r="NL37" s="363">
        <f t="shared" ca="1" si="421"/>
        <v>1.874279141005979E-2</v>
      </c>
      <c r="NM37" s="363">
        <f t="shared" ca="1" si="421"/>
        <v>1.9504972149673339E-2</v>
      </c>
      <c r="NN37" s="363">
        <f t="shared" ref="NN37:OV37" ca="1" si="422">_xlfn.BETA.INV(RAND(),$I$37,$J$37)</f>
        <v>2.4283455733122628E-2</v>
      </c>
      <c r="NO37" s="363">
        <f t="shared" ca="1" si="422"/>
        <v>1.9069577210627502E-2</v>
      </c>
      <c r="NP37" s="363">
        <f t="shared" ca="1" si="422"/>
        <v>2.1257959657577041E-2</v>
      </c>
      <c r="NQ37" s="363">
        <f t="shared" ca="1" si="422"/>
        <v>2.442273928961225E-2</v>
      </c>
      <c r="NR37" s="363">
        <f t="shared" ca="1" si="422"/>
        <v>2.1246665169013607E-2</v>
      </c>
      <c r="NS37" s="363">
        <f t="shared" ca="1" si="422"/>
        <v>1.8926179868011116E-2</v>
      </c>
      <c r="NT37" s="363">
        <f t="shared" ca="1" si="422"/>
        <v>2.002032888298837E-2</v>
      </c>
      <c r="NU37" s="363">
        <f t="shared" ca="1" si="422"/>
        <v>2.5222156906679061E-2</v>
      </c>
      <c r="NV37" s="363">
        <f t="shared" ca="1" si="422"/>
        <v>2.1406719110127644E-2</v>
      </c>
      <c r="NW37" s="363">
        <f t="shared" ca="1" si="422"/>
        <v>2.1619734361552026E-2</v>
      </c>
      <c r="NX37" s="363">
        <f t="shared" ca="1" si="422"/>
        <v>2.3902912783277497E-2</v>
      </c>
      <c r="NY37" s="363">
        <f t="shared" ca="1" si="422"/>
        <v>2.2457594190462449E-2</v>
      </c>
      <c r="NZ37" s="363">
        <f t="shared" ca="1" si="422"/>
        <v>2.2436302225949944E-2</v>
      </c>
      <c r="OA37" s="363">
        <f t="shared" ca="1" si="422"/>
        <v>2.0088834819870359E-2</v>
      </c>
      <c r="OB37" s="363">
        <f t="shared" ca="1" si="422"/>
        <v>2.0407695369338105E-2</v>
      </c>
      <c r="OC37" s="363">
        <f t="shared" ca="1" si="422"/>
        <v>2.312439817239631E-2</v>
      </c>
      <c r="OD37" s="363">
        <f t="shared" ca="1" si="422"/>
        <v>2.4716339182682012E-2</v>
      </c>
      <c r="OE37" s="363">
        <f t="shared" ca="1" si="422"/>
        <v>2.0468983270394276E-2</v>
      </c>
      <c r="OF37" s="363">
        <f t="shared" ca="1" si="422"/>
        <v>2.2333727114780988E-2</v>
      </c>
      <c r="OG37" s="363">
        <f t="shared" ca="1" si="422"/>
        <v>2.4428659533257013E-2</v>
      </c>
      <c r="OH37" s="363">
        <f t="shared" ca="1" si="422"/>
        <v>2.0617775795390113E-2</v>
      </c>
      <c r="OI37" s="363">
        <f t="shared" ca="1" si="422"/>
        <v>2.5130511365833552E-2</v>
      </c>
      <c r="OJ37" s="363">
        <f t="shared" ca="1" si="422"/>
        <v>2.1318259170545431E-2</v>
      </c>
      <c r="OK37" s="363">
        <f t="shared" ca="1" si="422"/>
        <v>1.9687461171217509E-2</v>
      </c>
      <c r="OL37" s="363">
        <f t="shared" ca="1" si="422"/>
        <v>2.2116636567336645E-2</v>
      </c>
      <c r="OM37" s="363">
        <f t="shared" ca="1" si="422"/>
        <v>2.2529612233581409E-2</v>
      </c>
      <c r="ON37" s="363">
        <f t="shared" ca="1" si="422"/>
        <v>2.1379281018712115E-2</v>
      </c>
      <c r="OO37" s="363">
        <f t="shared" ca="1" si="422"/>
        <v>2.1777914173004766E-2</v>
      </c>
      <c r="OP37" s="363">
        <f t="shared" ca="1" si="422"/>
        <v>2.2535848851168439E-2</v>
      </c>
      <c r="OQ37" s="363">
        <f t="shared" ca="1" si="422"/>
        <v>2.5996502297608748E-2</v>
      </c>
      <c r="OR37" s="363">
        <f t="shared" ca="1" si="422"/>
        <v>2.0262288928401633E-2</v>
      </c>
      <c r="OS37" s="363">
        <f t="shared" ca="1" si="422"/>
        <v>2.2132788255318947E-2</v>
      </c>
      <c r="OT37" s="363">
        <f t="shared" ca="1" si="422"/>
        <v>1.94173103268372E-2</v>
      </c>
      <c r="OU37" s="363">
        <f t="shared" ca="1" si="422"/>
        <v>2.6005925503104099E-2</v>
      </c>
      <c r="OV37" s="363">
        <f t="shared" ca="1" si="422"/>
        <v>1.8579238432914796E-2</v>
      </c>
      <c r="OW37" s="363">
        <f ca="1">_xlfn.BETA.INV(RAND(),$I$37,$J$37)</f>
        <v>1.8640603068936556E-2</v>
      </c>
      <c r="OX37" s="363">
        <f t="shared" ref="OX37:RI37" ca="1" si="423">_xlfn.BETA.INV(RAND(),$I$37,$J$37)</f>
        <v>2.3273849502270072E-2</v>
      </c>
      <c r="OY37" s="363">
        <f t="shared" ca="1" si="423"/>
        <v>2.0987937458031562E-2</v>
      </c>
      <c r="OZ37" s="363">
        <f t="shared" ca="1" si="423"/>
        <v>2.7242597871719565E-2</v>
      </c>
      <c r="PA37" s="363">
        <f t="shared" ca="1" si="423"/>
        <v>2.0160086686649658E-2</v>
      </c>
      <c r="PB37" s="363">
        <f t="shared" ca="1" si="423"/>
        <v>2.0841238309533282E-2</v>
      </c>
      <c r="PC37" s="363">
        <f t="shared" ca="1" si="423"/>
        <v>2.3539703075082352E-2</v>
      </c>
      <c r="PD37" s="363">
        <f t="shared" ca="1" si="423"/>
        <v>2.5064726882742416E-2</v>
      </c>
      <c r="PE37" s="363">
        <f t="shared" ca="1" si="423"/>
        <v>2.4364171427877612E-2</v>
      </c>
      <c r="PF37" s="363">
        <f t="shared" ca="1" si="423"/>
        <v>2.1508837908541713E-2</v>
      </c>
      <c r="PG37" s="363">
        <f t="shared" ca="1" si="423"/>
        <v>2.2606348364792361E-2</v>
      </c>
      <c r="PH37" s="363">
        <f t="shared" ca="1" si="423"/>
        <v>2.1148346811232951E-2</v>
      </c>
      <c r="PI37" s="363">
        <f t="shared" ca="1" si="423"/>
        <v>2.3723051570636811E-2</v>
      </c>
      <c r="PJ37" s="363">
        <f t="shared" ca="1" si="423"/>
        <v>2.4360940157596156E-2</v>
      </c>
      <c r="PK37" s="363">
        <f t="shared" ca="1" si="423"/>
        <v>1.876817094029045E-2</v>
      </c>
      <c r="PL37" s="363">
        <f t="shared" ca="1" si="423"/>
        <v>2.0841207596755042E-2</v>
      </c>
      <c r="PM37" s="363">
        <f t="shared" ca="1" si="423"/>
        <v>2.1965564490438627E-2</v>
      </c>
      <c r="PN37" s="363">
        <f t="shared" ca="1" si="423"/>
        <v>1.8999512879523665E-2</v>
      </c>
      <c r="PO37" s="363">
        <f t="shared" ca="1" si="423"/>
        <v>2.0912378825120648E-2</v>
      </c>
      <c r="PP37" s="363">
        <f t="shared" ca="1" si="423"/>
        <v>2.1539037008564705E-2</v>
      </c>
      <c r="PQ37" s="363">
        <f t="shared" ca="1" si="423"/>
        <v>1.9851867944702336E-2</v>
      </c>
      <c r="PR37" s="363">
        <f t="shared" ca="1" si="423"/>
        <v>2.5250201606503042E-2</v>
      </c>
      <c r="PS37" s="363">
        <f t="shared" ca="1" si="423"/>
        <v>1.858443641484632E-2</v>
      </c>
      <c r="PT37" s="363">
        <f t="shared" ca="1" si="423"/>
        <v>2.1451017097499008E-2</v>
      </c>
      <c r="PU37" s="363">
        <f t="shared" ca="1" si="423"/>
        <v>1.9720098751789178E-2</v>
      </c>
      <c r="PV37" s="363">
        <f t="shared" ca="1" si="423"/>
        <v>2.4032454729895125E-2</v>
      </c>
      <c r="PW37" s="363">
        <f t="shared" ca="1" si="423"/>
        <v>2.2417001868307307E-2</v>
      </c>
      <c r="PX37" s="363">
        <f t="shared" ca="1" si="423"/>
        <v>2.0085381590744425E-2</v>
      </c>
      <c r="PY37" s="363">
        <f t="shared" ca="1" si="423"/>
        <v>2.0246756860389691E-2</v>
      </c>
      <c r="PZ37" s="363">
        <f t="shared" ca="1" si="423"/>
        <v>2.3141258310913959E-2</v>
      </c>
      <c r="QA37" s="363">
        <f t="shared" ca="1" si="423"/>
        <v>1.6380992765095855E-2</v>
      </c>
      <c r="QB37" s="363">
        <f t="shared" ca="1" si="423"/>
        <v>1.8714973438502609E-2</v>
      </c>
      <c r="QC37" s="363">
        <f t="shared" ca="1" si="423"/>
        <v>2.2702894193097345E-2</v>
      </c>
      <c r="QD37" s="363">
        <f t="shared" ca="1" si="423"/>
        <v>1.9776210362099342E-2</v>
      </c>
      <c r="QE37" s="363">
        <f t="shared" ca="1" si="423"/>
        <v>2.315687088424101E-2</v>
      </c>
      <c r="QF37" s="363">
        <f t="shared" ca="1" si="423"/>
        <v>2.1063756597961874E-2</v>
      </c>
      <c r="QG37" s="363">
        <f t="shared" ca="1" si="423"/>
        <v>2.4288745620212215E-2</v>
      </c>
      <c r="QH37" s="363">
        <f t="shared" ca="1" si="423"/>
        <v>2.1578942693399918E-2</v>
      </c>
      <c r="QI37" s="363">
        <f t="shared" ca="1" si="423"/>
        <v>2.5062066638940061E-2</v>
      </c>
      <c r="QJ37" s="363">
        <f t="shared" ca="1" si="423"/>
        <v>2.2294508407479596E-2</v>
      </c>
      <c r="QK37" s="363">
        <f t="shared" ca="1" si="423"/>
        <v>2.3239203767992822E-2</v>
      </c>
      <c r="QL37" s="363">
        <f t="shared" ca="1" si="423"/>
        <v>2.1317151410260526E-2</v>
      </c>
      <c r="QM37" s="363">
        <f t="shared" ca="1" si="423"/>
        <v>2.3964127355960874E-2</v>
      </c>
      <c r="QN37" s="363">
        <f t="shared" ca="1" si="423"/>
        <v>2.3255716431516249E-2</v>
      </c>
      <c r="QO37" s="363">
        <f t="shared" ca="1" si="423"/>
        <v>2.323197035129021E-2</v>
      </c>
      <c r="QP37" s="363">
        <f t="shared" ca="1" si="423"/>
        <v>2.3064175188202918E-2</v>
      </c>
      <c r="QQ37" s="363">
        <f t="shared" ca="1" si="423"/>
        <v>2.3884978463575179E-2</v>
      </c>
      <c r="QR37" s="363">
        <f t="shared" ca="1" si="423"/>
        <v>2.1301340038716973E-2</v>
      </c>
      <c r="QS37" s="363">
        <f t="shared" ca="1" si="423"/>
        <v>2.0686136331555402E-2</v>
      </c>
      <c r="QT37" s="363">
        <f t="shared" ca="1" si="423"/>
        <v>2.0362830695153204E-2</v>
      </c>
      <c r="QU37" s="363">
        <f t="shared" ca="1" si="423"/>
        <v>2.1906445969046475E-2</v>
      </c>
      <c r="QV37" s="363">
        <f t="shared" ca="1" si="423"/>
        <v>1.8515798630248024E-2</v>
      </c>
      <c r="QW37" s="363">
        <f t="shared" ca="1" si="423"/>
        <v>1.9552815916210494E-2</v>
      </c>
      <c r="QX37" s="363">
        <f t="shared" ca="1" si="423"/>
        <v>2.0260967803447664E-2</v>
      </c>
      <c r="QY37" s="363">
        <f t="shared" ca="1" si="423"/>
        <v>2.3729761526535387E-2</v>
      </c>
      <c r="QZ37" s="363">
        <f t="shared" ca="1" si="423"/>
        <v>2.1984189400652832E-2</v>
      </c>
      <c r="RA37" s="363">
        <f t="shared" ca="1" si="423"/>
        <v>1.4968120395384851E-2</v>
      </c>
      <c r="RB37" s="363">
        <f t="shared" ca="1" si="423"/>
        <v>2.3673898300317298E-2</v>
      </c>
      <c r="RC37" s="363">
        <f t="shared" ca="1" si="423"/>
        <v>2.2926288117701921E-2</v>
      </c>
      <c r="RD37" s="363">
        <f t="shared" ca="1" si="423"/>
        <v>2.2139229910060121E-2</v>
      </c>
      <c r="RE37" s="363">
        <f t="shared" ca="1" si="423"/>
        <v>2.1717373880018528E-2</v>
      </c>
      <c r="RF37" s="363">
        <f t="shared" ca="1" si="423"/>
        <v>2.3493463793231029E-2</v>
      </c>
      <c r="RG37" s="363">
        <f t="shared" ca="1" si="423"/>
        <v>2.5608085114659285E-2</v>
      </c>
      <c r="RH37" s="363">
        <f t="shared" ca="1" si="423"/>
        <v>2.4673650970309158E-2</v>
      </c>
      <c r="RI37" s="363">
        <f t="shared" ca="1" si="423"/>
        <v>2.3125872827827854E-2</v>
      </c>
      <c r="RJ37" s="363">
        <f t="shared" ref="RJ37:SR37" ca="1" si="424">_xlfn.BETA.INV(RAND(),$I$37,$J$37)</f>
        <v>2.5034243714381788E-2</v>
      </c>
      <c r="RK37" s="363">
        <f t="shared" ca="1" si="424"/>
        <v>1.9221917029599564E-2</v>
      </c>
      <c r="RL37" s="363">
        <f t="shared" ca="1" si="424"/>
        <v>2.324743214493119E-2</v>
      </c>
      <c r="RM37" s="363">
        <f t="shared" ca="1" si="424"/>
        <v>2.2008926278285323E-2</v>
      </c>
      <c r="RN37" s="363">
        <f t="shared" ca="1" si="424"/>
        <v>2.3285157413799884E-2</v>
      </c>
      <c r="RO37" s="363">
        <f t="shared" ca="1" si="424"/>
        <v>2.1015016992275724E-2</v>
      </c>
      <c r="RP37" s="363">
        <f t="shared" ca="1" si="424"/>
        <v>2.2901628922407657E-2</v>
      </c>
      <c r="RQ37" s="363">
        <f t="shared" ca="1" si="424"/>
        <v>2.1783351187879784E-2</v>
      </c>
      <c r="RR37" s="363">
        <f t="shared" ca="1" si="424"/>
        <v>2.3638155147540751E-2</v>
      </c>
      <c r="RS37" s="363">
        <f t="shared" ca="1" si="424"/>
        <v>2.1648574605201056E-2</v>
      </c>
      <c r="RT37" s="363">
        <f t="shared" ca="1" si="424"/>
        <v>2.5139622806261364E-2</v>
      </c>
      <c r="RU37" s="363">
        <f t="shared" ca="1" si="424"/>
        <v>2.2543121171861635E-2</v>
      </c>
      <c r="RV37" s="363">
        <f t="shared" ca="1" si="424"/>
        <v>1.9284553561624847E-2</v>
      </c>
      <c r="RW37" s="363">
        <f t="shared" ca="1" si="424"/>
        <v>2.0894477384853328E-2</v>
      </c>
      <c r="RX37" s="363">
        <f t="shared" ca="1" si="424"/>
        <v>2.1184354642768338E-2</v>
      </c>
      <c r="RY37" s="363">
        <f t="shared" ca="1" si="424"/>
        <v>1.8102759786437519E-2</v>
      </c>
      <c r="RZ37" s="363">
        <f t="shared" ca="1" si="424"/>
        <v>2.7651938770284046E-2</v>
      </c>
      <c r="SA37" s="363">
        <f t="shared" ca="1" si="424"/>
        <v>2.491115218508444E-2</v>
      </c>
      <c r="SB37" s="363">
        <f t="shared" ca="1" si="424"/>
        <v>2.0962694712190148E-2</v>
      </c>
      <c r="SC37" s="363">
        <f t="shared" ca="1" si="424"/>
        <v>2.5046339750949054E-2</v>
      </c>
      <c r="SD37" s="363">
        <f t="shared" ca="1" si="424"/>
        <v>2.3093342750521884E-2</v>
      </c>
      <c r="SE37" s="363">
        <f t="shared" ca="1" si="424"/>
        <v>2.4464162358685093E-2</v>
      </c>
      <c r="SF37" s="363">
        <f t="shared" ca="1" si="424"/>
        <v>1.9913811099654965E-2</v>
      </c>
      <c r="SG37" s="363">
        <f t="shared" ca="1" si="424"/>
        <v>2.5154198233640068E-2</v>
      </c>
      <c r="SH37" s="363">
        <f t="shared" ca="1" si="424"/>
        <v>2.4268095339305296E-2</v>
      </c>
      <c r="SI37" s="363">
        <f t="shared" ca="1" si="424"/>
        <v>2.3626627705519709E-2</v>
      </c>
      <c r="SJ37" s="363">
        <f t="shared" ca="1" si="424"/>
        <v>2.3728955863151713E-2</v>
      </c>
      <c r="SK37" s="363">
        <f t="shared" ca="1" si="424"/>
        <v>2.1668670847702586E-2</v>
      </c>
      <c r="SL37" s="363">
        <f t="shared" ca="1" si="424"/>
        <v>1.9552634754554276E-2</v>
      </c>
      <c r="SM37" s="363">
        <f t="shared" ca="1" si="424"/>
        <v>2.2115375758408939E-2</v>
      </c>
      <c r="SN37" s="363">
        <f t="shared" ca="1" si="424"/>
        <v>2.2437902891995098E-2</v>
      </c>
      <c r="SO37" s="363">
        <f t="shared" ca="1" si="424"/>
        <v>2.0216871927207159E-2</v>
      </c>
      <c r="SP37" s="363">
        <f t="shared" ca="1" si="424"/>
        <v>2.0121327840346624E-2</v>
      </c>
      <c r="SQ37" s="363">
        <f t="shared" ca="1" si="424"/>
        <v>2.0261037027241139E-2</v>
      </c>
      <c r="SR37" s="363">
        <f t="shared" ca="1" si="424"/>
        <v>2.3127272251339925E-2</v>
      </c>
      <c r="SS37" s="363">
        <f ca="1">_xlfn.BETA.INV(RAND(),$I$37,$J$37)</f>
        <v>2.2943904334366549E-2</v>
      </c>
      <c r="ST37" s="363">
        <f t="shared" ref="ST37:VE37" ca="1" si="425">_xlfn.BETA.INV(RAND(),$I$37,$J$37)</f>
        <v>2.1524931454961121E-2</v>
      </c>
      <c r="SU37" s="363">
        <f t="shared" ca="1" si="425"/>
        <v>2.2764586268965714E-2</v>
      </c>
      <c r="SV37" s="363">
        <f t="shared" ca="1" si="425"/>
        <v>2.4580346530808317E-2</v>
      </c>
      <c r="SW37" s="363">
        <f t="shared" ca="1" si="425"/>
        <v>1.8665978004667943E-2</v>
      </c>
      <c r="SX37" s="363">
        <f t="shared" ca="1" si="425"/>
        <v>2.1602471442945678E-2</v>
      </c>
      <c r="SY37" s="363">
        <f t="shared" ca="1" si="425"/>
        <v>2.4136661088580924E-2</v>
      </c>
      <c r="SZ37" s="363">
        <f t="shared" ca="1" si="425"/>
        <v>2.5178724007424158E-2</v>
      </c>
      <c r="TA37" s="363">
        <f t="shared" ca="1" si="425"/>
        <v>2.0520195054290719E-2</v>
      </c>
      <c r="TB37" s="363">
        <f t="shared" ca="1" si="425"/>
        <v>2.1533535554960539E-2</v>
      </c>
      <c r="TC37" s="363">
        <f t="shared" ca="1" si="425"/>
        <v>2.0783369018558026E-2</v>
      </c>
      <c r="TD37" s="363">
        <f t="shared" ca="1" si="425"/>
        <v>2.4177760311337892E-2</v>
      </c>
      <c r="TE37" s="363">
        <f t="shared" ca="1" si="425"/>
        <v>1.9560234402977893E-2</v>
      </c>
      <c r="TF37" s="363">
        <f t="shared" ca="1" si="425"/>
        <v>1.8528577706606857E-2</v>
      </c>
      <c r="TG37" s="363">
        <f t="shared" ca="1" si="425"/>
        <v>2.3193263305764322E-2</v>
      </c>
      <c r="TH37" s="363">
        <f t="shared" ca="1" si="425"/>
        <v>1.9540022962307585E-2</v>
      </c>
      <c r="TI37" s="363">
        <f t="shared" ca="1" si="425"/>
        <v>2.6283293591999435E-2</v>
      </c>
      <c r="TJ37" s="363">
        <f t="shared" ca="1" si="425"/>
        <v>2.1001097438662707E-2</v>
      </c>
      <c r="TK37" s="363">
        <f t="shared" ca="1" si="425"/>
        <v>2.3251682858814626E-2</v>
      </c>
      <c r="TL37" s="363">
        <f t="shared" ca="1" si="425"/>
        <v>1.8373001046633329E-2</v>
      </c>
      <c r="TM37" s="363">
        <f t="shared" ca="1" si="425"/>
        <v>2.538185801664028E-2</v>
      </c>
      <c r="TN37" s="363">
        <f t="shared" ca="1" si="425"/>
        <v>2.3036810755692527E-2</v>
      </c>
      <c r="TO37" s="363">
        <f t="shared" ca="1" si="425"/>
        <v>2.6969041871288346E-2</v>
      </c>
      <c r="TP37" s="363">
        <f t="shared" ca="1" si="425"/>
        <v>1.5989628356291693E-2</v>
      </c>
      <c r="TQ37" s="363">
        <f t="shared" ca="1" si="425"/>
        <v>2.2468672491888109E-2</v>
      </c>
      <c r="TR37" s="363">
        <f t="shared" ca="1" si="425"/>
        <v>1.9027224386966732E-2</v>
      </c>
      <c r="TS37" s="363">
        <f t="shared" ca="1" si="425"/>
        <v>2.4667760887464696E-2</v>
      </c>
      <c r="TT37" s="363">
        <f t="shared" ca="1" si="425"/>
        <v>2.1476676297781608E-2</v>
      </c>
      <c r="TU37" s="363">
        <f t="shared" ca="1" si="425"/>
        <v>2.3334642780678205E-2</v>
      </c>
      <c r="TV37" s="363">
        <f t="shared" ca="1" si="425"/>
        <v>1.7687599003088462E-2</v>
      </c>
      <c r="TW37" s="363">
        <f t="shared" ca="1" si="425"/>
        <v>2.1944390537794876E-2</v>
      </c>
      <c r="TX37" s="363">
        <f t="shared" ca="1" si="425"/>
        <v>2.590748469464621E-2</v>
      </c>
      <c r="TY37" s="363">
        <f t="shared" ca="1" si="425"/>
        <v>2.2865745959758987E-2</v>
      </c>
      <c r="TZ37" s="363">
        <f t="shared" ca="1" si="425"/>
        <v>2.6004886150050921E-2</v>
      </c>
      <c r="UA37" s="363">
        <f t="shared" ca="1" si="425"/>
        <v>2.0958912951650616E-2</v>
      </c>
      <c r="UB37" s="363">
        <f t="shared" ca="1" si="425"/>
        <v>2.1295939142780905E-2</v>
      </c>
      <c r="UC37" s="363">
        <f t="shared" ca="1" si="425"/>
        <v>2.0174269997034148E-2</v>
      </c>
      <c r="UD37" s="363">
        <f t="shared" ca="1" si="425"/>
        <v>2.5235524541404208E-2</v>
      </c>
      <c r="UE37" s="363">
        <f t="shared" ca="1" si="425"/>
        <v>2.1795487924066555E-2</v>
      </c>
      <c r="UF37" s="363">
        <f t="shared" ca="1" si="425"/>
        <v>2.5166912386234808E-2</v>
      </c>
      <c r="UG37" s="363">
        <f t="shared" ca="1" si="425"/>
        <v>2.2465634823780833E-2</v>
      </c>
      <c r="UH37" s="363">
        <f t="shared" ca="1" si="425"/>
        <v>2.5222605680343957E-2</v>
      </c>
      <c r="UI37" s="363">
        <f t="shared" ca="1" si="425"/>
        <v>2.0779473949834322E-2</v>
      </c>
      <c r="UJ37" s="363">
        <f t="shared" ca="1" si="425"/>
        <v>2.0586794472189335E-2</v>
      </c>
      <c r="UK37" s="363">
        <f t="shared" ca="1" si="425"/>
        <v>2.0546262340865463E-2</v>
      </c>
      <c r="UL37" s="363">
        <f t="shared" ca="1" si="425"/>
        <v>2.0916746177066712E-2</v>
      </c>
      <c r="UM37" s="363">
        <f t="shared" ca="1" si="425"/>
        <v>2.0692414206235792E-2</v>
      </c>
      <c r="UN37" s="363">
        <f t="shared" ca="1" si="425"/>
        <v>2.05361842137157E-2</v>
      </c>
      <c r="UO37" s="363">
        <f t="shared" ca="1" si="425"/>
        <v>1.8847550051386462E-2</v>
      </c>
      <c r="UP37" s="363">
        <f t="shared" ca="1" si="425"/>
        <v>2.380630119483429E-2</v>
      </c>
      <c r="UQ37" s="363">
        <f t="shared" ca="1" si="425"/>
        <v>2.3536278312540126E-2</v>
      </c>
      <c r="UR37" s="363">
        <f t="shared" ca="1" si="425"/>
        <v>2.0059189640217658E-2</v>
      </c>
      <c r="US37" s="363">
        <f t="shared" ca="1" si="425"/>
        <v>2.0633485918025118E-2</v>
      </c>
      <c r="UT37" s="363">
        <f t="shared" ca="1" si="425"/>
        <v>2.2175125417183472E-2</v>
      </c>
      <c r="UU37" s="363">
        <f t="shared" ca="1" si="425"/>
        <v>2.3060679227655756E-2</v>
      </c>
      <c r="UV37" s="363">
        <f t="shared" ca="1" si="425"/>
        <v>2.2323418957493013E-2</v>
      </c>
      <c r="UW37" s="363">
        <f t="shared" ca="1" si="425"/>
        <v>1.9128197906842788E-2</v>
      </c>
      <c r="UX37" s="363">
        <f t="shared" ca="1" si="425"/>
        <v>1.9390910473220183E-2</v>
      </c>
      <c r="UY37" s="363">
        <f t="shared" ca="1" si="425"/>
        <v>1.9273518878753507E-2</v>
      </c>
      <c r="UZ37" s="363">
        <f t="shared" ca="1" si="425"/>
        <v>2.4429413897301688E-2</v>
      </c>
      <c r="VA37" s="363">
        <f t="shared" ca="1" si="425"/>
        <v>2.4085304124696894E-2</v>
      </c>
      <c r="VB37" s="363">
        <f t="shared" ca="1" si="425"/>
        <v>2.419377401416023E-2</v>
      </c>
      <c r="VC37" s="363">
        <f t="shared" ca="1" si="425"/>
        <v>2.2194022940184244E-2</v>
      </c>
      <c r="VD37" s="363">
        <f t="shared" ca="1" si="425"/>
        <v>1.9907649878832454E-2</v>
      </c>
      <c r="VE37" s="363">
        <f t="shared" ca="1" si="425"/>
        <v>1.8526394728216388E-2</v>
      </c>
      <c r="VF37" s="363">
        <f t="shared" ref="VF37:WN37" ca="1" si="426">_xlfn.BETA.INV(RAND(),$I$37,$J$37)</f>
        <v>2.0230451464183452E-2</v>
      </c>
      <c r="VG37" s="363">
        <f t="shared" ca="1" si="426"/>
        <v>2.0660093158378374E-2</v>
      </c>
      <c r="VH37" s="363">
        <f t="shared" ca="1" si="426"/>
        <v>2.2542441068166386E-2</v>
      </c>
      <c r="VI37" s="363">
        <f t="shared" ca="1" si="426"/>
        <v>2.6771628297768801E-2</v>
      </c>
      <c r="VJ37" s="363">
        <f t="shared" ca="1" si="426"/>
        <v>2.3689826771477462E-2</v>
      </c>
      <c r="VK37" s="363">
        <f t="shared" ca="1" si="426"/>
        <v>2.1045017590032699E-2</v>
      </c>
      <c r="VL37" s="363">
        <f t="shared" ca="1" si="426"/>
        <v>2.272142776097108E-2</v>
      </c>
      <c r="VM37" s="363">
        <f t="shared" ca="1" si="426"/>
        <v>2.2573658499559279E-2</v>
      </c>
      <c r="VN37" s="363">
        <f t="shared" ca="1" si="426"/>
        <v>2.0141868925879134E-2</v>
      </c>
      <c r="VO37" s="363">
        <f t="shared" ca="1" si="426"/>
        <v>2.3294743460405276E-2</v>
      </c>
      <c r="VP37" s="363">
        <f t="shared" ca="1" si="426"/>
        <v>2.4248415667076029E-2</v>
      </c>
      <c r="VQ37" s="363">
        <f t="shared" ca="1" si="426"/>
        <v>2.3580322336262283E-2</v>
      </c>
      <c r="VR37" s="363">
        <f t="shared" ca="1" si="426"/>
        <v>2.1235527528349965E-2</v>
      </c>
      <c r="VS37" s="363">
        <f t="shared" ca="1" si="426"/>
        <v>2.1265703423458366E-2</v>
      </c>
      <c r="VT37" s="363">
        <f t="shared" ca="1" si="426"/>
        <v>2.5911389269663077E-2</v>
      </c>
      <c r="VU37" s="363">
        <f t="shared" ca="1" si="426"/>
        <v>1.9747663917693455E-2</v>
      </c>
      <c r="VV37" s="363">
        <f t="shared" ca="1" si="426"/>
        <v>2.2089868501455667E-2</v>
      </c>
      <c r="VW37" s="363">
        <f t="shared" ca="1" si="426"/>
        <v>2.7089959919654349E-2</v>
      </c>
      <c r="VX37" s="363">
        <f t="shared" ca="1" si="426"/>
        <v>1.9308991487188693E-2</v>
      </c>
      <c r="VY37" s="363">
        <f t="shared" ca="1" si="426"/>
        <v>2.2218571011018762E-2</v>
      </c>
      <c r="VZ37" s="363">
        <f t="shared" ca="1" si="426"/>
        <v>2.5386068913278437E-2</v>
      </c>
      <c r="WA37" s="363">
        <f t="shared" ca="1" si="426"/>
        <v>2.0760358158841117E-2</v>
      </c>
      <c r="WB37" s="363">
        <f t="shared" ca="1" si="426"/>
        <v>2.4472434383786101E-2</v>
      </c>
      <c r="WC37" s="363">
        <f t="shared" ca="1" si="426"/>
        <v>2.7055126101129701E-2</v>
      </c>
      <c r="WD37" s="363">
        <f t="shared" ca="1" si="426"/>
        <v>2.25214961887793E-2</v>
      </c>
      <c r="WE37" s="363">
        <f t="shared" ca="1" si="426"/>
        <v>2.0490168448407297E-2</v>
      </c>
      <c r="WF37" s="363">
        <f t="shared" ca="1" si="426"/>
        <v>2.518372281782788E-2</v>
      </c>
      <c r="WG37" s="363">
        <f t="shared" ca="1" si="426"/>
        <v>1.6874399199066185E-2</v>
      </c>
      <c r="WH37" s="363">
        <f t="shared" ca="1" si="426"/>
        <v>2.032884630549741E-2</v>
      </c>
      <c r="WI37" s="363">
        <f t="shared" ca="1" si="426"/>
        <v>2.175335013378361E-2</v>
      </c>
      <c r="WJ37" s="363">
        <f t="shared" ca="1" si="426"/>
        <v>2.3176795451048671E-2</v>
      </c>
      <c r="WK37" s="363">
        <f t="shared" ca="1" si="426"/>
        <v>2.4872434106267383E-2</v>
      </c>
      <c r="WL37" s="363">
        <f t="shared" ca="1" si="426"/>
        <v>2.3233794914895967E-2</v>
      </c>
      <c r="WM37" s="363">
        <f t="shared" ca="1" si="426"/>
        <v>2.2523691350373465E-2</v>
      </c>
      <c r="WN37" s="363">
        <f t="shared" ca="1" si="426"/>
        <v>2.014443169786569E-2</v>
      </c>
    </row>
    <row r="38" spans="2:612" x14ac:dyDescent="0.15">
      <c r="B38" s="469" t="s">
        <v>1305</v>
      </c>
      <c r="D38" s="363">
        <f t="shared" si="0"/>
        <v>4.2999999999999997E-2</v>
      </c>
      <c r="F38" s="367">
        <f>prob_nevent_to_reinfarc</f>
        <v>4.2999999999999997E-2</v>
      </c>
      <c r="G38" s="367">
        <v>4237</v>
      </c>
      <c r="H38" s="363" t="s">
        <v>350</v>
      </c>
      <c r="I38" s="438">
        <f>F38*G38</f>
        <v>182.19099999999997</v>
      </c>
      <c r="J38" s="438">
        <f>G38-I38</f>
        <v>4054.8090000000002</v>
      </c>
      <c r="K38" s="367" t="s">
        <v>1273</v>
      </c>
      <c r="M38" s="363">
        <f ca="1">_xlfn.BETA.INV(RAND(),$I$38,$J$38)</f>
        <v>4.5431122651360956E-2</v>
      </c>
      <c r="N38" s="363">
        <f t="shared" ref="N38:BY38" ca="1" si="427">_xlfn.BETA.INV(RAND(),$I$38,$J$38)</f>
        <v>3.7543567039503262E-2</v>
      </c>
      <c r="O38" s="363">
        <f t="shared" ca="1" si="427"/>
        <v>3.9132529660987951E-2</v>
      </c>
      <c r="P38" s="363">
        <f t="shared" ca="1" si="427"/>
        <v>4.1923612726095877E-2</v>
      </c>
      <c r="Q38" s="363">
        <f t="shared" ca="1" si="427"/>
        <v>4.8282982761454707E-2</v>
      </c>
      <c r="R38" s="363">
        <f t="shared" ca="1" si="427"/>
        <v>4.7680739773381497E-2</v>
      </c>
      <c r="S38" s="363">
        <f t="shared" ca="1" si="427"/>
        <v>4.4235392970024323E-2</v>
      </c>
      <c r="T38" s="363">
        <f t="shared" ca="1" si="427"/>
        <v>4.5537924616181003E-2</v>
      </c>
      <c r="U38" s="363">
        <f t="shared" ca="1" si="427"/>
        <v>4.4766174178176299E-2</v>
      </c>
      <c r="V38" s="363">
        <f t="shared" ca="1" si="427"/>
        <v>3.7571822316117658E-2</v>
      </c>
      <c r="W38" s="363">
        <f t="shared" ca="1" si="427"/>
        <v>4.4608329140461533E-2</v>
      </c>
      <c r="X38" s="363">
        <f t="shared" ca="1" si="427"/>
        <v>4.4144133551547671E-2</v>
      </c>
      <c r="Y38" s="363">
        <f t="shared" ca="1" si="427"/>
        <v>4.2001001862359326E-2</v>
      </c>
      <c r="Z38" s="363">
        <f t="shared" ca="1" si="427"/>
        <v>3.8955097548274982E-2</v>
      </c>
      <c r="AA38" s="363">
        <f t="shared" ca="1" si="427"/>
        <v>3.7903137307955741E-2</v>
      </c>
      <c r="AB38" s="363">
        <f t="shared" ca="1" si="427"/>
        <v>4.3165483872238619E-2</v>
      </c>
      <c r="AC38" s="363">
        <f t="shared" ca="1" si="427"/>
        <v>3.3385562569973389E-2</v>
      </c>
      <c r="AD38" s="363">
        <f t="shared" ca="1" si="427"/>
        <v>4.6054625209427935E-2</v>
      </c>
      <c r="AE38" s="363">
        <f t="shared" ca="1" si="427"/>
        <v>4.8543260103054209E-2</v>
      </c>
      <c r="AF38" s="363">
        <f t="shared" ca="1" si="427"/>
        <v>4.1015497477848446E-2</v>
      </c>
      <c r="AG38" s="363">
        <f t="shared" ca="1" si="427"/>
        <v>4.2595668816923352E-2</v>
      </c>
      <c r="AH38" s="363">
        <f t="shared" ca="1" si="427"/>
        <v>4.0102033744384952E-2</v>
      </c>
      <c r="AI38" s="363">
        <f t="shared" ca="1" si="427"/>
        <v>4.7032912658495074E-2</v>
      </c>
      <c r="AJ38" s="363">
        <f t="shared" ca="1" si="427"/>
        <v>4.8314367252715429E-2</v>
      </c>
      <c r="AK38" s="363">
        <f t="shared" ca="1" si="427"/>
        <v>4.4260786447992251E-2</v>
      </c>
      <c r="AL38" s="363">
        <f t="shared" ca="1" si="427"/>
        <v>4.4645543964024981E-2</v>
      </c>
      <c r="AM38" s="363">
        <f t="shared" ca="1" si="427"/>
        <v>3.6863288538996355E-2</v>
      </c>
      <c r="AN38" s="363">
        <f t="shared" ca="1" si="427"/>
        <v>4.6452810536436573E-2</v>
      </c>
      <c r="AO38" s="363">
        <f t="shared" ca="1" si="427"/>
        <v>3.6959209558238594E-2</v>
      </c>
      <c r="AP38" s="363">
        <f t="shared" ca="1" si="427"/>
        <v>4.1383975171575743E-2</v>
      </c>
      <c r="AQ38" s="363">
        <f t="shared" ca="1" si="427"/>
        <v>4.1862065359346591E-2</v>
      </c>
      <c r="AR38" s="363">
        <f t="shared" ca="1" si="427"/>
        <v>4.7718964306366574E-2</v>
      </c>
      <c r="AS38" s="363">
        <f t="shared" ca="1" si="427"/>
        <v>4.5294844527467015E-2</v>
      </c>
      <c r="AT38" s="363">
        <f t="shared" ca="1" si="427"/>
        <v>4.6994923613931205E-2</v>
      </c>
      <c r="AU38" s="363">
        <f t="shared" ca="1" si="427"/>
        <v>4.5239935990400881E-2</v>
      </c>
      <c r="AV38" s="363">
        <f t="shared" ca="1" si="427"/>
        <v>4.2338074808910137E-2</v>
      </c>
      <c r="AW38" s="363">
        <f t="shared" ca="1" si="427"/>
        <v>4.1980687121502498E-2</v>
      </c>
      <c r="AX38" s="363">
        <f t="shared" ca="1" si="427"/>
        <v>4.1481671729009441E-2</v>
      </c>
      <c r="AY38" s="363">
        <f t="shared" ca="1" si="427"/>
        <v>4.2378443170029867E-2</v>
      </c>
      <c r="AZ38" s="363">
        <f t="shared" ca="1" si="427"/>
        <v>3.7350531494218665E-2</v>
      </c>
      <c r="BA38" s="363">
        <f t="shared" ca="1" si="427"/>
        <v>4.2228792854851267E-2</v>
      </c>
      <c r="BB38" s="363">
        <f t="shared" ca="1" si="427"/>
        <v>4.446066271288307E-2</v>
      </c>
      <c r="BC38" s="363">
        <f t="shared" ca="1" si="427"/>
        <v>4.5465876033549457E-2</v>
      </c>
      <c r="BD38" s="363">
        <f t="shared" ca="1" si="427"/>
        <v>4.0569364580748425E-2</v>
      </c>
      <c r="BE38" s="363">
        <f t="shared" ca="1" si="427"/>
        <v>3.9665656051772406E-2</v>
      </c>
      <c r="BF38" s="363">
        <f t="shared" ca="1" si="427"/>
        <v>4.8979954066531772E-2</v>
      </c>
      <c r="BG38" s="363">
        <f t="shared" ca="1" si="427"/>
        <v>4.04262142103285E-2</v>
      </c>
      <c r="BH38" s="363">
        <f t="shared" ca="1" si="427"/>
        <v>4.0786496372475528E-2</v>
      </c>
      <c r="BI38" s="363">
        <f t="shared" ca="1" si="427"/>
        <v>3.5586908918491596E-2</v>
      </c>
      <c r="BJ38" s="363">
        <f t="shared" ca="1" si="427"/>
        <v>4.2860698615062739E-2</v>
      </c>
      <c r="BK38" s="363">
        <f t="shared" ca="1" si="427"/>
        <v>4.5100566801070996E-2</v>
      </c>
      <c r="BL38" s="363">
        <f t="shared" ca="1" si="427"/>
        <v>4.5693357643904142E-2</v>
      </c>
      <c r="BM38" s="363">
        <f t="shared" ca="1" si="427"/>
        <v>4.672595093936871E-2</v>
      </c>
      <c r="BN38" s="363">
        <f t="shared" ca="1" si="427"/>
        <v>4.1605733740256827E-2</v>
      </c>
      <c r="BO38" s="363">
        <f t="shared" ca="1" si="427"/>
        <v>3.7255881199150451E-2</v>
      </c>
      <c r="BP38" s="363">
        <f t="shared" ca="1" si="427"/>
        <v>4.6852506091216273E-2</v>
      </c>
      <c r="BQ38" s="363">
        <f t="shared" ca="1" si="427"/>
        <v>4.3825533057930244E-2</v>
      </c>
      <c r="BR38" s="363">
        <f t="shared" ca="1" si="427"/>
        <v>4.3723626883653943E-2</v>
      </c>
      <c r="BS38" s="363">
        <f t="shared" ca="1" si="427"/>
        <v>4.1503551939043669E-2</v>
      </c>
      <c r="BT38" s="363">
        <f t="shared" ca="1" si="427"/>
        <v>4.4494549677691508E-2</v>
      </c>
      <c r="BU38" s="363">
        <f t="shared" ca="1" si="427"/>
        <v>4.1544182555396436E-2</v>
      </c>
      <c r="BV38" s="363">
        <f t="shared" ca="1" si="427"/>
        <v>4.0707375725263929E-2</v>
      </c>
      <c r="BW38" s="363">
        <f t="shared" ca="1" si="427"/>
        <v>3.9004347525751763E-2</v>
      </c>
      <c r="BX38" s="363">
        <f t="shared" ca="1" si="427"/>
        <v>4.3587335360967705E-2</v>
      </c>
      <c r="BY38" s="363">
        <f t="shared" ca="1" si="427"/>
        <v>4.6024119139670638E-2</v>
      </c>
      <c r="BZ38" s="363">
        <f t="shared" ref="BZ38:DH38" ca="1" si="428">_xlfn.BETA.INV(RAND(),$I$38,$J$38)</f>
        <v>3.8800499366879057E-2</v>
      </c>
      <c r="CA38" s="363">
        <f t="shared" ca="1" si="428"/>
        <v>4.1267746523528749E-2</v>
      </c>
      <c r="CB38" s="363">
        <f t="shared" ca="1" si="428"/>
        <v>4.192923150443497E-2</v>
      </c>
      <c r="CC38" s="363">
        <f t="shared" ca="1" si="428"/>
        <v>4.3179542946540139E-2</v>
      </c>
      <c r="CD38" s="363">
        <f t="shared" ca="1" si="428"/>
        <v>4.2566162222993573E-2</v>
      </c>
      <c r="CE38" s="363">
        <f t="shared" ca="1" si="428"/>
        <v>4.7427526776135487E-2</v>
      </c>
      <c r="CF38" s="363">
        <f t="shared" ca="1" si="428"/>
        <v>4.9465125949076594E-2</v>
      </c>
      <c r="CG38" s="363">
        <f t="shared" ca="1" si="428"/>
        <v>4.1035780954684867E-2</v>
      </c>
      <c r="CH38" s="363">
        <f t="shared" ca="1" si="428"/>
        <v>4.3705957080401592E-2</v>
      </c>
      <c r="CI38" s="363">
        <f t="shared" ca="1" si="428"/>
        <v>4.1341471855679809E-2</v>
      </c>
      <c r="CJ38" s="363">
        <f t="shared" ca="1" si="428"/>
        <v>4.3162411776693221E-2</v>
      </c>
      <c r="CK38" s="363">
        <f t="shared" ca="1" si="428"/>
        <v>4.3180440515228957E-2</v>
      </c>
      <c r="CL38" s="363">
        <f t="shared" ca="1" si="428"/>
        <v>4.4700056105009378E-2</v>
      </c>
      <c r="CM38" s="363">
        <f t="shared" ca="1" si="428"/>
        <v>4.6602358526880105E-2</v>
      </c>
      <c r="CN38" s="363">
        <f t="shared" ca="1" si="428"/>
        <v>4.5880046809613217E-2</v>
      </c>
      <c r="CO38" s="363">
        <f t="shared" ca="1" si="428"/>
        <v>4.3254077789321999E-2</v>
      </c>
      <c r="CP38" s="363">
        <f t="shared" ca="1" si="428"/>
        <v>4.3577587990712985E-2</v>
      </c>
      <c r="CQ38" s="363">
        <f t="shared" ca="1" si="428"/>
        <v>4.4612890303152519E-2</v>
      </c>
      <c r="CR38" s="363">
        <f t="shared" ca="1" si="428"/>
        <v>3.8080640407108485E-2</v>
      </c>
      <c r="CS38" s="363">
        <f t="shared" ca="1" si="428"/>
        <v>4.0464809929445365E-2</v>
      </c>
      <c r="CT38" s="363">
        <f t="shared" ca="1" si="428"/>
        <v>4.0561033669109924E-2</v>
      </c>
      <c r="CU38" s="363">
        <f t="shared" ca="1" si="428"/>
        <v>4.04279011616848E-2</v>
      </c>
      <c r="CV38" s="363">
        <f t="shared" ca="1" si="428"/>
        <v>4.2503118800769214E-2</v>
      </c>
      <c r="CW38" s="363">
        <f t="shared" ca="1" si="428"/>
        <v>4.2090713115789616E-2</v>
      </c>
      <c r="CX38" s="363">
        <f t="shared" ca="1" si="428"/>
        <v>4.4631614081166004E-2</v>
      </c>
      <c r="CY38" s="363">
        <f t="shared" ca="1" si="428"/>
        <v>4.2371001138540462E-2</v>
      </c>
      <c r="CZ38" s="363">
        <f t="shared" ca="1" si="428"/>
        <v>4.3755314662707212E-2</v>
      </c>
      <c r="DA38" s="363">
        <f t="shared" ca="1" si="428"/>
        <v>4.3655165091997405E-2</v>
      </c>
      <c r="DB38" s="363">
        <f t="shared" ca="1" si="428"/>
        <v>4.395164798728135E-2</v>
      </c>
      <c r="DC38" s="363">
        <f t="shared" ca="1" si="428"/>
        <v>4.1227461188514926E-2</v>
      </c>
      <c r="DD38" s="363">
        <f t="shared" ca="1" si="428"/>
        <v>3.9684257858737006E-2</v>
      </c>
      <c r="DE38" s="363">
        <f t="shared" ca="1" si="428"/>
        <v>4.2976473681597072E-2</v>
      </c>
      <c r="DF38" s="363">
        <f t="shared" ca="1" si="428"/>
        <v>4.4359728106132756E-2</v>
      </c>
      <c r="DG38" s="363">
        <f t="shared" ca="1" si="428"/>
        <v>4.15104823763199E-2</v>
      </c>
      <c r="DH38" s="363">
        <f t="shared" ca="1" si="428"/>
        <v>4.2989962310698515E-2</v>
      </c>
      <c r="DI38" s="363">
        <f ca="1">_xlfn.BETA.INV(RAND(),$I$38,$J$38)</f>
        <v>3.9704528590218856E-2</v>
      </c>
      <c r="DJ38" s="363">
        <f t="shared" ref="DJ38:FU38" ca="1" si="429">_xlfn.BETA.INV(RAND(),$I$38,$J$38)</f>
        <v>5.0563487832370524E-2</v>
      </c>
      <c r="DK38" s="363">
        <f t="shared" ca="1" si="429"/>
        <v>4.0194420990589695E-2</v>
      </c>
      <c r="DL38" s="363">
        <f t="shared" ca="1" si="429"/>
        <v>3.8995697456599657E-2</v>
      </c>
      <c r="DM38" s="363">
        <f t="shared" ca="1" si="429"/>
        <v>4.2677318152327282E-2</v>
      </c>
      <c r="DN38" s="363">
        <f t="shared" ca="1" si="429"/>
        <v>4.5015288068051218E-2</v>
      </c>
      <c r="DO38" s="363">
        <f t="shared" ca="1" si="429"/>
        <v>4.5050155109131129E-2</v>
      </c>
      <c r="DP38" s="363">
        <f t="shared" ca="1" si="429"/>
        <v>5.2685000764752354E-2</v>
      </c>
      <c r="DQ38" s="363">
        <f t="shared" ca="1" si="429"/>
        <v>4.5031672213508012E-2</v>
      </c>
      <c r="DR38" s="363">
        <f t="shared" ca="1" si="429"/>
        <v>4.4588584845415613E-2</v>
      </c>
      <c r="DS38" s="363">
        <f t="shared" ca="1" si="429"/>
        <v>3.6960479371091474E-2</v>
      </c>
      <c r="DT38" s="363">
        <f t="shared" ca="1" si="429"/>
        <v>4.5424839129619254E-2</v>
      </c>
      <c r="DU38" s="363">
        <f t="shared" ca="1" si="429"/>
        <v>5.0675162949200492E-2</v>
      </c>
      <c r="DV38" s="363">
        <f t="shared" ca="1" si="429"/>
        <v>4.2510544983984974E-2</v>
      </c>
      <c r="DW38" s="363">
        <f t="shared" ca="1" si="429"/>
        <v>4.190129621286607E-2</v>
      </c>
      <c r="DX38" s="363">
        <f t="shared" ca="1" si="429"/>
        <v>4.0779017953595037E-2</v>
      </c>
      <c r="DY38" s="363">
        <f t="shared" ca="1" si="429"/>
        <v>4.0574368606985649E-2</v>
      </c>
      <c r="DZ38" s="363">
        <f t="shared" ca="1" si="429"/>
        <v>3.5771855067054187E-2</v>
      </c>
      <c r="EA38" s="363">
        <f t="shared" ca="1" si="429"/>
        <v>3.9452553022846171E-2</v>
      </c>
      <c r="EB38" s="363">
        <f t="shared" ca="1" si="429"/>
        <v>3.979482307202023E-2</v>
      </c>
      <c r="EC38" s="363">
        <f t="shared" ca="1" si="429"/>
        <v>4.2940305460418715E-2</v>
      </c>
      <c r="ED38" s="363">
        <f t="shared" ca="1" si="429"/>
        <v>3.6909342811471221E-2</v>
      </c>
      <c r="EE38" s="363">
        <f t="shared" ca="1" si="429"/>
        <v>4.583024770294053E-2</v>
      </c>
      <c r="EF38" s="363">
        <f t="shared" ca="1" si="429"/>
        <v>4.0555009248409588E-2</v>
      </c>
      <c r="EG38" s="363">
        <f t="shared" ca="1" si="429"/>
        <v>4.1275495951787831E-2</v>
      </c>
      <c r="EH38" s="363">
        <f t="shared" ca="1" si="429"/>
        <v>5.0565010280467448E-2</v>
      </c>
      <c r="EI38" s="363">
        <f t="shared" ca="1" si="429"/>
        <v>4.975703997786296E-2</v>
      </c>
      <c r="EJ38" s="363">
        <f t="shared" ca="1" si="429"/>
        <v>4.3031809858394832E-2</v>
      </c>
      <c r="EK38" s="363">
        <f t="shared" ca="1" si="429"/>
        <v>4.3134202474404582E-2</v>
      </c>
      <c r="EL38" s="363">
        <f t="shared" ca="1" si="429"/>
        <v>4.1467093511689132E-2</v>
      </c>
      <c r="EM38" s="363">
        <f t="shared" ca="1" si="429"/>
        <v>4.5392571414550664E-2</v>
      </c>
      <c r="EN38" s="363">
        <f t="shared" ca="1" si="429"/>
        <v>3.9980221429948275E-2</v>
      </c>
      <c r="EO38" s="363">
        <f t="shared" ca="1" si="429"/>
        <v>4.7220038843892809E-2</v>
      </c>
      <c r="EP38" s="363">
        <f t="shared" ca="1" si="429"/>
        <v>4.8692550346705388E-2</v>
      </c>
      <c r="EQ38" s="363">
        <f t="shared" ca="1" si="429"/>
        <v>4.0121693969752348E-2</v>
      </c>
      <c r="ER38" s="363">
        <f t="shared" ca="1" si="429"/>
        <v>4.371085392663232E-2</v>
      </c>
      <c r="ES38" s="363">
        <f t="shared" ca="1" si="429"/>
        <v>4.4422746962711535E-2</v>
      </c>
      <c r="ET38" s="363">
        <f t="shared" ca="1" si="429"/>
        <v>4.3436947027650108E-2</v>
      </c>
      <c r="EU38" s="363">
        <f t="shared" ca="1" si="429"/>
        <v>5.0669596367274083E-2</v>
      </c>
      <c r="EV38" s="363">
        <f t="shared" ca="1" si="429"/>
        <v>4.0754607819840666E-2</v>
      </c>
      <c r="EW38" s="363">
        <f t="shared" ca="1" si="429"/>
        <v>4.9858735949213639E-2</v>
      </c>
      <c r="EX38" s="363">
        <f t="shared" ca="1" si="429"/>
        <v>4.5667553889399914E-2</v>
      </c>
      <c r="EY38" s="363">
        <f t="shared" ca="1" si="429"/>
        <v>4.3564186239429703E-2</v>
      </c>
      <c r="EZ38" s="363">
        <f t="shared" ca="1" si="429"/>
        <v>4.0193091320504561E-2</v>
      </c>
      <c r="FA38" s="363">
        <f t="shared" ca="1" si="429"/>
        <v>3.9467889283386251E-2</v>
      </c>
      <c r="FB38" s="363">
        <f t="shared" ca="1" si="429"/>
        <v>4.8155394552793274E-2</v>
      </c>
      <c r="FC38" s="363">
        <f t="shared" ca="1" si="429"/>
        <v>3.9650717249556787E-2</v>
      </c>
      <c r="FD38" s="363">
        <f t="shared" ca="1" si="429"/>
        <v>4.4108221063950959E-2</v>
      </c>
      <c r="FE38" s="363">
        <f t="shared" ca="1" si="429"/>
        <v>4.3669999317362818E-2</v>
      </c>
      <c r="FF38" s="363">
        <f t="shared" ca="1" si="429"/>
        <v>3.9913564541814515E-2</v>
      </c>
      <c r="FG38" s="363">
        <f t="shared" ca="1" si="429"/>
        <v>3.9692815097986653E-2</v>
      </c>
      <c r="FH38" s="363">
        <f t="shared" ca="1" si="429"/>
        <v>4.4250682133770147E-2</v>
      </c>
      <c r="FI38" s="363">
        <f t="shared" ca="1" si="429"/>
        <v>4.2899726943559618E-2</v>
      </c>
      <c r="FJ38" s="363">
        <f t="shared" ca="1" si="429"/>
        <v>4.2252031538635007E-2</v>
      </c>
      <c r="FK38" s="363">
        <f t="shared" ca="1" si="429"/>
        <v>4.8906506537232941E-2</v>
      </c>
      <c r="FL38" s="363">
        <f t="shared" ca="1" si="429"/>
        <v>3.9217274437653861E-2</v>
      </c>
      <c r="FM38" s="363">
        <f t="shared" ca="1" si="429"/>
        <v>5.0672819918732959E-2</v>
      </c>
      <c r="FN38" s="363">
        <f t="shared" ca="1" si="429"/>
        <v>4.1926583884810395E-2</v>
      </c>
      <c r="FO38" s="363">
        <f t="shared" ca="1" si="429"/>
        <v>4.220631295652668E-2</v>
      </c>
      <c r="FP38" s="363">
        <f t="shared" ca="1" si="429"/>
        <v>4.0428194624930448E-2</v>
      </c>
      <c r="FQ38" s="363">
        <f t="shared" ca="1" si="429"/>
        <v>4.1660315489172088E-2</v>
      </c>
      <c r="FR38" s="363">
        <f t="shared" ca="1" si="429"/>
        <v>4.3787783011522197E-2</v>
      </c>
      <c r="FS38" s="363">
        <f t="shared" ca="1" si="429"/>
        <v>4.3212703757500526E-2</v>
      </c>
      <c r="FT38" s="363">
        <f t="shared" ca="1" si="429"/>
        <v>4.3902808391852566E-2</v>
      </c>
      <c r="FU38" s="363">
        <f t="shared" ca="1" si="429"/>
        <v>4.1735857768892722E-2</v>
      </c>
      <c r="FV38" s="363">
        <f t="shared" ref="FV38:HD38" ca="1" si="430">_xlfn.BETA.INV(RAND(),$I$38,$J$38)</f>
        <v>4.167698346383944E-2</v>
      </c>
      <c r="FW38" s="363">
        <f t="shared" ca="1" si="430"/>
        <v>4.2813823652972989E-2</v>
      </c>
      <c r="FX38" s="363">
        <f t="shared" ca="1" si="430"/>
        <v>4.2024734342022377E-2</v>
      </c>
      <c r="FY38" s="363">
        <f t="shared" ca="1" si="430"/>
        <v>4.5329871733113647E-2</v>
      </c>
      <c r="FZ38" s="363">
        <f t="shared" ca="1" si="430"/>
        <v>4.1427379952255254E-2</v>
      </c>
      <c r="GA38" s="363">
        <f t="shared" ca="1" si="430"/>
        <v>4.1688997568658896E-2</v>
      </c>
      <c r="GB38" s="363">
        <f t="shared" ca="1" si="430"/>
        <v>4.8899784515878397E-2</v>
      </c>
      <c r="GC38" s="363">
        <f t="shared" ca="1" si="430"/>
        <v>4.620431844476991E-2</v>
      </c>
      <c r="GD38" s="363">
        <f t="shared" ca="1" si="430"/>
        <v>3.8205125145719394E-2</v>
      </c>
      <c r="GE38" s="363">
        <f t="shared" ca="1" si="430"/>
        <v>4.0937297948451259E-2</v>
      </c>
      <c r="GF38" s="363">
        <f t="shared" ca="1" si="430"/>
        <v>4.3186323754258349E-2</v>
      </c>
      <c r="GG38" s="363">
        <f t="shared" ca="1" si="430"/>
        <v>4.1608681608623493E-2</v>
      </c>
      <c r="GH38" s="363">
        <f t="shared" ca="1" si="430"/>
        <v>4.0268594436648229E-2</v>
      </c>
      <c r="GI38" s="363">
        <f t="shared" ca="1" si="430"/>
        <v>4.4762884573644413E-2</v>
      </c>
      <c r="GJ38" s="363">
        <f t="shared" ca="1" si="430"/>
        <v>4.1714793195148467E-2</v>
      </c>
      <c r="GK38" s="363">
        <f t="shared" ca="1" si="430"/>
        <v>3.655180025094483E-2</v>
      </c>
      <c r="GL38" s="363">
        <f t="shared" ca="1" si="430"/>
        <v>4.2706447570417513E-2</v>
      </c>
      <c r="GM38" s="363">
        <f t="shared" ca="1" si="430"/>
        <v>4.0047127951101991E-2</v>
      </c>
      <c r="GN38" s="363">
        <f t="shared" ca="1" si="430"/>
        <v>3.9544581137563983E-2</v>
      </c>
      <c r="GO38" s="363">
        <f t="shared" ca="1" si="430"/>
        <v>4.5935475190653552E-2</v>
      </c>
      <c r="GP38" s="363">
        <f t="shared" ca="1" si="430"/>
        <v>3.9356514812068671E-2</v>
      </c>
      <c r="GQ38" s="363">
        <f t="shared" ca="1" si="430"/>
        <v>3.7194303038744818E-2</v>
      </c>
      <c r="GR38" s="363">
        <f t="shared" ca="1" si="430"/>
        <v>4.9451850492386873E-2</v>
      </c>
      <c r="GS38" s="363">
        <f t="shared" ca="1" si="430"/>
        <v>3.7900049696865355E-2</v>
      </c>
      <c r="GT38" s="363">
        <f t="shared" ca="1" si="430"/>
        <v>4.0535125637532629E-2</v>
      </c>
      <c r="GU38" s="363">
        <f t="shared" ca="1" si="430"/>
        <v>4.5785572600688718E-2</v>
      </c>
      <c r="GV38" s="363">
        <f t="shared" ca="1" si="430"/>
        <v>5.0230608597373605E-2</v>
      </c>
      <c r="GW38" s="363">
        <f t="shared" ca="1" si="430"/>
        <v>4.3402632115489781E-2</v>
      </c>
      <c r="GX38" s="363">
        <f t="shared" ca="1" si="430"/>
        <v>4.8862925109305899E-2</v>
      </c>
      <c r="GY38" s="363">
        <f t="shared" ca="1" si="430"/>
        <v>4.267617959936932E-2</v>
      </c>
      <c r="GZ38" s="363">
        <f t="shared" ca="1" si="430"/>
        <v>3.9182839473867137E-2</v>
      </c>
      <c r="HA38" s="363">
        <f t="shared" ca="1" si="430"/>
        <v>4.5907049776486963E-2</v>
      </c>
      <c r="HB38" s="363">
        <f t="shared" ca="1" si="430"/>
        <v>4.2453820421105973E-2</v>
      </c>
      <c r="HC38" s="363">
        <f t="shared" ca="1" si="430"/>
        <v>4.1954875529607485E-2</v>
      </c>
      <c r="HD38" s="363">
        <f t="shared" ca="1" si="430"/>
        <v>4.8497176325734137E-2</v>
      </c>
      <c r="HE38" s="363">
        <f ca="1">_xlfn.BETA.INV(RAND(),$I$38,$J$38)</f>
        <v>4.1965625198740024E-2</v>
      </c>
      <c r="HF38" s="363">
        <f t="shared" ref="HF38:JQ38" ca="1" si="431">_xlfn.BETA.INV(RAND(),$I$38,$J$38)</f>
        <v>4.8951238267855635E-2</v>
      </c>
      <c r="HG38" s="363">
        <f t="shared" ca="1" si="431"/>
        <v>4.8357683682482833E-2</v>
      </c>
      <c r="HH38" s="363">
        <f t="shared" ca="1" si="431"/>
        <v>4.6896681827784392E-2</v>
      </c>
      <c r="HI38" s="363">
        <f t="shared" ca="1" si="431"/>
        <v>4.679153732103547E-2</v>
      </c>
      <c r="HJ38" s="363">
        <f t="shared" ca="1" si="431"/>
        <v>4.397741691737711E-2</v>
      </c>
      <c r="HK38" s="363">
        <f t="shared" ca="1" si="431"/>
        <v>4.3065983202611791E-2</v>
      </c>
      <c r="HL38" s="363">
        <f t="shared" ca="1" si="431"/>
        <v>4.3696031878623365E-2</v>
      </c>
      <c r="HM38" s="363">
        <f t="shared" ca="1" si="431"/>
        <v>3.9492555738947617E-2</v>
      </c>
      <c r="HN38" s="363">
        <f t="shared" ca="1" si="431"/>
        <v>4.1810194208733061E-2</v>
      </c>
      <c r="HO38" s="363">
        <f t="shared" ca="1" si="431"/>
        <v>3.9535149433724617E-2</v>
      </c>
      <c r="HP38" s="363">
        <f t="shared" ca="1" si="431"/>
        <v>3.9397934631543841E-2</v>
      </c>
      <c r="HQ38" s="363">
        <f t="shared" ca="1" si="431"/>
        <v>3.877924462764084E-2</v>
      </c>
      <c r="HR38" s="363">
        <f t="shared" ca="1" si="431"/>
        <v>4.2903756848782136E-2</v>
      </c>
      <c r="HS38" s="363">
        <f t="shared" ca="1" si="431"/>
        <v>4.5231486362647844E-2</v>
      </c>
      <c r="HT38" s="363">
        <f t="shared" ca="1" si="431"/>
        <v>4.2373389945263296E-2</v>
      </c>
      <c r="HU38" s="363">
        <f t="shared" ca="1" si="431"/>
        <v>4.0599291978499513E-2</v>
      </c>
      <c r="HV38" s="363">
        <f t="shared" ca="1" si="431"/>
        <v>4.3716789382969079E-2</v>
      </c>
      <c r="HW38" s="363">
        <f t="shared" ca="1" si="431"/>
        <v>4.2786162118663165E-2</v>
      </c>
      <c r="HX38" s="363">
        <f t="shared" ca="1" si="431"/>
        <v>4.7828038209621893E-2</v>
      </c>
      <c r="HY38" s="363">
        <f t="shared" ca="1" si="431"/>
        <v>4.1112336179945683E-2</v>
      </c>
      <c r="HZ38" s="363">
        <f t="shared" ca="1" si="431"/>
        <v>4.4009217332825035E-2</v>
      </c>
      <c r="IA38" s="363">
        <f t="shared" ca="1" si="431"/>
        <v>3.7147102901328111E-2</v>
      </c>
      <c r="IB38" s="363">
        <f t="shared" ca="1" si="431"/>
        <v>3.687518197087588E-2</v>
      </c>
      <c r="IC38" s="363">
        <f t="shared" ca="1" si="431"/>
        <v>4.5695243114608153E-2</v>
      </c>
      <c r="ID38" s="363">
        <f t="shared" ca="1" si="431"/>
        <v>4.145381473009474E-2</v>
      </c>
      <c r="IE38" s="363">
        <f t="shared" ca="1" si="431"/>
        <v>4.704998328464749E-2</v>
      </c>
      <c r="IF38" s="363">
        <f t="shared" ca="1" si="431"/>
        <v>4.7416833781740664E-2</v>
      </c>
      <c r="IG38" s="363">
        <f t="shared" ca="1" si="431"/>
        <v>4.0389303939164324E-2</v>
      </c>
      <c r="IH38" s="363">
        <f t="shared" ca="1" si="431"/>
        <v>4.5642755334084018E-2</v>
      </c>
      <c r="II38" s="363">
        <f t="shared" ca="1" si="431"/>
        <v>3.8225093835279854E-2</v>
      </c>
      <c r="IJ38" s="363">
        <f t="shared" ca="1" si="431"/>
        <v>4.302626451842062E-2</v>
      </c>
      <c r="IK38" s="363">
        <f t="shared" ca="1" si="431"/>
        <v>4.3728988856823636E-2</v>
      </c>
      <c r="IL38" s="363">
        <f t="shared" ca="1" si="431"/>
        <v>4.8333943168256566E-2</v>
      </c>
      <c r="IM38" s="363">
        <f t="shared" ca="1" si="431"/>
        <v>5.0351023532760775E-2</v>
      </c>
      <c r="IN38" s="363">
        <f t="shared" ca="1" si="431"/>
        <v>3.8215251099762322E-2</v>
      </c>
      <c r="IO38" s="363">
        <f t="shared" ca="1" si="431"/>
        <v>4.2742231426528006E-2</v>
      </c>
      <c r="IP38" s="363">
        <f t="shared" ca="1" si="431"/>
        <v>3.6067980822648532E-2</v>
      </c>
      <c r="IQ38" s="363">
        <f t="shared" ca="1" si="431"/>
        <v>4.0282981096031345E-2</v>
      </c>
      <c r="IR38" s="363">
        <f t="shared" ca="1" si="431"/>
        <v>4.5287350661373016E-2</v>
      </c>
      <c r="IS38" s="363">
        <f t="shared" ca="1" si="431"/>
        <v>4.5929380991783231E-2</v>
      </c>
      <c r="IT38" s="363">
        <f t="shared" ca="1" si="431"/>
        <v>4.7159579629672321E-2</v>
      </c>
      <c r="IU38" s="363">
        <f t="shared" ca="1" si="431"/>
        <v>4.3702750090905185E-2</v>
      </c>
      <c r="IV38" s="363">
        <f t="shared" ca="1" si="431"/>
        <v>4.7669270186434076E-2</v>
      </c>
      <c r="IW38" s="363">
        <f t="shared" ca="1" si="431"/>
        <v>4.9156407153940318E-2</v>
      </c>
      <c r="IX38" s="363">
        <f t="shared" ca="1" si="431"/>
        <v>3.9894457253341474E-2</v>
      </c>
      <c r="IY38" s="363">
        <f t="shared" ca="1" si="431"/>
        <v>4.7611466663894486E-2</v>
      </c>
      <c r="IZ38" s="363">
        <f t="shared" ca="1" si="431"/>
        <v>4.4416324034324495E-2</v>
      </c>
      <c r="JA38" s="363">
        <f t="shared" ca="1" si="431"/>
        <v>4.4917428629632217E-2</v>
      </c>
      <c r="JB38" s="363">
        <f t="shared" ca="1" si="431"/>
        <v>4.1625301701830625E-2</v>
      </c>
      <c r="JC38" s="363">
        <f t="shared" ca="1" si="431"/>
        <v>4.6924906596681804E-2</v>
      </c>
      <c r="JD38" s="363">
        <f t="shared" ca="1" si="431"/>
        <v>3.6931362317987521E-2</v>
      </c>
      <c r="JE38" s="363">
        <f t="shared" ca="1" si="431"/>
        <v>4.0581220555368183E-2</v>
      </c>
      <c r="JF38" s="363">
        <f t="shared" ca="1" si="431"/>
        <v>4.3506778133992841E-2</v>
      </c>
      <c r="JG38" s="363">
        <f t="shared" ca="1" si="431"/>
        <v>4.2267990962420884E-2</v>
      </c>
      <c r="JH38" s="363">
        <f t="shared" ca="1" si="431"/>
        <v>4.077881622532073E-2</v>
      </c>
      <c r="JI38" s="363">
        <f t="shared" ca="1" si="431"/>
        <v>4.6755307105438626E-2</v>
      </c>
      <c r="JJ38" s="363">
        <f t="shared" ca="1" si="431"/>
        <v>4.3735988262637804E-2</v>
      </c>
      <c r="JK38" s="363">
        <f t="shared" ca="1" si="431"/>
        <v>4.2479100370232531E-2</v>
      </c>
      <c r="JL38" s="363">
        <f t="shared" ca="1" si="431"/>
        <v>4.0690352216909677E-2</v>
      </c>
      <c r="JM38" s="363">
        <f t="shared" ca="1" si="431"/>
        <v>4.31777642906227E-2</v>
      </c>
      <c r="JN38" s="363">
        <f t="shared" ca="1" si="431"/>
        <v>4.5442203259378533E-2</v>
      </c>
      <c r="JO38" s="363">
        <f t="shared" ca="1" si="431"/>
        <v>4.2036016283204573E-2</v>
      </c>
      <c r="JP38" s="363">
        <f t="shared" ca="1" si="431"/>
        <v>4.0495026274894638E-2</v>
      </c>
      <c r="JQ38" s="363">
        <f t="shared" ca="1" si="431"/>
        <v>4.2116478973939574E-2</v>
      </c>
      <c r="JR38" s="363">
        <f t="shared" ref="JR38:KZ38" ca="1" si="432">_xlfn.BETA.INV(RAND(),$I$38,$J$38)</f>
        <v>4.2589816339580096E-2</v>
      </c>
      <c r="JS38" s="363">
        <f t="shared" ca="1" si="432"/>
        <v>3.9532148070396192E-2</v>
      </c>
      <c r="JT38" s="363">
        <f t="shared" ca="1" si="432"/>
        <v>4.3224141106739333E-2</v>
      </c>
      <c r="JU38" s="363">
        <f t="shared" ca="1" si="432"/>
        <v>4.1793966741013988E-2</v>
      </c>
      <c r="JV38" s="363">
        <f t="shared" ca="1" si="432"/>
        <v>4.0192969331599084E-2</v>
      </c>
      <c r="JW38" s="363">
        <f t="shared" ca="1" si="432"/>
        <v>4.5296451939618287E-2</v>
      </c>
      <c r="JX38" s="363">
        <f t="shared" ca="1" si="432"/>
        <v>4.2034222804556362E-2</v>
      </c>
      <c r="JY38" s="363">
        <f t="shared" ca="1" si="432"/>
        <v>4.1159337934764166E-2</v>
      </c>
      <c r="JZ38" s="363">
        <f t="shared" ca="1" si="432"/>
        <v>4.1399991379855172E-2</v>
      </c>
      <c r="KA38" s="363">
        <f t="shared" ca="1" si="432"/>
        <v>4.3659156048465153E-2</v>
      </c>
      <c r="KB38" s="363">
        <f t="shared" ca="1" si="432"/>
        <v>3.9686405444696912E-2</v>
      </c>
      <c r="KC38" s="363">
        <f t="shared" ca="1" si="432"/>
        <v>3.9399493499032177E-2</v>
      </c>
      <c r="KD38" s="363">
        <f t="shared" ca="1" si="432"/>
        <v>4.213923807535612E-2</v>
      </c>
      <c r="KE38" s="363">
        <f t="shared" ca="1" si="432"/>
        <v>4.6910230083553772E-2</v>
      </c>
      <c r="KF38" s="363">
        <f t="shared" ca="1" si="432"/>
        <v>4.615882974108787E-2</v>
      </c>
      <c r="KG38" s="363">
        <f t="shared" ca="1" si="432"/>
        <v>4.2983615182488499E-2</v>
      </c>
      <c r="KH38" s="363">
        <f t="shared" ca="1" si="432"/>
        <v>4.227010784514524E-2</v>
      </c>
      <c r="KI38" s="363">
        <f t="shared" ca="1" si="432"/>
        <v>4.6323623955886406E-2</v>
      </c>
      <c r="KJ38" s="363">
        <f t="shared" ca="1" si="432"/>
        <v>3.8711298899367245E-2</v>
      </c>
      <c r="KK38" s="363">
        <f t="shared" ca="1" si="432"/>
        <v>3.9683599572600502E-2</v>
      </c>
      <c r="KL38" s="363">
        <f t="shared" ca="1" si="432"/>
        <v>4.2955557456663129E-2</v>
      </c>
      <c r="KM38" s="363">
        <f t="shared" ca="1" si="432"/>
        <v>3.8792854217847193E-2</v>
      </c>
      <c r="KN38" s="363">
        <f t="shared" ca="1" si="432"/>
        <v>4.3097299028991953E-2</v>
      </c>
      <c r="KO38" s="363">
        <f t="shared" ca="1" si="432"/>
        <v>4.3870081696403163E-2</v>
      </c>
      <c r="KP38" s="363">
        <f t="shared" ca="1" si="432"/>
        <v>4.2001175727757196E-2</v>
      </c>
      <c r="KQ38" s="363">
        <f t="shared" ca="1" si="432"/>
        <v>4.2421210143436999E-2</v>
      </c>
      <c r="KR38" s="363">
        <f t="shared" ca="1" si="432"/>
        <v>4.0425211002506074E-2</v>
      </c>
      <c r="KS38" s="363">
        <f t="shared" ca="1" si="432"/>
        <v>3.486360935908199E-2</v>
      </c>
      <c r="KT38" s="363">
        <f t="shared" ca="1" si="432"/>
        <v>4.1339090148494712E-2</v>
      </c>
      <c r="KU38" s="363">
        <f t="shared" ca="1" si="432"/>
        <v>4.8228287643073076E-2</v>
      </c>
      <c r="KV38" s="363">
        <f t="shared" ca="1" si="432"/>
        <v>3.7656943140077392E-2</v>
      </c>
      <c r="KW38" s="363">
        <f t="shared" ca="1" si="432"/>
        <v>4.9512594025439949E-2</v>
      </c>
      <c r="KX38" s="363">
        <f t="shared" ca="1" si="432"/>
        <v>4.435485199846334E-2</v>
      </c>
      <c r="KY38" s="363">
        <f t="shared" ca="1" si="432"/>
        <v>4.3180095140319841E-2</v>
      </c>
      <c r="KZ38" s="363">
        <f t="shared" ca="1" si="432"/>
        <v>4.2464673755411735E-2</v>
      </c>
      <c r="LA38" s="363">
        <f ca="1">_xlfn.BETA.INV(RAND(),$I$38,$J$38)</f>
        <v>4.7133776512999437E-2</v>
      </c>
      <c r="LB38" s="363">
        <f t="shared" ref="LB38:NM38" ca="1" si="433">_xlfn.BETA.INV(RAND(),$I$38,$J$38)</f>
        <v>4.4221279341454145E-2</v>
      </c>
      <c r="LC38" s="363">
        <f t="shared" ca="1" si="433"/>
        <v>4.3787154483543644E-2</v>
      </c>
      <c r="LD38" s="363">
        <f t="shared" ca="1" si="433"/>
        <v>4.468687395256199E-2</v>
      </c>
      <c r="LE38" s="363">
        <f t="shared" ca="1" si="433"/>
        <v>4.4739434445732473E-2</v>
      </c>
      <c r="LF38" s="363">
        <f t="shared" ca="1" si="433"/>
        <v>4.0431388952083404E-2</v>
      </c>
      <c r="LG38" s="363">
        <f t="shared" ca="1" si="433"/>
        <v>3.7437666425758367E-2</v>
      </c>
      <c r="LH38" s="363">
        <f t="shared" ca="1" si="433"/>
        <v>4.0746321969090976E-2</v>
      </c>
      <c r="LI38" s="363">
        <f t="shared" ca="1" si="433"/>
        <v>4.1958678514026973E-2</v>
      </c>
      <c r="LJ38" s="363">
        <f t="shared" ca="1" si="433"/>
        <v>4.7194362841892601E-2</v>
      </c>
      <c r="LK38" s="363">
        <f t="shared" ca="1" si="433"/>
        <v>4.2318144376407199E-2</v>
      </c>
      <c r="LL38" s="363">
        <f t="shared" ca="1" si="433"/>
        <v>4.1909740646877545E-2</v>
      </c>
      <c r="LM38" s="363">
        <f t="shared" ca="1" si="433"/>
        <v>4.5801858526460348E-2</v>
      </c>
      <c r="LN38" s="363">
        <f t="shared" ca="1" si="433"/>
        <v>3.9951276133809915E-2</v>
      </c>
      <c r="LO38" s="363">
        <f t="shared" ca="1" si="433"/>
        <v>4.2022265123896653E-2</v>
      </c>
      <c r="LP38" s="363">
        <f t="shared" ca="1" si="433"/>
        <v>4.2592255809789682E-2</v>
      </c>
      <c r="LQ38" s="363">
        <f t="shared" ca="1" si="433"/>
        <v>4.8750757669008826E-2</v>
      </c>
      <c r="LR38" s="363">
        <f t="shared" ca="1" si="433"/>
        <v>3.993918730308392E-2</v>
      </c>
      <c r="LS38" s="363">
        <f t="shared" ca="1" si="433"/>
        <v>4.6271634343238666E-2</v>
      </c>
      <c r="LT38" s="363">
        <f t="shared" ca="1" si="433"/>
        <v>3.8815048347262016E-2</v>
      </c>
      <c r="LU38" s="363">
        <f t="shared" ca="1" si="433"/>
        <v>5.2284152936502903E-2</v>
      </c>
      <c r="LV38" s="363">
        <f t="shared" ca="1" si="433"/>
        <v>4.0440281594672139E-2</v>
      </c>
      <c r="LW38" s="363">
        <f t="shared" ca="1" si="433"/>
        <v>4.1577227911396203E-2</v>
      </c>
      <c r="LX38" s="363">
        <f t="shared" ca="1" si="433"/>
        <v>3.8384830319146239E-2</v>
      </c>
      <c r="LY38" s="363">
        <f t="shared" ca="1" si="433"/>
        <v>4.2782695646757088E-2</v>
      </c>
      <c r="LZ38" s="363">
        <f t="shared" ca="1" si="433"/>
        <v>4.2821143016419795E-2</v>
      </c>
      <c r="MA38" s="363">
        <f t="shared" ca="1" si="433"/>
        <v>4.1160417265653844E-2</v>
      </c>
      <c r="MB38" s="363">
        <f t="shared" ca="1" si="433"/>
        <v>3.8101035275679783E-2</v>
      </c>
      <c r="MC38" s="363">
        <f t="shared" ca="1" si="433"/>
        <v>4.6571289921493619E-2</v>
      </c>
      <c r="MD38" s="363">
        <f t="shared" ca="1" si="433"/>
        <v>3.8388794041789513E-2</v>
      </c>
      <c r="ME38" s="363">
        <f t="shared" ca="1" si="433"/>
        <v>4.5708284177237268E-2</v>
      </c>
      <c r="MF38" s="363">
        <f t="shared" ca="1" si="433"/>
        <v>4.739737683151457E-2</v>
      </c>
      <c r="MG38" s="363">
        <f t="shared" ca="1" si="433"/>
        <v>4.2774674447858665E-2</v>
      </c>
      <c r="MH38" s="363">
        <f t="shared" ca="1" si="433"/>
        <v>4.4878089897971152E-2</v>
      </c>
      <c r="MI38" s="363">
        <f t="shared" ca="1" si="433"/>
        <v>3.8867190692576971E-2</v>
      </c>
      <c r="MJ38" s="363">
        <f t="shared" ca="1" si="433"/>
        <v>4.6942257512672891E-2</v>
      </c>
      <c r="MK38" s="363">
        <f t="shared" ca="1" si="433"/>
        <v>4.3592497554295617E-2</v>
      </c>
      <c r="ML38" s="363">
        <f t="shared" ca="1" si="433"/>
        <v>4.7003654550365925E-2</v>
      </c>
      <c r="MM38" s="363">
        <f t="shared" ca="1" si="433"/>
        <v>4.1956243294988343E-2</v>
      </c>
      <c r="MN38" s="363">
        <f t="shared" ca="1" si="433"/>
        <v>4.4789300906396212E-2</v>
      </c>
      <c r="MO38" s="363">
        <f t="shared" ca="1" si="433"/>
        <v>3.997927284360208E-2</v>
      </c>
      <c r="MP38" s="363">
        <f t="shared" ca="1" si="433"/>
        <v>3.9747813026291073E-2</v>
      </c>
      <c r="MQ38" s="363">
        <f t="shared" ca="1" si="433"/>
        <v>4.4143276702219181E-2</v>
      </c>
      <c r="MR38" s="363">
        <f t="shared" ca="1" si="433"/>
        <v>4.0468007456550811E-2</v>
      </c>
      <c r="MS38" s="363">
        <f t="shared" ca="1" si="433"/>
        <v>3.6960556032284972E-2</v>
      </c>
      <c r="MT38" s="363">
        <f t="shared" ca="1" si="433"/>
        <v>4.0605124307705021E-2</v>
      </c>
      <c r="MU38" s="363">
        <f t="shared" ca="1" si="433"/>
        <v>3.6126822193325935E-2</v>
      </c>
      <c r="MV38" s="363">
        <f t="shared" ca="1" si="433"/>
        <v>4.202682140125278E-2</v>
      </c>
      <c r="MW38" s="363">
        <f t="shared" ca="1" si="433"/>
        <v>4.8513674452491995E-2</v>
      </c>
      <c r="MX38" s="363">
        <f t="shared" ca="1" si="433"/>
        <v>4.0471346667078252E-2</v>
      </c>
      <c r="MY38" s="363">
        <f t="shared" ca="1" si="433"/>
        <v>4.4202107940456203E-2</v>
      </c>
      <c r="MZ38" s="363">
        <f t="shared" ca="1" si="433"/>
        <v>4.2774914931449665E-2</v>
      </c>
      <c r="NA38" s="363">
        <f t="shared" ca="1" si="433"/>
        <v>4.0608516309572164E-2</v>
      </c>
      <c r="NB38" s="363">
        <f t="shared" ca="1" si="433"/>
        <v>4.7462713863815731E-2</v>
      </c>
      <c r="NC38" s="363">
        <f t="shared" ca="1" si="433"/>
        <v>4.1036711852379879E-2</v>
      </c>
      <c r="ND38" s="363">
        <f t="shared" ca="1" si="433"/>
        <v>4.5099069143263115E-2</v>
      </c>
      <c r="NE38" s="363">
        <f t="shared" ca="1" si="433"/>
        <v>4.865654975493805E-2</v>
      </c>
      <c r="NF38" s="363">
        <f t="shared" ca="1" si="433"/>
        <v>4.2979154957412669E-2</v>
      </c>
      <c r="NG38" s="363">
        <f t="shared" ca="1" si="433"/>
        <v>4.0204834322045122E-2</v>
      </c>
      <c r="NH38" s="363">
        <f t="shared" ca="1" si="433"/>
        <v>4.3883697005643874E-2</v>
      </c>
      <c r="NI38" s="363">
        <f t="shared" ca="1" si="433"/>
        <v>4.1368283099730209E-2</v>
      </c>
      <c r="NJ38" s="363">
        <f t="shared" ca="1" si="433"/>
        <v>4.2998668809093532E-2</v>
      </c>
      <c r="NK38" s="363">
        <f t="shared" ca="1" si="433"/>
        <v>4.7705828402460959E-2</v>
      </c>
      <c r="NL38" s="363">
        <f t="shared" ca="1" si="433"/>
        <v>4.2414852348035409E-2</v>
      </c>
      <c r="NM38" s="363">
        <f t="shared" ca="1" si="433"/>
        <v>4.429569653839649E-2</v>
      </c>
      <c r="NN38" s="363">
        <f t="shared" ref="NN38:OV38" ca="1" si="434">_xlfn.BETA.INV(RAND(),$I$38,$J$38)</f>
        <v>3.7444652808939931E-2</v>
      </c>
      <c r="NO38" s="363">
        <f t="shared" ca="1" si="434"/>
        <v>3.9042407250669757E-2</v>
      </c>
      <c r="NP38" s="363">
        <f t="shared" ca="1" si="434"/>
        <v>4.4148935070600581E-2</v>
      </c>
      <c r="NQ38" s="363">
        <f t="shared" ca="1" si="434"/>
        <v>4.9308668575121617E-2</v>
      </c>
      <c r="NR38" s="363">
        <f t="shared" ca="1" si="434"/>
        <v>4.3494738717949621E-2</v>
      </c>
      <c r="NS38" s="363">
        <f t="shared" ca="1" si="434"/>
        <v>4.080480109778907E-2</v>
      </c>
      <c r="NT38" s="363">
        <f t="shared" ca="1" si="434"/>
        <v>4.4390481614330013E-2</v>
      </c>
      <c r="NU38" s="363">
        <f t="shared" ca="1" si="434"/>
        <v>4.7379747743918621E-2</v>
      </c>
      <c r="NV38" s="363">
        <f t="shared" ca="1" si="434"/>
        <v>4.3188153514884919E-2</v>
      </c>
      <c r="NW38" s="363">
        <f t="shared" ca="1" si="434"/>
        <v>4.5189983635238851E-2</v>
      </c>
      <c r="NX38" s="363">
        <f t="shared" ca="1" si="434"/>
        <v>4.4382845740366661E-2</v>
      </c>
      <c r="NY38" s="363">
        <f t="shared" ca="1" si="434"/>
        <v>4.4265892917502936E-2</v>
      </c>
      <c r="NZ38" s="363">
        <f t="shared" ca="1" si="434"/>
        <v>4.2140123981156768E-2</v>
      </c>
      <c r="OA38" s="363">
        <f t="shared" ca="1" si="434"/>
        <v>3.8493614478989739E-2</v>
      </c>
      <c r="OB38" s="363">
        <f t="shared" ca="1" si="434"/>
        <v>4.3477786002204422E-2</v>
      </c>
      <c r="OC38" s="363">
        <f t="shared" ca="1" si="434"/>
        <v>4.3836384902073644E-2</v>
      </c>
      <c r="OD38" s="363">
        <f t="shared" ca="1" si="434"/>
        <v>4.3531342637489256E-2</v>
      </c>
      <c r="OE38" s="363">
        <f t="shared" ca="1" si="434"/>
        <v>4.4752474185974611E-2</v>
      </c>
      <c r="OF38" s="363">
        <f t="shared" ca="1" si="434"/>
        <v>4.2547756225410502E-2</v>
      </c>
      <c r="OG38" s="363">
        <f t="shared" ca="1" si="434"/>
        <v>4.2532697387285393E-2</v>
      </c>
      <c r="OH38" s="363">
        <f t="shared" ca="1" si="434"/>
        <v>4.1685864224171573E-2</v>
      </c>
      <c r="OI38" s="363">
        <f t="shared" ca="1" si="434"/>
        <v>4.4571482252908523E-2</v>
      </c>
      <c r="OJ38" s="363">
        <f t="shared" ca="1" si="434"/>
        <v>4.5076392361109829E-2</v>
      </c>
      <c r="OK38" s="363">
        <f t="shared" ca="1" si="434"/>
        <v>4.465079589992893E-2</v>
      </c>
      <c r="OL38" s="363">
        <f t="shared" ca="1" si="434"/>
        <v>4.418871440917238E-2</v>
      </c>
      <c r="OM38" s="363">
        <f t="shared" ca="1" si="434"/>
        <v>4.9203796928844912E-2</v>
      </c>
      <c r="ON38" s="363">
        <f t="shared" ca="1" si="434"/>
        <v>4.5671904258524965E-2</v>
      </c>
      <c r="OO38" s="363">
        <f t="shared" ca="1" si="434"/>
        <v>4.8881824833811205E-2</v>
      </c>
      <c r="OP38" s="363">
        <f t="shared" ca="1" si="434"/>
        <v>4.3320551476159541E-2</v>
      </c>
      <c r="OQ38" s="363">
        <f t="shared" ca="1" si="434"/>
        <v>3.8776647138674257E-2</v>
      </c>
      <c r="OR38" s="363">
        <f t="shared" ca="1" si="434"/>
        <v>4.4604416846627415E-2</v>
      </c>
      <c r="OS38" s="363">
        <f t="shared" ca="1" si="434"/>
        <v>4.3139324919329813E-2</v>
      </c>
      <c r="OT38" s="363">
        <f t="shared" ca="1" si="434"/>
        <v>4.2275985649129322E-2</v>
      </c>
      <c r="OU38" s="363">
        <f t="shared" ca="1" si="434"/>
        <v>4.0688525916060807E-2</v>
      </c>
      <c r="OV38" s="363">
        <f t="shared" ca="1" si="434"/>
        <v>4.371656052907158E-2</v>
      </c>
      <c r="OW38" s="363">
        <f ca="1">_xlfn.BETA.INV(RAND(),$I$38,$J$38)</f>
        <v>4.3354019997960402E-2</v>
      </c>
      <c r="OX38" s="363">
        <f t="shared" ref="OX38:RI38" ca="1" si="435">_xlfn.BETA.INV(RAND(),$I$38,$J$38)</f>
        <v>4.353365659568087E-2</v>
      </c>
      <c r="OY38" s="363">
        <f t="shared" ca="1" si="435"/>
        <v>4.3557384506082819E-2</v>
      </c>
      <c r="OZ38" s="363">
        <f t="shared" ca="1" si="435"/>
        <v>4.3962172618414064E-2</v>
      </c>
      <c r="PA38" s="363">
        <f t="shared" ca="1" si="435"/>
        <v>3.7170510006353331E-2</v>
      </c>
      <c r="PB38" s="363">
        <f t="shared" ca="1" si="435"/>
        <v>4.308658816327271E-2</v>
      </c>
      <c r="PC38" s="363">
        <f t="shared" ca="1" si="435"/>
        <v>4.2720098003436846E-2</v>
      </c>
      <c r="PD38" s="363">
        <f t="shared" ca="1" si="435"/>
        <v>4.1330371925207637E-2</v>
      </c>
      <c r="PE38" s="363">
        <f t="shared" ca="1" si="435"/>
        <v>4.5410154796023505E-2</v>
      </c>
      <c r="PF38" s="363">
        <f t="shared" ca="1" si="435"/>
        <v>4.4033298550556377E-2</v>
      </c>
      <c r="PG38" s="363">
        <f t="shared" ca="1" si="435"/>
        <v>3.6795421034065572E-2</v>
      </c>
      <c r="PH38" s="363">
        <f t="shared" ca="1" si="435"/>
        <v>4.103050774818575E-2</v>
      </c>
      <c r="PI38" s="363">
        <f t="shared" ca="1" si="435"/>
        <v>5.3452128195912385E-2</v>
      </c>
      <c r="PJ38" s="363">
        <f t="shared" ca="1" si="435"/>
        <v>4.0090649793236351E-2</v>
      </c>
      <c r="PK38" s="363">
        <f t="shared" ca="1" si="435"/>
        <v>3.7433832144433507E-2</v>
      </c>
      <c r="PL38" s="363">
        <f t="shared" ca="1" si="435"/>
        <v>4.2843429359615416E-2</v>
      </c>
      <c r="PM38" s="363">
        <f t="shared" ca="1" si="435"/>
        <v>4.4051964955524325E-2</v>
      </c>
      <c r="PN38" s="363">
        <f t="shared" ca="1" si="435"/>
        <v>3.8116766735667128E-2</v>
      </c>
      <c r="PO38" s="363">
        <f t="shared" ca="1" si="435"/>
        <v>3.9519518935074389E-2</v>
      </c>
      <c r="PP38" s="363">
        <f t="shared" ca="1" si="435"/>
        <v>4.0386393887046512E-2</v>
      </c>
      <c r="PQ38" s="363">
        <f t="shared" ca="1" si="435"/>
        <v>4.4547643002461057E-2</v>
      </c>
      <c r="PR38" s="363">
        <f t="shared" ca="1" si="435"/>
        <v>4.0517103432444621E-2</v>
      </c>
      <c r="PS38" s="363">
        <f t="shared" ca="1" si="435"/>
        <v>4.4859171865003322E-2</v>
      </c>
      <c r="PT38" s="363">
        <f t="shared" ca="1" si="435"/>
        <v>4.7184492128294009E-2</v>
      </c>
      <c r="PU38" s="363">
        <f t="shared" ca="1" si="435"/>
        <v>4.031443586572217E-2</v>
      </c>
      <c r="PV38" s="363">
        <f t="shared" ca="1" si="435"/>
        <v>4.5466125561992587E-2</v>
      </c>
      <c r="PW38" s="363">
        <f t="shared" ca="1" si="435"/>
        <v>4.7789739859005254E-2</v>
      </c>
      <c r="PX38" s="363">
        <f t="shared" ca="1" si="435"/>
        <v>5.0073719771571712E-2</v>
      </c>
      <c r="PY38" s="363">
        <f t="shared" ca="1" si="435"/>
        <v>4.1296884689419278E-2</v>
      </c>
      <c r="PZ38" s="363">
        <f t="shared" ca="1" si="435"/>
        <v>3.6797439942459591E-2</v>
      </c>
      <c r="QA38" s="363">
        <f t="shared" ca="1" si="435"/>
        <v>4.6908921824401206E-2</v>
      </c>
      <c r="QB38" s="363">
        <f t="shared" ca="1" si="435"/>
        <v>4.8871764670865847E-2</v>
      </c>
      <c r="QC38" s="363">
        <f t="shared" ca="1" si="435"/>
        <v>4.5380879864542978E-2</v>
      </c>
      <c r="QD38" s="363">
        <f t="shared" ca="1" si="435"/>
        <v>4.4052066544537305E-2</v>
      </c>
      <c r="QE38" s="363">
        <f t="shared" ca="1" si="435"/>
        <v>4.1779415798958018E-2</v>
      </c>
      <c r="QF38" s="363">
        <f t="shared" ca="1" si="435"/>
        <v>4.3231287840783894E-2</v>
      </c>
      <c r="QG38" s="363">
        <f t="shared" ca="1" si="435"/>
        <v>4.1880591819622802E-2</v>
      </c>
      <c r="QH38" s="363">
        <f t="shared" ca="1" si="435"/>
        <v>4.5240073334915754E-2</v>
      </c>
      <c r="QI38" s="363">
        <f t="shared" ca="1" si="435"/>
        <v>4.6525930458848341E-2</v>
      </c>
      <c r="QJ38" s="363">
        <f t="shared" ca="1" si="435"/>
        <v>4.3452071329719955E-2</v>
      </c>
      <c r="QK38" s="363">
        <f t="shared" ca="1" si="435"/>
        <v>3.9690446752427597E-2</v>
      </c>
      <c r="QL38" s="363">
        <f t="shared" ca="1" si="435"/>
        <v>4.0982287356556325E-2</v>
      </c>
      <c r="QM38" s="363">
        <f t="shared" ca="1" si="435"/>
        <v>4.4390636235405845E-2</v>
      </c>
      <c r="QN38" s="363">
        <f t="shared" ca="1" si="435"/>
        <v>3.5977722239292957E-2</v>
      </c>
      <c r="QO38" s="363">
        <f t="shared" ca="1" si="435"/>
        <v>4.1695641284252967E-2</v>
      </c>
      <c r="QP38" s="363">
        <f t="shared" ca="1" si="435"/>
        <v>4.5600560291130132E-2</v>
      </c>
      <c r="QQ38" s="363">
        <f t="shared" ca="1" si="435"/>
        <v>4.4155394633703771E-2</v>
      </c>
      <c r="QR38" s="363">
        <f t="shared" ca="1" si="435"/>
        <v>4.1196053093684654E-2</v>
      </c>
      <c r="QS38" s="363">
        <f t="shared" ca="1" si="435"/>
        <v>4.4642002980958884E-2</v>
      </c>
      <c r="QT38" s="363">
        <f t="shared" ca="1" si="435"/>
        <v>4.2981533340796019E-2</v>
      </c>
      <c r="QU38" s="363">
        <f t="shared" ca="1" si="435"/>
        <v>4.4523459472399662E-2</v>
      </c>
      <c r="QV38" s="363">
        <f t="shared" ca="1" si="435"/>
        <v>4.2683624365349927E-2</v>
      </c>
      <c r="QW38" s="363">
        <f t="shared" ca="1" si="435"/>
        <v>4.4773539121911621E-2</v>
      </c>
      <c r="QX38" s="363">
        <f t="shared" ca="1" si="435"/>
        <v>4.1193986550798659E-2</v>
      </c>
      <c r="QY38" s="363">
        <f t="shared" ca="1" si="435"/>
        <v>4.1822918083781684E-2</v>
      </c>
      <c r="QZ38" s="363">
        <f t="shared" ca="1" si="435"/>
        <v>4.1715632890172688E-2</v>
      </c>
      <c r="RA38" s="363">
        <f t="shared" ca="1" si="435"/>
        <v>4.8847577753687532E-2</v>
      </c>
      <c r="RB38" s="363">
        <f t="shared" ca="1" si="435"/>
        <v>4.441064658317273E-2</v>
      </c>
      <c r="RC38" s="363">
        <f t="shared" ca="1" si="435"/>
        <v>4.383020479702926E-2</v>
      </c>
      <c r="RD38" s="363">
        <f t="shared" ca="1" si="435"/>
        <v>4.285508941272323E-2</v>
      </c>
      <c r="RE38" s="363">
        <f t="shared" ca="1" si="435"/>
        <v>4.1988162562084222E-2</v>
      </c>
      <c r="RF38" s="363">
        <f t="shared" ca="1" si="435"/>
        <v>4.3909726094922719E-2</v>
      </c>
      <c r="RG38" s="363">
        <f t="shared" ca="1" si="435"/>
        <v>4.65398200662821E-2</v>
      </c>
      <c r="RH38" s="363">
        <f t="shared" ca="1" si="435"/>
        <v>4.0995467646256382E-2</v>
      </c>
      <c r="RI38" s="363">
        <f t="shared" ca="1" si="435"/>
        <v>4.4079701157732187E-2</v>
      </c>
      <c r="RJ38" s="363">
        <f t="shared" ref="RJ38:SR38" ca="1" si="436">_xlfn.BETA.INV(RAND(),$I$38,$J$38)</f>
        <v>4.1948422294053996E-2</v>
      </c>
      <c r="RK38" s="363">
        <f t="shared" ca="1" si="436"/>
        <v>4.0914439663200936E-2</v>
      </c>
      <c r="RL38" s="363">
        <f t="shared" ca="1" si="436"/>
        <v>4.4635630452881658E-2</v>
      </c>
      <c r="RM38" s="363">
        <f t="shared" ca="1" si="436"/>
        <v>4.3823649780861618E-2</v>
      </c>
      <c r="RN38" s="363">
        <f t="shared" ca="1" si="436"/>
        <v>4.204890794516402E-2</v>
      </c>
      <c r="RO38" s="363">
        <f t="shared" ca="1" si="436"/>
        <v>4.6955088911414311E-2</v>
      </c>
      <c r="RP38" s="363">
        <f t="shared" ca="1" si="436"/>
        <v>4.2802235453760419E-2</v>
      </c>
      <c r="RQ38" s="363">
        <f t="shared" ca="1" si="436"/>
        <v>4.4289859780644147E-2</v>
      </c>
      <c r="RR38" s="363">
        <f t="shared" ca="1" si="436"/>
        <v>3.8522042495713824E-2</v>
      </c>
      <c r="RS38" s="363">
        <f t="shared" ca="1" si="436"/>
        <v>4.0256300337911423E-2</v>
      </c>
      <c r="RT38" s="363">
        <f t="shared" ca="1" si="436"/>
        <v>4.3089438423904558E-2</v>
      </c>
      <c r="RU38" s="363">
        <f t="shared" ca="1" si="436"/>
        <v>4.7224115791884236E-2</v>
      </c>
      <c r="RV38" s="363">
        <f t="shared" ca="1" si="436"/>
        <v>4.4684023201308931E-2</v>
      </c>
      <c r="RW38" s="363">
        <f t="shared" ca="1" si="436"/>
        <v>3.5650710404964273E-2</v>
      </c>
      <c r="RX38" s="363">
        <f t="shared" ca="1" si="436"/>
        <v>4.3603482904392421E-2</v>
      </c>
      <c r="RY38" s="363">
        <f t="shared" ca="1" si="436"/>
        <v>3.8880255166223558E-2</v>
      </c>
      <c r="RZ38" s="363">
        <f t="shared" ca="1" si="436"/>
        <v>4.6350571446368116E-2</v>
      </c>
      <c r="SA38" s="363">
        <f t="shared" ca="1" si="436"/>
        <v>4.0004300935200229E-2</v>
      </c>
      <c r="SB38" s="363">
        <f t="shared" ca="1" si="436"/>
        <v>4.7628539859870922E-2</v>
      </c>
      <c r="SC38" s="363">
        <f t="shared" ca="1" si="436"/>
        <v>4.3258802056524437E-2</v>
      </c>
      <c r="SD38" s="363">
        <f t="shared" ca="1" si="436"/>
        <v>4.2610302293072735E-2</v>
      </c>
      <c r="SE38" s="363">
        <f t="shared" ca="1" si="436"/>
        <v>3.8037047000744131E-2</v>
      </c>
      <c r="SF38" s="363">
        <f t="shared" ca="1" si="436"/>
        <v>4.3078220051517513E-2</v>
      </c>
      <c r="SG38" s="363">
        <f t="shared" ca="1" si="436"/>
        <v>4.0315752266064646E-2</v>
      </c>
      <c r="SH38" s="363">
        <f t="shared" ca="1" si="436"/>
        <v>4.9666474703168317E-2</v>
      </c>
      <c r="SI38" s="363">
        <f t="shared" ca="1" si="436"/>
        <v>4.1452972992601596E-2</v>
      </c>
      <c r="SJ38" s="363">
        <f t="shared" ca="1" si="436"/>
        <v>4.2219661139667082E-2</v>
      </c>
      <c r="SK38" s="363">
        <f t="shared" ca="1" si="436"/>
        <v>4.7542423351423335E-2</v>
      </c>
      <c r="SL38" s="363">
        <f t="shared" ca="1" si="436"/>
        <v>4.2841885396795877E-2</v>
      </c>
      <c r="SM38" s="363">
        <f t="shared" ca="1" si="436"/>
        <v>3.9866352241819676E-2</v>
      </c>
      <c r="SN38" s="363">
        <f t="shared" ca="1" si="436"/>
        <v>4.4796717454165358E-2</v>
      </c>
      <c r="SO38" s="363">
        <f t="shared" ca="1" si="436"/>
        <v>4.4978846892586688E-2</v>
      </c>
      <c r="SP38" s="363">
        <f t="shared" ca="1" si="436"/>
        <v>4.281519054677304E-2</v>
      </c>
      <c r="SQ38" s="363">
        <f t="shared" ca="1" si="436"/>
        <v>4.2065913083004093E-2</v>
      </c>
      <c r="SR38" s="363">
        <f t="shared" ca="1" si="436"/>
        <v>4.473134686836322E-2</v>
      </c>
      <c r="SS38" s="363">
        <f ca="1">_xlfn.BETA.INV(RAND(),$I$38,$J$38)</f>
        <v>4.6593799553043214E-2</v>
      </c>
      <c r="ST38" s="363">
        <f t="shared" ref="ST38:VE38" ca="1" si="437">_xlfn.BETA.INV(RAND(),$I$38,$J$38)</f>
        <v>4.1668167699249511E-2</v>
      </c>
      <c r="SU38" s="363">
        <f t="shared" ca="1" si="437"/>
        <v>4.3354164588587651E-2</v>
      </c>
      <c r="SV38" s="363">
        <f t="shared" ca="1" si="437"/>
        <v>4.1328680504822968E-2</v>
      </c>
      <c r="SW38" s="363">
        <f t="shared" ca="1" si="437"/>
        <v>4.3668081189841113E-2</v>
      </c>
      <c r="SX38" s="363">
        <f t="shared" ca="1" si="437"/>
        <v>4.511306602997589E-2</v>
      </c>
      <c r="SY38" s="363">
        <f t="shared" ca="1" si="437"/>
        <v>4.4559238168503046E-2</v>
      </c>
      <c r="SZ38" s="363">
        <f t="shared" ca="1" si="437"/>
        <v>3.7588581868259162E-2</v>
      </c>
      <c r="TA38" s="363">
        <f t="shared" ca="1" si="437"/>
        <v>4.0717447735213512E-2</v>
      </c>
      <c r="TB38" s="363">
        <f t="shared" ca="1" si="437"/>
        <v>4.8366546481705797E-2</v>
      </c>
      <c r="TC38" s="363">
        <f t="shared" ca="1" si="437"/>
        <v>4.6119058952984848E-2</v>
      </c>
      <c r="TD38" s="363">
        <f t="shared" ca="1" si="437"/>
        <v>4.5946763284506753E-2</v>
      </c>
      <c r="TE38" s="363">
        <f t="shared" ca="1" si="437"/>
        <v>3.7698160158351181E-2</v>
      </c>
      <c r="TF38" s="363">
        <f t="shared" ca="1" si="437"/>
        <v>4.4242059918057297E-2</v>
      </c>
      <c r="TG38" s="363">
        <f t="shared" ca="1" si="437"/>
        <v>3.9931215696976122E-2</v>
      </c>
      <c r="TH38" s="363">
        <f t="shared" ca="1" si="437"/>
        <v>4.1716955691134816E-2</v>
      </c>
      <c r="TI38" s="363">
        <f t="shared" ca="1" si="437"/>
        <v>3.8044767914453118E-2</v>
      </c>
      <c r="TJ38" s="363">
        <f t="shared" ca="1" si="437"/>
        <v>3.9406981780306632E-2</v>
      </c>
      <c r="TK38" s="363">
        <f t="shared" ca="1" si="437"/>
        <v>4.3880254084503578E-2</v>
      </c>
      <c r="TL38" s="363">
        <f t="shared" ca="1" si="437"/>
        <v>4.3793745483520996E-2</v>
      </c>
      <c r="TM38" s="363">
        <f t="shared" ca="1" si="437"/>
        <v>4.1307445860072227E-2</v>
      </c>
      <c r="TN38" s="363">
        <f t="shared" ca="1" si="437"/>
        <v>4.3115932386509903E-2</v>
      </c>
      <c r="TO38" s="363">
        <f t="shared" ca="1" si="437"/>
        <v>4.4671079030266347E-2</v>
      </c>
      <c r="TP38" s="363">
        <f t="shared" ca="1" si="437"/>
        <v>4.5069646375087813E-2</v>
      </c>
      <c r="TQ38" s="363">
        <f t="shared" ca="1" si="437"/>
        <v>4.4774854104771999E-2</v>
      </c>
      <c r="TR38" s="363">
        <f t="shared" ca="1" si="437"/>
        <v>4.1901380495454818E-2</v>
      </c>
      <c r="TS38" s="363">
        <f t="shared" ca="1" si="437"/>
        <v>4.367143646909033E-2</v>
      </c>
      <c r="TT38" s="363">
        <f t="shared" ca="1" si="437"/>
        <v>3.6745350877791051E-2</v>
      </c>
      <c r="TU38" s="363">
        <f t="shared" ca="1" si="437"/>
        <v>4.1928334816137502E-2</v>
      </c>
      <c r="TV38" s="363">
        <f t="shared" ca="1" si="437"/>
        <v>3.5929605065902932E-2</v>
      </c>
      <c r="TW38" s="363">
        <f t="shared" ca="1" si="437"/>
        <v>4.4739623672053419E-2</v>
      </c>
      <c r="TX38" s="363">
        <f t="shared" ca="1" si="437"/>
        <v>4.127178780768536E-2</v>
      </c>
      <c r="TY38" s="363">
        <f t="shared" ca="1" si="437"/>
        <v>4.8005743127449874E-2</v>
      </c>
      <c r="TZ38" s="363">
        <f t="shared" ca="1" si="437"/>
        <v>3.972154050345969E-2</v>
      </c>
      <c r="UA38" s="363">
        <f t="shared" ca="1" si="437"/>
        <v>4.4228262984281508E-2</v>
      </c>
      <c r="UB38" s="363">
        <f t="shared" ca="1" si="437"/>
        <v>4.5225028169874948E-2</v>
      </c>
      <c r="UC38" s="363">
        <f t="shared" ca="1" si="437"/>
        <v>3.857973170774779E-2</v>
      </c>
      <c r="UD38" s="363">
        <f t="shared" ca="1" si="437"/>
        <v>3.9147936195705793E-2</v>
      </c>
      <c r="UE38" s="363">
        <f t="shared" ca="1" si="437"/>
        <v>4.4794405505391488E-2</v>
      </c>
      <c r="UF38" s="363">
        <f t="shared" ca="1" si="437"/>
        <v>3.7685792579787755E-2</v>
      </c>
      <c r="UG38" s="363">
        <f t="shared" ca="1" si="437"/>
        <v>3.9861324702177778E-2</v>
      </c>
      <c r="UH38" s="363">
        <f t="shared" ca="1" si="437"/>
        <v>4.1078878044833456E-2</v>
      </c>
      <c r="UI38" s="363">
        <f t="shared" ca="1" si="437"/>
        <v>4.5720278942203763E-2</v>
      </c>
      <c r="UJ38" s="363">
        <f t="shared" ca="1" si="437"/>
        <v>4.4813840954354589E-2</v>
      </c>
      <c r="UK38" s="363">
        <f t="shared" ca="1" si="437"/>
        <v>4.754035717941385E-2</v>
      </c>
      <c r="UL38" s="363">
        <f t="shared" ca="1" si="437"/>
        <v>4.1866315239283566E-2</v>
      </c>
      <c r="UM38" s="363">
        <f t="shared" ca="1" si="437"/>
        <v>4.4921108496881579E-2</v>
      </c>
      <c r="UN38" s="363">
        <f t="shared" ca="1" si="437"/>
        <v>4.4603842709274311E-2</v>
      </c>
      <c r="UO38" s="363">
        <f t="shared" ca="1" si="437"/>
        <v>4.3104197377370035E-2</v>
      </c>
      <c r="UP38" s="363">
        <f t="shared" ca="1" si="437"/>
        <v>3.8556353383821428E-2</v>
      </c>
      <c r="UQ38" s="363">
        <f t="shared" ca="1" si="437"/>
        <v>4.243302089631306E-2</v>
      </c>
      <c r="UR38" s="363">
        <f t="shared" ca="1" si="437"/>
        <v>4.4687600481828738E-2</v>
      </c>
      <c r="US38" s="363">
        <f t="shared" ca="1" si="437"/>
        <v>4.3809982246196144E-2</v>
      </c>
      <c r="UT38" s="363">
        <f t="shared" ca="1" si="437"/>
        <v>3.8675734496022421E-2</v>
      </c>
      <c r="UU38" s="363">
        <f t="shared" ca="1" si="437"/>
        <v>3.7584602619942113E-2</v>
      </c>
      <c r="UV38" s="363">
        <f t="shared" ca="1" si="437"/>
        <v>4.1054979997599481E-2</v>
      </c>
      <c r="UW38" s="363">
        <f t="shared" ca="1" si="437"/>
        <v>4.1717720011278908E-2</v>
      </c>
      <c r="UX38" s="363">
        <f t="shared" ca="1" si="437"/>
        <v>4.3152929179570476E-2</v>
      </c>
      <c r="UY38" s="363">
        <f t="shared" ca="1" si="437"/>
        <v>4.3981902127352202E-2</v>
      </c>
      <c r="UZ38" s="363">
        <f t="shared" ca="1" si="437"/>
        <v>4.5243240342212609E-2</v>
      </c>
      <c r="VA38" s="363">
        <f t="shared" ca="1" si="437"/>
        <v>3.941670660308564E-2</v>
      </c>
      <c r="VB38" s="363">
        <f t="shared" ca="1" si="437"/>
        <v>4.5993928904392356E-2</v>
      </c>
      <c r="VC38" s="363">
        <f t="shared" ca="1" si="437"/>
        <v>4.0982170758756341E-2</v>
      </c>
      <c r="VD38" s="363">
        <f t="shared" ca="1" si="437"/>
        <v>4.3456056726287606E-2</v>
      </c>
      <c r="VE38" s="363">
        <f t="shared" ca="1" si="437"/>
        <v>4.7133582766058724E-2</v>
      </c>
      <c r="VF38" s="363">
        <f t="shared" ref="VF38:WN38" ca="1" si="438">_xlfn.BETA.INV(RAND(),$I$38,$J$38)</f>
        <v>4.23779467008615E-2</v>
      </c>
      <c r="VG38" s="363">
        <f t="shared" ca="1" si="438"/>
        <v>4.5091652140335503E-2</v>
      </c>
      <c r="VH38" s="363">
        <f t="shared" ca="1" si="438"/>
        <v>4.1171409497431678E-2</v>
      </c>
      <c r="VI38" s="363">
        <f t="shared" ca="1" si="438"/>
        <v>4.3285451833644073E-2</v>
      </c>
      <c r="VJ38" s="363">
        <f t="shared" ca="1" si="438"/>
        <v>4.5056044447783217E-2</v>
      </c>
      <c r="VK38" s="363">
        <f t="shared" ca="1" si="438"/>
        <v>4.2414112379295675E-2</v>
      </c>
      <c r="VL38" s="363">
        <f t="shared" ca="1" si="438"/>
        <v>4.7391073717339305E-2</v>
      </c>
      <c r="VM38" s="363">
        <f t="shared" ca="1" si="438"/>
        <v>4.4641878942440982E-2</v>
      </c>
      <c r="VN38" s="363">
        <f t="shared" ca="1" si="438"/>
        <v>4.2726325596300074E-2</v>
      </c>
      <c r="VO38" s="363">
        <f t="shared" ca="1" si="438"/>
        <v>4.5132439696109028E-2</v>
      </c>
      <c r="VP38" s="363">
        <f t="shared" ca="1" si="438"/>
        <v>4.4255649479547854E-2</v>
      </c>
      <c r="VQ38" s="363">
        <f t="shared" ca="1" si="438"/>
        <v>4.149082771244323E-2</v>
      </c>
      <c r="VR38" s="363">
        <f t="shared" ca="1" si="438"/>
        <v>4.5301083974757517E-2</v>
      </c>
      <c r="VS38" s="363">
        <f t="shared" ca="1" si="438"/>
        <v>4.0536379939282691E-2</v>
      </c>
      <c r="VT38" s="363">
        <f t="shared" ca="1" si="438"/>
        <v>4.3190157018427211E-2</v>
      </c>
      <c r="VU38" s="363">
        <f t="shared" ca="1" si="438"/>
        <v>4.3585993890951968E-2</v>
      </c>
      <c r="VV38" s="363">
        <f t="shared" ca="1" si="438"/>
        <v>4.3588578755934582E-2</v>
      </c>
      <c r="VW38" s="363">
        <f t="shared" ca="1" si="438"/>
        <v>4.036152347143928E-2</v>
      </c>
      <c r="VX38" s="363">
        <f t="shared" ca="1" si="438"/>
        <v>4.3486091647319869E-2</v>
      </c>
      <c r="VY38" s="363">
        <f t="shared" ca="1" si="438"/>
        <v>4.7666675832334859E-2</v>
      </c>
      <c r="VZ38" s="363">
        <f t="shared" ca="1" si="438"/>
        <v>4.5483564324368286E-2</v>
      </c>
      <c r="WA38" s="363">
        <f t="shared" ca="1" si="438"/>
        <v>4.2462291604492636E-2</v>
      </c>
      <c r="WB38" s="363">
        <f t="shared" ca="1" si="438"/>
        <v>3.9297325073217974E-2</v>
      </c>
      <c r="WC38" s="363">
        <f t="shared" ca="1" si="438"/>
        <v>4.3121937443960312E-2</v>
      </c>
      <c r="WD38" s="363">
        <f t="shared" ca="1" si="438"/>
        <v>3.7517696805644263E-2</v>
      </c>
      <c r="WE38" s="363">
        <f t="shared" ca="1" si="438"/>
        <v>4.4701509326937949E-2</v>
      </c>
      <c r="WF38" s="363">
        <f t="shared" ca="1" si="438"/>
        <v>4.1906956894708018E-2</v>
      </c>
      <c r="WG38" s="363">
        <f t="shared" ca="1" si="438"/>
        <v>4.5490353086643731E-2</v>
      </c>
      <c r="WH38" s="363">
        <f t="shared" ca="1" si="438"/>
        <v>3.765318518428918E-2</v>
      </c>
      <c r="WI38" s="363">
        <f t="shared" ca="1" si="438"/>
        <v>4.0696964983803721E-2</v>
      </c>
      <c r="WJ38" s="363">
        <f t="shared" ca="1" si="438"/>
        <v>4.6166828231570922E-2</v>
      </c>
      <c r="WK38" s="363">
        <f t="shared" ca="1" si="438"/>
        <v>4.2304819762450707E-2</v>
      </c>
      <c r="WL38" s="363">
        <f t="shared" ca="1" si="438"/>
        <v>3.9305204342066608E-2</v>
      </c>
      <c r="WM38" s="363">
        <f t="shared" ca="1" si="438"/>
        <v>4.6922157364940209E-2</v>
      </c>
      <c r="WN38" s="363">
        <f t="shared" ca="1" si="438"/>
        <v>4.600219229429392E-2</v>
      </c>
    </row>
    <row r="39" spans="2:612" x14ac:dyDescent="0.15">
      <c r="B39" s="469" t="s">
        <v>1306</v>
      </c>
      <c r="D39" s="363">
        <f t="shared" si="0"/>
        <v>1.12E-2</v>
      </c>
      <c r="F39" s="363">
        <v>1.12E-2</v>
      </c>
      <c r="G39" s="367">
        <v>4387</v>
      </c>
      <c r="H39" s="363" t="s">
        <v>350</v>
      </c>
      <c r="I39" s="438">
        <f>F39*G39</f>
        <v>49.134399999999999</v>
      </c>
      <c r="J39" s="438">
        <f>G39-I39</f>
        <v>4337.8656000000001</v>
      </c>
      <c r="K39" s="367" t="s">
        <v>1273</v>
      </c>
      <c r="M39" s="363">
        <f ca="1">_xlfn.BETA.INV(RAND(),$I$39,$J$39)</f>
        <v>9.6477948498776729E-3</v>
      </c>
      <c r="N39" s="363">
        <f t="shared" ref="N39:BY39" ca="1" si="439">_xlfn.BETA.INV(RAND(),$I$39,$J$39)</f>
        <v>1.0897622369601045E-2</v>
      </c>
      <c r="O39" s="363">
        <f t="shared" ca="1" si="439"/>
        <v>1.015509062998516E-2</v>
      </c>
      <c r="P39" s="363">
        <f t="shared" ca="1" si="439"/>
        <v>1.5008339759600031E-2</v>
      </c>
      <c r="Q39" s="363">
        <f t="shared" ca="1" si="439"/>
        <v>1.1793725487949991E-2</v>
      </c>
      <c r="R39" s="363">
        <f t="shared" ca="1" si="439"/>
        <v>9.4466700392208183E-3</v>
      </c>
      <c r="S39" s="363">
        <f t="shared" ca="1" si="439"/>
        <v>1.1148191259746421E-2</v>
      </c>
      <c r="T39" s="363">
        <f t="shared" ca="1" si="439"/>
        <v>1.0511609553098491E-2</v>
      </c>
      <c r="U39" s="363">
        <f t="shared" ca="1" si="439"/>
        <v>1.0189872339373358E-2</v>
      </c>
      <c r="V39" s="363">
        <f t="shared" ca="1" si="439"/>
        <v>8.1729716453608804E-3</v>
      </c>
      <c r="W39" s="363">
        <f t="shared" ca="1" si="439"/>
        <v>1.8546857833511732E-2</v>
      </c>
      <c r="X39" s="363">
        <f t="shared" ca="1" si="439"/>
        <v>1.3126339856297964E-2</v>
      </c>
      <c r="Y39" s="363">
        <f t="shared" ca="1" si="439"/>
        <v>9.3315529083811393E-3</v>
      </c>
      <c r="Z39" s="363">
        <f t="shared" ca="1" si="439"/>
        <v>1.2215334881410467E-2</v>
      </c>
      <c r="AA39" s="363">
        <f t="shared" ca="1" si="439"/>
        <v>1.2017091418645709E-2</v>
      </c>
      <c r="AB39" s="363">
        <f t="shared" ca="1" si="439"/>
        <v>1.0746163876014217E-2</v>
      </c>
      <c r="AC39" s="363">
        <f t="shared" ca="1" si="439"/>
        <v>1.2931663088452283E-2</v>
      </c>
      <c r="AD39" s="363">
        <f t="shared" ca="1" si="439"/>
        <v>1.2879005983653324E-2</v>
      </c>
      <c r="AE39" s="363">
        <f t="shared" ca="1" si="439"/>
        <v>7.2605675361416639E-3</v>
      </c>
      <c r="AF39" s="363">
        <f t="shared" ca="1" si="439"/>
        <v>8.34236923103133E-3</v>
      </c>
      <c r="AG39" s="363">
        <f t="shared" ca="1" si="439"/>
        <v>1.0454101597688928E-2</v>
      </c>
      <c r="AH39" s="363">
        <f t="shared" ca="1" si="439"/>
        <v>1.0753932233347693E-2</v>
      </c>
      <c r="AI39" s="363">
        <f t="shared" ca="1" si="439"/>
        <v>1.1606348785339837E-2</v>
      </c>
      <c r="AJ39" s="363">
        <f t="shared" ca="1" si="439"/>
        <v>1.0083489048139173E-2</v>
      </c>
      <c r="AK39" s="363">
        <f t="shared" ca="1" si="439"/>
        <v>9.6745422019929601E-3</v>
      </c>
      <c r="AL39" s="363">
        <f t="shared" ca="1" si="439"/>
        <v>1.3165172175752415E-2</v>
      </c>
      <c r="AM39" s="363">
        <f t="shared" ca="1" si="439"/>
        <v>1.0491964258977401E-2</v>
      </c>
      <c r="AN39" s="363">
        <f t="shared" ca="1" si="439"/>
        <v>1.1603580694264704E-2</v>
      </c>
      <c r="AO39" s="363">
        <f t="shared" ca="1" si="439"/>
        <v>1.3059221391995668E-2</v>
      </c>
      <c r="AP39" s="363">
        <f t="shared" ca="1" si="439"/>
        <v>9.9284933785819349E-3</v>
      </c>
      <c r="AQ39" s="363">
        <f t="shared" ca="1" si="439"/>
        <v>1.3994804348966494E-2</v>
      </c>
      <c r="AR39" s="363">
        <f t="shared" ca="1" si="439"/>
        <v>1.4139975435086827E-2</v>
      </c>
      <c r="AS39" s="363">
        <f t="shared" ca="1" si="439"/>
        <v>1.1495179425781599E-2</v>
      </c>
      <c r="AT39" s="363">
        <f t="shared" ca="1" si="439"/>
        <v>9.6012772494327697E-3</v>
      </c>
      <c r="AU39" s="363">
        <f t="shared" ca="1" si="439"/>
        <v>8.8220729588452413E-3</v>
      </c>
      <c r="AV39" s="363">
        <f t="shared" ca="1" si="439"/>
        <v>1.2119179243344824E-2</v>
      </c>
      <c r="AW39" s="363">
        <f t="shared" ca="1" si="439"/>
        <v>1.133728262382605E-2</v>
      </c>
      <c r="AX39" s="363">
        <f t="shared" ca="1" si="439"/>
        <v>1.1003493765084655E-2</v>
      </c>
      <c r="AY39" s="363">
        <f t="shared" ca="1" si="439"/>
        <v>1.0380597043763354E-2</v>
      </c>
      <c r="AZ39" s="363">
        <f t="shared" ca="1" si="439"/>
        <v>1.1772560559002887E-2</v>
      </c>
      <c r="BA39" s="363">
        <f t="shared" ca="1" si="439"/>
        <v>1.3451183732410832E-2</v>
      </c>
      <c r="BB39" s="363">
        <f t="shared" ca="1" si="439"/>
        <v>1.4729960407266596E-2</v>
      </c>
      <c r="BC39" s="363">
        <f t="shared" ca="1" si="439"/>
        <v>1.1574178941862634E-2</v>
      </c>
      <c r="BD39" s="363">
        <f t="shared" ca="1" si="439"/>
        <v>1.0366625830847912E-2</v>
      </c>
      <c r="BE39" s="363">
        <f t="shared" ca="1" si="439"/>
        <v>1.3452752765293119E-2</v>
      </c>
      <c r="BF39" s="363">
        <f t="shared" ca="1" si="439"/>
        <v>1.1412717592317101E-2</v>
      </c>
      <c r="BG39" s="363">
        <f t="shared" ca="1" si="439"/>
        <v>1.2515162783622191E-2</v>
      </c>
      <c r="BH39" s="363">
        <f t="shared" ca="1" si="439"/>
        <v>1.2852659231863406E-2</v>
      </c>
      <c r="BI39" s="363">
        <f t="shared" ca="1" si="439"/>
        <v>8.8407810111921139E-3</v>
      </c>
      <c r="BJ39" s="363">
        <f t="shared" ca="1" si="439"/>
        <v>1.1725123634914403E-2</v>
      </c>
      <c r="BK39" s="363">
        <f t="shared" ca="1" si="439"/>
        <v>1.1002274262573056E-2</v>
      </c>
      <c r="BL39" s="363">
        <f t="shared" ca="1" si="439"/>
        <v>1.0883769683420381E-2</v>
      </c>
      <c r="BM39" s="363">
        <f t="shared" ca="1" si="439"/>
        <v>1.2238135901765035E-2</v>
      </c>
      <c r="BN39" s="363">
        <f t="shared" ca="1" si="439"/>
        <v>1.2435610531820296E-2</v>
      </c>
      <c r="BO39" s="363">
        <f t="shared" ca="1" si="439"/>
        <v>9.6784001439683184E-3</v>
      </c>
      <c r="BP39" s="363">
        <f t="shared" ca="1" si="439"/>
        <v>1.2601928599880852E-2</v>
      </c>
      <c r="BQ39" s="363">
        <f t="shared" ca="1" si="439"/>
        <v>9.5275384907900704E-3</v>
      </c>
      <c r="BR39" s="363">
        <f t="shared" ca="1" si="439"/>
        <v>9.7729455141719705E-3</v>
      </c>
      <c r="BS39" s="363">
        <f t="shared" ca="1" si="439"/>
        <v>1.0632482723585253E-2</v>
      </c>
      <c r="BT39" s="363">
        <f t="shared" ca="1" si="439"/>
        <v>1.3924562770333604E-2</v>
      </c>
      <c r="BU39" s="363">
        <f t="shared" ca="1" si="439"/>
        <v>1.1207767639951682E-2</v>
      </c>
      <c r="BV39" s="363">
        <f t="shared" ca="1" si="439"/>
        <v>1.0211958440772903E-2</v>
      </c>
      <c r="BW39" s="363">
        <f t="shared" ca="1" si="439"/>
        <v>1.4425764820278464E-2</v>
      </c>
      <c r="BX39" s="363">
        <f t="shared" ca="1" si="439"/>
        <v>1.0313815484123511E-2</v>
      </c>
      <c r="BY39" s="363">
        <f t="shared" ca="1" si="439"/>
        <v>1.1427649700193054E-2</v>
      </c>
      <c r="BZ39" s="363">
        <f t="shared" ref="BZ39:DH39" ca="1" si="440">_xlfn.BETA.INV(RAND(),$I$39,$J$39)</f>
        <v>1.3785014256032957E-2</v>
      </c>
      <c r="CA39" s="363">
        <f t="shared" ca="1" si="440"/>
        <v>1.4231020451267007E-2</v>
      </c>
      <c r="CB39" s="363">
        <f t="shared" ca="1" si="440"/>
        <v>7.2919754672681738E-3</v>
      </c>
      <c r="CC39" s="363">
        <f t="shared" ca="1" si="440"/>
        <v>1.2238256068601627E-2</v>
      </c>
      <c r="CD39" s="363">
        <f t="shared" ca="1" si="440"/>
        <v>1.0785110291524808E-2</v>
      </c>
      <c r="CE39" s="363">
        <f t="shared" ca="1" si="440"/>
        <v>1.2172590759482405E-2</v>
      </c>
      <c r="CF39" s="363">
        <f t="shared" ca="1" si="440"/>
        <v>1.020048656643158E-2</v>
      </c>
      <c r="CG39" s="363">
        <f t="shared" ca="1" si="440"/>
        <v>1.3415132479796976E-2</v>
      </c>
      <c r="CH39" s="363">
        <f t="shared" ca="1" si="440"/>
        <v>8.6835311449174613E-3</v>
      </c>
      <c r="CI39" s="363">
        <f t="shared" ca="1" si="440"/>
        <v>1.1163186282174831E-2</v>
      </c>
      <c r="CJ39" s="363">
        <f t="shared" ca="1" si="440"/>
        <v>8.9839735235659971E-3</v>
      </c>
      <c r="CK39" s="363">
        <f t="shared" ca="1" si="440"/>
        <v>1.0082752643640584E-2</v>
      </c>
      <c r="CL39" s="363">
        <f t="shared" ca="1" si="440"/>
        <v>1.0296856249903546E-2</v>
      </c>
      <c r="CM39" s="363">
        <f t="shared" ca="1" si="440"/>
        <v>1.0966867961703231E-2</v>
      </c>
      <c r="CN39" s="363">
        <f t="shared" ca="1" si="440"/>
        <v>1.1632738101070683E-2</v>
      </c>
      <c r="CO39" s="363">
        <f t="shared" ca="1" si="440"/>
        <v>1.0736679496651016E-2</v>
      </c>
      <c r="CP39" s="363">
        <f t="shared" ca="1" si="440"/>
        <v>1.2973037485025984E-2</v>
      </c>
      <c r="CQ39" s="363">
        <f t="shared" ca="1" si="440"/>
        <v>1.1901214266679783E-2</v>
      </c>
      <c r="CR39" s="363">
        <f t="shared" ca="1" si="440"/>
        <v>9.8752286620147536E-3</v>
      </c>
      <c r="CS39" s="363">
        <f t="shared" ca="1" si="440"/>
        <v>1.0620215581444782E-2</v>
      </c>
      <c r="CT39" s="363">
        <f t="shared" ca="1" si="440"/>
        <v>8.6757061251613986E-3</v>
      </c>
      <c r="CU39" s="363">
        <f t="shared" ca="1" si="440"/>
        <v>8.594248328185089E-3</v>
      </c>
      <c r="CV39" s="363">
        <f t="shared" ca="1" si="440"/>
        <v>1.5066039344656446E-2</v>
      </c>
      <c r="CW39" s="363">
        <f t="shared" ca="1" si="440"/>
        <v>1.05061422021863E-2</v>
      </c>
      <c r="CX39" s="363">
        <f t="shared" ca="1" si="440"/>
        <v>1.2019982540551921E-2</v>
      </c>
      <c r="CY39" s="363">
        <f t="shared" ca="1" si="440"/>
        <v>9.3047468348045111E-3</v>
      </c>
      <c r="CZ39" s="363">
        <f t="shared" ca="1" si="440"/>
        <v>9.8189807322819882E-3</v>
      </c>
      <c r="DA39" s="363">
        <f t="shared" ca="1" si="440"/>
        <v>1.1878967146009112E-2</v>
      </c>
      <c r="DB39" s="363">
        <f t="shared" ca="1" si="440"/>
        <v>1.1426783414620778E-2</v>
      </c>
      <c r="DC39" s="363">
        <f t="shared" ca="1" si="440"/>
        <v>1.2274009094231819E-2</v>
      </c>
      <c r="DD39" s="363">
        <f t="shared" ca="1" si="440"/>
        <v>1.0376622806601923E-2</v>
      </c>
      <c r="DE39" s="363">
        <f t="shared" ca="1" si="440"/>
        <v>1.0487350194251599E-2</v>
      </c>
      <c r="DF39" s="363">
        <f t="shared" ca="1" si="440"/>
        <v>1.2680888927686262E-2</v>
      </c>
      <c r="DG39" s="363">
        <f t="shared" ca="1" si="440"/>
        <v>1.1107839839733505E-2</v>
      </c>
      <c r="DH39" s="363">
        <f t="shared" ca="1" si="440"/>
        <v>1.2625973952365199E-2</v>
      </c>
      <c r="DI39" s="363">
        <f ca="1">_xlfn.BETA.INV(RAND(),$I$39,$J$39)</f>
        <v>1.0322776738111531E-2</v>
      </c>
      <c r="DJ39" s="363">
        <f t="shared" ref="DJ39:FU39" ca="1" si="441">_xlfn.BETA.INV(RAND(),$I$39,$J$39)</f>
        <v>1.0710803633138673E-2</v>
      </c>
      <c r="DK39" s="363">
        <f t="shared" ca="1" si="441"/>
        <v>1.042468089033359E-2</v>
      </c>
      <c r="DL39" s="363">
        <f t="shared" ca="1" si="441"/>
        <v>1.1678266444139718E-2</v>
      </c>
      <c r="DM39" s="363">
        <f t="shared" ca="1" si="441"/>
        <v>1.3127071342181496E-2</v>
      </c>
      <c r="DN39" s="363">
        <f t="shared" ca="1" si="441"/>
        <v>1.0232251139709875E-2</v>
      </c>
      <c r="DO39" s="363">
        <f t="shared" ca="1" si="441"/>
        <v>9.8070104315968812E-3</v>
      </c>
      <c r="DP39" s="363">
        <f t="shared" ca="1" si="441"/>
        <v>1.3350525221752951E-2</v>
      </c>
      <c r="DQ39" s="363">
        <f t="shared" ca="1" si="441"/>
        <v>7.6350747129931536E-3</v>
      </c>
      <c r="DR39" s="363">
        <f t="shared" ca="1" si="441"/>
        <v>1.2486956506629676E-2</v>
      </c>
      <c r="DS39" s="363">
        <f t="shared" ca="1" si="441"/>
        <v>1.2251168806810209E-2</v>
      </c>
      <c r="DT39" s="363">
        <f t="shared" ca="1" si="441"/>
        <v>1.1637618418691043E-2</v>
      </c>
      <c r="DU39" s="363">
        <f t="shared" ca="1" si="441"/>
        <v>1.1984908067992683E-2</v>
      </c>
      <c r="DV39" s="363">
        <f t="shared" ca="1" si="441"/>
        <v>1.2798051165076152E-2</v>
      </c>
      <c r="DW39" s="363">
        <f t="shared" ca="1" si="441"/>
        <v>9.5635373782959453E-3</v>
      </c>
      <c r="DX39" s="363">
        <f t="shared" ca="1" si="441"/>
        <v>9.452886341838147E-3</v>
      </c>
      <c r="DY39" s="363">
        <f t="shared" ca="1" si="441"/>
        <v>1.1256117509528263E-2</v>
      </c>
      <c r="DZ39" s="363">
        <f t="shared" ca="1" si="441"/>
        <v>1.219557735829857E-2</v>
      </c>
      <c r="EA39" s="363">
        <f t="shared" ca="1" si="441"/>
        <v>1.0381571592735429E-2</v>
      </c>
      <c r="EB39" s="363">
        <f t="shared" ca="1" si="441"/>
        <v>1.128349172176113E-2</v>
      </c>
      <c r="EC39" s="363">
        <f t="shared" ca="1" si="441"/>
        <v>1.2057700964815066E-2</v>
      </c>
      <c r="ED39" s="363">
        <f t="shared" ca="1" si="441"/>
        <v>1.2630390072991937E-2</v>
      </c>
      <c r="EE39" s="363">
        <f t="shared" ca="1" si="441"/>
        <v>1.0170857237496054E-2</v>
      </c>
      <c r="EF39" s="363">
        <f t="shared" ca="1" si="441"/>
        <v>1.2548092519903964E-2</v>
      </c>
      <c r="EG39" s="363">
        <f t="shared" ca="1" si="441"/>
        <v>1.0339133999929749E-2</v>
      </c>
      <c r="EH39" s="363">
        <f t="shared" ca="1" si="441"/>
        <v>1.1400324381724114E-2</v>
      </c>
      <c r="EI39" s="363">
        <f t="shared" ca="1" si="441"/>
        <v>1.0027775876420862E-2</v>
      </c>
      <c r="EJ39" s="363">
        <f t="shared" ca="1" si="441"/>
        <v>1.2129282950307352E-2</v>
      </c>
      <c r="EK39" s="363">
        <f t="shared" ca="1" si="441"/>
        <v>1.2685197368781598E-2</v>
      </c>
      <c r="EL39" s="363">
        <f t="shared" ca="1" si="441"/>
        <v>1.100873567481375E-2</v>
      </c>
      <c r="EM39" s="363">
        <f t="shared" ca="1" si="441"/>
        <v>1.3605083974026488E-2</v>
      </c>
      <c r="EN39" s="363">
        <f t="shared" ca="1" si="441"/>
        <v>1.1389454762469886E-2</v>
      </c>
      <c r="EO39" s="363">
        <f t="shared" ca="1" si="441"/>
        <v>1.1826815366852816E-2</v>
      </c>
      <c r="EP39" s="363">
        <f t="shared" ca="1" si="441"/>
        <v>1.2149591306140461E-2</v>
      </c>
      <c r="EQ39" s="363">
        <f t="shared" ca="1" si="441"/>
        <v>1.1496656723512744E-2</v>
      </c>
      <c r="ER39" s="363">
        <f t="shared" ca="1" si="441"/>
        <v>9.0321325073461044E-3</v>
      </c>
      <c r="ES39" s="363">
        <f t="shared" ca="1" si="441"/>
        <v>1.191372670403823E-2</v>
      </c>
      <c r="ET39" s="363">
        <f t="shared" ca="1" si="441"/>
        <v>8.9709012983536507E-3</v>
      </c>
      <c r="EU39" s="363">
        <f t="shared" ca="1" si="441"/>
        <v>8.7707647936381555E-3</v>
      </c>
      <c r="EV39" s="363">
        <f t="shared" ca="1" si="441"/>
        <v>1.0966325293946312E-2</v>
      </c>
      <c r="EW39" s="363">
        <f t="shared" ca="1" si="441"/>
        <v>1.0502940976389846E-2</v>
      </c>
      <c r="EX39" s="363">
        <f t="shared" ca="1" si="441"/>
        <v>1.4139946903266809E-2</v>
      </c>
      <c r="EY39" s="363">
        <f t="shared" ca="1" si="441"/>
        <v>1.2201110067137755E-2</v>
      </c>
      <c r="EZ39" s="363">
        <f t="shared" ca="1" si="441"/>
        <v>1.4189543547228012E-2</v>
      </c>
      <c r="FA39" s="363">
        <f t="shared" ca="1" si="441"/>
        <v>1.079639147218522E-2</v>
      </c>
      <c r="FB39" s="363">
        <f t="shared" ca="1" si="441"/>
        <v>8.9226686986297443E-3</v>
      </c>
      <c r="FC39" s="363">
        <f t="shared" ca="1" si="441"/>
        <v>1.0267911175744444E-2</v>
      </c>
      <c r="FD39" s="363">
        <f t="shared" ca="1" si="441"/>
        <v>1.2186788226538847E-2</v>
      </c>
      <c r="FE39" s="363">
        <f t="shared" ca="1" si="441"/>
        <v>1.1550588484624646E-2</v>
      </c>
      <c r="FF39" s="363">
        <f t="shared" ca="1" si="441"/>
        <v>1.0987100239545024E-2</v>
      </c>
      <c r="FG39" s="363">
        <f t="shared" ca="1" si="441"/>
        <v>1.1885967968342181E-2</v>
      </c>
      <c r="FH39" s="363">
        <f t="shared" ca="1" si="441"/>
        <v>8.5649864701897744E-3</v>
      </c>
      <c r="FI39" s="363">
        <f t="shared" ca="1" si="441"/>
        <v>1.198936005762441E-2</v>
      </c>
      <c r="FJ39" s="363">
        <f t="shared" ca="1" si="441"/>
        <v>8.5029989558385224E-3</v>
      </c>
      <c r="FK39" s="363">
        <f t="shared" ca="1" si="441"/>
        <v>1.0529017006562863E-2</v>
      </c>
      <c r="FL39" s="363">
        <f t="shared" ca="1" si="441"/>
        <v>1.1061172795999025E-2</v>
      </c>
      <c r="FM39" s="363">
        <f t="shared" ca="1" si="441"/>
        <v>1.1624275751238811E-2</v>
      </c>
      <c r="FN39" s="363">
        <f t="shared" ca="1" si="441"/>
        <v>9.8101521313081856E-3</v>
      </c>
      <c r="FO39" s="363">
        <f t="shared" ca="1" si="441"/>
        <v>1.2357559553385911E-2</v>
      </c>
      <c r="FP39" s="363">
        <f t="shared" ca="1" si="441"/>
        <v>1.1140414098897544E-2</v>
      </c>
      <c r="FQ39" s="363">
        <f t="shared" ca="1" si="441"/>
        <v>1.3193364275840835E-2</v>
      </c>
      <c r="FR39" s="363">
        <f t="shared" ca="1" si="441"/>
        <v>1.0581260505397028E-2</v>
      </c>
      <c r="FS39" s="363">
        <f t="shared" ca="1" si="441"/>
        <v>8.9100562685396154E-3</v>
      </c>
      <c r="FT39" s="363">
        <f t="shared" ca="1" si="441"/>
        <v>1.0115050678998878E-2</v>
      </c>
      <c r="FU39" s="363">
        <f t="shared" ca="1" si="441"/>
        <v>1.0649881115941338E-2</v>
      </c>
      <c r="FV39" s="363">
        <f t="shared" ref="FV39:HD39" ca="1" si="442">_xlfn.BETA.INV(RAND(),$I$39,$J$39)</f>
        <v>1.1181672802078713E-2</v>
      </c>
      <c r="FW39" s="363">
        <f t="shared" ca="1" si="442"/>
        <v>1.0442925809179266E-2</v>
      </c>
      <c r="FX39" s="363">
        <f t="shared" ca="1" si="442"/>
        <v>1.0656549784171725E-2</v>
      </c>
      <c r="FY39" s="363">
        <f t="shared" ca="1" si="442"/>
        <v>9.4854366850479974E-3</v>
      </c>
      <c r="FZ39" s="363">
        <f t="shared" ca="1" si="442"/>
        <v>1.1439213393041547E-2</v>
      </c>
      <c r="GA39" s="363">
        <f t="shared" ca="1" si="442"/>
        <v>1.2463571228963688E-2</v>
      </c>
      <c r="GB39" s="363">
        <f t="shared" ca="1" si="442"/>
        <v>9.6382178483074652E-3</v>
      </c>
      <c r="GC39" s="363">
        <f t="shared" ca="1" si="442"/>
        <v>1.0467826298587753E-2</v>
      </c>
      <c r="GD39" s="363">
        <f t="shared" ca="1" si="442"/>
        <v>9.7692120136086413E-3</v>
      </c>
      <c r="GE39" s="363">
        <f t="shared" ca="1" si="442"/>
        <v>1.5051240032585178E-2</v>
      </c>
      <c r="GF39" s="363">
        <f t="shared" ca="1" si="442"/>
        <v>1.1737497376355654E-2</v>
      </c>
      <c r="GG39" s="363">
        <f t="shared" ca="1" si="442"/>
        <v>1.1907846315917903E-2</v>
      </c>
      <c r="GH39" s="363">
        <f t="shared" ca="1" si="442"/>
        <v>1.0873485273947497E-2</v>
      </c>
      <c r="GI39" s="363">
        <f t="shared" ca="1" si="442"/>
        <v>1.19168497052069E-2</v>
      </c>
      <c r="GJ39" s="363">
        <f t="shared" ca="1" si="442"/>
        <v>1.335679331188333E-2</v>
      </c>
      <c r="GK39" s="363">
        <f t="shared" ca="1" si="442"/>
        <v>7.5292589520221049E-3</v>
      </c>
      <c r="GL39" s="363">
        <f t="shared" ca="1" si="442"/>
        <v>1.4688210009731639E-2</v>
      </c>
      <c r="GM39" s="363">
        <f t="shared" ca="1" si="442"/>
        <v>9.1152260029528677E-3</v>
      </c>
      <c r="GN39" s="363">
        <f t="shared" ca="1" si="442"/>
        <v>9.29016654241464E-3</v>
      </c>
      <c r="GO39" s="363">
        <f t="shared" ca="1" si="442"/>
        <v>8.4387078763870516E-3</v>
      </c>
      <c r="GP39" s="363">
        <f t="shared" ca="1" si="442"/>
        <v>1.4392385323740764E-2</v>
      </c>
      <c r="GQ39" s="363">
        <f t="shared" ca="1" si="442"/>
        <v>1.0774828095076348E-2</v>
      </c>
      <c r="GR39" s="363">
        <f t="shared" ca="1" si="442"/>
        <v>1.1596818366677253E-2</v>
      </c>
      <c r="GS39" s="363">
        <f t="shared" ca="1" si="442"/>
        <v>1.0506334758695727E-2</v>
      </c>
      <c r="GT39" s="363">
        <f t="shared" ca="1" si="442"/>
        <v>9.946248763117501E-3</v>
      </c>
      <c r="GU39" s="363">
        <f t="shared" ca="1" si="442"/>
        <v>1.1399291565369118E-2</v>
      </c>
      <c r="GV39" s="363">
        <f t="shared" ca="1" si="442"/>
        <v>1.2086297281776015E-2</v>
      </c>
      <c r="GW39" s="363">
        <f t="shared" ca="1" si="442"/>
        <v>1.165925070783902E-2</v>
      </c>
      <c r="GX39" s="363">
        <f t="shared" ca="1" si="442"/>
        <v>1.2578170983383652E-2</v>
      </c>
      <c r="GY39" s="363">
        <f t="shared" ca="1" si="442"/>
        <v>1.1448766704753366E-2</v>
      </c>
      <c r="GZ39" s="363">
        <f t="shared" ca="1" si="442"/>
        <v>1.407997160940877E-2</v>
      </c>
      <c r="HA39" s="363">
        <f t="shared" ca="1" si="442"/>
        <v>1.0500450504208199E-2</v>
      </c>
      <c r="HB39" s="363">
        <f t="shared" ca="1" si="442"/>
        <v>1.1390246525989078E-2</v>
      </c>
      <c r="HC39" s="363">
        <f t="shared" ca="1" si="442"/>
        <v>9.457269425722524E-3</v>
      </c>
      <c r="HD39" s="363">
        <f t="shared" ca="1" si="442"/>
        <v>1.0615009979303161E-2</v>
      </c>
      <c r="HE39" s="363">
        <f ca="1">_xlfn.BETA.INV(RAND(),$I$39,$J$39)</f>
        <v>1.1828689733462849E-2</v>
      </c>
      <c r="HF39" s="363">
        <f t="shared" ref="HF39:JQ39" ca="1" si="443">_xlfn.BETA.INV(RAND(),$I$39,$J$39)</f>
        <v>1.4595202708524213E-2</v>
      </c>
      <c r="HG39" s="363">
        <f t="shared" ca="1" si="443"/>
        <v>1.2278591941936257E-2</v>
      </c>
      <c r="HH39" s="363">
        <f t="shared" ca="1" si="443"/>
        <v>9.5782888478957145E-3</v>
      </c>
      <c r="HI39" s="363">
        <f t="shared" ca="1" si="443"/>
        <v>1.2112180324797994E-2</v>
      </c>
      <c r="HJ39" s="363">
        <f t="shared" ca="1" si="443"/>
        <v>1.0726465769128434E-2</v>
      </c>
      <c r="HK39" s="363">
        <f t="shared" ca="1" si="443"/>
        <v>1.1790765056537089E-2</v>
      </c>
      <c r="HL39" s="363">
        <f t="shared" ca="1" si="443"/>
        <v>1.2661203565537793E-2</v>
      </c>
      <c r="HM39" s="363">
        <f t="shared" ca="1" si="443"/>
        <v>9.1918664249985398E-3</v>
      </c>
      <c r="HN39" s="363">
        <f t="shared" ca="1" si="443"/>
        <v>1.1662080413328502E-2</v>
      </c>
      <c r="HO39" s="363">
        <f t="shared" ca="1" si="443"/>
        <v>1.0437089337367738E-2</v>
      </c>
      <c r="HP39" s="363">
        <f t="shared" ca="1" si="443"/>
        <v>1.1630373754873857E-2</v>
      </c>
      <c r="HQ39" s="363">
        <f t="shared" ca="1" si="443"/>
        <v>1.1418543076251786E-2</v>
      </c>
      <c r="HR39" s="363">
        <f t="shared" ca="1" si="443"/>
        <v>1.3037900371580036E-2</v>
      </c>
      <c r="HS39" s="363">
        <f t="shared" ca="1" si="443"/>
        <v>1.0239058680159559E-2</v>
      </c>
      <c r="HT39" s="363">
        <f t="shared" ca="1" si="443"/>
        <v>1.2167138463394789E-2</v>
      </c>
      <c r="HU39" s="363">
        <f t="shared" ca="1" si="443"/>
        <v>1.3154142923254231E-2</v>
      </c>
      <c r="HV39" s="363">
        <f t="shared" ca="1" si="443"/>
        <v>1.003767726646403E-2</v>
      </c>
      <c r="HW39" s="363">
        <f t="shared" ca="1" si="443"/>
        <v>1.173879057469629E-2</v>
      </c>
      <c r="HX39" s="363">
        <f t="shared" ca="1" si="443"/>
        <v>1.4912732747856317E-2</v>
      </c>
      <c r="HY39" s="363">
        <f t="shared" ca="1" si="443"/>
        <v>1.2427904100598575E-2</v>
      </c>
      <c r="HZ39" s="363">
        <f t="shared" ca="1" si="443"/>
        <v>1.2024103042205914E-2</v>
      </c>
      <c r="IA39" s="363">
        <f t="shared" ca="1" si="443"/>
        <v>7.6659140616452161E-3</v>
      </c>
      <c r="IB39" s="363">
        <f t="shared" ca="1" si="443"/>
        <v>1.240154144321981E-2</v>
      </c>
      <c r="IC39" s="363">
        <f t="shared" ca="1" si="443"/>
        <v>1.1911239153409081E-2</v>
      </c>
      <c r="ID39" s="363">
        <f t="shared" ca="1" si="443"/>
        <v>1.1899603903365752E-2</v>
      </c>
      <c r="IE39" s="363">
        <f t="shared" ca="1" si="443"/>
        <v>1.0020765910736114E-2</v>
      </c>
      <c r="IF39" s="363">
        <f t="shared" ca="1" si="443"/>
        <v>1.3033811433832199E-2</v>
      </c>
      <c r="IG39" s="363">
        <f t="shared" ca="1" si="443"/>
        <v>1.4487730575322377E-2</v>
      </c>
      <c r="IH39" s="363">
        <f t="shared" ca="1" si="443"/>
        <v>1.0970984581627289E-2</v>
      </c>
      <c r="II39" s="363">
        <f t="shared" ca="1" si="443"/>
        <v>1.5812590040120922E-2</v>
      </c>
      <c r="IJ39" s="363">
        <f t="shared" ca="1" si="443"/>
        <v>1.4305110156986656E-2</v>
      </c>
      <c r="IK39" s="363">
        <f t="shared" ca="1" si="443"/>
        <v>8.1695496086128371E-3</v>
      </c>
      <c r="IL39" s="363">
        <f t="shared" ca="1" si="443"/>
        <v>9.8449554288108036E-3</v>
      </c>
      <c r="IM39" s="363">
        <f t="shared" ca="1" si="443"/>
        <v>1.0002631709737347E-2</v>
      </c>
      <c r="IN39" s="363">
        <f t="shared" ca="1" si="443"/>
        <v>1.2714675927090746E-2</v>
      </c>
      <c r="IO39" s="363">
        <f t="shared" ca="1" si="443"/>
        <v>1.3216377301108251E-2</v>
      </c>
      <c r="IP39" s="363">
        <f t="shared" ca="1" si="443"/>
        <v>1.041119881019247E-2</v>
      </c>
      <c r="IQ39" s="363">
        <f t="shared" ca="1" si="443"/>
        <v>9.8975359602333137E-3</v>
      </c>
      <c r="IR39" s="363">
        <f t="shared" ca="1" si="443"/>
        <v>1.0386840939162255E-2</v>
      </c>
      <c r="IS39" s="363">
        <f t="shared" ca="1" si="443"/>
        <v>1.3645189188470241E-2</v>
      </c>
      <c r="IT39" s="363">
        <f t="shared" ca="1" si="443"/>
        <v>1.2175126385819968E-2</v>
      </c>
      <c r="IU39" s="363">
        <f t="shared" ca="1" si="443"/>
        <v>1.1523643601689559E-2</v>
      </c>
      <c r="IV39" s="363">
        <f t="shared" ca="1" si="443"/>
        <v>1.0595931163617347E-2</v>
      </c>
      <c r="IW39" s="363">
        <f t="shared" ca="1" si="443"/>
        <v>1.0237549581275112E-2</v>
      </c>
      <c r="IX39" s="363">
        <f t="shared" ca="1" si="443"/>
        <v>1.0425309958142216E-2</v>
      </c>
      <c r="IY39" s="363">
        <f t="shared" ca="1" si="443"/>
        <v>1.2230579958206755E-2</v>
      </c>
      <c r="IZ39" s="363">
        <f t="shared" ca="1" si="443"/>
        <v>1.382460518413553E-2</v>
      </c>
      <c r="JA39" s="363">
        <f t="shared" ca="1" si="443"/>
        <v>1.0979993915906773E-2</v>
      </c>
      <c r="JB39" s="363">
        <f t="shared" ca="1" si="443"/>
        <v>1.0076311131043637E-2</v>
      </c>
      <c r="JC39" s="363">
        <f t="shared" ca="1" si="443"/>
        <v>1.2654308874727405E-2</v>
      </c>
      <c r="JD39" s="363">
        <f t="shared" ca="1" si="443"/>
        <v>1.1081181477691862E-2</v>
      </c>
      <c r="JE39" s="363">
        <f t="shared" ca="1" si="443"/>
        <v>8.1133239488734559E-3</v>
      </c>
      <c r="JF39" s="363">
        <f t="shared" ca="1" si="443"/>
        <v>1.1790642832896547E-2</v>
      </c>
      <c r="JG39" s="363">
        <f t="shared" ca="1" si="443"/>
        <v>9.912364845990649E-3</v>
      </c>
      <c r="JH39" s="363">
        <f t="shared" ca="1" si="443"/>
        <v>1.0887090966364938E-2</v>
      </c>
      <c r="JI39" s="363">
        <f t="shared" ca="1" si="443"/>
        <v>9.4821679749297928E-3</v>
      </c>
      <c r="JJ39" s="363">
        <f t="shared" ca="1" si="443"/>
        <v>1.2742960505552015E-2</v>
      </c>
      <c r="JK39" s="363">
        <f t="shared" ca="1" si="443"/>
        <v>1.1702295635280691E-2</v>
      </c>
      <c r="JL39" s="363">
        <f t="shared" ca="1" si="443"/>
        <v>9.2821557269959932E-3</v>
      </c>
      <c r="JM39" s="363">
        <f t="shared" ca="1" si="443"/>
        <v>1.3570297269012488E-2</v>
      </c>
      <c r="JN39" s="363">
        <f t="shared" ca="1" si="443"/>
        <v>1.115472273122009E-2</v>
      </c>
      <c r="JO39" s="363">
        <f t="shared" ca="1" si="443"/>
        <v>1.0426554030310273E-2</v>
      </c>
      <c r="JP39" s="363">
        <f t="shared" ca="1" si="443"/>
        <v>9.7735214554964013E-3</v>
      </c>
      <c r="JQ39" s="363">
        <f t="shared" ca="1" si="443"/>
        <v>1.0676767536373009E-2</v>
      </c>
      <c r="JR39" s="363">
        <f t="shared" ref="JR39:KZ39" ca="1" si="444">_xlfn.BETA.INV(RAND(),$I$39,$J$39)</f>
        <v>9.5751311781418109E-3</v>
      </c>
      <c r="JS39" s="363">
        <f t="shared" ca="1" si="444"/>
        <v>1.037943968514414E-2</v>
      </c>
      <c r="JT39" s="363">
        <f t="shared" ca="1" si="444"/>
        <v>1.0290062637189542E-2</v>
      </c>
      <c r="JU39" s="363">
        <f t="shared" ca="1" si="444"/>
        <v>1.0521409028968341E-2</v>
      </c>
      <c r="JV39" s="363">
        <f t="shared" ca="1" si="444"/>
        <v>1.1988125256569004E-2</v>
      </c>
      <c r="JW39" s="363">
        <f t="shared" ca="1" si="444"/>
        <v>1.2094564856917511E-2</v>
      </c>
      <c r="JX39" s="363">
        <f t="shared" ca="1" si="444"/>
        <v>1.0741672444548612E-2</v>
      </c>
      <c r="JY39" s="363">
        <f t="shared" ca="1" si="444"/>
        <v>1.1061401715230942E-2</v>
      </c>
      <c r="JZ39" s="363">
        <f t="shared" ca="1" si="444"/>
        <v>9.8876230720270214E-3</v>
      </c>
      <c r="KA39" s="363">
        <f t="shared" ca="1" si="444"/>
        <v>1.0649029638145371E-2</v>
      </c>
      <c r="KB39" s="363">
        <f t="shared" ca="1" si="444"/>
        <v>1.0140542774860798E-2</v>
      </c>
      <c r="KC39" s="363">
        <f t="shared" ca="1" si="444"/>
        <v>1.6256246154863763E-2</v>
      </c>
      <c r="KD39" s="363">
        <f t="shared" ca="1" si="444"/>
        <v>1.3806278563549212E-2</v>
      </c>
      <c r="KE39" s="363">
        <f t="shared" ca="1" si="444"/>
        <v>1.102753622498941E-2</v>
      </c>
      <c r="KF39" s="363">
        <f t="shared" ca="1" si="444"/>
        <v>9.7595778778307146E-3</v>
      </c>
      <c r="KG39" s="363">
        <f t="shared" ca="1" si="444"/>
        <v>1.2365633511730145E-2</v>
      </c>
      <c r="KH39" s="363">
        <f t="shared" ca="1" si="444"/>
        <v>1.2311089623755156E-2</v>
      </c>
      <c r="KI39" s="363">
        <f t="shared" ca="1" si="444"/>
        <v>1.274656299399668E-2</v>
      </c>
      <c r="KJ39" s="363">
        <f t="shared" ca="1" si="444"/>
        <v>7.5170746404439994E-3</v>
      </c>
      <c r="KK39" s="363">
        <f t="shared" ca="1" si="444"/>
        <v>1.1443273076036986E-2</v>
      </c>
      <c r="KL39" s="363">
        <f t="shared" ca="1" si="444"/>
        <v>8.9708364829004603E-3</v>
      </c>
      <c r="KM39" s="363">
        <f t="shared" ca="1" si="444"/>
        <v>1.2580050518278152E-2</v>
      </c>
      <c r="KN39" s="363">
        <f t="shared" ca="1" si="444"/>
        <v>1.2663627752072637E-2</v>
      </c>
      <c r="KO39" s="363">
        <f t="shared" ca="1" si="444"/>
        <v>9.3101176895143134E-3</v>
      </c>
      <c r="KP39" s="363">
        <f t="shared" ca="1" si="444"/>
        <v>1.0788292848646755E-2</v>
      </c>
      <c r="KQ39" s="363">
        <f t="shared" ca="1" si="444"/>
        <v>9.7315994467935697E-3</v>
      </c>
      <c r="KR39" s="363">
        <f t="shared" ca="1" si="444"/>
        <v>1.2772161896148382E-2</v>
      </c>
      <c r="KS39" s="363">
        <f t="shared" ca="1" si="444"/>
        <v>1.0202384633468307E-2</v>
      </c>
      <c r="KT39" s="363">
        <f t="shared" ca="1" si="444"/>
        <v>1.0464288357416852E-2</v>
      </c>
      <c r="KU39" s="363">
        <f t="shared" ca="1" si="444"/>
        <v>9.6956039602991359E-3</v>
      </c>
      <c r="KV39" s="363">
        <f t="shared" ca="1" si="444"/>
        <v>1.083907066987036E-2</v>
      </c>
      <c r="KW39" s="363">
        <f t="shared" ca="1" si="444"/>
        <v>1.3909652882038825E-2</v>
      </c>
      <c r="KX39" s="363">
        <f t="shared" ca="1" si="444"/>
        <v>9.0006598570297573E-3</v>
      </c>
      <c r="KY39" s="363">
        <f t="shared" ca="1" si="444"/>
        <v>1.1868199688565784E-2</v>
      </c>
      <c r="KZ39" s="363">
        <f t="shared" ca="1" si="444"/>
        <v>1.020509125609219E-2</v>
      </c>
      <c r="LA39" s="363">
        <f ca="1">_xlfn.BETA.INV(RAND(),$I$39,$J$39)</f>
        <v>8.3616385111000002E-3</v>
      </c>
      <c r="LB39" s="363">
        <f t="shared" ref="LB39:NM39" ca="1" si="445">_xlfn.BETA.INV(RAND(),$I$39,$J$39)</f>
        <v>1.3279642469985586E-2</v>
      </c>
      <c r="LC39" s="363">
        <f t="shared" ca="1" si="445"/>
        <v>9.9078896448143959E-3</v>
      </c>
      <c r="LD39" s="363">
        <f t="shared" ca="1" si="445"/>
        <v>1.0027932265039497E-2</v>
      </c>
      <c r="LE39" s="363">
        <f t="shared" ca="1" si="445"/>
        <v>1.0909212764556081E-2</v>
      </c>
      <c r="LF39" s="363">
        <f t="shared" ca="1" si="445"/>
        <v>1.0587394642983505E-2</v>
      </c>
      <c r="LG39" s="363">
        <f t="shared" ca="1" si="445"/>
        <v>1.2351678789566223E-2</v>
      </c>
      <c r="LH39" s="363">
        <f t="shared" ca="1" si="445"/>
        <v>1.0416391114296682E-2</v>
      </c>
      <c r="LI39" s="363">
        <f t="shared" ca="1" si="445"/>
        <v>1.041508040018117E-2</v>
      </c>
      <c r="LJ39" s="363">
        <f t="shared" ca="1" si="445"/>
        <v>1.2580063225915317E-2</v>
      </c>
      <c r="LK39" s="363">
        <f t="shared" ca="1" si="445"/>
        <v>1.2202542850376474E-2</v>
      </c>
      <c r="LL39" s="363">
        <f t="shared" ca="1" si="445"/>
        <v>1.4287015313372287E-2</v>
      </c>
      <c r="LM39" s="363">
        <f t="shared" ca="1" si="445"/>
        <v>1.3813491509797271E-2</v>
      </c>
      <c r="LN39" s="363">
        <f t="shared" ca="1" si="445"/>
        <v>9.0918936983463514E-3</v>
      </c>
      <c r="LO39" s="363">
        <f t="shared" ca="1" si="445"/>
        <v>1.1934082525634881E-2</v>
      </c>
      <c r="LP39" s="363">
        <f t="shared" ca="1" si="445"/>
        <v>9.1521149917039978E-3</v>
      </c>
      <c r="LQ39" s="363">
        <f t="shared" ca="1" si="445"/>
        <v>1.011548293949119E-2</v>
      </c>
      <c r="LR39" s="363">
        <f t="shared" ca="1" si="445"/>
        <v>1.0250761869423763E-2</v>
      </c>
      <c r="LS39" s="363">
        <f t="shared" ca="1" si="445"/>
        <v>1.253933686688824E-2</v>
      </c>
      <c r="LT39" s="363">
        <f t="shared" ca="1" si="445"/>
        <v>1.0243929881365934E-2</v>
      </c>
      <c r="LU39" s="363">
        <f t="shared" ca="1" si="445"/>
        <v>1.2267189633653697E-2</v>
      </c>
      <c r="LV39" s="363">
        <f t="shared" ca="1" si="445"/>
        <v>1.3803004166524468E-2</v>
      </c>
      <c r="LW39" s="363">
        <f t="shared" ca="1" si="445"/>
        <v>1.1959062303708246E-2</v>
      </c>
      <c r="LX39" s="363">
        <f t="shared" ca="1" si="445"/>
        <v>1.2204618978280068E-2</v>
      </c>
      <c r="LY39" s="363">
        <f t="shared" ca="1" si="445"/>
        <v>1.0454002819816005E-2</v>
      </c>
      <c r="LZ39" s="363">
        <f t="shared" ca="1" si="445"/>
        <v>1.0247276423060144E-2</v>
      </c>
      <c r="MA39" s="363">
        <f t="shared" ca="1" si="445"/>
        <v>1.1675136803115826E-2</v>
      </c>
      <c r="MB39" s="363">
        <f t="shared" ca="1" si="445"/>
        <v>1.0150333413479143E-2</v>
      </c>
      <c r="MC39" s="363">
        <f t="shared" ca="1" si="445"/>
        <v>1.0889073547372032E-2</v>
      </c>
      <c r="MD39" s="363">
        <f t="shared" ca="1" si="445"/>
        <v>1.1182776783806525E-2</v>
      </c>
      <c r="ME39" s="363">
        <f t="shared" ca="1" si="445"/>
        <v>1.1853153309347109E-2</v>
      </c>
      <c r="MF39" s="363">
        <f t="shared" ca="1" si="445"/>
        <v>9.4494017971962444E-3</v>
      </c>
      <c r="MG39" s="363">
        <f t="shared" ca="1" si="445"/>
        <v>1.0365085866921074E-2</v>
      </c>
      <c r="MH39" s="363">
        <f t="shared" ca="1" si="445"/>
        <v>1.4400317330282242E-2</v>
      </c>
      <c r="MI39" s="363">
        <f t="shared" ca="1" si="445"/>
        <v>8.5679012322070567E-3</v>
      </c>
      <c r="MJ39" s="363">
        <f t="shared" ca="1" si="445"/>
        <v>1.0286853168328064E-2</v>
      </c>
      <c r="MK39" s="363">
        <f t="shared" ca="1" si="445"/>
        <v>1.2925817367103409E-2</v>
      </c>
      <c r="ML39" s="363">
        <f t="shared" ca="1" si="445"/>
        <v>1.1511892212982544E-2</v>
      </c>
      <c r="MM39" s="363">
        <f t="shared" ca="1" si="445"/>
        <v>1.2584547147800773E-2</v>
      </c>
      <c r="MN39" s="363">
        <f t="shared" ca="1" si="445"/>
        <v>1.1369096338472162E-2</v>
      </c>
      <c r="MO39" s="363">
        <f t="shared" ca="1" si="445"/>
        <v>1.0796619449470196E-2</v>
      </c>
      <c r="MP39" s="363">
        <f t="shared" ca="1" si="445"/>
        <v>1.0176935553420219E-2</v>
      </c>
      <c r="MQ39" s="363">
        <f t="shared" ca="1" si="445"/>
        <v>1.1226922714911991E-2</v>
      </c>
      <c r="MR39" s="363">
        <f t="shared" ca="1" si="445"/>
        <v>9.0531546960479423E-3</v>
      </c>
      <c r="MS39" s="363">
        <f t="shared" ca="1" si="445"/>
        <v>8.8342575568741612E-3</v>
      </c>
      <c r="MT39" s="363">
        <f t="shared" ca="1" si="445"/>
        <v>8.7722395274118809E-3</v>
      </c>
      <c r="MU39" s="363">
        <f t="shared" ca="1" si="445"/>
        <v>1.2130579380958517E-2</v>
      </c>
      <c r="MV39" s="363">
        <f t="shared" ca="1" si="445"/>
        <v>1.0602929390343276E-2</v>
      </c>
      <c r="MW39" s="363">
        <f t="shared" ca="1" si="445"/>
        <v>1.0352862137776076E-2</v>
      </c>
      <c r="MX39" s="363">
        <f t="shared" ca="1" si="445"/>
        <v>1.4273748313901491E-2</v>
      </c>
      <c r="MY39" s="363">
        <f t="shared" ca="1" si="445"/>
        <v>9.6422775599965035E-3</v>
      </c>
      <c r="MZ39" s="363">
        <f t="shared" ca="1" si="445"/>
        <v>1.0234658268844914E-2</v>
      </c>
      <c r="NA39" s="363">
        <f t="shared" ca="1" si="445"/>
        <v>8.4489268644506975E-3</v>
      </c>
      <c r="NB39" s="363">
        <f t="shared" ca="1" si="445"/>
        <v>1.2087023631981331E-2</v>
      </c>
      <c r="NC39" s="363">
        <f t="shared" ca="1" si="445"/>
        <v>1.3141456108974103E-2</v>
      </c>
      <c r="ND39" s="363">
        <f t="shared" ca="1" si="445"/>
        <v>1.1973233589576249E-2</v>
      </c>
      <c r="NE39" s="363">
        <f t="shared" ca="1" si="445"/>
        <v>1.2025369302600675E-2</v>
      </c>
      <c r="NF39" s="363">
        <f t="shared" ca="1" si="445"/>
        <v>8.8869144203513328E-3</v>
      </c>
      <c r="NG39" s="363">
        <f t="shared" ca="1" si="445"/>
        <v>1.1324513422136251E-2</v>
      </c>
      <c r="NH39" s="363">
        <f t="shared" ca="1" si="445"/>
        <v>1.323518317580985E-2</v>
      </c>
      <c r="NI39" s="363">
        <f t="shared" ca="1" si="445"/>
        <v>1.2387879027308979E-2</v>
      </c>
      <c r="NJ39" s="363">
        <f t="shared" ca="1" si="445"/>
        <v>1.2400000175697756E-2</v>
      </c>
      <c r="NK39" s="363">
        <f t="shared" ca="1" si="445"/>
        <v>1.0368917832932503E-2</v>
      </c>
      <c r="NL39" s="363">
        <f t="shared" ca="1" si="445"/>
        <v>1.00656466484518E-2</v>
      </c>
      <c r="NM39" s="363">
        <f t="shared" ca="1" si="445"/>
        <v>1.0146194509087589E-2</v>
      </c>
      <c r="NN39" s="363">
        <f t="shared" ref="NN39:OV39" ca="1" si="446">_xlfn.BETA.INV(RAND(),$I$39,$J$39)</f>
        <v>1.2990889527772609E-2</v>
      </c>
      <c r="NO39" s="363">
        <f t="shared" ca="1" si="446"/>
        <v>1.1907917472616769E-2</v>
      </c>
      <c r="NP39" s="363">
        <f t="shared" ca="1" si="446"/>
        <v>1.1224197098030797E-2</v>
      </c>
      <c r="NQ39" s="363">
        <f t="shared" ca="1" si="446"/>
        <v>1.1151890122939934E-2</v>
      </c>
      <c r="NR39" s="363">
        <f t="shared" ca="1" si="446"/>
        <v>1.1289532788931744E-2</v>
      </c>
      <c r="NS39" s="363">
        <f t="shared" ca="1" si="446"/>
        <v>1.3978516195346069E-2</v>
      </c>
      <c r="NT39" s="363">
        <f t="shared" ca="1" si="446"/>
        <v>9.6873427969565128E-3</v>
      </c>
      <c r="NU39" s="363">
        <f t="shared" ca="1" si="446"/>
        <v>9.762084969932151E-3</v>
      </c>
      <c r="NV39" s="363">
        <f t="shared" ca="1" si="446"/>
        <v>1.0099602022893707E-2</v>
      </c>
      <c r="NW39" s="363">
        <f t="shared" ca="1" si="446"/>
        <v>1.0204876366118793E-2</v>
      </c>
      <c r="NX39" s="363">
        <f t="shared" ca="1" si="446"/>
        <v>1.2354503883153178E-2</v>
      </c>
      <c r="NY39" s="363">
        <f t="shared" ca="1" si="446"/>
        <v>1.192670216556202E-2</v>
      </c>
      <c r="NZ39" s="363">
        <f t="shared" ca="1" si="446"/>
        <v>1.0928709175028856E-2</v>
      </c>
      <c r="OA39" s="363">
        <f t="shared" ca="1" si="446"/>
        <v>1.2522303507596533E-2</v>
      </c>
      <c r="OB39" s="363">
        <f t="shared" ca="1" si="446"/>
        <v>1.2305537267405575E-2</v>
      </c>
      <c r="OC39" s="363">
        <f t="shared" ca="1" si="446"/>
        <v>1.019825336660561E-2</v>
      </c>
      <c r="OD39" s="363">
        <f t="shared" ca="1" si="446"/>
        <v>9.0336332216516824E-3</v>
      </c>
      <c r="OE39" s="363">
        <f t="shared" ca="1" si="446"/>
        <v>1.1609733866582816E-2</v>
      </c>
      <c r="OF39" s="363">
        <f t="shared" ca="1" si="446"/>
        <v>1.0332146370222861E-2</v>
      </c>
      <c r="OG39" s="363">
        <f t="shared" ca="1" si="446"/>
        <v>1.064782314084931E-2</v>
      </c>
      <c r="OH39" s="363">
        <f t="shared" ca="1" si="446"/>
        <v>1.2466354885698028E-2</v>
      </c>
      <c r="OI39" s="363">
        <f t="shared" ca="1" si="446"/>
        <v>8.9291645172762946E-3</v>
      </c>
      <c r="OJ39" s="363">
        <f t="shared" ca="1" si="446"/>
        <v>1.4102029004611771E-2</v>
      </c>
      <c r="OK39" s="363">
        <f t="shared" ca="1" si="446"/>
        <v>1.1543030943782839E-2</v>
      </c>
      <c r="OL39" s="363">
        <f t="shared" ca="1" si="446"/>
        <v>9.2921840939158007E-3</v>
      </c>
      <c r="OM39" s="363">
        <f t="shared" ca="1" si="446"/>
        <v>9.7658582392518983E-3</v>
      </c>
      <c r="ON39" s="363">
        <f t="shared" ca="1" si="446"/>
        <v>1.0725472952922203E-2</v>
      </c>
      <c r="OO39" s="363">
        <f t="shared" ca="1" si="446"/>
        <v>1.2630394124572786E-2</v>
      </c>
      <c r="OP39" s="363">
        <f t="shared" ca="1" si="446"/>
        <v>1.2510434056055564E-2</v>
      </c>
      <c r="OQ39" s="363">
        <f t="shared" ca="1" si="446"/>
        <v>9.8160756306771776E-3</v>
      </c>
      <c r="OR39" s="363">
        <f t="shared" ca="1" si="446"/>
        <v>1.1232805023783765E-2</v>
      </c>
      <c r="OS39" s="363">
        <f t="shared" ca="1" si="446"/>
        <v>1.0221229092473035E-2</v>
      </c>
      <c r="OT39" s="363">
        <f t="shared" ca="1" si="446"/>
        <v>1.1580362551963042E-2</v>
      </c>
      <c r="OU39" s="363">
        <f t="shared" ca="1" si="446"/>
        <v>7.1491770851538879E-3</v>
      </c>
      <c r="OV39" s="363">
        <f t="shared" ca="1" si="446"/>
        <v>1.1343914415518186E-2</v>
      </c>
      <c r="OW39" s="363">
        <f ca="1">_xlfn.BETA.INV(RAND(),$I$39,$J$39)</f>
        <v>1.0332946900126452E-2</v>
      </c>
      <c r="OX39" s="363">
        <f t="shared" ref="OX39:RI39" ca="1" si="447">_xlfn.BETA.INV(RAND(),$I$39,$J$39)</f>
        <v>9.6213483179543226E-3</v>
      </c>
      <c r="OY39" s="363">
        <f t="shared" ca="1" si="447"/>
        <v>1.0649275666234198E-2</v>
      </c>
      <c r="OZ39" s="363">
        <f t="shared" ca="1" si="447"/>
        <v>1.125869027833204E-2</v>
      </c>
      <c r="PA39" s="363">
        <f t="shared" ca="1" si="447"/>
        <v>1.0784878408373805E-2</v>
      </c>
      <c r="PB39" s="363">
        <f t="shared" ca="1" si="447"/>
        <v>9.2611336619577225E-3</v>
      </c>
      <c r="PC39" s="363">
        <f t="shared" ca="1" si="447"/>
        <v>1.2826724910660392E-2</v>
      </c>
      <c r="PD39" s="363">
        <f t="shared" ca="1" si="447"/>
        <v>9.8794244651016078E-3</v>
      </c>
      <c r="PE39" s="363">
        <f t="shared" ca="1" si="447"/>
        <v>1.0549526584340184E-2</v>
      </c>
      <c r="PF39" s="363">
        <f t="shared" ca="1" si="447"/>
        <v>1.0343599830425815E-2</v>
      </c>
      <c r="PG39" s="363">
        <f t="shared" ca="1" si="447"/>
        <v>1.0807601417616794E-2</v>
      </c>
      <c r="PH39" s="363">
        <f t="shared" ca="1" si="447"/>
        <v>1.2080604894924574E-2</v>
      </c>
      <c r="PI39" s="363">
        <f t="shared" ca="1" si="447"/>
        <v>1.0977395970775222E-2</v>
      </c>
      <c r="PJ39" s="363">
        <f t="shared" ca="1" si="447"/>
        <v>1.1457333465994091E-2</v>
      </c>
      <c r="PK39" s="363">
        <f t="shared" ca="1" si="447"/>
        <v>1.2813336770825079E-2</v>
      </c>
      <c r="PL39" s="363">
        <f t="shared" ca="1" si="447"/>
        <v>1.1633284204849881E-2</v>
      </c>
      <c r="PM39" s="363">
        <f t="shared" ca="1" si="447"/>
        <v>1.1381721567915504E-2</v>
      </c>
      <c r="PN39" s="363">
        <f t="shared" ca="1" si="447"/>
        <v>1.0037133409789989E-2</v>
      </c>
      <c r="PO39" s="363">
        <f t="shared" ca="1" si="447"/>
        <v>1.2281523367395852E-2</v>
      </c>
      <c r="PP39" s="363">
        <f t="shared" ca="1" si="447"/>
        <v>1.1411465464622794E-2</v>
      </c>
      <c r="PQ39" s="363">
        <f t="shared" ca="1" si="447"/>
        <v>8.931076028460572E-3</v>
      </c>
      <c r="PR39" s="363">
        <f t="shared" ca="1" si="447"/>
        <v>1.1576799919127523E-2</v>
      </c>
      <c r="PS39" s="363">
        <f t="shared" ca="1" si="447"/>
        <v>1.2645440049864121E-2</v>
      </c>
      <c r="PT39" s="363">
        <f t="shared" ca="1" si="447"/>
        <v>1.0787459808346637E-2</v>
      </c>
      <c r="PU39" s="363">
        <f t="shared" ca="1" si="447"/>
        <v>1.1690549830048247E-2</v>
      </c>
      <c r="PV39" s="363">
        <f t="shared" ca="1" si="447"/>
        <v>1.2075989273902188E-2</v>
      </c>
      <c r="PW39" s="363">
        <f t="shared" ca="1" si="447"/>
        <v>8.8233248574195559E-3</v>
      </c>
      <c r="PX39" s="363">
        <f t="shared" ca="1" si="447"/>
        <v>1.0780186419487719E-2</v>
      </c>
      <c r="PY39" s="363">
        <f t="shared" ca="1" si="447"/>
        <v>1.1686251929422964E-2</v>
      </c>
      <c r="PZ39" s="363">
        <f t="shared" ca="1" si="447"/>
        <v>1.1577839667948675E-2</v>
      </c>
      <c r="QA39" s="363">
        <f t="shared" ca="1" si="447"/>
        <v>1.2442674592314962E-2</v>
      </c>
      <c r="QB39" s="363">
        <f t="shared" ca="1" si="447"/>
        <v>1.1370755872070148E-2</v>
      </c>
      <c r="QC39" s="363">
        <f t="shared" ca="1" si="447"/>
        <v>1.1850935549537978E-2</v>
      </c>
      <c r="QD39" s="363">
        <f t="shared" ca="1" si="447"/>
        <v>9.3696754669978389E-3</v>
      </c>
      <c r="QE39" s="363">
        <f t="shared" ca="1" si="447"/>
        <v>1.2736893422568452E-2</v>
      </c>
      <c r="QF39" s="363">
        <f t="shared" ca="1" si="447"/>
        <v>1.2864938856744002E-2</v>
      </c>
      <c r="QG39" s="363">
        <f t="shared" ca="1" si="447"/>
        <v>1.2798694059325544E-2</v>
      </c>
      <c r="QH39" s="363">
        <f t="shared" ca="1" si="447"/>
        <v>1.2258315041355439E-2</v>
      </c>
      <c r="QI39" s="363">
        <f t="shared" ca="1" si="447"/>
        <v>1.3105380481766238E-2</v>
      </c>
      <c r="QJ39" s="363">
        <f t="shared" ca="1" si="447"/>
        <v>1.2553266849826827E-2</v>
      </c>
      <c r="QK39" s="363">
        <f t="shared" ca="1" si="447"/>
        <v>1.088408846750028E-2</v>
      </c>
      <c r="QL39" s="363">
        <f t="shared" ca="1" si="447"/>
        <v>9.6162273496503709E-3</v>
      </c>
      <c r="QM39" s="363">
        <f t="shared" ca="1" si="447"/>
        <v>9.2256336585228253E-3</v>
      </c>
      <c r="QN39" s="363">
        <f t="shared" ca="1" si="447"/>
        <v>1.0874490274114627E-2</v>
      </c>
      <c r="QO39" s="363">
        <f t="shared" ca="1" si="447"/>
        <v>1.1305883313968534E-2</v>
      </c>
      <c r="QP39" s="363">
        <f t="shared" ca="1" si="447"/>
        <v>1.1403236242064629E-2</v>
      </c>
      <c r="QQ39" s="363">
        <f t="shared" ca="1" si="447"/>
        <v>9.1234809431455927E-3</v>
      </c>
      <c r="QR39" s="363">
        <f t="shared" ca="1" si="447"/>
        <v>1.1191194882758548E-2</v>
      </c>
      <c r="QS39" s="363">
        <f t="shared" ca="1" si="447"/>
        <v>1.260253246808174E-2</v>
      </c>
      <c r="QT39" s="363">
        <f t="shared" ca="1" si="447"/>
        <v>8.5736094967689032E-3</v>
      </c>
      <c r="QU39" s="363">
        <f t="shared" ca="1" si="447"/>
        <v>1.3468644836574173E-2</v>
      </c>
      <c r="QV39" s="363">
        <f t="shared" ca="1" si="447"/>
        <v>9.9085235890216221E-3</v>
      </c>
      <c r="QW39" s="363">
        <f t="shared" ca="1" si="447"/>
        <v>1.1912898984177578E-2</v>
      </c>
      <c r="QX39" s="363">
        <f t="shared" ca="1" si="447"/>
        <v>1.0543118115199462E-2</v>
      </c>
      <c r="QY39" s="363">
        <f t="shared" ca="1" si="447"/>
        <v>9.0047688518357285E-3</v>
      </c>
      <c r="QZ39" s="363">
        <f t="shared" ca="1" si="447"/>
        <v>1.0515534861137788E-2</v>
      </c>
      <c r="RA39" s="363">
        <f t="shared" ca="1" si="447"/>
        <v>8.5552330489849383E-3</v>
      </c>
      <c r="RB39" s="363">
        <f t="shared" ca="1" si="447"/>
        <v>1.2727223884970051E-2</v>
      </c>
      <c r="RC39" s="363">
        <f t="shared" ca="1" si="447"/>
        <v>1.072938263739669E-2</v>
      </c>
      <c r="RD39" s="363">
        <f t="shared" ca="1" si="447"/>
        <v>1.0883628117461575E-2</v>
      </c>
      <c r="RE39" s="363">
        <f t="shared" ca="1" si="447"/>
        <v>7.5098668833933173E-3</v>
      </c>
      <c r="RF39" s="363">
        <f t="shared" ca="1" si="447"/>
        <v>7.8806187781647052E-3</v>
      </c>
      <c r="RG39" s="363">
        <f t="shared" ca="1" si="447"/>
        <v>1.1870611240226814E-2</v>
      </c>
      <c r="RH39" s="363">
        <f t="shared" ca="1" si="447"/>
        <v>1.0232940260253582E-2</v>
      </c>
      <c r="RI39" s="363">
        <f t="shared" ca="1" si="447"/>
        <v>9.2806504082368676E-3</v>
      </c>
      <c r="RJ39" s="363">
        <f t="shared" ref="RJ39:SR39" ca="1" si="448">_xlfn.BETA.INV(RAND(),$I$39,$J$39)</f>
        <v>1.2346855784537536E-2</v>
      </c>
      <c r="RK39" s="363">
        <f t="shared" ca="1" si="448"/>
        <v>9.9840678327056034E-3</v>
      </c>
      <c r="RL39" s="363">
        <f t="shared" ca="1" si="448"/>
        <v>1.2287739852690605E-2</v>
      </c>
      <c r="RM39" s="363">
        <f t="shared" ca="1" si="448"/>
        <v>1.0819555803373704E-2</v>
      </c>
      <c r="RN39" s="363">
        <f t="shared" ca="1" si="448"/>
        <v>1.1360854471248349E-2</v>
      </c>
      <c r="RO39" s="363">
        <f t="shared" ca="1" si="448"/>
        <v>1.2673431302771654E-2</v>
      </c>
      <c r="RP39" s="363">
        <f t="shared" ca="1" si="448"/>
        <v>9.043726952273793E-3</v>
      </c>
      <c r="RQ39" s="363">
        <f t="shared" ca="1" si="448"/>
        <v>1.145291207120358E-2</v>
      </c>
      <c r="RR39" s="363">
        <f t="shared" ca="1" si="448"/>
        <v>1.1975114762717731E-2</v>
      </c>
      <c r="RS39" s="363">
        <f t="shared" ca="1" si="448"/>
        <v>1.5183382941693746E-2</v>
      </c>
      <c r="RT39" s="363">
        <f t="shared" ca="1" si="448"/>
        <v>1.0280302319739134E-2</v>
      </c>
      <c r="RU39" s="363">
        <f t="shared" ca="1" si="448"/>
        <v>1.0114806837757249E-2</v>
      </c>
      <c r="RV39" s="363">
        <f t="shared" ca="1" si="448"/>
        <v>1.1342089787894749E-2</v>
      </c>
      <c r="RW39" s="363">
        <f t="shared" ca="1" si="448"/>
        <v>1.0853586295301275E-2</v>
      </c>
      <c r="RX39" s="363">
        <f t="shared" ca="1" si="448"/>
        <v>1.3446390574623379E-2</v>
      </c>
      <c r="RY39" s="363">
        <f t="shared" ca="1" si="448"/>
        <v>1.2881269593926103E-2</v>
      </c>
      <c r="RZ39" s="363">
        <f t="shared" ca="1" si="448"/>
        <v>1.2432487147902238E-2</v>
      </c>
      <c r="SA39" s="363">
        <f t="shared" ca="1" si="448"/>
        <v>1.3609124137247131E-2</v>
      </c>
      <c r="SB39" s="363">
        <f t="shared" ca="1" si="448"/>
        <v>1.2953029210711509E-2</v>
      </c>
      <c r="SC39" s="363">
        <f t="shared" ca="1" si="448"/>
        <v>1.1219327639363397E-2</v>
      </c>
      <c r="SD39" s="363">
        <f t="shared" ca="1" si="448"/>
        <v>1.2100752102554457E-2</v>
      </c>
      <c r="SE39" s="363">
        <f t="shared" ca="1" si="448"/>
        <v>1.1460366576546588E-2</v>
      </c>
      <c r="SF39" s="363">
        <f t="shared" ca="1" si="448"/>
        <v>7.9691452127127332E-3</v>
      </c>
      <c r="SG39" s="363">
        <f t="shared" ca="1" si="448"/>
        <v>1.085183972823992E-2</v>
      </c>
      <c r="SH39" s="363">
        <f t="shared" ca="1" si="448"/>
        <v>1.0810273890996314E-2</v>
      </c>
      <c r="SI39" s="363">
        <f t="shared" ca="1" si="448"/>
        <v>1.1314649482701111E-2</v>
      </c>
      <c r="SJ39" s="363">
        <f t="shared" ca="1" si="448"/>
        <v>1.0397969538532757E-2</v>
      </c>
      <c r="SK39" s="363">
        <f t="shared" ca="1" si="448"/>
        <v>1.283983402030886E-2</v>
      </c>
      <c r="SL39" s="363">
        <f t="shared" ca="1" si="448"/>
        <v>9.679770440737501E-3</v>
      </c>
      <c r="SM39" s="363">
        <f t="shared" ca="1" si="448"/>
        <v>1.1972006783039113E-2</v>
      </c>
      <c r="SN39" s="363">
        <f t="shared" ca="1" si="448"/>
        <v>9.5377951527807446E-3</v>
      </c>
      <c r="SO39" s="363">
        <f t="shared" ca="1" si="448"/>
        <v>1.3128577858316559E-2</v>
      </c>
      <c r="SP39" s="363">
        <f t="shared" ca="1" si="448"/>
        <v>1.1633868639398193E-2</v>
      </c>
      <c r="SQ39" s="363">
        <f t="shared" ca="1" si="448"/>
        <v>1.0060005653414264E-2</v>
      </c>
      <c r="SR39" s="363">
        <f t="shared" ca="1" si="448"/>
        <v>1.0912067752012857E-2</v>
      </c>
      <c r="SS39" s="363">
        <f ca="1">_xlfn.BETA.INV(RAND(),$I$39,$J$39)</f>
        <v>8.6970865065807441E-3</v>
      </c>
      <c r="ST39" s="363">
        <f t="shared" ref="ST39:VE39" ca="1" si="449">_xlfn.BETA.INV(RAND(),$I$39,$J$39)</f>
        <v>1.1372823519600228E-2</v>
      </c>
      <c r="SU39" s="363">
        <f t="shared" ca="1" si="449"/>
        <v>1.176382970339096E-2</v>
      </c>
      <c r="SV39" s="363">
        <f t="shared" ca="1" si="449"/>
        <v>1.2163103321313318E-2</v>
      </c>
      <c r="SW39" s="363">
        <f t="shared" ca="1" si="449"/>
        <v>1.250366934177416E-2</v>
      </c>
      <c r="SX39" s="363">
        <f t="shared" ca="1" si="449"/>
        <v>9.4291312500714743E-3</v>
      </c>
      <c r="SY39" s="363">
        <f t="shared" ca="1" si="449"/>
        <v>9.1679065444320411E-3</v>
      </c>
      <c r="SZ39" s="363">
        <f t="shared" ca="1" si="449"/>
        <v>7.836861495448981E-3</v>
      </c>
      <c r="TA39" s="363">
        <f t="shared" ca="1" si="449"/>
        <v>1.1059763138411317E-2</v>
      </c>
      <c r="TB39" s="363">
        <f t="shared" ca="1" si="449"/>
        <v>1.1840462913587757E-2</v>
      </c>
      <c r="TC39" s="363">
        <f t="shared" ca="1" si="449"/>
        <v>1.2123747617027281E-2</v>
      </c>
      <c r="TD39" s="363">
        <f t="shared" ca="1" si="449"/>
        <v>1.0516633505436648E-2</v>
      </c>
      <c r="TE39" s="363">
        <f t="shared" ca="1" si="449"/>
        <v>1.2675098259107065E-2</v>
      </c>
      <c r="TF39" s="363">
        <f t="shared" ca="1" si="449"/>
        <v>1.1847095221485637E-2</v>
      </c>
      <c r="TG39" s="363">
        <f t="shared" ca="1" si="449"/>
        <v>9.6144914410672636E-3</v>
      </c>
      <c r="TH39" s="363">
        <f t="shared" ca="1" si="449"/>
        <v>1.026214882644242E-2</v>
      </c>
      <c r="TI39" s="363">
        <f t="shared" ca="1" si="449"/>
        <v>1.134032610528346E-2</v>
      </c>
      <c r="TJ39" s="363">
        <f t="shared" ca="1" si="449"/>
        <v>1.0857491958850277E-2</v>
      </c>
      <c r="TK39" s="363">
        <f t="shared" ca="1" si="449"/>
        <v>1.2586700716353594E-2</v>
      </c>
      <c r="TL39" s="363">
        <f t="shared" ca="1" si="449"/>
        <v>1.3031823300689527E-2</v>
      </c>
      <c r="TM39" s="363">
        <f t="shared" ca="1" si="449"/>
        <v>8.3930297848895333E-3</v>
      </c>
      <c r="TN39" s="363">
        <f t="shared" ca="1" si="449"/>
        <v>1.1542089735061656E-2</v>
      </c>
      <c r="TO39" s="363">
        <f t="shared" ca="1" si="449"/>
        <v>1.0536542584682625E-2</v>
      </c>
      <c r="TP39" s="363">
        <f t="shared" ca="1" si="449"/>
        <v>1.3302179900986144E-2</v>
      </c>
      <c r="TQ39" s="363">
        <f t="shared" ca="1" si="449"/>
        <v>1.036555254035156E-2</v>
      </c>
      <c r="TR39" s="363">
        <f t="shared" ca="1" si="449"/>
        <v>9.4106583255829969E-3</v>
      </c>
      <c r="TS39" s="363">
        <f t="shared" ca="1" si="449"/>
        <v>1.3371406745421033E-2</v>
      </c>
      <c r="TT39" s="363">
        <f t="shared" ca="1" si="449"/>
        <v>8.8376903039543726E-3</v>
      </c>
      <c r="TU39" s="363">
        <f t="shared" ca="1" si="449"/>
        <v>9.9112332337291855E-3</v>
      </c>
      <c r="TV39" s="363">
        <f t="shared" ca="1" si="449"/>
        <v>1.0877545465178499E-2</v>
      </c>
      <c r="TW39" s="363">
        <f t="shared" ca="1" si="449"/>
        <v>1.3237035710783496E-2</v>
      </c>
      <c r="TX39" s="363">
        <f t="shared" ca="1" si="449"/>
        <v>1.1097136820376987E-2</v>
      </c>
      <c r="TY39" s="363">
        <f t="shared" ca="1" si="449"/>
        <v>1.2300680434527367E-2</v>
      </c>
      <c r="TZ39" s="363">
        <f t="shared" ca="1" si="449"/>
        <v>1.2515888453763946E-2</v>
      </c>
      <c r="UA39" s="363">
        <f t="shared" ca="1" si="449"/>
        <v>1.1789081062132722E-2</v>
      </c>
      <c r="UB39" s="363">
        <f t="shared" ca="1" si="449"/>
        <v>1.0057988878967351E-2</v>
      </c>
      <c r="UC39" s="363">
        <f t="shared" ca="1" si="449"/>
        <v>9.5872704840043992E-3</v>
      </c>
      <c r="UD39" s="363">
        <f t="shared" ca="1" si="449"/>
        <v>9.1858829311699062E-3</v>
      </c>
      <c r="UE39" s="363">
        <f t="shared" ca="1" si="449"/>
        <v>1.2111717748723549E-2</v>
      </c>
      <c r="UF39" s="363">
        <f t="shared" ca="1" si="449"/>
        <v>1.1835513790920293E-2</v>
      </c>
      <c r="UG39" s="363">
        <f t="shared" ca="1" si="449"/>
        <v>1.5237972938344724E-2</v>
      </c>
      <c r="UH39" s="363">
        <f t="shared" ca="1" si="449"/>
        <v>1.1437809278960431E-2</v>
      </c>
      <c r="UI39" s="363">
        <f t="shared" ca="1" si="449"/>
        <v>1.2200944567884897E-2</v>
      </c>
      <c r="UJ39" s="363">
        <f t="shared" ca="1" si="449"/>
        <v>1.1504928615792775E-2</v>
      </c>
      <c r="UK39" s="363">
        <f t="shared" ca="1" si="449"/>
        <v>9.402507812756606E-3</v>
      </c>
      <c r="UL39" s="363">
        <f t="shared" ca="1" si="449"/>
        <v>1.1399291012493151E-2</v>
      </c>
      <c r="UM39" s="363">
        <f t="shared" ca="1" si="449"/>
        <v>1.1966066067211623E-2</v>
      </c>
      <c r="UN39" s="363">
        <f t="shared" ca="1" si="449"/>
        <v>1.3030203511596339E-2</v>
      </c>
      <c r="UO39" s="363">
        <f t="shared" ca="1" si="449"/>
        <v>1.152778865226467E-2</v>
      </c>
      <c r="UP39" s="363">
        <f t="shared" ca="1" si="449"/>
        <v>1.2052119054603683E-2</v>
      </c>
      <c r="UQ39" s="363">
        <f t="shared" ca="1" si="449"/>
        <v>1.2542031847120438E-2</v>
      </c>
      <c r="UR39" s="363">
        <f t="shared" ca="1" si="449"/>
        <v>1.0708263055846629E-2</v>
      </c>
      <c r="US39" s="363">
        <f t="shared" ca="1" si="449"/>
        <v>9.5457747589157184E-3</v>
      </c>
      <c r="UT39" s="363">
        <f t="shared" ca="1" si="449"/>
        <v>1.2694230125248729E-2</v>
      </c>
      <c r="UU39" s="363">
        <f t="shared" ca="1" si="449"/>
        <v>1.2874994153369235E-2</v>
      </c>
      <c r="UV39" s="363">
        <f t="shared" ca="1" si="449"/>
        <v>1.4443738789204796E-2</v>
      </c>
      <c r="UW39" s="363">
        <f t="shared" ca="1" si="449"/>
        <v>1.382790632153641E-2</v>
      </c>
      <c r="UX39" s="363">
        <f t="shared" ca="1" si="449"/>
        <v>1.0335947046312221E-2</v>
      </c>
      <c r="UY39" s="363">
        <f t="shared" ca="1" si="449"/>
        <v>1.0776162141517314E-2</v>
      </c>
      <c r="UZ39" s="363">
        <f t="shared" ca="1" si="449"/>
        <v>1.011415256834872E-2</v>
      </c>
      <c r="VA39" s="363">
        <f t="shared" ca="1" si="449"/>
        <v>1.3035737697554839E-2</v>
      </c>
      <c r="VB39" s="363">
        <f t="shared" ca="1" si="449"/>
        <v>1.3072454563908376E-2</v>
      </c>
      <c r="VC39" s="363">
        <f t="shared" ca="1" si="449"/>
        <v>1.0716274894105047E-2</v>
      </c>
      <c r="VD39" s="363">
        <f t="shared" ca="1" si="449"/>
        <v>9.6828775269498339E-3</v>
      </c>
      <c r="VE39" s="363">
        <f t="shared" ca="1" si="449"/>
        <v>1.1643745473620015E-2</v>
      </c>
      <c r="VF39" s="363">
        <f t="shared" ref="VF39:WN39" ca="1" si="450">_xlfn.BETA.INV(RAND(),$I$39,$J$39)</f>
        <v>8.5000808235806049E-3</v>
      </c>
      <c r="VG39" s="363">
        <f t="shared" ca="1" si="450"/>
        <v>9.7511481808479211E-3</v>
      </c>
      <c r="VH39" s="363">
        <f t="shared" ca="1" si="450"/>
        <v>1.2372607291400661E-2</v>
      </c>
      <c r="VI39" s="363">
        <f t="shared" ca="1" si="450"/>
        <v>8.765647605282964E-3</v>
      </c>
      <c r="VJ39" s="363">
        <f t="shared" ca="1" si="450"/>
        <v>1.1123379082691794E-2</v>
      </c>
      <c r="VK39" s="363">
        <f t="shared" ca="1" si="450"/>
        <v>9.7442793578860019E-3</v>
      </c>
      <c r="VL39" s="363">
        <f t="shared" ca="1" si="450"/>
        <v>1.0280858670803075E-2</v>
      </c>
      <c r="VM39" s="363">
        <f t="shared" ca="1" si="450"/>
        <v>1.2448078422225506E-2</v>
      </c>
      <c r="VN39" s="363">
        <f t="shared" ca="1" si="450"/>
        <v>8.9821197039376965E-3</v>
      </c>
      <c r="VO39" s="363">
        <f t="shared" ca="1" si="450"/>
        <v>9.4542630287441781E-3</v>
      </c>
      <c r="VP39" s="363">
        <f t="shared" ca="1" si="450"/>
        <v>1.1785972844379211E-2</v>
      </c>
      <c r="VQ39" s="363">
        <f t="shared" ca="1" si="450"/>
        <v>1.2346458148585926E-2</v>
      </c>
      <c r="VR39" s="363">
        <f t="shared" ca="1" si="450"/>
        <v>9.707612973363965E-3</v>
      </c>
      <c r="VS39" s="363">
        <f t="shared" ca="1" si="450"/>
        <v>1.2508346994083208E-2</v>
      </c>
      <c r="VT39" s="363">
        <f t="shared" ca="1" si="450"/>
        <v>1.3093151789662527E-2</v>
      </c>
      <c r="VU39" s="363">
        <f t="shared" ca="1" si="450"/>
        <v>9.5871212086510917E-3</v>
      </c>
      <c r="VV39" s="363">
        <f t="shared" ca="1" si="450"/>
        <v>9.7574067714855262E-3</v>
      </c>
      <c r="VW39" s="363">
        <f t="shared" ca="1" si="450"/>
        <v>1.012620553892643E-2</v>
      </c>
      <c r="VX39" s="363">
        <f t="shared" ca="1" si="450"/>
        <v>1.0365050403566341E-2</v>
      </c>
      <c r="VY39" s="363">
        <f t="shared" ca="1" si="450"/>
        <v>1.1994757691790259E-2</v>
      </c>
      <c r="VZ39" s="363">
        <f t="shared" ca="1" si="450"/>
        <v>1.1747699657385202E-2</v>
      </c>
      <c r="WA39" s="363">
        <f t="shared" ca="1" si="450"/>
        <v>9.718183865881861E-3</v>
      </c>
      <c r="WB39" s="363">
        <f t="shared" ca="1" si="450"/>
        <v>1.06698755868888E-2</v>
      </c>
      <c r="WC39" s="363">
        <f t="shared" ca="1" si="450"/>
        <v>1.1017643205291342E-2</v>
      </c>
      <c r="WD39" s="363">
        <f t="shared" ca="1" si="450"/>
        <v>9.8655964351657376E-3</v>
      </c>
      <c r="WE39" s="363">
        <f t="shared" ca="1" si="450"/>
        <v>1.0771798444940264E-2</v>
      </c>
      <c r="WF39" s="363">
        <f t="shared" ca="1" si="450"/>
        <v>1.1255078830840537E-2</v>
      </c>
      <c r="WG39" s="363">
        <f t="shared" ca="1" si="450"/>
        <v>1.1117598022826395E-2</v>
      </c>
      <c r="WH39" s="363">
        <f t="shared" ca="1" si="450"/>
        <v>9.0124008809589415E-3</v>
      </c>
      <c r="WI39" s="363">
        <f t="shared" ca="1" si="450"/>
        <v>1.094646604465593E-2</v>
      </c>
      <c r="WJ39" s="363">
        <f t="shared" ca="1" si="450"/>
        <v>1.1089893059594364E-2</v>
      </c>
      <c r="WK39" s="363">
        <f t="shared" ca="1" si="450"/>
        <v>1.3721411189385413E-2</v>
      </c>
      <c r="WL39" s="363">
        <f t="shared" ca="1" si="450"/>
        <v>9.3948856046924181E-3</v>
      </c>
      <c r="WM39" s="363">
        <f t="shared" ca="1" si="450"/>
        <v>1.1074594942681095E-2</v>
      </c>
      <c r="WN39" s="363">
        <f t="shared" ca="1" si="450"/>
        <v>1.072638024446637E-2</v>
      </c>
    </row>
    <row r="40" spans="2:612" x14ac:dyDescent="0.15">
      <c r="B40" s="469" t="s">
        <v>891</v>
      </c>
      <c r="C40" s="513"/>
      <c r="D40" s="457">
        <f t="shared" si="0"/>
        <v>2</v>
      </c>
      <c r="E40" s="510"/>
      <c r="F40" s="457">
        <v>2</v>
      </c>
      <c r="G40" s="457">
        <v>371619</v>
      </c>
      <c r="H40" s="457">
        <v>5.1020408163264782E-3</v>
      </c>
      <c r="I40" s="363">
        <f>LN(F40)-((H40^2)/2)</f>
        <v>0.69313416514969961</v>
      </c>
      <c r="J40" s="367">
        <f>SQRT( LN( 1 + (H40^2)/(F40^2) ) )</f>
        <v>2.5510162578394734E-3</v>
      </c>
      <c r="K40" s="367" t="s">
        <v>1274</v>
      </c>
      <c r="M40" s="363">
        <f ca="1">_xlfn.LOGNORM.INV(RAND(),$I$40,$J$40)</f>
        <v>2.0060275282808013</v>
      </c>
      <c r="N40" s="363">
        <f t="shared" ref="N40:BY40" ca="1" si="451">_xlfn.LOGNORM.INV(RAND(),$I$40,$J$40)</f>
        <v>2.0022565598538962</v>
      </c>
      <c r="O40" s="363">
        <f t="shared" ca="1" si="451"/>
        <v>1.996088101684522</v>
      </c>
      <c r="P40" s="363">
        <f t="shared" ca="1" si="451"/>
        <v>1.9989117787557935</v>
      </c>
      <c r="Q40" s="363">
        <f t="shared" ca="1" si="451"/>
        <v>2.0068561333996731</v>
      </c>
      <c r="R40" s="363">
        <f t="shared" ca="1" si="451"/>
        <v>2.0123259724367508</v>
      </c>
      <c r="S40" s="363">
        <f t="shared" ca="1" si="451"/>
        <v>1.9983188116691184</v>
      </c>
      <c r="T40" s="363">
        <f t="shared" ca="1" si="451"/>
        <v>1.9970308028427801</v>
      </c>
      <c r="U40" s="363">
        <f t="shared" ca="1" si="451"/>
        <v>2.0077430467622341</v>
      </c>
      <c r="V40" s="363">
        <f t="shared" ca="1" si="451"/>
        <v>1.9961540441551819</v>
      </c>
      <c r="W40" s="363">
        <f t="shared" ca="1" si="451"/>
        <v>2.0057767119813241</v>
      </c>
      <c r="X40" s="363">
        <f t="shared" ca="1" si="451"/>
        <v>1.9982774473839666</v>
      </c>
      <c r="Y40" s="363">
        <f t="shared" ca="1" si="451"/>
        <v>1.9920818757084189</v>
      </c>
      <c r="Z40" s="363">
        <f t="shared" ca="1" si="451"/>
        <v>1.9936096139148949</v>
      </c>
      <c r="AA40" s="363">
        <f t="shared" ca="1" si="451"/>
        <v>2.0010371858206035</v>
      </c>
      <c r="AB40" s="363">
        <f t="shared" ca="1" si="451"/>
        <v>2.0139716886444159</v>
      </c>
      <c r="AC40" s="363">
        <f t="shared" ca="1" si="451"/>
        <v>2.0077055202608087</v>
      </c>
      <c r="AD40" s="363">
        <f t="shared" ca="1" si="451"/>
        <v>1.9984281046922217</v>
      </c>
      <c r="AE40" s="363">
        <f t="shared" ca="1" si="451"/>
        <v>1.9915894847707791</v>
      </c>
      <c r="AF40" s="363">
        <f t="shared" ca="1" si="451"/>
        <v>2.0001472191931682</v>
      </c>
      <c r="AG40" s="363">
        <f t="shared" ca="1" si="451"/>
        <v>1.9955846830823618</v>
      </c>
      <c r="AH40" s="363">
        <f t="shared" ca="1" si="451"/>
        <v>1.9994139809822893</v>
      </c>
      <c r="AI40" s="363">
        <f t="shared" ca="1" si="451"/>
        <v>1.995800960163556</v>
      </c>
      <c r="AJ40" s="363">
        <f t="shared" ca="1" si="451"/>
        <v>2.0024635763658267</v>
      </c>
      <c r="AK40" s="363">
        <f t="shared" ca="1" si="451"/>
        <v>2.0024348640007363</v>
      </c>
      <c r="AL40" s="363">
        <f t="shared" ca="1" si="451"/>
        <v>2.0020035120886845</v>
      </c>
      <c r="AM40" s="363">
        <f t="shared" ca="1" si="451"/>
        <v>2.0044664597473978</v>
      </c>
      <c r="AN40" s="363">
        <f t="shared" ca="1" si="451"/>
        <v>1.9959769379544559</v>
      </c>
      <c r="AO40" s="363">
        <f t="shared" ca="1" si="451"/>
        <v>1.999756493451267</v>
      </c>
      <c r="AP40" s="363">
        <f t="shared" ca="1" si="451"/>
        <v>2.0036030545895183</v>
      </c>
      <c r="AQ40" s="363">
        <f t="shared" ca="1" si="451"/>
        <v>2.0041196285345602</v>
      </c>
      <c r="AR40" s="363">
        <f t="shared" ca="1" si="451"/>
        <v>1.9977562590186251</v>
      </c>
      <c r="AS40" s="363">
        <f t="shared" ca="1" si="451"/>
        <v>2.0069983216329574</v>
      </c>
      <c r="AT40" s="363">
        <f t="shared" ca="1" si="451"/>
        <v>2.0028271059588629</v>
      </c>
      <c r="AU40" s="363">
        <f t="shared" ca="1" si="451"/>
        <v>2.0007947774614636</v>
      </c>
      <c r="AV40" s="363">
        <f t="shared" ca="1" si="451"/>
        <v>2.0047132592789327</v>
      </c>
      <c r="AW40" s="363">
        <f t="shared" ca="1" si="451"/>
        <v>2.0043221681192898</v>
      </c>
      <c r="AX40" s="363">
        <f t="shared" ca="1" si="451"/>
        <v>2.001177893249888</v>
      </c>
      <c r="AY40" s="363">
        <f t="shared" ca="1" si="451"/>
        <v>1.9997572147582485</v>
      </c>
      <c r="AZ40" s="363">
        <f t="shared" ca="1" si="451"/>
        <v>2.0026888384434001</v>
      </c>
      <c r="BA40" s="363">
        <f t="shared" ca="1" si="451"/>
        <v>2.0001598117163333</v>
      </c>
      <c r="BB40" s="363">
        <f t="shared" ca="1" si="451"/>
        <v>2.0017650296972294</v>
      </c>
      <c r="BC40" s="363">
        <f t="shared" ca="1" si="451"/>
        <v>2.0014948083905519</v>
      </c>
      <c r="BD40" s="363">
        <f t="shared" ca="1" si="451"/>
        <v>1.9925221124931995</v>
      </c>
      <c r="BE40" s="363">
        <f t="shared" ca="1" si="451"/>
        <v>2.0007296539403501</v>
      </c>
      <c r="BF40" s="363">
        <f t="shared" ca="1" si="451"/>
        <v>1.9950481235793363</v>
      </c>
      <c r="BG40" s="363">
        <f t="shared" ca="1" si="451"/>
        <v>2.0032596556920725</v>
      </c>
      <c r="BH40" s="363">
        <f t="shared" ca="1" si="451"/>
        <v>1.9979122635549713</v>
      </c>
      <c r="BI40" s="363">
        <f t="shared" ca="1" si="451"/>
        <v>2.0036677318897547</v>
      </c>
      <c r="BJ40" s="363">
        <f t="shared" ca="1" si="451"/>
        <v>1.9964037946211266</v>
      </c>
      <c r="BK40" s="363">
        <f t="shared" ca="1" si="451"/>
        <v>2.0073375605119996</v>
      </c>
      <c r="BL40" s="363">
        <f t="shared" ca="1" si="451"/>
        <v>2.0017884297683719</v>
      </c>
      <c r="BM40" s="363">
        <f t="shared" ca="1" si="451"/>
        <v>2.0080959601337258</v>
      </c>
      <c r="BN40" s="363">
        <f t="shared" ca="1" si="451"/>
        <v>2.0028597929793008</v>
      </c>
      <c r="BO40" s="363">
        <f t="shared" ca="1" si="451"/>
        <v>1.9981341925855249</v>
      </c>
      <c r="BP40" s="363">
        <f t="shared" ca="1" si="451"/>
        <v>1.9932311949982737</v>
      </c>
      <c r="BQ40" s="363">
        <f t="shared" ca="1" si="451"/>
        <v>1.9950253603185684</v>
      </c>
      <c r="BR40" s="363">
        <f t="shared" ca="1" si="451"/>
        <v>1.9989029593532766</v>
      </c>
      <c r="BS40" s="363">
        <f t="shared" ca="1" si="451"/>
        <v>2.0042326969426796</v>
      </c>
      <c r="BT40" s="363">
        <f t="shared" ca="1" si="451"/>
        <v>1.997903087761739</v>
      </c>
      <c r="BU40" s="363">
        <f t="shared" ca="1" si="451"/>
        <v>1.9986532134553514</v>
      </c>
      <c r="BV40" s="363">
        <f t="shared" ca="1" si="451"/>
        <v>2.0013646389679458</v>
      </c>
      <c r="BW40" s="363">
        <f t="shared" ca="1" si="451"/>
        <v>1.9958203587946717</v>
      </c>
      <c r="BX40" s="363">
        <f t="shared" ca="1" si="451"/>
        <v>1.9954927946253898</v>
      </c>
      <c r="BY40" s="363">
        <f t="shared" ca="1" si="451"/>
        <v>2.0014765179234919</v>
      </c>
      <c r="BZ40" s="363">
        <f t="shared" ref="BZ40:DH40" ca="1" si="452">_xlfn.LOGNORM.INV(RAND(),$I$40,$J$40)</f>
        <v>2.0002203932239051</v>
      </c>
      <c r="CA40" s="363">
        <f t="shared" ca="1" si="452"/>
        <v>2.0003955952430466</v>
      </c>
      <c r="CB40" s="363">
        <f t="shared" ca="1" si="452"/>
        <v>2.000894413252055</v>
      </c>
      <c r="CC40" s="363">
        <f t="shared" ca="1" si="452"/>
        <v>2.0017299560856481</v>
      </c>
      <c r="CD40" s="363">
        <f t="shared" ca="1" si="452"/>
        <v>1.9979448784519138</v>
      </c>
      <c r="CE40" s="363">
        <f t="shared" ca="1" si="452"/>
        <v>1.995764830369241</v>
      </c>
      <c r="CF40" s="363">
        <f t="shared" ca="1" si="452"/>
        <v>1.9966820093556032</v>
      </c>
      <c r="CG40" s="363">
        <f t="shared" ca="1" si="452"/>
        <v>1.9993323926262403</v>
      </c>
      <c r="CH40" s="363">
        <f t="shared" ca="1" si="452"/>
        <v>2.0010367649359697</v>
      </c>
      <c r="CI40" s="363">
        <f t="shared" ca="1" si="452"/>
        <v>2.0025772580023831</v>
      </c>
      <c r="CJ40" s="363">
        <f t="shared" ca="1" si="452"/>
        <v>2.0010333048904432</v>
      </c>
      <c r="CK40" s="363">
        <f t="shared" ca="1" si="452"/>
        <v>2.004792056025003</v>
      </c>
      <c r="CL40" s="363">
        <f t="shared" ca="1" si="452"/>
        <v>2.0043791595071632</v>
      </c>
      <c r="CM40" s="363">
        <f t="shared" ca="1" si="452"/>
        <v>1.9936043394125855</v>
      </c>
      <c r="CN40" s="363">
        <f t="shared" ca="1" si="452"/>
        <v>2.0011560106251074</v>
      </c>
      <c r="CO40" s="363">
        <f t="shared" ca="1" si="452"/>
        <v>2.0012342680873454</v>
      </c>
      <c r="CP40" s="363">
        <f t="shared" ca="1" si="452"/>
        <v>1.9962581060757971</v>
      </c>
      <c r="CQ40" s="363">
        <f t="shared" ca="1" si="452"/>
        <v>1.9959301125115265</v>
      </c>
      <c r="CR40" s="363">
        <f t="shared" ca="1" si="452"/>
        <v>1.9964763811577289</v>
      </c>
      <c r="CS40" s="363">
        <f t="shared" ca="1" si="452"/>
        <v>1.9931892572005279</v>
      </c>
      <c r="CT40" s="363">
        <f t="shared" ca="1" si="452"/>
        <v>2.0078775150078521</v>
      </c>
      <c r="CU40" s="363">
        <f t="shared" ca="1" si="452"/>
        <v>2.0107284407674233</v>
      </c>
      <c r="CV40" s="363">
        <f t="shared" ca="1" si="452"/>
        <v>2.0040929904295486</v>
      </c>
      <c r="CW40" s="363">
        <f t="shared" ca="1" si="452"/>
        <v>1.9954160402356453</v>
      </c>
      <c r="CX40" s="363">
        <f t="shared" ca="1" si="452"/>
        <v>1.997092798497478</v>
      </c>
      <c r="CY40" s="363">
        <f t="shared" ca="1" si="452"/>
        <v>2.0091397766211161</v>
      </c>
      <c r="CZ40" s="363">
        <f t="shared" ca="1" si="452"/>
        <v>1.9989267839478035</v>
      </c>
      <c r="DA40" s="363">
        <f t="shared" ca="1" si="452"/>
        <v>2.000905631097738</v>
      </c>
      <c r="DB40" s="363">
        <f t="shared" ca="1" si="452"/>
        <v>2.0007895847589063</v>
      </c>
      <c r="DC40" s="363">
        <f t="shared" ca="1" si="452"/>
        <v>1.9976753656278494</v>
      </c>
      <c r="DD40" s="363">
        <f t="shared" ca="1" si="452"/>
        <v>2.0056083340647857</v>
      </c>
      <c r="DE40" s="363">
        <f t="shared" ca="1" si="452"/>
        <v>1.995034260799158</v>
      </c>
      <c r="DF40" s="363">
        <f t="shared" ca="1" si="452"/>
        <v>1.9911624742887881</v>
      </c>
      <c r="DG40" s="363">
        <f t="shared" ca="1" si="452"/>
        <v>2.0009055090832732</v>
      </c>
      <c r="DH40" s="363">
        <f t="shared" ca="1" si="452"/>
        <v>1.9951002609801876</v>
      </c>
      <c r="DI40" s="363">
        <f ca="1">_xlfn.LOGNORM.INV(RAND(),$I$40,$J$40)</f>
        <v>2.0071616700433905</v>
      </c>
      <c r="DJ40" s="363">
        <f t="shared" ref="DJ40:FU40" ca="1" si="453">_xlfn.LOGNORM.INV(RAND(),$I$40,$J$40)</f>
        <v>2.0064708675343326</v>
      </c>
      <c r="DK40" s="363">
        <f t="shared" ca="1" si="453"/>
        <v>2.0019399871208754</v>
      </c>
      <c r="DL40" s="363">
        <f t="shared" ca="1" si="453"/>
        <v>1.9924877206379243</v>
      </c>
      <c r="DM40" s="363">
        <f t="shared" ca="1" si="453"/>
        <v>2.0102050093268544</v>
      </c>
      <c r="DN40" s="363">
        <f t="shared" ca="1" si="453"/>
        <v>1.9933067530613955</v>
      </c>
      <c r="DO40" s="363">
        <f t="shared" ca="1" si="453"/>
        <v>1.9969308978684208</v>
      </c>
      <c r="DP40" s="363">
        <f t="shared" ca="1" si="453"/>
        <v>1.9920534771470924</v>
      </c>
      <c r="DQ40" s="363">
        <f t="shared" ca="1" si="453"/>
        <v>2.0015149563961776</v>
      </c>
      <c r="DR40" s="363">
        <f t="shared" ca="1" si="453"/>
        <v>2.0017107894602315</v>
      </c>
      <c r="DS40" s="363">
        <f t="shared" ca="1" si="453"/>
        <v>1.9946710482271952</v>
      </c>
      <c r="DT40" s="363">
        <f t="shared" ca="1" si="453"/>
        <v>2.0030374468211605</v>
      </c>
      <c r="DU40" s="363">
        <f t="shared" ca="1" si="453"/>
        <v>2.004625094363115</v>
      </c>
      <c r="DV40" s="363">
        <f t="shared" ca="1" si="453"/>
        <v>2.0002261542925637</v>
      </c>
      <c r="DW40" s="363">
        <f t="shared" ca="1" si="453"/>
        <v>2.0088735807072524</v>
      </c>
      <c r="DX40" s="363">
        <f t="shared" ca="1" si="453"/>
        <v>1.9958674541033803</v>
      </c>
      <c r="DY40" s="363">
        <f t="shared" ca="1" si="453"/>
        <v>1.9982545446400042</v>
      </c>
      <c r="DZ40" s="363">
        <f t="shared" ca="1" si="453"/>
        <v>1.9932445140979556</v>
      </c>
      <c r="EA40" s="363">
        <f t="shared" ca="1" si="453"/>
        <v>2.0009145355368245</v>
      </c>
      <c r="EB40" s="363">
        <f t="shared" ca="1" si="453"/>
        <v>2.0108341983438196</v>
      </c>
      <c r="EC40" s="363">
        <f t="shared" ca="1" si="453"/>
        <v>1.9926310292375169</v>
      </c>
      <c r="ED40" s="363">
        <f t="shared" ca="1" si="453"/>
        <v>1.9951490636158642</v>
      </c>
      <c r="EE40" s="363">
        <f t="shared" ca="1" si="453"/>
        <v>1.9875440349122822</v>
      </c>
      <c r="EF40" s="363">
        <f t="shared" ca="1" si="453"/>
        <v>2.0064291151551492</v>
      </c>
      <c r="EG40" s="363">
        <f t="shared" ca="1" si="453"/>
        <v>2.0028110960151868</v>
      </c>
      <c r="EH40" s="363">
        <f t="shared" ca="1" si="453"/>
        <v>2.0056563951324851</v>
      </c>
      <c r="EI40" s="363">
        <f t="shared" ca="1" si="453"/>
        <v>1.9937326899556826</v>
      </c>
      <c r="EJ40" s="363">
        <f t="shared" ca="1" si="453"/>
        <v>2.0006643519579796</v>
      </c>
      <c r="EK40" s="363">
        <f t="shared" ca="1" si="453"/>
        <v>1.9999050138597123</v>
      </c>
      <c r="EL40" s="363">
        <f t="shared" ca="1" si="453"/>
        <v>2.0129296758987283</v>
      </c>
      <c r="EM40" s="363">
        <f t="shared" ca="1" si="453"/>
        <v>2.006310218807513</v>
      </c>
      <c r="EN40" s="363">
        <f t="shared" ca="1" si="453"/>
        <v>2.0016254030562171</v>
      </c>
      <c r="EO40" s="363">
        <f t="shared" ca="1" si="453"/>
        <v>1.9969866263735598</v>
      </c>
      <c r="EP40" s="363">
        <f t="shared" ca="1" si="453"/>
        <v>1.9938830078376455</v>
      </c>
      <c r="EQ40" s="363">
        <f t="shared" ca="1" si="453"/>
        <v>2.0061717938088188</v>
      </c>
      <c r="ER40" s="363">
        <f t="shared" ca="1" si="453"/>
        <v>2.000823360811939</v>
      </c>
      <c r="ES40" s="363">
        <f t="shared" ca="1" si="453"/>
        <v>1.9946427641936559</v>
      </c>
      <c r="ET40" s="363">
        <f t="shared" ca="1" si="453"/>
        <v>2.0011362264822408</v>
      </c>
      <c r="EU40" s="363">
        <f t="shared" ca="1" si="453"/>
        <v>2.0030759585303546</v>
      </c>
      <c r="EV40" s="363">
        <f t="shared" ca="1" si="453"/>
        <v>1.9939304981178028</v>
      </c>
      <c r="EW40" s="363">
        <f t="shared" ca="1" si="453"/>
        <v>2.0012064508972975</v>
      </c>
      <c r="EX40" s="363">
        <f t="shared" ca="1" si="453"/>
        <v>2.0024142372457505</v>
      </c>
      <c r="EY40" s="363">
        <f t="shared" ca="1" si="453"/>
        <v>1.997547354573959</v>
      </c>
      <c r="EZ40" s="363">
        <f t="shared" ca="1" si="453"/>
        <v>2.0014691349006162</v>
      </c>
      <c r="FA40" s="363">
        <f t="shared" ca="1" si="453"/>
        <v>2.0041336276843986</v>
      </c>
      <c r="FB40" s="363">
        <f t="shared" ca="1" si="453"/>
        <v>2.0039169919057471</v>
      </c>
      <c r="FC40" s="363">
        <f t="shared" ca="1" si="453"/>
        <v>1.9968121534622056</v>
      </c>
      <c r="FD40" s="363">
        <f t="shared" ca="1" si="453"/>
        <v>2.0016476445059532</v>
      </c>
      <c r="FE40" s="363">
        <f t="shared" ca="1" si="453"/>
        <v>1.994518030080761</v>
      </c>
      <c r="FF40" s="363">
        <f t="shared" ca="1" si="453"/>
        <v>1.9952637664071822</v>
      </c>
      <c r="FG40" s="363">
        <f t="shared" ca="1" si="453"/>
        <v>1.9992060523056778</v>
      </c>
      <c r="FH40" s="363">
        <f t="shared" ca="1" si="453"/>
        <v>1.9884754608362849</v>
      </c>
      <c r="FI40" s="363">
        <f t="shared" ca="1" si="453"/>
        <v>1.9867007218948445</v>
      </c>
      <c r="FJ40" s="363">
        <f t="shared" ca="1" si="453"/>
        <v>2.0039942302014868</v>
      </c>
      <c r="FK40" s="363">
        <f t="shared" ca="1" si="453"/>
        <v>1.9974786873356078</v>
      </c>
      <c r="FL40" s="363">
        <f t="shared" ca="1" si="453"/>
        <v>2.0042479008996716</v>
      </c>
      <c r="FM40" s="363">
        <f t="shared" ca="1" si="453"/>
        <v>1.9981532264005075</v>
      </c>
      <c r="FN40" s="363">
        <f t="shared" ca="1" si="453"/>
        <v>1.9994320906374978</v>
      </c>
      <c r="FO40" s="363">
        <f t="shared" ca="1" si="453"/>
        <v>1.9878965165660767</v>
      </c>
      <c r="FP40" s="363">
        <f t="shared" ca="1" si="453"/>
        <v>1.9970139083353822</v>
      </c>
      <c r="FQ40" s="363">
        <f t="shared" ca="1" si="453"/>
        <v>2.0012813061919812</v>
      </c>
      <c r="FR40" s="363">
        <f t="shared" ca="1" si="453"/>
        <v>1.9929547031481907</v>
      </c>
      <c r="FS40" s="363">
        <f t="shared" ca="1" si="453"/>
        <v>1.99511294707413</v>
      </c>
      <c r="FT40" s="363">
        <f t="shared" ca="1" si="453"/>
        <v>1.9938368833134652</v>
      </c>
      <c r="FU40" s="363">
        <f t="shared" ca="1" si="453"/>
        <v>1.997695128749081</v>
      </c>
      <c r="FV40" s="363">
        <f t="shared" ref="FV40:HD40" ca="1" si="454">_xlfn.LOGNORM.INV(RAND(),$I$40,$J$40)</f>
        <v>1.9976634253896433</v>
      </c>
      <c r="FW40" s="363">
        <f t="shared" ca="1" si="454"/>
        <v>1.9973491663291252</v>
      </c>
      <c r="FX40" s="363">
        <f t="shared" ca="1" si="454"/>
        <v>1.9965044530738416</v>
      </c>
      <c r="FY40" s="363">
        <f t="shared" ca="1" si="454"/>
        <v>1.9952593788633173</v>
      </c>
      <c r="FZ40" s="363">
        <f t="shared" ca="1" si="454"/>
        <v>2.0011007780571739</v>
      </c>
      <c r="GA40" s="363">
        <f t="shared" ca="1" si="454"/>
        <v>1.9995330551326072</v>
      </c>
      <c r="GB40" s="363">
        <f t="shared" ca="1" si="454"/>
        <v>2.0040226227188631</v>
      </c>
      <c r="GC40" s="363">
        <f t="shared" ca="1" si="454"/>
        <v>2.0039961515039737</v>
      </c>
      <c r="GD40" s="363">
        <f t="shared" ca="1" si="454"/>
        <v>1.9950205531592344</v>
      </c>
      <c r="GE40" s="363">
        <f t="shared" ca="1" si="454"/>
        <v>2.0038571648192547</v>
      </c>
      <c r="GF40" s="363">
        <f t="shared" ca="1" si="454"/>
        <v>2.004654870814834</v>
      </c>
      <c r="GG40" s="363">
        <f t="shared" ca="1" si="454"/>
        <v>1.9880702028721045</v>
      </c>
      <c r="GH40" s="363">
        <f t="shared" ca="1" si="454"/>
        <v>1.9985422109614639</v>
      </c>
      <c r="GI40" s="363">
        <f t="shared" ca="1" si="454"/>
        <v>1.9987680047358716</v>
      </c>
      <c r="GJ40" s="363">
        <f t="shared" ca="1" si="454"/>
        <v>2.005710719383571</v>
      </c>
      <c r="GK40" s="363">
        <f t="shared" ca="1" si="454"/>
        <v>1.9988706762730211</v>
      </c>
      <c r="GL40" s="363">
        <f t="shared" ca="1" si="454"/>
        <v>1.9985306556536064</v>
      </c>
      <c r="GM40" s="363">
        <f t="shared" ca="1" si="454"/>
        <v>1.9986374063049319</v>
      </c>
      <c r="GN40" s="363">
        <f t="shared" ca="1" si="454"/>
        <v>2.0014049070036322</v>
      </c>
      <c r="GO40" s="363">
        <f t="shared" ca="1" si="454"/>
        <v>2.0051569203078361</v>
      </c>
      <c r="GP40" s="363">
        <f t="shared" ca="1" si="454"/>
        <v>2.0022760402337569</v>
      </c>
      <c r="GQ40" s="363">
        <f t="shared" ca="1" si="454"/>
        <v>2.0061465034972068</v>
      </c>
      <c r="GR40" s="363">
        <f t="shared" ca="1" si="454"/>
        <v>1.9929253880585167</v>
      </c>
      <c r="GS40" s="363">
        <f t="shared" ca="1" si="454"/>
        <v>2.0042474796608127</v>
      </c>
      <c r="GT40" s="363">
        <f t="shared" ca="1" si="454"/>
        <v>2.0002566740812164</v>
      </c>
      <c r="GU40" s="363">
        <f t="shared" ca="1" si="454"/>
        <v>1.9997617067016211</v>
      </c>
      <c r="GV40" s="363">
        <f t="shared" ca="1" si="454"/>
        <v>2.0038710261012747</v>
      </c>
      <c r="GW40" s="363">
        <f t="shared" ca="1" si="454"/>
        <v>1.9965948673248999</v>
      </c>
      <c r="GX40" s="363">
        <f t="shared" ca="1" si="454"/>
        <v>1.9932923610495261</v>
      </c>
      <c r="GY40" s="363">
        <f t="shared" ca="1" si="454"/>
        <v>2.0009368275351647</v>
      </c>
      <c r="GZ40" s="363">
        <f t="shared" ca="1" si="454"/>
        <v>1.9993446855950734</v>
      </c>
      <c r="HA40" s="363">
        <f t="shared" ca="1" si="454"/>
        <v>1.9976426673136829</v>
      </c>
      <c r="HB40" s="363">
        <f t="shared" ca="1" si="454"/>
        <v>2.0091550538082106</v>
      </c>
      <c r="HC40" s="363">
        <f t="shared" ca="1" si="454"/>
        <v>1.994417539336127</v>
      </c>
      <c r="HD40" s="363">
        <f t="shared" ca="1" si="454"/>
        <v>1.9998581837469906</v>
      </c>
      <c r="HE40" s="363">
        <f ca="1">_xlfn.LOGNORM.INV(RAND(),$I$40,$J$40)</f>
        <v>2.0038955860578156</v>
      </c>
      <c r="HF40" s="363">
        <f t="shared" ref="HF40:JQ40" ca="1" si="455">_xlfn.LOGNORM.INV(RAND(),$I$40,$J$40)</f>
        <v>2.0026710438174153</v>
      </c>
      <c r="HG40" s="363">
        <f t="shared" ca="1" si="455"/>
        <v>2.00990431997353</v>
      </c>
      <c r="HH40" s="363">
        <f t="shared" ca="1" si="455"/>
        <v>1.9958561654705653</v>
      </c>
      <c r="HI40" s="363">
        <f t="shared" ca="1" si="455"/>
        <v>2.001977022112909</v>
      </c>
      <c r="HJ40" s="363">
        <f t="shared" ca="1" si="455"/>
        <v>1.9996026050063149</v>
      </c>
      <c r="HK40" s="363">
        <f t="shared" ca="1" si="455"/>
        <v>1.998818192140756</v>
      </c>
      <c r="HL40" s="363">
        <f t="shared" ca="1" si="455"/>
        <v>2.0096715101512599</v>
      </c>
      <c r="HM40" s="363">
        <f t="shared" ca="1" si="455"/>
        <v>1.9950734824727956</v>
      </c>
      <c r="HN40" s="363">
        <f t="shared" ca="1" si="455"/>
        <v>2.0023775003711877</v>
      </c>
      <c r="HO40" s="363">
        <f t="shared" ca="1" si="455"/>
        <v>2.0090774863710319</v>
      </c>
      <c r="HP40" s="363">
        <f t="shared" ca="1" si="455"/>
        <v>1.9955906907559227</v>
      </c>
      <c r="HQ40" s="363">
        <f t="shared" ca="1" si="455"/>
        <v>2.001044951078117</v>
      </c>
      <c r="HR40" s="363">
        <f t="shared" ca="1" si="455"/>
        <v>1.9976592914506992</v>
      </c>
      <c r="HS40" s="363">
        <f t="shared" ca="1" si="455"/>
        <v>1.9939829355047418</v>
      </c>
      <c r="HT40" s="363">
        <f t="shared" ca="1" si="455"/>
        <v>2.0009048319101965</v>
      </c>
      <c r="HU40" s="363">
        <f t="shared" ca="1" si="455"/>
        <v>1.9968621760827288</v>
      </c>
      <c r="HV40" s="363">
        <f t="shared" ca="1" si="455"/>
        <v>1.994934481479675</v>
      </c>
      <c r="HW40" s="363">
        <f t="shared" ca="1" si="455"/>
        <v>2.0032306515220224</v>
      </c>
      <c r="HX40" s="363">
        <f t="shared" ca="1" si="455"/>
        <v>2.0035856891316279</v>
      </c>
      <c r="HY40" s="363">
        <f t="shared" ca="1" si="455"/>
        <v>2.0001260177834208</v>
      </c>
      <c r="HZ40" s="363">
        <f t="shared" ca="1" si="455"/>
        <v>1.9998827098205125</v>
      </c>
      <c r="IA40" s="363">
        <f t="shared" ca="1" si="455"/>
        <v>2.0037615074155295</v>
      </c>
      <c r="IB40" s="363">
        <f t="shared" ca="1" si="455"/>
        <v>2.0048315686948017</v>
      </c>
      <c r="IC40" s="363">
        <f t="shared" ca="1" si="455"/>
        <v>2.0027732433603966</v>
      </c>
      <c r="ID40" s="363">
        <f t="shared" ca="1" si="455"/>
        <v>2.0103373538446427</v>
      </c>
      <c r="IE40" s="363">
        <f t="shared" ca="1" si="455"/>
        <v>2.0034393347799755</v>
      </c>
      <c r="IF40" s="363">
        <f t="shared" ca="1" si="455"/>
        <v>1.9965489931621492</v>
      </c>
      <c r="IG40" s="363">
        <f t="shared" ca="1" si="455"/>
        <v>2.0012002427633848</v>
      </c>
      <c r="IH40" s="363">
        <f t="shared" ca="1" si="455"/>
        <v>2.0031571986450429</v>
      </c>
      <c r="II40" s="363">
        <f t="shared" ca="1" si="455"/>
        <v>2.0005422012042775</v>
      </c>
      <c r="IJ40" s="363">
        <f t="shared" ca="1" si="455"/>
        <v>2.0019011697867763</v>
      </c>
      <c r="IK40" s="363">
        <f t="shared" ca="1" si="455"/>
        <v>2.0096155240035389</v>
      </c>
      <c r="IL40" s="363">
        <f t="shared" ca="1" si="455"/>
        <v>2.0017190157813443</v>
      </c>
      <c r="IM40" s="363">
        <f t="shared" ca="1" si="455"/>
        <v>2.0052527264647271</v>
      </c>
      <c r="IN40" s="363">
        <f t="shared" ca="1" si="455"/>
        <v>1.9936793594209659</v>
      </c>
      <c r="IO40" s="363">
        <f t="shared" ca="1" si="455"/>
        <v>2.0014683637680513</v>
      </c>
      <c r="IP40" s="363">
        <f t="shared" ca="1" si="455"/>
        <v>1.9969749038536124</v>
      </c>
      <c r="IQ40" s="363">
        <f t="shared" ca="1" si="455"/>
        <v>1.9984831588167038</v>
      </c>
      <c r="IR40" s="363">
        <f t="shared" ca="1" si="455"/>
        <v>1.992702511809932</v>
      </c>
      <c r="IS40" s="363">
        <f t="shared" ca="1" si="455"/>
        <v>1.9953085556038175</v>
      </c>
      <c r="IT40" s="363">
        <f t="shared" ca="1" si="455"/>
        <v>2.0031447377368932</v>
      </c>
      <c r="IU40" s="363">
        <f t="shared" ca="1" si="455"/>
        <v>2.0070179891826379</v>
      </c>
      <c r="IV40" s="363">
        <f t="shared" ca="1" si="455"/>
        <v>2.0045516790031117</v>
      </c>
      <c r="IW40" s="363">
        <f t="shared" ca="1" si="455"/>
        <v>2.0035050543746995</v>
      </c>
      <c r="IX40" s="363">
        <f t="shared" ca="1" si="455"/>
        <v>1.9868487003422599</v>
      </c>
      <c r="IY40" s="363">
        <f t="shared" ca="1" si="455"/>
        <v>1.9982584350247754</v>
      </c>
      <c r="IZ40" s="363">
        <f t="shared" ca="1" si="455"/>
        <v>2.001387544795842</v>
      </c>
      <c r="JA40" s="363">
        <f t="shared" ca="1" si="455"/>
        <v>1.9988841472754328</v>
      </c>
      <c r="JB40" s="363">
        <f t="shared" ca="1" si="455"/>
        <v>1.9957160223143497</v>
      </c>
      <c r="JC40" s="363">
        <f t="shared" ca="1" si="455"/>
        <v>1.9902956756942447</v>
      </c>
      <c r="JD40" s="363">
        <f t="shared" ca="1" si="455"/>
        <v>2.0004863755105595</v>
      </c>
      <c r="JE40" s="363">
        <f t="shared" ca="1" si="455"/>
        <v>2.0042899691257889</v>
      </c>
      <c r="JF40" s="363">
        <f t="shared" ca="1" si="455"/>
        <v>2.0017302006844888</v>
      </c>
      <c r="JG40" s="363">
        <f t="shared" ca="1" si="455"/>
        <v>2.0021213684099473</v>
      </c>
      <c r="JH40" s="363">
        <f t="shared" ca="1" si="455"/>
        <v>1.9871332349720887</v>
      </c>
      <c r="JI40" s="363">
        <f t="shared" ca="1" si="455"/>
        <v>1.9922993764711041</v>
      </c>
      <c r="JJ40" s="363">
        <f t="shared" ca="1" si="455"/>
        <v>2.0030810383377036</v>
      </c>
      <c r="JK40" s="363">
        <f t="shared" ca="1" si="455"/>
        <v>1.994934809022429</v>
      </c>
      <c r="JL40" s="363">
        <f t="shared" ca="1" si="455"/>
        <v>1.9927664202916675</v>
      </c>
      <c r="JM40" s="363">
        <f t="shared" ca="1" si="455"/>
        <v>1.995024700219918</v>
      </c>
      <c r="JN40" s="363">
        <f t="shared" ca="1" si="455"/>
        <v>2.0072981768713021</v>
      </c>
      <c r="JO40" s="363">
        <f t="shared" ca="1" si="455"/>
        <v>1.996630460002129</v>
      </c>
      <c r="JP40" s="363">
        <f t="shared" ca="1" si="455"/>
        <v>1.9941225250096661</v>
      </c>
      <c r="JQ40" s="363">
        <f t="shared" ca="1" si="455"/>
        <v>1.9964004725675077</v>
      </c>
      <c r="JR40" s="363">
        <f t="shared" ref="JR40:KZ40" ca="1" si="456">_xlfn.LOGNORM.INV(RAND(),$I$40,$J$40)</f>
        <v>2.0066570921099256</v>
      </c>
      <c r="JS40" s="363">
        <f t="shared" ca="1" si="456"/>
        <v>2.0059645508477719</v>
      </c>
      <c r="JT40" s="363">
        <f t="shared" ca="1" si="456"/>
        <v>1.9870440881772464</v>
      </c>
      <c r="JU40" s="363">
        <f t="shared" ca="1" si="456"/>
        <v>1.9988245779626985</v>
      </c>
      <c r="JV40" s="363">
        <f t="shared" ca="1" si="456"/>
        <v>1.9970605206189052</v>
      </c>
      <c r="JW40" s="363">
        <f t="shared" ca="1" si="456"/>
        <v>1.9938262717756883</v>
      </c>
      <c r="JX40" s="363">
        <f t="shared" ca="1" si="456"/>
        <v>1.9942531634036704</v>
      </c>
      <c r="JY40" s="363">
        <f t="shared" ca="1" si="456"/>
        <v>2.0049602788427419</v>
      </c>
      <c r="JZ40" s="363">
        <f t="shared" ca="1" si="456"/>
        <v>1.9968102246949937</v>
      </c>
      <c r="KA40" s="363">
        <f t="shared" ca="1" si="456"/>
        <v>2.0039961730834173</v>
      </c>
      <c r="KB40" s="363">
        <f t="shared" ca="1" si="456"/>
        <v>1.999210754368729</v>
      </c>
      <c r="KC40" s="363">
        <f t="shared" ca="1" si="456"/>
        <v>1.9976103014193254</v>
      </c>
      <c r="KD40" s="363">
        <f t="shared" ca="1" si="456"/>
        <v>1.9966062082996785</v>
      </c>
      <c r="KE40" s="363">
        <f t="shared" ca="1" si="456"/>
        <v>1.9987390091635511</v>
      </c>
      <c r="KF40" s="363">
        <f t="shared" ca="1" si="456"/>
        <v>2.0016660873650158</v>
      </c>
      <c r="KG40" s="363">
        <f t="shared" ca="1" si="456"/>
        <v>1.998138527953941</v>
      </c>
      <c r="KH40" s="363">
        <f t="shared" ca="1" si="456"/>
        <v>1.9950592611588216</v>
      </c>
      <c r="KI40" s="363">
        <f t="shared" ca="1" si="456"/>
        <v>2.002087206509445</v>
      </c>
      <c r="KJ40" s="363">
        <f t="shared" ca="1" si="456"/>
        <v>1.9987861134246048</v>
      </c>
      <c r="KK40" s="363">
        <f t="shared" ca="1" si="456"/>
        <v>1.9970985229967775</v>
      </c>
      <c r="KL40" s="363">
        <f t="shared" ca="1" si="456"/>
        <v>1.9962961386277938</v>
      </c>
      <c r="KM40" s="363">
        <f t="shared" ca="1" si="456"/>
        <v>1.9977471677544536</v>
      </c>
      <c r="KN40" s="363">
        <f t="shared" ca="1" si="456"/>
        <v>2.0024836373696866</v>
      </c>
      <c r="KO40" s="363">
        <f t="shared" ca="1" si="456"/>
        <v>2.0022579437273937</v>
      </c>
      <c r="KP40" s="363">
        <f t="shared" ca="1" si="456"/>
        <v>1.998134196122346</v>
      </c>
      <c r="KQ40" s="363">
        <f t="shared" ca="1" si="456"/>
        <v>1.9992184433853235</v>
      </c>
      <c r="KR40" s="363">
        <f t="shared" ca="1" si="456"/>
        <v>1.9911521602293338</v>
      </c>
      <c r="KS40" s="363">
        <f t="shared" ca="1" si="456"/>
        <v>2.0101927762903982</v>
      </c>
      <c r="KT40" s="363">
        <f t="shared" ca="1" si="456"/>
        <v>2.0013177972830527</v>
      </c>
      <c r="KU40" s="363">
        <f t="shared" ca="1" si="456"/>
        <v>1.9917345973242286</v>
      </c>
      <c r="KV40" s="363">
        <f t="shared" ca="1" si="456"/>
        <v>2.0027023601448284</v>
      </c>
      <c r="KW40" s="363">
        <f t="shared" ca="1" si="456"/>
        <v>2.0022409193052138</v>
      </c>
      <c r="KX40" s="363">
        <f t="shared" ca="1" si="456"/>
        <v>2.0088416325124139</v>
      </c>
      <c r="KY40" s="363">
        <f t="shared" ca="1" si="456"/>
        <v>2.0045850915201435</v>
      </c>
      <c r="KZ40" s="363">
        <f t="shared" ca="1" si="456"/>
        <v>1.9981688570693015</v>
      </c>
      <c r="LA40" s="363">
        <f ca="1">_xlfn.LOGNORM.INV(RAND(),$I$40,$J$40)</f>
        <v>2.0011404907903656</v>
      </c>
      <c r="LB40" s="363">
        <f t="shared" ref="LB40:NM40" ca="1" si="457">_xlfn.LOGNORM.INV(RAND(),$I$40,$J$40)</f>
        <v>1.9986216596240782</v>
      </c>
      <c r="LC40" s="363">
        <f t="shared" ca="1" si="457"/>
        <v>1.996680777193891</v>
      </c>
      <c r="LD40" s="363">
        <f t="shared" ca="1" si="457"/>
        <v>2.0004927019082919</v>
      </c>
      <c r="LE40" s="363">
        <f t="shared" ca="1" si="457"/>
        <v>2.0080173242100035</v>
      </c>
      <c r="LF40" s="363">
        <f t="shared" ca="1" si="457"/>
        <v>1.9916927347112359</v>
      </c>
      <c r="LG40" s="363">
        <f t="shared" ca="1" si="457"/>
        <v>2.0003203888400276</v>
      </c>
      <c r="LH40" s="363">
        <f t="shared" ca="1" si="457"/>
        <v>1.9945040800503535</v>
      </c>
      <c r="LI40" s="363">
        <f t="shared" ca="1" si="457"/>
        <v>1.9927995770915972</v>
      </c>
      <c r="LJ40" s="363">
        <f t="shared" ca="1" si="457"/>
        <v>1.9918331620662297</v>
      </c>
      <c r="LK40" s="363">
        <f t="shared" ca="1" si="457"/>
        <v>1.9913611933251765</v>
      </c>
      <c r="LL40" s="363">
        <f t="shared" ca="1" si="457"/>
        <v>2.000672846296669</v>
      </c>
      <c r="LM40" s="363">
        <f t="shared" ca="1" si="457"/>
        <v>1.9957290650412052</v>
      </c>
      <c r="LN40" s="363">
        <f t="shared" ca="1" si="457"/>
        <v>1.9949029749931817</v>
      </c>
      <c r="LO40" s="363">
        <f t="shared" ca="1" si="457"/>
        <v>1.9959143515430071</v>
      </c>
      <c r="LP40" s="363">
        <f t="shared" ca="1" si="457"/>
        <v>1.994156037423874</v>
      </c>
      <c r="LQ40" s="363">
        <f t="shared" ca="1" si="457"/>
        <v>1.9925565428276453</v>
      </c>
      <c r="LR40" s="363">
        <f t="shared" ca="1" si="457"/>
        <v>2.0168353102385468</v>
      </c>
      <c r="LS40" s="363">
        <f t="shared" ca="1" si="457"/>
        <v>2.0015097951005298</v>
      </c>
      <c r="LT40" s="363">
        <f t="shared" ca="1" si="457"/>
        <v>2.0006473236116213</v>
      </c>
      <c r="LU40" s="363">
        <f t="shared" ca="1" si="457"/>
        <v>1.9903163277871854</v>
      </c>
      <c r="LV40" s="363">
        <f t="shared" ca="1" si="457"/>
        <v>1.9976791804213934</v>
      </c>
      <c r="LW40" s="363">
        <f t="shared" ca="1" si="457"/>
        <v>2.0075879035729112</v>
      </c>
      <c r="LX40" s="363">
        <f t="shared" ca="1" si="457"/>
        <v>2.0093434705090392</v>
      </c>
      <c r="LY40" s="363">
        <f t="shared" ca="1" si="457"/>
        <v>2.0087295840846813</v>
      </c>
      <c r="LZ40" s="363">
        <f t="shared" ca="1" si="457"/>
        <v>1.9971073228298832</v>
      </c>
      <c r="MA40" s="363">
        <f t="shared" ca="1" si="457"/>
        <v>2.0023342105876223</v>
      </c>
      <c r="MB40" s="363">
        <f t="shared" ca="1" si="457"/>
        <v>1.9993759746644659</v>
      </c>
      <c r="MC40" s="363">
        <f t="shared" ca="1" si="457"/>
        <v>2.0019068530657518</v>
      </c>
      <c r="MD40" s="363">
        <f t="shared" ca="1" si="457"/>
        <v>2.0036883997709332</v>
      </c>
      <c r="ME40" s="363">
        <f t="shared" ca="1" si="457"/>
        <v>1.9933494984794276</v>
      </c>
      <c r="MF40" s="363">
        <f t="shared" ca="1" si="457"/>
        <v>2.0038795097682889</v>
      </c>
      <c r="MG40" s="363">
        <f t="shared" ca="1" si="457"/>
        <v>2.0102838547203299</v>
      </c>
      <c r="MH40" s="363">
        <f t="shared" ca="1" si="457"/>
        <v>2.0065594874654464</v>
      </c>
      <c r="MI40" s="363">
        <f t="shared" ca="1" si="457"/>
        <v>1.995342162714633</v>
      </c>
      <c r="MJ40" s="363">
        <f t="shared" ca="1" si="457"/>
        <v>1.9934761721176615</v>
      </c>
      <c r="MK40" s="363">
        <f t="shared" ca="1" si="457"/>
        <v>1.9994814058026391</v>
      </c>
      <c r="ML40" s="363">
        <f t="shared" ca="1" si="457"/>
        <v>2.0082929173128976</v>
      </c>
      <c r="MM40" s="363">
        <f t="shared" ca="1" si="457"/>
        <v>1.9925514421723236</v>
      </c>
      <c r="MN40" s="363">
        <f t="shared" ca="1" si="457"/>
        <v>1.9994668996443024</v>
      </c>
      <c r="MO40" s="363">
        <f t="shared" ca="1" si="457"/>
        <v>2.0053321059928666</v>
      </c>
      <c r="MP40" s="363">
        <f t="shared" ca="1" si="457"/>
        <v>1.9879220322114508</v>
      </c>
      <c r="MQ40" s="363">
        <f t="shared" ca="1" si="457"/>
        <v>1.994685655979626</v>
      </c>
      <c r="MR40" s="363">
        <f t="shared" ca="1" si="457"/>
        <v>2.0094655216679671</v>
      </c>
      <c r="MS40" s="363">
        <f t="shared" ca="1" si="457"/>
        <v>2.0002711857787179</v>
      </c>
      <c r="MT40" s="363">
        <f t="shared" ca="1" si="457"/>
        <v>2.0066323537311419</v>
      </c>
      <c r="MU40" s="363">
        <f t="shared" ca="1" si="457"/>
        <v>2.0012090174238666</v>
      </c>
      <c r="MV40" s="363">
        <f t="shared" ca="1" si="457"/>
        <v>1.9990252183713719</v>
      </c>
      <c r="MW40" s="363">
        <f t="shared" ca="1" si="457"/>
        <v>2.0022367586212559</v>
      </c>
      <c r="MX40" s="363">
        <f t="shared" ca="1" si="457"/>
        <v>2.0019135992703276</v>
      </c>
      <c r="MY40" s="363">
        <f t="shared" ca="1" si="457"/>
        <v>2.0012643805340313</v>
      </c>
      <c r="MZ40" s="363">
        <f t="shared" ca="1" si="457"/>
        <v>2.0029961001283252</v>
      </c>
      <c r="NA40" s="363">
        <f t="shared" ca="1" si="457"/>
        <v>1.9964432500148237</v>
      </c>
      <c r="NB40" s="363">
        <f t="shared" ca="1" si="457"/>
        <v>1.9960016584689353</v>
      </c>
      <c r="NC40" s="363">
        <f t="shared" ca="1" si="457"/>
        <v>2.0052927496063497</v>
      </c>
      <c r="ND40" s="363">
        <f t="shared" ca="1" si="457"/>
        <v>1.9952655192255841</v>
      </c>
      <c r="NE40" s="363">
        <f t="shared" ca="1" si="457"/>
        <v>2.0072958183067318</v>
      </c>
      <c r="NF40" s="363">
        <f t="shared" ca="1" si="457"/>
        <v>2.0002050712700266</v>
      </c>
      <c r="NG40" s="363">
        <f t="shared" ca="1" si="457"/>
        <v>1.9952935822486204</v>
      </c>
      <c r="NH40" s="363">
        <f t="shared" ca="1" si="457"/>
        <v>1.9944279262745397</v>
      </c>
      <c r="NI40" s="363">
        <f t="shared" ca="1" si="457"/>
        <v>1.9913065063428468</v>
      </c>
      <c r="NJ40" s="363">
        <f t="shared" ca="1" si="457"/>
        <v>1.9976390982688785</v>
      </c>
      <c r="NK40" s="363">
        <f t="shared" ca="1" si="457"/>
        <v>1.9968274873797716</v>
      </c>
      <c r="NL40" s="363">
        <f t="shared" ca="1" si="457"/>
        <v>1.9953715538125636</v>
      </c>
      <c r="NM40" s="363">
        <f t="shared" ca="1" si="457"/>
        <v>2.0012607602091608</v>
      </c>
      <c r="NN40" s="363">
        <f t="shared" ref="NN40:OV40" ca="1" si="458">_xlfn.LOGNORM.INV(RAND(),$I$40,$J$40)</f>
        <v>2.0121540682618835</v>
      </c>
      <c r="NO40" s="363">
        <f t="shared" ca="1" si="458"/>
        <v>1.9962593683864278</v>
      </c>
      <c r="NP40" s="363">
        <f t="shared" ca="1" si="458"/>
        <v>1.9960743343832708</v>
      </c>
      <c r="NQ40" s="363">
        <f t="shared" ca="1" si="458"/>
        <v>2.0030116753649496</v>
      </c>
      <c r="NR40" s="363">
        <f t="shared" ca="1" si="458"/>
        <v>1.9987423104416557</v>
      </c>
      <c r="NS40" s="363">
        <f t="shared" ca="1" si="458"/>
        <v>2.0066729458313328</v>
      </c>
      <c r="NT40" s="363">
        <f t="shared" ca="1" si="458"/>
        <v>1.9954978145707083</v>
      </c>
      <c r="NU40" s="363">
        <f t="shared" ca="1" si="458"/>
        <v>1.9980009207694607</v>
      </c>
      <c r="NV40" s="363">
        <f t="shared" ca="1" si="458"/>
        <v>1.996744871801271</v>
      </c>
      <c r="NW40" s="363">
        <f t="shared" ca="1" si="458"/>
        <v>2.0050823777587672</v>
      </c>
      <c r="NX40" s="363">
        <f t="shared" ca="1" si="458"/>
        <v>2.0069672974940636</v>
      </c>
      <c r="NY40" s="363">
        <f t="shared" ca="1" si="458"/>
        <v>1.9988760526652987</v>
      </c>
      <c r="NZ40" s="363">
        <f t="shared" ca="1" si="458"/>
        <v>2.0030601802077692</v>
      </c>
      <c r="OA40" s="363">
        <f t="shared" ca="1" si="458"/>
        <v>2.0003997058417382</v>
      </c>
      <c r="OB40" s="363">
        <f t="shared" ca="1" si="458"/>
        <v>2.0010622175325903</v>
      </c>
      <c r="OC40" s="363">
        <f t="shared" ca="1" si="458"/>
        <v>1.99703206908876</v>
      </c>
      <c r="OD40" s="363">
        <f t="shared" ca="1" si="458"/>
        <v>1.9902810145511578</v>
      </c>
      <c r="OE40" s="363">
        <f t="shared" ca="1" si="458"/>
        <v>1.9986510925452574</v>
      </c>
      <c r="OF40" s="363">
        <f t="shared" ca="1" si="458"/>
        <v>1.9955475920695838</v>
      </c>
      <c r="OG40" s="363">
        <f t="shared" ca="1" si="458"/>
        <v>2.0022246996859043</v>
      </c>
      <c r="OH40" s="363">
        <f t="shared" ca="1" si="458"/>
        <v>1.9958983787801061</v>
      </c>
      <c r="OI40" s="363">
        <f t="shared" ca="1" si="458"/>
        <v>1.9936075844532464</v>
      </c>
      <c r="OJ40" s="363">
        <f t="shared" ca="1" si="458"/>
        <v>2.0005091866581277</v>
      </c>
      <c r="OK40" s="363">
        <f t="shared" ca="1" si="458"/>
        <v>2.0030167825621317</v>
      </c>
      <c r="OL40" s="363">
        <f t="shared" ca="1" si="458"/>
        <v>2.0002386308135827</v>
      </c>
      <c r="OM40" s="363">
        <f t="shared" ca="1" si="458"/>
        <v>2.0024059057789327</v>
      </c>
      <c r="ON40" s="363">
        <f t="shared" ca="1" si="458"/>
        <v>1.9993077532708465</v>
      </c>
      <c r="OO40" s="363">
        <f t="shared" ca="1" si="458"/>
        <v>1.9999758626985853</v>
      </c>
      <c r="OP40" s="363">
        <f t="shared" ca="1" si="458"/>
        <v>1.993877389566475</v>
      </c>
      <c r="OQ40" s="363">
        <f t="shared" ca="1" si="458"/>
        <v>2.0028634412343016</v>
      </c>
      <c r="OR40" s="363">
        <f t="shared" ca="1" si="458"/>
        <v>2.0118622211812309</v>
      </c>
      <c r="OS40" s="363">
        <f t="shared" ca="1" si="458"/>
        <v>2.0026574928283463</v>
      </c>
      <c r="OT40" s="363">
        <f t="shared" ca="1" si="458"/>
        <v>1.9950395959025804</v>
      </c>
      <c r="OU40" s="363">
        <f t="shared" ca="1" si="458"/>
        <v>1.9925109476514056</v>
      </c>
      <c r="OV40" s="363">
        <f t="shared" ca="1" si="458"/>
        <v>1.9942379678189925</v>
      </c>
      <c r="OW40" s="363">
        <f ca="1">_xlfn.LOGNORM.INV(RAND(),$I$40,$J$40)</f>
        <v>1.9991536588133054</v>
      </c>
      <c r="OX40" s="363">
        <f t="shared" ref="OX40:RI40" ca="1" si="459">_xlfn.LOGNORM.INV(RAND(),$I$40,$J$40)</f>
        <v>1.9944771489850892</v>
      </c>
      <c r="OY40" s="363">
        <f t="shared" ca="1" si="459"/>
        <v>1.9990582256868743</v>
      </c>
      <c r="OZ40" s="363">
        <f t="shared" ca="1" si="459"/>
        <v>2.0034456050637441</v>
      </c>
      <c r="PA40" s="363">
        <f t="shared" ca="1" si="459"/>
        <v>1.99729894408607</v>
      </c>
      <c r="PB40" s="363">
        <f t="shared" ca="1" si="459"/>
        <v>2.0032577866232737</v>
      </c>
      <c r="PC40" s="363">
        <f t="shared" ca="1" si="459"/>
        <v>1.9916271014551978</v>
      </c>
      <c r="PD40" s="363">
        <f t="shared" ca="1" si="459"/>
        <v>2.0034278399644947</v>
      </c>
      <c r="PE40" s="363">
        <f t="shared" ca="1" si="459"/>
        <v>2.0014401607421384</v>
      </c>
      <c r="PF40" s="363">
        <f t="shared" ca="1" si="459"/>
        <v>2.0047326197108477</v>
      </c>
      <c r="PG40" s="363">
        <f t="shared" ca="1" si="459"/>
        <v>2.001443969133069</v>
      </c>
      <c r="PH40" s="363">
        <f t="shared" ca="1" si="459"/>
        <v>2.0002652923791486</v>
      </c>
      <c r="PI40" s="363">
        <f t="shared" ca="1" si="459"/>
        <v>2.0073320150801877</v>
      </c>
      <c r="PJ40" s="363">
        <f t="shared" ca="1" si="459"/>
        <v>1.9982618476668843</v>
      </c>
      <c r="PK40" s="363">
        <f t="shared" ca="1" si="459"/>
        <v>2.0036910670713199</v>
      </c>
      <c r="PL40" s="363">
        <f t="shared" ca="1" si="459"/>
        <v>1.9976860587632643</v>
      </c>
      <c r="PM40" s="363">
        <f t="shared" ca="1" si="459"/>
        <v>1.9926737918857618</v>
      </c>
      <c r="PN40" s="363">
        <f t="shared" ca="1" si="459"/>
        <v>1.9975643295258576</v>
      </c>
      <c r="PO40" s="363">
        <f t="shared" ca="1" si="459"/>
        <v>1.9875767680023257</v>
      </c>
      <c r="PP40" s="363">
        <f t="shared" ca="1" si="459"/>
        <v>1.9947122849830718</v>
      </c>
      <c r="PQ40" s="363">
        <f t="shared" ca="1" si="459"/>
        <v>2.0021112787162343</v>
      </c>
      <c r="PR40" s="363">
        <f t="shared" ca="1" si="459"/>
        <v>2.0018587891718771</v>
      </c>
      <c r="PS40" s="363">
        <f t="shared" ca="1" si="459"/>
        <v>1.9991983794128556</v>
      </c>
      <c r="PT40" s="363">
        <f t="shared" ca="1" si="459"/>
        <v>1.997213231182605</v>
      </c>
      <c r="PU40" s="363">
        <f t="shared" ca="1" si="459"/>
        <v>2.0072598381402913</v>
      </c>
      <c r="PV40" s="363">
        <f t="shared" ca="1" si="459"/>
        <v>2.0055788513848158</v>
      </c>
      <c r="PW40" s="363">
        <f t="shared" ca="1" si="459"/>
        <v>1.9995228345477347</v>
      </c>
      <c r="PX40" s="363">
        <f t="shared" ca="1" si="459"/>
        <v>2.0025056710991906</v>
      </c>
      <c r="PY40" s="363">
        <f t="shared" ca="1" si="459"/>
        <v>1.9963017864423054</v>
      </c>
      <c r="PZ40" s="363">
        <f t="shared" ca="1" si="459"/>
        <v>2.0045978957749084</v>
      </c>
      <c r="QA40" s="363">
        <f t="shared" ca="1" si="459"/>
        <v>1.9990594372852977</v>
      </c>
      <c r="QB40" s="363">
        <f t="shared" ca="1" si="459"/>
        <v>1.9972076323971339</v>
      </c>
      <c r="QC40" s="363">
        <f t="shared" ca="1" si="459"/>
        <v>2.0011639803715044</v>
      </c>
      <c r="QD40" s="363">
        <f t="shared" ca="1" si="459"/>
        <v>2.0055088698570676</v>
      </c>
      <c r="QE40" s="363">
        <f t="shared" ca="1" si="459"/>
        <v>1.9975707616650815</v>
      </c>
      <c r="QF40" s="363">
        <f t="shared" ca="1" si="459"/>
        <v>1.9985007018867096</v>
      </c>
      <c r="QG40" s="363">
        <f t="shared" ca="1" si="459"/>
        <v>1.9975845925483582</v>
      </c>
      <c r="QH40" s="363">
        <f t="shared" ca="1" si="459"/>
        <v>1.9864793422019393</v>
      </c>
      <c r="QI40" s="363">
        <f t="shared" ca="1" si="459"/>
        <v>2.0000769679701214</v>
      </c>
      <c r="QJ40" s="363">
        <f t="shared" ca="1" si="459"/>
        <v>1.9972508483790639</v>
      </c>
      <c r="QK40" s="363">
        <f t="shared" ca="1" si="459"/>
        <v>2.0022704399715763</v>
      </c>
      <c r="QL40" s="363">
        <f t="shared" ca="1" si="459"/>
        <v>1.9995780336965432</v>
      </c>
      <c r="QM40" s="363">
        <f t="shared" ca="1" si="459"/>
        <v>1.9887836916641186</v>
      </c>
      <c r="QN40" s="363">
        <f t="shared" ca="1" si="459"/>
        <v>2.0112018701815888</v>
      </c>
      <c r="QO40" s="363">
        <f t="shared" ca="1" si="459"/>
        <v>2.0043999730487729</v>
      </c>
      <c r="QP40" s="363">
        <f t="shared" ca="1" si="459"/>
        <v>2.0030843701989149</v>
      </c>
      <c r="QQ40" s="363">
        <f t="shared" ca="1" si="459"/>
        <v>1.9997476602864857</v>
      </c>
      <c r="QR40" s="363">
        <f t="shared" ca="1" si="459"/>
        <v>1.9993914114696831</v>
      </c>
      <c r="QS40" s="363">
        <f t="shared" ca="1" si="459"/>
        <v>1.9965652690205147</v>
      </c>
      <c r="QT40" s="363">
        <f t="shared" ca="1" si="459"/>
        <v>2.0014843811944525</v>
      </c>
      <c r="QU40" s="363">
        <f t="shared" ca="1" si="459"/>
        <v>1.9999221320998122</v>
      </c>
      <c r="QV40" s="363">
        <f t="shared" ca="1" si="459"/>
        <v>1.9924886972104783</v>
      </c>
      <c r="QW40" s="363">
        <f t="shared" ca="1" si="459"/>
        <v>2.0051290030461697</v>
      </c>
      <c r="QX40" s="363">
        <f t="shared" ca="1" si="459"/>
        <v>2.0009400854255617</v>
      </c>
      <c r="QY40" s="363">
        <f t="shared" ca="1" si="459"/>
        <v>2.0006638950551108</v>
      </c>
      <c r="QZ40" s="363">
        <f t="shared" ca="1" si="459"/>
        <v>1.9980568763849815</v>
      </c>
      <c r="RA40" s="363">
        <f t="shared" ca="1" si="459"/>
        <v>2.0027339752492472</v>
      </c>
      <c r="RB40" s="363">
        <f t="shared" ca="1" si="459"/>
        <v>2.0037305247284407</v>
      </c>
      <c r="RC40" s="363">
        <f t="shared" ca="1" si="459"/>
        <v>2.0008585098779355</v>
      </c>
      <c r="RD40" s="363">
        <f t="shared" ca="1" si="459"/>
        <v>1.9948473028887073</v>
      </c>
      <c r="RE40" s="363">
        <f t="shared" ca="1" si="459"/>
        <v>2.0087156626400233</v>
      </c>
      <c r="RF40" s="363">
        <f t="shared" ca="1" si="459"/>
        <v>2.0005295294384524</v>
      </c>
      <c r="RG40" s="363">
        <f t="shared" ca="1" si="459"/>
        <v>1.9961185254646643</v>
      </c>
      <c r="RH40" s="363">
        <f t="shared" ca="1" si="459"/>
        <v>2.0080887867869026</v>
      </c>
      <c r="RI40" s="363">
        <f t="shared" ca="1" si="459"/>
        <v>2.0025183016643089</v>
      </c>
      <c r="RJ40" s="363">
        <f t="shared" ref="RJ40:SR40" ca="1" si="460">_xlfn.LOGNORM.INV(RAND(),$I$40,$J$40)</f>
        <v>1.9986114459942681</v>
      </c>
      <c r="RK40" s="363">
        <f t="shared" ca="1" si="460"/>
        <v>1.9967980182444141</v>
      </c>
      <c r="RL40" s="363">
        <f t="shared" ca="1" si="460"/>
        <v>1.9932257693415822</v>
      </c>
      <c r="RM40" s="363">
        <f t="shared" ca="1" si="460"/>
        <v>2.005078109123748</v>
      </c>
      <c r="RN40" s="363">
        <f t="shared" ca="1" si="460"/>
        <v>2.0041131967199224</v>
      </c>
      <c r="RO40" s="363">
        <f t="shared" ca="1" si="460"/>
        <v>1.9903431565858118</v>
      </c>
      <c r="RP40" s="363">
        <f t="shared" ca="1" si="460"/>
        <v>1.9917378405913424</v>
      </c>
      <c r="RQ40" s="363">
        <f t="shared" ca="1" si="460"/>
        <v>2.0008862753466139</v>
      </c>
      <c r="RR40" s="363">
        <f t="shared" ca="1" si="460"/>
        <v>2.0002780337740549</v>
      </c>
      <c r="RS40" s="363">
        <f t="shared" ca="1" si="460"/>
        <v>1.9946706886147707</v>
      </c>
      <c r="RT40" s="363">
        <f t="shared" ca="1" si="460"/>
        <v>2.0019637608449465</v>
      </c>
      <c r="RU40" s="363">
        <f t="shared" ca="1" si="460"/>
        <v>1.99904933858964</v>
      </c>
      <c r="RV40" s="363">
        <f t="shared" ca="1" si="460"/>
        <v>2.002933689104454</v>
      </c>
      <c r="RW40" s="363">
        <f t="shared" ca="1" si="460"/>
        <v>2.0091760237944487</v>
      </c>
      <c r="RX40" s="363">
        <f t="shared" ca="1" si="460"/>
        <v>2.0083579622381191</v>
      </c>
      <c r="RY40" s="363">
        <f t="shared" ca="1" si="460"/>
        <v>1.9976119096088363</v>
      </c>
      <c r="RZ40" s="363">
        <f t="shared" ca="1" si="460"/>
        <v>1.9974326272953853</v>
      </c>
      <c r="SA40" s="363">
        <f t="shared" ca="1" si="460"/>
        <v>2.0068754718550084</v>
      </c>
      <c r="SB40" s="363">
        <f t="shared" ca="1" si="460"/>
        <v>1.9956848677924652</v>
      </c>
      <c r="SC40" s="363">
        <f t="shared" ca="1" si="460"/>
        <v>2.0056168540740016</v>
      </c>
      <c r="SD40" s="363">
        <f t="shared" ca="1" si="460"/>
        <v>2.0049201174519879</v>
      </c>
      <c r="SE40" s="363">
        <f t="shared" ca="1" si="460"/>
        <v>2.0015332920615454</v>
      </c>
      <c r="SF40" s="363">
        <f t="shared" ca="1" si="460"/>
        <v>1.9960615234548451</v>
      </c>
      <c r="SG40" s="363">
        <f t="shared" ca="1" si="460"/>
        <v>1.9989072646027708</v>
      </c>
      <c r="SH40" s="363">
        <f t="shared" ca="1" si="460"/>
        <v>1.9946529972010321</v>
      </c>
      <c r="SI40" s="363">
        <f t="shared" ca="1" si="460"/>
        <v>1.9995808199170304</v>
      </c>
      <c r="SJ40" s="363">
        <f t="shared" ca="1" si="460"/>
        <v>1.998998300710688</v>
      </c>
      <c r="SK40" s="363">
        <f t="shared" ca="1" si="460"/>
        <v>2.0033198091819759</v>
      </c>
      <c r="SL40" s="363">
        <f t="shared" ca="1" si="460"/>
        <v>2.0042496474807874</v>
      </c>
      <c r="SM40" s="363">
        <f t="shared" ca="1" si="460"/>
        <v>1.9950827382681848</v>
      </c>
      <c r="SN40" s="363">
        <f t="shared" ca="1" si="460"/>
        <v>1.996359169590799</v>
      </c>
      <c r="SO40" s="363">
        <f t="shared" ca="1" si="460"/>
        <v>2.0016728724809694</v>
      </c>
      <c r="SP40" s="363">
        <f t="shared" ca="1" si="460"/>
        <v>1.995604714221562</v>
      </c>
      <c r="SQ40" s="363">
        <f t="shared" ca="1" si="460"/>
        <v>2.0009634454202492</v>
      </c>
      <c r="SR40" s="363">
        <f t="shared" ca="1" si="460"/>
        <v>2.0022173052789127</v>
      </c>
      <c r="SS40" s="363">
        <f ca="1">_xlfn.LOGNORM.INV(RAND(),$I$40,$J$40)</f>
        <v>1.9940506047004691</v>
      </c>
      <c r="ST40" s="363">
        <f t="shared" ref="ST40:VE40" ca="1" si="461">_xlfn.LOGNORM.INV(RAND(),$I$40,$J$40)</f>
        <v>2.0017811615156003</v>
      </c>
      <c r="SU40" s="363">
        <f t="shared" ca="1" si="461"/>
        <v>2.0051109556484596</v>
      </c>
      <c r="SV40" s="363">
        <f t="shared" ca="1" si="461"/>
        <v>2.0033896043732158</v>
      </c>
      <c r="SW40" s="363">
        <f t="shared" ca="1" si="461"/>
        <v>1.9981133157626376</v>
      </c>
      <c r="SX40" s="363">
        <f t="shared" ca="1" si="461"/>
        <v>1.9998541387909563</v>
      </c>
      <c r="SY40" s="363">
        <f t="shared" ca="1" si="461"/>
        <v>1.990908811827061</v>
      </c>
      <c r="SZ40" s="363">
        <f t="shared" ca="1" si="461"/>
        <v>2.0003149271280529</v>
      </c>
      <c r="TA40" s="363">
        <f t="shared" ca="1" si="461"/>
        <v>2.0077717561419117</v>
      </c>
      <c r="TB40" s="363">
        <f t="shared" ca="1" si="461"/>
        <v>1.9899943412077823</v>
      </c>
      <c r="TC40" s="363">
        <f t="shared" ca="1" si="461"/>
        <v>2.0039026714909305</v>
      </c>
      <c r="TD40" s="363">
        <f t="shared" ca="1" si="461"/>
        <v>2.0045513212670123</v>
      </c>
      <c r="TE40" s="363">
        <f t="shared" ca="1" si="461"/>
        <v>2.0064189337904939</v>
      </c>
      <c r="TF40" s="363">
        <f t="shared" ca="1" si="461"/>
        <v>2.0024417538563859</v>
      </c>
      <c r="TG40" s="363">
        <f t="shared" ca="1" si="461"/>
        <v>1.9931350080841244</v>
      </c>
      <c r="TH40" s="363">
        <f t="shared" ca="1" si="461"/>
        <v>2.0020762863229979</v>
      </c>
      <c r="TI40" s="363">
        <f t="shared" ca="1" si="461"/>
        <v>2.0063861451685079</v>
      </c>
      <c r="TJ40" s="363">
        <f t="shared" ca="1" si="461"/>
        <v>2.0030643086954476</v>
      </c>
      <c r="TK40" s="363">
        <f t="shared" ca="1" si="461"/>
        <v>1.993966248242877</v>
      </c>
      <c r="TL40" s="363">
        <f t="shared" ca="1" si="461"/>
        <v>1.9954426701532098</v>
      </c>
      <c r="TM40" s="363">
        <f t="shared" ca="1" si="461"/>
        <v>2.0107269180275686</v>
      </c>
      <c r="TN40" s="363">
        <f t="shared" ca="1" si="461"/>
        <v>1.9987858108126189</v>
      </c>
      <c r="TO40" s="363">
        <f t="shared" ca="1" si="461"/>
        <v>2.0074664282666426</v>
      </c>
      <c r="TP40" s="363">
        <f t="shared" ca="1" si="461"/>
        <v>2.0084138983434112</v>
      </c>
      <c r="TQ40" s="363">
        <f t="shared" ca="1" si="461"/>
        <v>1.9994343046615795</v>
      </c>
      <c r="TR40" s="363">
        <f t="shared" ca="1" si="461"/>
        <v>2.0101813342600887</v>
      </c>
      <c r="TS40" s="363">
        <f t="shared" ca="1" si="461"/>
        <v>1.9952624507686638</v>
      </c>
      <c r="TT40" s="363">
        <f t="shared" ca="1" si="461"/>
        <v>2.0148159391234519</v>
      </c>
      <c r="TU40" s="363">
        <f t="shared" ca="1" si="461"/>
        <v>2.0076673066885289</v>
      </c>
      <c r="TV40" s="363">
        <f t="shared" ca="1" si="461"/>
        <v>1.9956542803213315</v>
      </c>
      <c r="TW40" s="363">
        <f t="shared" ca="1" si="461"/>
        <v>1.994617684781173</v>
      </c>
      <c r="TX40" s="363">
        <f t="shared" ca="1" si="461"/>
        <v>1.9971640567598956</v>
      </c>
      <c r="TY40" s="363">
        <f t="shared" ca="1" si="461"/>
        <v>2.0015327134413927</v>
      </c>
      <c r="TZ40" s="363">
        <f t="shared" ca="1" si="461"/>
        <v>1.9954219341960777</v>
      </c>
      <c r="UA40" s="363">
        <f t="shared" ca="1" si="461"/>
        <v>2.0031008847603173</v>
      </c>
      <c r="UB40" s="363">
        <f t="shared" ca="1" si="461"/>
        <v>1.9994741721297509</v>
      </c>
      <c r="UC40" s="363">
        <f t="shared" ca="1" si="461"/>
        <v>1.9964383603515796</v>
      </c>
      <c r="UD40" s="363">
        <f t="shared" ca="1" si="461"/>
        <v>2.0044405709769322</v>
      </c>
      <c r="UE40" s="363">
        <f t="shared" ca="1" si="461"/>
        <v>2.0086480000268532</v>
      </c>
      <c r="UF40" s="363">
        <f t="shared" ca="1" si="461"/>
        <v>2.0070055973555472</v>
      </c>
      <c r="UG40" s="363">
        <f t="shared" ca="1" si="461"/>
        <v>1.9987521856579229</v>
      </c>
      <c r="UH40" s="363">
        <f t="shared" ca="1" si="461"/>
        <v>1.9941578867191012</v>
      </c>
      <c r="UI40" s="363">
        <f t="shared" ca="1" si="461"/>
        <v>2.0043736796749823</v>
      </c>
      <c r="UJ40" s="363">
        <f t="shared" ca="1" si="461"/>
        <v>2.0092634247216461</v>
      </c>
      <c r="UK40" s="363">
        <f t="shared" ca="1" si="461"/>
        <v>1.9988235221921733</v>
      </c>
      <c r="UL40" s="363">
        <f t="shared" ca="1" si="461"/>
        <v>2.0024214545400469</v>
      </c>
      <c r="UM40" s="363">
        <f t="shared" ca="1" si="461"/>
        <v>2.0070010875308646</v>
      </c>
      <c r="UN40" s="363">
        <f t="shared" ca="1" si="461"/>
        <v>2.0070967491728089</v>
      </c>
      <c r="UO40" s="363">
        <f t="shared" ca="1" si="461"/>
        <v>2.0040258644259779</v>
      </c>
      <c r="UP40" s="363">
        <f t="shared" ca="1" si="461"/>
        <v>2.0088599365974922</v>
      </c>
      <c r="UQ40" s="363">
        <f t="shared" ca="1" si="461"/>
        <v>1.9882208087241722</v>
      </c>
      <c r="UR40" s="363">
        <f t="shared" ca="1" si="461"/>
        <v>2.0021315910172057</v>
      </c>
      <c r="US40" s="363">
        <f t="shared" ca="1" si="461"/>
        <v>2.0034834622956987</v>
      </c>
      <c r="UT40" s="363">
        <f t="shared" ca="1" si="461"/>
        <v>2.0033757546707829</v>
      </c>
      <c r="UU40" s="363">
        <f t="shared" ca="1" si="461"/>
        <v>2.0039932847094697</v>
      </c>
      <c r="UV40" s="363">
        <f t="shared" ca="1" si="461"/>
        <v>2.0006919331759607</v>
      </c>
      <c r="UW40" s="363">
        <f t="shared" ca="1" si="461"/>
        <v>2.000484986465068</v>
      </c>
      <c r="UX40" s="363">
        <f t="shared" ca="1" si="461"/>
        <v>2.008506739408173</v>
      </c>
      <c r="UY40" s="363">
        <f t="shared" ca="1" si="461"/>
        <v>2.0020238595595838</v>
      </c>
      <c r="UZ40" s="363">
        <f t="shared" ca="1" si="461"/>
        <v>1.9946758449842639</v>
      </c>
      <c r="VA40" s="363">
        <f t="shared" ca="1" si="461"/>
        <v>1.9924288039337086</v>
      </c>
      <c r="VB40" s="363">
        <f t="shared" ca="1" si="461"/>
        <v>1.9974047673044699</v>
      </c>
      <c r="VC40" s="363">
        <f t="shared" ca="1" si="461"/>
        <v>2.0062080312678625</v>
      </c>
      <c r="VD40" s="363">
        <f t="shared" ca="1" si="461"/>
        <v>1.9937888937137054</v>
      </c>
      <c r="VE40" s="363">
        <f t="shared" ca="1" si="461"/>
        <v>1.9981497914750797</v>
      </c>
      <c r="VF40" s="363">
        <f t="shared" ref="VF40:WN40" ca="1" si="462">_xlfn.LOGNORM.INV(RAND(),$I$40,$J$40)</f>
        <v>2.0048134300919283</v>
      </c>
      <c r="VG40" s="363">
        <f t="shared" ca="1" si="462"/>
        <v>2.0026690152810849</v>
      </c>
      <c r="VH40" s="363">
        <f t="shared" ca="1" si="462"/>
        <v>2.0105516527929255</v>
      </c>
      <c r="VI40" s="363">
        <f t="shared" ca="1" si="462"/>
        <v>2.0054728955514545</v>
      </c>
      <c r="VJ40" s="363">
        <f t="shared" ca="1" si="462"/>
        <v>1.99974381862621</v>
      </c>
      <c r="VK40" s="363">
        <f t="shared" ca="1" si="462"/>
        <v>2.0005042364739802</v>
      </c>
      <c r="VL40" s="363">
        <f t="shared" ca="1" si="462"/>
        <v>1.9987488710196273</v>
      </c>
      <c r="VM40" s="363">
        <f t="shared" ca="1" si="462"/>
        <v>1.9986335295646731</v>
      </c>
      <c r="VN40" s="363">
        <f t="shared" ca="1" si="462"/>
        <v>2.0030621620684825</v>
      </c>
      <c r="VO40" s="363">
        <f t="shared" ca="1" si="462"/>
        <v>2.005997744140219</v>
      </c>
      <c r="VP40" s="363">
        <f t="shared" ca="1" si="462"/>
        <v>2.0067626853603011</v>
      </c>
      <c r="VQ40" s="363">
        <f t="shared" ca="1" si="462"/>
        <v>1.9929922823710589</v>
      </c>
      <c r="VR40" s="363">
        <f t="shared" ca="1" si="462"/>
        <v>1.9997898575934787</v>
      </c>
      <c r="VS40" s="363">
        <f t="shared" ca="1" si="462"/>
        <v>2.008783795822529</v>
      </c>
      <c r="VT40" s="363">
        <f t="shared" ca="1" si="462"/>
        <v>2.0146098459008419</v>
      </c>
      <c r="VU40" s="363">
        <f t="shared" ca="1" si="462"/>
        <v>2.0010545882445139</v>
      </c>
      <c r="VV40" s="363">
        <f t="shared" ca="1" si="462"/>
        <v>1.9945838183225209</v>
      </c>
      <c r="VW40" s="363">
        <f t="shared" ca="1" si="462"/>
        <v>1.9997581002569147</v>
      </c>
      <c r="VX40" s="363">
        <f t="shared" ca="1" si="462"/>
        <v>2.0009602203025048</v>
      </c>
      <c r="VY40" s="363">
        <f t="shared" ca="1" si="462"/>
        <v>1.9998060607097576</v>
      </c>
      <c r="VZ40" s="363">
        <f t="shared" ca="1" si="462"/>
        <v>1.9966026926024592</v>
      </c>
      <c r="WA40" s="363">
        <f t="shared" ca="1" si="462"/>
        <v>1.9954744328296827</v>
      </c>
      <c r="WB40" s="363">
        <f t="shared" ca="1" si="462"/>
        <v>2.0082771810231397</v>
      </c>
      <c r="WC40" s="363">
        <f t="shared" ca="1" si="462"/>
        <v>1.9982448773036365</v>
      </c>
      <c r="WD40" s="363">
        <f t="shared" ca="1" si="462"/>
        <v>1.9973510382041926</v>
      </c>
      <c r="WE40" s="363">
        <f t="shared" ca="1" si="462"/>
        <v>1.9985860124932244</v>
      </c>
      <c r="WF40" s="363">
        <f t="shared" ca="1" si="462"/>
        <v>2.0062080432717808</v>
      </c>
      <c r="WG40" s="363">
        <f t="shared" ca="1" si="462"/>
        <v>2.0022309614983431</v>
      </c>
      <c r="WH40" s="363">
        <f t="shared" ca="1" si="462"/>
        <v>2.0067031525900632</v>
      </c>
      <c r="WI40" s="363">
        <f t="shared" ca="1" si="462"/>
        <v>2.0003899564680765</v>
      </c>
      <c r="WJ40" s="363">
        <f t="shared" ca="1" si="462"/>
        <v>1.9969332049382562</v>
      </c>
      <c r="WK40" s="363">
        <f t="shared" ca="1" si="462"/>
        <v>2.0005495138391902</v>
      </c>
      <c r="WL40" s="363">
        <f t="shared" ca="1" si="462"/>
        <v>1.9974631631044231</v>
      </c>
      <c r="WM40" s="363">
        <f t="shared" ca="1" si="462"/>
        <v>2.0046367765860231</v>
      </c>
      <c r="WN40" s="363">
        <f t="shared" ca="1" si="462"/>
        <v>1.9931819926583316</v>
      </c>
    </row>
    <row r="41" spans="2:612" x14ac:dyDescent="0.15">
      <c r="B41" s="469" t="s">
        <v>892</v>
      </c>
      <c r="C41" s="513"/>
      <c r="D41" s="457">
        <f t="shared" si="0"/>
        <v>4.5</v>
      </c>
      <c r="E41" s="510"/>
      <c r="F41" s="457">
        <v>4.5</v>
      </c>
      <c r="G41" s="457">
        <v>15833</v>
      </c>
      <c r="H41" s="457">
        <v>3.5714285714285858E-2</v>
      </c>
      <c r="I41" s="363">
        <f t="shared" ref="I41:I44" si="463">LN(F41)-((H41^2)/2)</f>
        <v>1.5034396416742333</v>
      </c>
      <c r="J41" s="367">
        <f t="shared" ref="J41:J44" si="464">SQRT( LN( 1 + (H41^2)/(F41^2) ) )</f>
        <v>7.9363829642742287E-3</v>
      </c>
      <c r="K41" s="367" t="s">
        <v>1274</v>
      </c>
      <c r="M41" s="363">
        <f ca="1">_xlfn.LOGNORM.INV(RAND(),$I$41,$J$41)</f>
        <v>4.4158110671061328</v>
      </c>
      <c r="N41" s="363">
        <f t="shared" ref="N41:BY41" ca="1" si="465">_xlfn.LOGNORM.INV(RAND(),$I$41,$J$41)</f>
        <v>4.4838338330958258</v>
      </c>
      <c r="O41" s="363">
        <f t="shared" ca="1" si="465"/>
        <v>4.4714880257473144</v>
      </c>
      <c r="P41" s="363">
        <f t="shared" ca="1" si="465"/>
        <v>4.503795435652215</v>
      </c>
      <c r="Q41" s="363">
        <f t="shared" ca="1" si="465"/>
        <v>4.4446274625518294</v>
      </c>
      <c r="R41" s="363">
        <f t="shared" ca="1" si="465"/>
        <v>4.4717435369595888</v>
      </c>
      <c r="S41" s="363">
        <f t="shared" ca="1" si="465"/>
        <v>4.4388634244759153</v>
      </c>
      <c r="T41" s="363">
        <f t="shared" ca="1" si="465"/>
        <v>4.4791872259920931</v>
      </c>
      <c r="U41" s="363">
        <f t="shared" ca="1" si="465"/>
        <v>4.4456813215633613</v>
      </c>
      <c r="V41" s="363">
        <f t="shared" ca="1" si="465"/>
        <v>4.4911908761400747</v>
      </c>
      <c r="W41" s="363">
        <f t="shared" ca="1" si="465"/>
        <v>4.4665441238025361</v>
      </c>
      <c r="X41" s="363">
        <f t="shared" ca="1" si="465"/>
        <v>4.4077230157326683</v>
      </c>
      <c r="Y41" s="363">
        <f t="shared" ca="1" si="465"/>
        <v>4.4785454676032304</v>
      </c>
      <c r="Z41" s="363">
        <f t="shared" ca="1" si="465"/>
        <v>4.4402351390009978</v>
      </c>
      <c r="AA41" s="363">
        <f t="shared" ca="1" si="465"/>
        <v>4.522006805892949</v>
      </c>
      <c r="AB41" s="363">
        <f t="shared" ca="1" si="465"/>
        <v>4.5356353863542678</v>
      </c>
      <c r="AC41" s="363">
        <f t="shared" ca="1" si="465"/>
        <v>4.5355027915805302</v>
      </c>
      <c r="AD41" s="363">
        <f t="shared" ca="1" si="465"/>
        <v>4.5140327394512543</v>
      </c>
      <c r="AE41" s="363">
        <f t="shared" ca="1" si="465"/>
        <v>4.4805848854282146</v>
      </c>
      <c r="AF41" s="363">
        <f t="shared" ca="1" si="465"/>
        <v>4.5032551606267015</v>
      </c>
      <c r="AG41" s="363">
        <f t="shared" ca="1" si="465"/>
        <v>4.50290454283064</v>
      </c>
      <c r="AH41" s="363">
        <f t="shared" ca="1" si="465"/>
        <v>4.4827560959138966</v>
      </c>
      <c r="AI41" s="363">
        <f t="shared" ca="1" si="465"/>
        <v>4.5147276801890817</v>
      </c>
      <c r="AJ41" s="363">
        <f t="shared" ca="1" si="465"/>
        <v>4.5103171630852703</v>
      </c>
      <c r="AK41" s="363">
        <f t="shared" ca="1" si="465"/>
        <v>4.5206606856088749</v>
      </c>
      <c r="AL41" s="363">
        <f t="shared" ca="1" si="465"/>
        <v>4.5028474596143919</v>
      </c>
      <c r="AM41" s="363">
        <f t="shared" ca="1" si="465"/>
        <v>4.4586632816117762</v>
      </c>
      <c r="AN41" s="363">
        <f t="shared" ca="1" si="465"/>
        <v>4.5118768924825678</v>
      </c>
      <c r="AO41" s="363">
        <f t="shared" ca="1" si="465"/>
        <v>4.4922845633880497</v>
      </c>
      <c r="AP41" s="363">
        <f t="shared" ca="1" si="465"/>
        <v>4.4811213088417565</v>
      </c>
      <c r="AQ41" s="363">
        <f t="shared" ca="1" si="465"/>
        <v>4.5358130069149327</v>
      </c>
      <c r="AR41" s="363">
        <f t="shared" ca="1" si="465"/>
        <v>4.5133779872611939</v>
      </c>
      <c r="AS41" s="363">
        <f t="shared" ca="1" si="465"/>
        <v>4.4838122223694583</v>
      </c>
      <c r="AT41" s="363">
        <f t="shared" ca="1" si="465"/>
        <v>4.4850650074622385</v>
      </c>
      <c r="AU41" s="363">
        <f t="shared" ca="1" si="465"/>
        <v>4.4878023741070123</v>
      </c>
      <c r="AV41" s="363">
        <f t="shared" ca="1" si="465"/>
        <v>4.4485952023688302</v>
      </c>
      <c r="AW41" s="363">
        <f t="shared" ca="1" si="465"/>
        <v>4.5021240400519407</v>
      </c>
      <c r="AX41" s="363">
        <f t="shared" ca="1" si="465"/>
        <v>4.5483481541151303</v>
      </c>
      <c r="AY41" s="363">
        <f t="shared" ca="1" si="465"/>
        <v>4.5334595493305958</v>
      </c>
      <c r="AZ41" s="363">
        <f t="shared" ca="1" si="465"/>
        <v>4.4472185758783214</v>
      </c>
      <c r="BA41" s="363">
        <f t="shared" ca="1" si="465"/>
        <v>4.5207721023950747</v>
      </c>
      <c r="BB41" s="363">
        <f t="shared" ca="1" si="465"/>
        <v>4.4980935632174148</v>
      </c>
      <c r="BC41" s="363">
        <f t="shared" ca="1" si="465"/>
        <v>4.5057454599305586</v>
      </c>
      <c r="BD41" s="363">
        <f t="shared" ca="1" si="465"/>
        <v>4.4238568778391034</v>
      </c>
      <c r="BE41" s="363">
        <f t="shared" ca="1" si="465"/>
        <v>4.4987901243601875</v>
      </c>
      <c r="BF41" s="363">
        <f t="shared" ca="1" si="465"/>
        <v>4.49152715816395</v>
      </c>
      <c r="BG41" s="363">
        <f t="shared" ca="1" si="465"/>
        <v>4.4714610149076348</v>
      </c>
      <c r="BH41" s="363">
        <f t="shared" ca="1" si="465"/>
        <v>4.5060025159848891</v>
      </c>
      <c r="BI41" s="363">
        <f t="shared" ca="1" si="465"/>
        <v>4.3905968310208943</v>
      </c>
      <c r="BJ41" s="363">
        <f t="shared" ca="1" si="465"/>
        <v>4.5016566348819387</v>
      </c>
      <c r="BK41" s="363">
        <f t="shared" ca="1" si="465"/>
        <v>4.5078384670664615</v>
      </c>
      <c r="BL41" s="363">
        <f t="shared" ca="1" si="465"/>
        <v>4.4826518314407542</v>
      </c>
      <c r="BM41" s="363">
        <f t="shared" ca="1" si="465"/>
        <v>4.5116559059718977</v>
      </c>
      <c r="BN41" s="363">
        <f t="shared" ca="1" si="465"/>
        <v>4.4573571321965408</v>
      </c>
      <c r="BO41" s="363">
        <f t="shared" ca="1" si="465"/>
        <v>4.545426801919195</v>
      </c>
      <c r="BP41" s="363">
        <f t="shared" ca="1" si="465"/>
        <v>4.4538560194516696</v>
      </c>
      <c r="BQ41" s="363">
        <f t="shared" ca="1" si="465"/>
        <v>4.5499739758643543</v>
      </c>
      <c r="BR41" s="363">
        <f t="shared" ca="1" si="465"/>
        <v>4.4961856129174818</v>
      </c>
      <c r="BS41" s="363">
        <f t="shared" ca="1" si="465"/>
        <v>4.5133858262151492</v>
      </c>
      <c r="BT41" s="363">
        <f t="shared" ca="1" si="465"/>
        <v>4.5394380427044192</v>
      </c>
      <c r="BU41" s="363">
        <f t="shared" ca="1" si="465"/>
        <v>4.4321385531732131</v>
      </c>
      <c r="BV41" s="363">
        <f t="shared" ca="1" si="465"/>
        <v>4.4037875785153817</v>
      </c>
      <c r="BW41" s="363">
        <f t="shared" ca="1" si="465"/>
        <v>4.4803041708159874</v>
      </c>
      <c r="BX41" s="363">
        <f t="shared" ca="1" si="465"/>
        <v>4.546504993802909</v>
      </c>
      <c r="BY41" s="363">
        <f t="shared" ca="1" si="465"/>
        <v>4.481292242536985</v>
      </c>
      <c r="BZ41" s="363">
        <f t="shared" ref="BZ41:DH41" ca="1" si="466">_xlfn.LOGNORM.INV(RAND(),$I$41,$J$41)</f>
        <v>4.569938186022636</v>
      </c>
      <c r="CA41" s="363">
        <f t="shared" ca="1" si="466"/>
        <v>4.4876707319020754</v>
      </c>
      <c r="CB41" s="363">
        <f t="shared" ca="1" si="466"/>
        <v>4.5298747597783455</v>
      </c>
      <c r="CC41" s="363">
        <f t="shared" ca="1" si="466"/>
        <v>4.4953802567320471</v>
      </c>
      <c r="CD41" s="363">
        <f t="shared" ca="1" si="466"/>
        <v>4.5130663554952175</v>
      </c>
      <c r="CE41" s="363">
        <f t="shared" ca="1" si="466"/>
        <v>4.5164904816409495</v>
      </c>
      <c r="CF41" s="363">
        <f t="shared" ca="1" si="466"/>
        <v>4.5090436483227192</v>
      </c>
      <c r="CG41" s="363">
        <f t="shared" ca="1" si="466"/>
        <v>4.4847480703493661</v>
      </c>
      <c r="CH41" s="363">
        <f t="shared" ca="1" si="466"/>
        <v>4.4804337671831327</v>
      </c>
      <c r="CI41" s="363">
        <f t="shared" ca="1" si="466"/>
        <v>4.4674113222026239</v>
      </c>
      <c r="CJ41" s="363">
        <f t="shared" ca="1" si="466"/>
        <v>4.5033335514492787</v>
      </c>
      <c r="CK41" s="363">
        <f t="shared" ca="1" si="466"/>
        <v>4.4621436642510117</v>
      </c>
      <c r="CL41" s="363">
        <f t="shared" ca="1" si="466"/>
        <v>4.4808904855526661</v>
      </c>
      <c r="CM41" s="363">
        <f t="shared" ca="1" si="466"/>
        <v>4.4297196890659105</v>
      </c>
      <c r="CN41" s="363">
        <f t="shared" ca="1" si="466"/>
        <v>4.4930920403626304</v>
      </c>
      <c r="CO41" s="363">
        <f t="shared" ca="1" si="466"/>
        <v>4.5394001672391173</v>
      </c>
      <c r="CP41" s="363">
        <f t="shared" ca="1" si="466"/>
        <v>4.4624226173795103</v>
      </c>
      <c r="CQ41" s="363">
        <f t="shared" ca="1" si="466"/>
        <v>4.4460596074403993</v>
      </c>
      <c r="CR41" s="363">
        <f t="shared" ca="1" si="466"/>
        <v>4.4710105690371726</v>
      </c>
      <c r="CS41" s="363">
        <f t="shared" ca="1" si="466"/>
        <v>4.408681860719307</v>
      </c>
      <c r="CT41" s="363">
        <f t="shared" ca="1" si="466"/>
        <v>4.5344129094870427</v>
      </c>
      <c r="CU41" s="363">
        <f t="shared" ca="1" si="466"/>
        <v>4.4605476866247038</v>
      </c>
      <c r="CV41" s="363">
        <f t="shared" ca="1" si="466"/>
        <v>4.4893329403966602</v>
      </c>
      <c r="CW41" s="363">
        <f t="shared" ca="1" si="466"/>
        <v>4.478160550640121</v>
      </c>
      <c r="CX41" s="363">
        <f t="shared" ca="1" si="466"/>
        <v>4.5060107715830346</v>
      </c>
      <c r="CY41" s="363">
        <f t="shared" ca="1" si="466"/>
        <v>4.5309008312032804</v>
      </c>
      <c r="CZ41" s="363">
        <f t="shared" ca="1" si="466"/>
        <v>4.5731287347762049</v>
      </c>
      <c r="DA41" s="363">
        <f t="shared" ca="1" si="466"/>
        <v>4.5397495769553498</v>
      </c>
      <c r="DB41" s="363">
        <f t="shared" ca="1" si="466"/>
        <v>4.5062427224168715</v>
      </c>
      <c r="DC41" s="363">
        <f t="shared" ca="1" si="466"/>
        <v>4.575073120258363</v>
      </c>
      <c r="DD41" s="363">
        <f t="shared" ca="1" si="466"/>
        <v>4.5505057399090596</v>
      </c>
      <c r="DE41" s="363">
        <f t="shared" ca="1" si="466"/>
        <v>4.5826591632218783</v>
      </c>
      <c r="DF41" s="363">
        <f t="shared" ca="1" si="466"/>
        <v>4.5109137018352321</v>
      </c>
      <c r="DG41" s="363">
        <f t="shared" ca="1" si="466"/>
        <v>4.4870607684797861</v>
      </c>
      <c r="DH41" s="363">
        <f t="shared" ca="1" si="466"/>
        <v>4.4958158030046684</v>
      </c>
      <c r="DI41" s="363">
        <f ca="1">_xlfn.LOGNORM.INV(RAND(),$I$41,$J$41)</f>
        <v>4.4969151512399845</v>
      </c>
      <c r="DJ41" s="363">
        <f t="shared" ref="DJ41:FU41" ca="1" si="467">_xlfn.LOGNORM.INV(RAND(),$I$41,$J$41)</f>
        <v>4.5129946161181822</v>
      </c>
      <c r="DK41" s="363">
        <f t="shared" ca="1" si="467"/>
        <v>4.4779574326817295</v>
      </c>
      <c r="DL41" s="363">
        <f t="shared" ca="1" si="467"/>
        <v>4.4546081360115117</v>
      </c>
      <c r="DM41" s="363">
        <f t="shared" ca="1" si="467"/>
        <v>4.5619261613157445</v>
      </c>
      <c r="DN41" s="363">
        <f t="shared" ca="1" si="467"/>
        <v>4.5072023369479046</v>
      </c>
      <c r="DO41" s="363">
        <f t="shared" ca="1" si="467"/>
        <v>4.5005624822859671</v>
      </c>
      <c r="DP41" s="363">
        <f t="shared" ca="1" si="467"/>
        <v>4.5228136457607979</v>
      </c>
      <c r="DQ41" s="363">
        <f t="shared" ca="1" si="467"/>
        <v>4.5247176247223821</v>
      </c>
      <c r="DR41" s="363">
        <f t="shared" ca="1" si="467"/>
        <v>4.5364284929711296</v>
      </c>
      <c r="DS41" s="363">
        <f t="shared" ca="1" si="467"/>
        <v>4.4882094290627688</v>
      </c>
      <c r="DT41" s="363">
        <f t="shared" ca="1" si="467"/>
        <v>4.4980590509989282</v>
      </c>
      <c r="DU41" s="363">
        <f t="shared" ca="1" si="467"/>
        <v>4.518705364261276</v>
      </c>
      <c r="DV41" s="363">
        <f t="shared" ca="1" si="467"/>
        <v>4.4814067432551576</v>
      </c>
      <c r="DW41" s="363">
        <f t="shared" ca="1" si="467"/>
        <v>4.4644587071619766</v>
      </c>
      <c r="DX41" s="363">
        <f t="shared" ca="1" si="467"/>
        <v>4.5320608025928735</v>
      </c>
      <c r="DY41" s="363">
        <f t="shared" ca="1" si="467"/>
        <v>4.442574330004522</v>
      </c>
      <c r="DZ41" s="363">
        <f t="shared" ca="1" si="467"/>
        <v>4.501154679885766</v>
      </c>
      <c r="EA41" s="363">
        <f t="shared" ca="1" si="467"/>
        <v>4.426787390700869</v>
      </c>
      <c r="EB41" s="363">
        <f t="shared" ca="1" si="467"/>
        <v>4.4936635487008436</v>
      </c>
      <c r="EC41" s="363">
        <f t="shared" ca="1" si="467"/>
        <v>4.4874300827283138</v>
      </c>
      <c r="ED41" s="363">
        <f t="shared" ca="1" si="467"/>
        <v>4.5160539424933699</v>
      </c>
      <c r="EE41" s="363">
        <f t="shared" ca="1" si="467"/>
        <v>4.5369413227860766</v>
      </c>
      <c r="EF41" s="363">
        <f t="shared" ca="1" si="467"/>
        <v>4.4526858685811863</v>
      </c>
      <c r="EG41" s="363">
        <f t="shared" ca="1" si="467"/>
        <v>4.5607837137737661</v>
      </c>
      <c r="EH41" s="363">
        <f t="shared" ca="1" si="467"/>
        <v>4.4601873103716683</v>
      </c>
      <c r="EI41" s="363">
        <f t="shared" ca="1" si="467"/>
        <v>4.4902485278005777</v>
      </c>
      <c r="EJ41" s="363">
        <f t="shared" ca="1" si="467"/>
        <v>4.4447627333094557</v>
      </c>
      <c r="EK41" s="363">
        <f t="shared" ca="1" si="467"/>
        <v>4.465800859269148</v>
      </c>
      <c r="EL41" s="363">
        <f t="shared" ca="1" si="467"/>
        <v>4.5538519818426373</v>
      </c>
      <c r="EM41" s="363">
        <f t="shared" ca="1" si="467"/>
        <v>4.5824296419277841</v>
      </c>
      <c r="EN41" s="363">
        <f t="shared" ca="1" si="467"/>
        <v>4.4669239576678894</v>
      </c>
      <c r="EO41" s="363">
        <f t="shared" ca="1" si="467"/>
        <v>4.4589250440715773</v>
      </c>
      <c r="EP41" s="363">
        <f t="shared" ca="1" si="467"/>
        <v>4.4742961284689304</v>
      </c>
      <c r="EQ41" s="363">
        <f t="shared" ca="1" si="467"/>
        <v>4.4993635727869732</v>
      </c>
      <c r="ER41" s="363">
        <f t="shared" ca="1" si="467"/>
        <v>4.5057696867655537</v>
      </c>
      <c r="ES41" s="363">
        <f t="shared" ca="1" si="467"/>
        <v>4.4932408721805421</v>
      </c>
      <c r="ET41" s="363">
        <f t="shared" ca="1" si="467"/>
        <v>4.4627819807133715</v>
      </c>
      <c r="EU41" s="363">
        <f t="shared" ca="1" si="467"/>
        <v>4.4262873735271757</v>
      </c>
      <c r="EV41" s="363">
        <f t="shared" ca="1" si="467"/>
        <v>4.5311252224923466</v>
      </c>
      <c r="EW41" s="363">
        <f t="shared" ca="1" si="467"/>
        <v>4.5518357766400959</v>
      </c>
      <c r="EX41" s="363">
        <f t="shared" ca="1" si="467"/>
        <v>4.4386548451408743</v>
      </c>
      <c r="EY41" s="363">
        <f t="shared" ca="1" si="467"/>
        <v>4.468978435075865</v>
      </c>
      <c r="EZ41" s="363">
        <f t="shared" ca="1" si="467"/>
        <v>4.503874888582982</v>
      </c>
      <c r="FA41" s="363">
        <f t="shared" ca="1" si="467"/>
        <v>4.4994531160771229</v>
      </c>
      <c r="FB41" s="363">
        <f t="shared" ca="1" si="467"/>
        <v>4.5425161626261348</v>
      </c>
      <c r="FC41" s="363">
        <f t="shared" ca="1" si="467"/>
        <v>4.4676355383610655</v>
      </c>
      <c r="FD41" s="363">
        <f t="shared" ca="1" si="467"/>
        <v>4.4782965143638407</v>
      </c>
      <c r="FE41" s="363">
        <f t="shared" ca="1" si="467"/>
        <v>4.517678411389066</v>
      </c>
      <c r="FF41" s="363">
        <f t="shared" ca="1" si="467"/>
        <v>4.4295690442630375</v>
      </c>
      <c r="FG41" s="363">
        <f t="shared" ca="1" si="467"/>
        <v>4.5280561506753401</v>
      </c>
      <c r="FH41" s="363">
        <f t="shared" ca="1" si="467"/>
        <v>4.5232150728015261</v>
      </c>
      <c r="FI41" s="363">
        <f t="shared" ca="1" si="467"/>
        <v>4.5754957653643711</v>
      </c>
      <c r="FJ41" s="363">
        <f t="shared" ca="1" si="467"/>
        <v>4.445590960413826</v>
      </c>
      <c r="FK41" s="363">
        <f t="shared" ca="1" si="467"/>
        <v>4.4752118287247047</v>
      </c>
      <c r="FL41" s="363">
        <f t="shared" ca="1" si="467"/>
        <v>4.4569532822916846</v>
      </c>
      <c r="FM41" s="363">
        <f t="shared" ca="1" si="467"/>
        <v>4.4863239847334269</v>
      </c>
      <c r="FN41" s="363">
        <f t="shared" ca="1" si="467"/>
        <v>4.4446083023962215</v>
      </c>
      <c r="FO41" s="363">
        <f t="shared" ca="1" si="467"/>
        <v>4.4670375678330378</v>
      </c>
      <c r="FP41" s="363">
        <f t="shared" ca="1" si="467"/>
        <v>4.4686494813784865</v>
      </c>
      <c r="FQ41" s="363">
        <f t="shared" ca="1" si="467"/>
        <v>4.4863729160114909</v>
      </c>
      <c r="FR41" s="363">
        <f t="shared" ca="1" si="467"/>
        <v>4.4875744922987275</v>
      </c>
      <c r="FS41" s="363">
        <f t="shared" ca="1" si="467"/>
        <v>4.4865859977408871</v>
      </c>
      <c r="FT41" s="363">
        <f t="shared" ca="1" si="467"/>
        <v>4.4507365813831337</v>
      </c>
      <c r="FU41" s="363">
        <f t="shared" ca="1" si="467"/>
        <v>4.5478556782481832</v>
      </c>
      <c r="FV41" s="363">
        <f t="shared" ref="FV41:HD41" ca="1" si="468">_xlfn.LOGNORM.INV(RAND(),$I$41,$J$41)</f>
        <v>4.4629817656183901</v>
      </c>
      <c r="FW41" s="363">
        <f t="shared" ca="1" si="468"/>
        <v>4.4903150007340544</v>
      </c>
      <c r="FX41" s="363">
        <f t="shared" ca="1" si="468"/>
        <v>4.532679506489325</v>
      </c>
      <c r="FY41" s="363">
        <f t="shared" ca="1" si="468"/>
        <v>4.5228737376075419</v>
      </c>
      <c r="FZ41" s="363">
        <f t="shared" ca="1" si="468"/>
        <v>4.5789905112779934</v>
      </c>
      <c r="GA41" s="363">
        <f t="shared" ca="1" si="468"/>
        <v>4.4443940589495323</v>
      </c>
      <c r="GB41" s="363">
        <f t="shared" ca="1" si="468"/>
        <v>4.5510646636986474</v>
      </c>
      <c r="GC41" s="363">
        <f t="shared" ca="1" si="468"/>
        <v>4.461731943809915</v>
      </c>
      <c r="GD41" s="363">
        <f t="shared" ca="1" si="468"/>
        <v>4.4514100855621379</v>
      </c>
      <c r="GE41" s="363">
        <f t="shared" ca="1" si="468"/>
        <v>4.5052727048385828</v>
      </c>
      <c r="GF41" s="363">
        <f t="shared" ca="1" si="468"/>
        <v>4.5442281901858221</v>
      </c>
      <c r="GG41" s="363">
        <f t="shared" ca="1" si="468"/>
        <v>4.4588789612584474</v>
      </c>
      <c r="GH41" s="363">
        <f t="shared" ca="1" si="468"/>
        <v>4.5081344545355364</v>
      </c>
      <c r="GI41" s="363">
        <f t="shared" ca="1" si="468"/>
        <v>4.5076831300149376</v>
      </c>
      <c r="GJ41" s="363">
        <f t="shared" ca="1" si="468"/>
        <v>4.4572208323941114</v>
      </c>
      <c r="GK41" s="363">
        <f t="shared" ca="1" si="468"/>
        <v>4.4818399933082169</v>
      </c>
      <c r="GL41" s="363">
        <f t="shared" ca="1" si="468"/>
        <v>4.5454492023922999</v>
      </c>
      <c r="GM41" s="363">
        <f t="shared" ca="1" si="468"/>
        <v>4.4730639325758919</v>
      </c>
      <c r="GN41" s="363">
        <f t="shared" ca="1" si="468"/>
        <v>4.4484989144487566</v>
      </c>
      <c r="GO41" s="363">
        <f t="shared" ca="1" si="468"/>
        <v>4.5514522859314441</v>
      </c>
      <c r="GP41" s="363">
        <f t="shared" ca="1" si="468"/>
        <v>4.4685009512447325</v>
      </c>
      <c r="GQ41" s="363">
        <f t="shared" ca="1" si="468"/>
        <v>4.5087702187209331</v>
      </c>
      <c r="GR41" s="363">
        <f t="shared" ca="1" si="468"/>
        <v>4.505009543996251</v>
      </c>
      <c r="GS41" s="363">
        <f t="shared" ca="1" si="468"/>
        <v>4.5285267005214083</v>
      </c>
      <c r="GT41" s="363">
        <f t="shared" ca="1" si="468"/>
        <v>4.5276922388491565</v>
      </c>
      <c r="GU41" s="363">
        <f t="shared" ca="1" si="468"/>
        <v>4.5195316788040465</v>
      </c>
      <c r="GV41" s="363">
        <f t="shared" ca="1" si="468"/>
        <v>4.5431231118907798</v>
      </c>
      <c r="GW41" s="363">
        <f t="shared" ca="1" si="468"/>
        <v>4.4377055910164307</v>
      </c>
      <c r="GX41" s="363">
        <f t="shared" ca="1" si="468"/>
        <v>4.464710190184106</v>
      </c>
      <c r="GY41" s="363">
        <f t="shared" ca="1" si="468"/>
        <v>4.4754548298200509</v>
      </c>
      <c r="GZ41" s="363">
        <f t="shared" ca="1" si="468"/>
        <v>4.487794757404032</v>
      </c>
      <c r="HA41" s="363">
        <f t="shared" ca="1" si="468"/>
        <v>4.5179319486731924</v>
      </c>
      <c r="HB41" s="363">
        <f t="shared" ca="1" si="468"/>
        <v>4.5410451800799843</v>
      </c>
      <c r="HC41" s="363">
        <f t="shared" ca="1" si="468"/>
        <v>4.5078427804154639</v>
      </c>
      <c r="HD41" s="363">
        <f t="shared" ca="1" si="468"/>
        <v>4.454472699005021</v>
      </c>
      <c r="HE41" s="363">
        <f ca="1">_xlfn.LOGNORM.INV(RAND(),$I$41,$J$41)</f>
        <v>4.5309779793878864</v>
      </c>
      <c r="HF41" s="363">
        <f t="shared" ref="HF41:JQ41" ca="1" si="469">_xlfn.LOGNORM.INV(RAND(),$I$41,$J$41)</f>
        <v>4.4867985712201461</v>
      </c>
      <c r="HG41" s="363">
        <f t="shared" ca="1" si="469"/>
        <v>4.5454941555191244</v>
      </c>
      <c r="HH41" s="363">
        <f t="shared" ca="1" si="469"/>
        <v>4.5285916962094594</v>
      </c>
      <c r="HI41" s="363">
        <f t="shared" ca="1" si="469"/>
        <v>4.4320672790521245</v>
      </c>
      <c r="HJ41" s="363">
        <f t="shared" ca="1" si="469"/>
        <v>4.5521178393742572</v>
      </c>
      <c r="HK41" s="363">
        <f t="shared" ca="1" si="469"/>
        <v>4.5432986505026287</v>
      </c>
      <c r="HL41" s="363">
        <f t="shared" ca="1" si="469"/>
        <v>4.4806008082879556</v>
      </c>
      <c r="HM41" s="363">
        <f t="shared" ca="1" si="469"/>
        <v>4.4961453143930568</v>
      </c>
      <c r="HN41" s="363">
        <f t="shared" ca="1" si="469"/>
        <v>4.504334591421701</v>
      </c>
      <c r="HO41" s="363">
        <f t="shared" ca="1" si="469"/>
        <v>4.492010213820496</v>
      </c>
      <c r="HP41" s="363">
        <f t="shared" ca="1" si="469"/>
        <v>4.4515132593071041</v>
      </c>
      <c r="HQ41" s="363">
        <f t="shared" ca="1" si="469"/>
        <v>4.4301007030207842</v>
      </c>
      <c r="HR41" s="363">
        <f t="shared" ca="1" si="469"/>
        <v>4.4261457994733195</v>
      </c>
      <c r="HS41" s="363">
        <f t="shared" ca="1" si="469"/>
        <v>4.4473767476071675</v>
      </c>
      <c r="HT41" s="363">
        <f t="shared" ca="1" si="469"/>
        <v>4.5354834287279377</v>
      </c>
      <c r="HU41" s="363">
        <f t="shared" ca="1" si="469"/>
        <v>4.4909117692418095</v>
      </c>
      <c r="HV41" s="363">
        <f t="shared" ca="1" si="469"/>
        <v>4.565928281782397</v>
      </c>
      <c r="HW41" s="363">
        <f t="shared" ca="1" si="469"/>
        <v>4.5725940475013092</v>
      </c>
      <c r="HX41" s="363">
        <f t="shared" ca="1" si="469"/>
        <v>4.4983644895223733</v>
      </c>
      <c r="HY41" s="363">
        <f t="shared" ca="1" si="469"/>
        <v>4.4674684601838006</v>
      </c>
      <c r="HZ41" s="363">
        <f t="shared" ca="1" si="469"/>
        <v>4.5365537051202782</v>
      </c>
      <c r="IA41" s="363">
        <f t="shared" ca="1" si="469"/>
        <v>4.5162630469770875</v>
      </c>
      <c r="IB41" s="363">
        <f t="shared" ca="1" si="469"/>
        <v>4.4927454000755258</v>
      </c>
      <c r="IC41" s="363">
        <f t="shared" ca="1" si="469"/>
        <v>4.4542525026103004</v>
      </c>
      <c r="ID41" s="363">
        <f t="shared" ca="1" si="469"/>
        <v>4.5164216969896103</v>
      </c>
      <c r="IE41" s="363">
        <f t="shared" ca="1" si="469"/>
        <v>4.5210443561953371</v>
      </c>
      <c r="IF41" s="363">
        <f t="shared" ca="1" si="469"/>
        <v>4.4761139665424352</v>
      </c>
      <c r="IG41" s="363">
        <f t="shared" ca="1" si="469"/>
        <v>4.440554552787531</v>
      </c>
      <c r="IH41" s="363">
        <f t="shared" ca="1" si="469"/>
        <v>4.4931554987374973</v>
      </c>
      <c r="II41" s="363">
        <f t="shared" ca="1" si="469"/>
        <v>4.5196778493073078</v>
      </c>
      <c r="IJ41" s="363">
        <f t="shared" ca="1" si="469"/>
        <v>4.4505356057217185</v>
      </c>
      <c r="IK41" s="363">
        <f t="shared" ca="1" si="469"/>
        <v>4.5331683774072093</v>
      </c>
      <c r="IL41" s="363">
        <f t="shared" ca="1" si="469"/>
        <v>4.4713963029258634</v>
      </c>
      <c r="IM41" s="363">
        <f t="shared" ca="1" si="469"/>
        <v>4.533789184623422</v>
      </c>
      <c r="IN41" s="363">
        <f t="shared" ca="1" si="469"/>
        <v>4.5137756439587804</v>
      </c>
      <c r="IO41" s="363">
        <f t="shared" ca="1" si="469"/>
        <v>4.4799614816373765</v>
      </c>
      <c r="IP41" s="363">
        <f t="shared" ca="1" si="469"/>
        <v>4.6052928364420325</v>
      </c>
      <c r="IQ41" s="363">
        <f t="shared" ca="1" si="469"/>
        <v>4.4703079940606267</v>
      </c>
      <c r="IR41" s="363">
        <f t="shared" ca="1" si="469"/>
        <v>4.4872927200624133</v>
      </c>
      <c r="IS41" s="363">
        <f t="shared" ca="1" si="469"/>
        <v>4.5485001433224941</v>
      </c>
      <c r="IT41" s="363">
        <f t="shared" ca="1" si="469"/>
        <v>4.4783307155178358</v>
      </c>
      <c r="IU41" s="363">
        <f t="shared" ca="1" si="469"/>
        <v>4.504899815316894</v>
      </c>
      <c r="IV41" s="363">
        <f t="shared" ca="1" si="469"/>
        <v>4.4989207402909788</v>
      </c>
      <c r="IW41" s="363">
        <f t="shared" ca="1" si="469"/>
        <v>4.5043117404154716</v>
      </c>
      <c r="IX41" s="363">
        <f t="shared" ca="1" si="469"/>
        <v>4.5049957385700941</v>
      </c>
      <c r="IY41" s="363">
        <f t="shared" ca="1" si="469"/>
        <v>4.5667833597622058</v>
      </c>
      <c r="IZ41" s="363">
        <f t="shared" ca="1" si="469"/>
        <v>4.4560438839461067</v>
      </c>
      <c r="JA41" s="363">
        <f t="shared" ca="1" si="469"/>
        <v>4.506943261228062</v>
      </c>
      <c r="JB41" s="363">
        <f t="shared" ca="1" si="469"/>
        <v>4.5541832585126967</v>
      </c>
      <c r="JC41" s="363">
        <f t="shared" ca="1" si="469"/>
        <v>4.4927948088311203</v>
      </c>
      <c r="JD41" s="363">
        <f t="shared" ca="1" si="469"/>
        <v>4.5612426294739166</v>
      </c>
      <c r="JE41" s="363">
        <f t="shared" ca="1" si="469"/>
        <v>4.5364364703290398</v>
      </c>
      <c r="JF41" s="363">
        <f t="shared" ca="1" si="469"/>
        <v>4.5454344296517721</v>
      </c>
      <c r="JG41" s="363">
        <f t="shared" ca="1" si="469"/>
        <v>4.5170969861542973</v>
      </c>
      <c r="JH41" s="363">
        <f t="shared" ca="1" si="469"/>
        <v>4.487187637253073</v>
      </c>
      <c r="JI41" s="363">
        <f t="shared" ca="1" si="469"/>
        <v>4.4297386213420227</v>
      </c>
      <c r="JJ41" s="363">
        <f t="shared" ca="1" si="469"/>
        <v>4.4771280839573366</v>
      </c>
      <c r="JK41" s="363">
        <f t="shared" ca="1" si="469"/>
        <v>4.5555681186953931</v>
      </c>
      <c r="JL41" s="363">
        <f t="shared" ca="1" si="469"/>
        <v>4.5402551124204642</v>
      </c>
      <c r="JM41" s="363">
        <f t="shared" ca="1" si="469"/>
        <v>4.502169766707345</v>
      </c>
      <c r="JN41" s="363">
        <f t="shared" ca="1" si="469"/>
        <v>4.5670091169802554</v>
      </c>
      <c r="JO41" s="363">
        <f t="shared" ca="1" si="469"/>
        <v>4.4783593610969357</v>
      </c>
      <c r="JP41" s="363">
        <f t="shared" ca="1" si="469"/>
        <v>4.4782891670193132</v>
      </c>
      <c r="JQ41" s="363">
        <f t="shared" ca="1" si="469"/>
        <v>4.4815498548078896</v>
      </c>
      <c r="JR41" s="363">
        <f t="shared" ref="JR41:KZ41" ca="1" si="470">_xlfn.LOGNORM.INV(RAND(),$I$41,$J$41)</f>
        <v>4.431564003024504</v>
      </c>
      <c r="JS41" s="363">
        <f t="shared" ca="1" si="470"/>
        <v>4.494066135098163</v>
      </c>
      <c r="JT41" s="363">
        <f t="shared" ca="1" si="470"/>
        <v>4.4919482277746718</v>
      </c>
      <c r="JU41" s="363">
        <f t="shared" ca="1" si="470"/>
        <v>4.4635259287470062</v>
      </c>
      <c r="JV41" s="363">
        <f t="shared" ca="1" si="470"/>
        <v>4.4575074448791723</v>
      </c>
      <c r="JW41" s="363">
        <f t="shared" ca="1" si="470"/>
        <v>4.4904902561149047</v>
      </c>
      <c r="JX41" s="363">
        <f t="shared" ca="1" si="470"/>
        <v>4.5057893493636714</v>
      </c>
      <c r="JY41" s="363">
        <f t="shared" ca="1" si="470"/>
        <v>4.5011185410856633</v>
      </c>
      <c r="JZ41" s="363">
        <f t="shared" ca="1" si="470"/>
        <v>4.4655019406937395</v>
      </c>
      <c r="KA41" s="363">
        <f t="shared" ca="1" si="470"/>
        <v>4.4961746681885932</v>
      </c>
      <c r="KB41" s="363">
        <f t="shared" ca="1" si="470"/>
        <v>4.4788317964092119</v>
      </c>
      <c r="KC41" s="363">
        <f t="shared" ca="1" si="470"/>
        <v>4.5718498595700865</v>
      </c>
      <c r="KD41" s="363">
        <f t="shared" ca="1" si="470"/>
        <v>4.4894805713518711</v>
      </c>
      <c r="KE41" s="363">
        <f t="shared" ca="1" si="470"/>
        <v>4.496759123059296</v>
      </c>
      <c r="KF41" s="363">
        <f t="shared" ca="1" si="470"/>
        <v>4.4709633585464026</v>
      </c>
      <c r="KG41" s="363">
        <f t="shared" ca="1" si="470"/>
        <v>4.4583963050110942</v>
      </c>
      <c r="KH41" s="363">
        <f t="shared" ca="1" si="470"/>
        <v>4.5123029127512648</v>
      </c>
      <c r="KI41" s="363">
        <f t="shared" ca="1" si="470"/>
        <v>4.5244302711931113</v>
      </c>
      <c r="KJ41" s="363">
        <f t="shared" ca="1" si="470"/>
        <v>4.4134366943615442</v>
      </c>
      <c r="KK41" s="363">
        <f t="shared" ca="1" si="470"/>
        <v>4.5478593872317417</v>
      </c>
      <c r="KL41" s="363">
        <f t="shared" ca="1" si="470"/>
        <v>4.4643121035320297</v>
      </c>
      <c r="KM41" s="363">
        <f t="shared" ca="1" si="470"/>
        <v>4.4901642233356247</v>
      </c>
      <c r="KN41" s="363">
        <f t="shared" ca="1" si="470"/>
        <v>4.4878750266357308</v>
      </c>
      <c r="KO41" s="363">
        <f t="shared" ca="1" si="470"/>
        <v>4.5233622332932502</v>
      </c>
      <c r="KP41" s="363">
        <f t="shared" ca="1" si="470"/>
        <v>4.4736128863700326</v>
      </c>
      <c r="KQ41" s="363">
        <f t="shared" ca="1" si="470"/>
        <v>4.5082432586451056</v>
      </c>
      <c r="KR41" s="363">
        <f t="shared" ca="1" si="470"/>
        <v>4.4635025174547858</v>
      </c>
      <c r="KS41" s="363">
        <f t="shared" ca="1" si="470"/>
        <v>4.5384260993772854</v>
      </c>
      <c r="KT41" s="363">
        <f t="shared" ca="1" si="470"/>
        <v>4.501946592612863</v>
      </c>
      <c r="KU41" s="363">
        <f t="shared" ca="1" si="470"/>
        <v>4.4918403701025928</v>
      </c>
      <c r="KV41" s="363">
        <f t="shared" ca="1" si="470"/>
        <v>4.4529633133527478</v>
      </c>
      <c r="KW41" s="363">
        <f t="shared" ca="1" si="470"/>
        <v>4.5077527366375056</v>
      </c>
      <c r="KX41" s="363">
        <f t="shared" ca="1" si="470"/>
        <v>4.5109890595811741</v>
      </c>
      <c r="KY41" s="363">
        <f t="shared" ca="1" si="470"/>
        <v>4.4538418363363608</v>
      </c>
      <c r="KZ41" s="363">
        <f t="shared" ca="1" si="470"/>
        <v>4.5520859715054511</v>
      </c>
      <c r="LA41" s="363">
        <f ca="1">_xlfn.LOGNORM.INV(RAND(),$I$41,$J$41)</f>
        <v>4.5157743845317748</v>
      </c>
      <c r="LB41" s="363">
        <f t="shared" ref="LB41:NM41" ca="1" si="471">_xlfn.LOGNORM.INV(RAND(),$I$41,$J$41)</f>
        <v>4.5006843140658859</v>
      </c>
      <c r="LC41" s="363">
        <f t="shared" ca="1" si="471"/>
        <v>4.4754561380740157</v>
      </c>
      <c r="LD41" s="363">
        <f t="shared" ca="1" si="471"/>
        <v>4.4763615469304927</v>
      </c>
      <c r="LE41" s="363">
        <f t="shared" ca="1" si="471"/>
        <v>4.4121635840832729</v>
      </c>
      <c r="LF41" s="363">
        <f t="shared" ca="1" si="471"/>
        <v>4.4928484868770129</v>
      </c>
      <c r="LG41" s="363">
        <f t="shared" ca="1" si="471"/>
        <v>4.4839035471690174</v>
      </c>
      <c r="LH41" s="363">
        <f t="shared" ca="1" si="471"/>
        <v>4.4858517327905894</v>
      </c>
      <c r="LI41" s="363">
        <f t="shared" ca="1" si="471"/>
        <v>4.4504329232597426</v>
      </c>
      <c r="LJ41" s="363">
        <f t="shared" ca="1" si="471"/>
        <v>4.5364118831663189</v>
      </c>
      <c r="LK41" s="363">
        <f t="shared" ca="1" si="471"/>
        <v>4.5078353869432233</v>
      </c>
      <c r="LL41" s="363">
        <f t="shared" ca="1" si="471"/>
        <v>4.5046426715313466</v>
      </c>
      <c r="LM41" s="363">
        <f t="shared" ca="1" si="471"/>
        <v>4.4842509355749849</v>
      </c>
      <c r="LN41" s="363">
        <f t="shared" ca="1" si="471"/>
        <v>4.4983256378946921</v>
      </c>
      <c r="LO41" s="363">
        <f t="shared" ca="1" si="471"/>
        <v>4.5441925452085874</v>
      </c>
      <c r="LP41" s="363">
        <f t="shared" ca="1" si="471"/>
        <v>4.5939637634440968</v>
      </c>
      <c r="LQ41" s="363">
        <f t="shared" ca="1" si="471"/>
        <v>4.5180336017249028</v>
      </c>
      <c r="LR41" s="363">
        <f t="shared" ca="1" si="471"/>
        <v>4.5458407084543797</v>
      </c>
      <c r="LS41" s="363">
        <f t="shared" ca="1" si="471"/>
        <v>4.5181054294133975</v>
      </c>
      <c r="LT41" s="363">
        <f t="shared" ca="1" si="471"/>
        <v>4.5297154359586687</v>
      </c>
      <c r="LU41" s="363">
        <f t="shared" ca="1" si="471"/>
        <v>4.471587057745432</v>
      </c>
      <c r="LV41" s="363">
        <f t="shared" ca="1" si="471"/>
        <v>4.4834116799037238</v>
      </c>
      <c r="LW41" s="363">
        <f t="shared" ca="1" si="471"/>
        <v>4.5398536277087205</v>
      </c>
      <c r="LX41" s="363">
        <f t="shared" ca="1" si="471"/>
        <v>4.5565405469040581</v>
      </c>
      <c r="LY41" s="363">
        <f t="shared" ca="1" si="471"/>
        <v>4.4660651646763831</v>
      </c>
      <c r="LZ41" s="363">
        <f t="shared" ca="1" si="471"/>
        <v>4.4653869914540492</v>
      </c>
      <c r="MA41" s="363">
        <f t="shared" ca="1" si="471"/>
        <v>4.4673388744511264</v>
      </c>
      <c r="MB41" s="363">
        <f t="shared" ca="1" si="471"/>
        <v>4.496082536169812</v>
      </c>
      <c r="MC41" s="363">
        <f t="shared" ca="1" si="471"/>
        <v>4.5306536076620221</v>
      </c>
      <c r="MD41" s="363">
        <f t="shared" ca="1" si="471"/>
        <v>4.5443373084335112</v>
      </c>
      <c r="ME41" s="363">
        <f t="shared" ca="1" si="471"/>
        <v>4.4621141141691476</v>
      </c>
      <c r="MF41" s="363">
        <f t="shared" ca="1" si="471"/>
        <v>4.4751141497565641</v>
      </c>
      <c r="MG41" s="363">
        <f t="shared" ca="1" si="471"/>
        <v>4.4732246465744492</v>
      </c>
      <c r="MH41" s="363">
        <f t="shared" ca="1" si="471"/>
        <v>4.4636149592506253</v>
      </c>
      <c r="MI41" s="363">
        <f t="shared" ca="1" si="471"/>
        <v>4.4800808782711892</v>
      </c>
      <c r="MJ41" s="363">
        <f t="shared" ca="1" si="471"/>
        <v>4.5539355942970152</v>
      </c>
      <c r="MK41" s="363">
        <f t="shared" ca="1" si="471"/>
        <v>4.5493846324334948</v>
      </c>
      <c r="ML41" s="363">
        <f t="shared" ca="1" si="471"/>
        <v>4.5166314461317114</v>
      </c>
      <c r="MM41" s="363">
        <f t="shared" ca="1" si="471"/>
        <v>4.503601596367103</v>
      </c>
      <c r="MN41" s="363">
        <f t="shared" ca="1" si="471"/>
        <v>4.5137179135615106</v>
      </c>
      <c r="MO41" s="363">
        <f t="shared" ca="1" si="471"/>
        <v>4.5305067011030768</v>
      </c>
      <c r="MP41" s="363">
        <f t="shared" ca="1" si="471"/>
        <v>4.482667662011929</v>
      </c>
      <c r="MQ41" s="363">
        <f t="shared" ca="1" si="471"/>
        <v>4.5025619883474652</v>
      </c>
      <c r="MR41" s="363">
        <f t="shared" ca="1" si="471"/>
        <v>4.5073730774926322</v>
      </c>
      <c r="MS41" s="363">
        <f t="shared" ca="1" si="471"/>
        <v>4.5260320933013718</v>
      </c>
      <c r="MT41" s="363">
        <f t="shared" ca="1" si="471"/>
        <v>4.4839578719977755</v>
      </c>
      <c r="MU41" s="363">
        <f t="shared" ca="1" si="471"/>
        <v>4.4519241668629013</v>
      </c>
      <c r="MV41" s="363">
        <f t="shared" ca="1" si="471"/>
        <v>4.4616204168210531</v>
      </c>
      <c r="MW41" s="363">
        <f t="shared" ca="1" si="471"/>
        <v>4.5136876775169714</v>
      </c>
      <c r="MX41" s="363">
        <f t="shared" ca="1" si="471"/>
        <v>4.4494256217634165</v>
      </c>
      <c r="MY41" s="363">
        <f t="shared" ca="1" si="471"/>
        <v>4.524379616640652</v>
      </c>
      <c r="MZ41" s="363">
        <f t="shared" ca="1" si="471"/>
        <v>4.4457428754799908</v>
      </c>
      <c r="NA41" s="363">
        <f t="shared" ca="1" si="471"/>
        <v>4.4757936422598297</v>
      </c>
      <c r="NB41" s="363">
        <f t="shared" ca="1" si="471"/>
        <v>4.5199473768750131</v>
      </c>
      <c r="NC41" s="363">
        <f t="shared" ca="1" si="471"/>
        <v>4.4885508312006266</v>
      </c>
      <c r="ND41" s="363">
        <f t="shared" ca="1" si="471"/>
        <v>4.488048898049521</v>
      </c>
      <c r="NE41" s="363">
        <f t="shared" ca="1" si="471"/>
        <v>4.4973969539671712</v>
      </c>
      <c r="NF41" s="363">
        <f t="shared" ca="1" si="471"/>
        <v>4.4382984559530767</v>
      </c>
      <c r="NG41" s="363">
        <f t="shared" ca="1" si="471"/>
        <v>4.4555057530576763</v>
      </c>
      <c r="NH41" s="363">
        <f t="shared" ca="1" si="471"/>
        <v>4.5517205336455469</v>
      </c>
      <c r="NI41" s="363">
        <f t="shared" ca="1" si="471"/>
        <v>4.4671977779206991</v>
      </c>
      <c r="NJ41" s="363">
        <f t="shared" ca="1" si="471"/>
        <v>4.479394613265514</v>
      </c>
      <c r="NK41" s="363">
        <f t="shared" ca="1" si="471"/>
        <v>4.4899889683234662</v>
      </c>
      <c r="NL41" s="363">
        <f t="shared" ca="1" si="471"/>
        <v>4.5636636531731396</v>
      </c>
      <c r="NM41" s="363">
        <f t="shared" ca="1" si="471"/>
        <v>4.4391693032266568</v>
      </c>
      <c r="NN41" s="363">
        <f t="shared" ref="NN41:OV41" ca="1" si="472">_xlfn.LOGNORM.INV(RAND(),$I$41,$J$41)</f>
        <v>4.5754507965996085</v>
      </c>
      <c r="NO41" s="363">
        <f t="shared" ca="1" si="472"/>
        <v>4.4980214489071635</v>
      </c>
      <c r="NP41" s="363">
        <f t="shared" ca="1" si="472"/>
        <v>4.5238176585711765</v>
      </c>
      <c r="NQ41" s="363">
        <f t="shared" ca="1" si="472"/>
        <v>4.4896219116851359</v>
      </c>
      <c r="NR41" s="363">
        <f t="shared" ca="1" si="472"/>
        <v>4.4906066816707151</v>
      </c>
      <c r="NS41" s="363">
        <f t="shared" ca="1" si="472"/>
        <v>4.4445009850679176</v>
      </c>
      <c r="NT41" s="363">
        <f t="shared" ca="1" si="472"/>
        <v>4.4962703440091891</v>
      </c>
      <c r="NU41" s="363">
        <f t="shared" ca="1" si="472"/>
        <v>4.4235973158354573</v>
      </c>
      <c r="NV41" s="363">
        <f t="shared" ca="1" si="472"/>
        <v>4.5141579855171203</v>
      </c>
      <c r="NW41" s="363">
        <f t="shared" ca="1" si="472"/>
        <v>4.4934457371268799</v>
      </c>
      <c r="NX41" s="363">
        <f t="shared" ca="1" si="472"/>
        <v>4.5133138253124692</v>
      </c>
      <c r="NY41" s="363">
        <f t="shared" ca="1" si="472"/>
        <v>4.5067185922260311</v>
      </c>
      <c r="NZ41" s="363">
        <f t="shared" ca="1" si="472"/>
        <v>4.5132330365463584</v>
      </c>
      <c r="OA41" s="363">
        <f t="shared" ca="1" si="472"/>
        <v>4.4721332914127121</v>
      </c>
      <c r="OB41" s="363">
        <f t="shared" ca="1" si="472"/>
        <v>4.4678877106471671</v>
      </c>
      <c r="OC41" s="363">
        <f t="shared" ca="1" si="472"/>
        <v>4.487841036883796</v>
      </c>
      <c r="OD41" s="363">
        <f t="shared" ca="1" si="472"/>
        <v>4.5029948018246602</v>
      </c>
      <c r="OE41" s="363">
        <f t="shared" ca="1" si="472"/>
        <v>4.4521188729712886</v>
      </c>
      <c r="OF41" s="363">
        <f t="shared" ca="1" si="472"/>
        <v>4.5274996288863658</v>
      </c>
      <c r="OG41" s="363">
        <f t="shared" ca="1" si="472"/>
        <v>4.5252403303774651</v>
      </c>
      <c r="OH41" s="363">
        <f t="shared" ca="1" si="472"/>
        <v>4.5195481735171903</v>
      </c>
      <c r="OI41" s="363">
        <f t="shared" ca="1" si="472"/>
        <v>4.5040257478091865</v>
      </c>
      <c r="OJ41" s="363">
        <f t="shared" ca="1" si="472"/>
        <v>4.5313395392088394</v>
      </c>
      <c r="OK41" s="363">
        <f t="shared" ca="1" si="472"/>
        <v>4.4479189783847577</v>
      </c>
      <c r="OL41" s="363">
        <f t="shared" ca="1" si="472"/>
        <v>4.5217195588923316</v>
      </c>
      <c r="OM41" s="363">
        <f t="shared" ca="1" si="472"/>
        <v>4.4878411003053724</v>
      </c>
      <c r="ON41" s="363">
        <f t="shared" ca="1" si="472"/>
        <v>4.4879001389727167</v>
      </c>
      <c r="OO41" s="363">
        <f t="shared" ca="1" si="472"/>
        <v>4.4610158648382363</v>
      </c>
      <c r="OP41" s="363">
        <f t="shared" ca="1" si="472"/>
        <v>4.5033608004318619</v>
      </c>
      <c r="OQ41" s="363">
        <f t="shared" ca="1" si="472"/>
        <v>4.4637030580326735</v>
      </c>
      <c r="OR41" s="363">
        <f t="shared" ca="1" si="472"/>
        <v>4.4601329710019151</v>
      </c>
      <c r="OS41" s="363">
        <f t="shared" ca="1" si="472"/>
        <v>4.4819745704745104</v>
      </c>
      <c r="OT41" s="363">
        <f t="shared" ca="1" si="472"/>
        <v>4.4750593018058948</v>
      </c>
      <c r="OU41" s="363">
        <f t="shared" ca="1" si="472"/>
        <v>4.4794556174395019</v>
      </c>
      <c r="OV41" s="363">
        <f t="shared" ca="1" si="472"/>
        <v>4.5400612705520969</v>
      </c>
      <c r="OW41" s="363">
        <f ca="1">_xlfn.LOGNORM.INV(RAND(),$I$41,$J$41)</f>
        <v>4.4480570704095737</v>
      </c>
      <c r="OX41" s="363">
        <f t="shared" ref="OX41:RI41" ca="1" si="473">_xlfn.LOGNORM.INV(RAND(),$I$41,$J$41)</f>
        <v>4.557918037443911</v>
      </c>
      <c r="OY41" s="363">
        <f t="shared" ca="1" si="473"/>
        <v>4.5209178700879491</v>
      </c>
      <c r="OZ41" s="363">
        <f t="shared" ca="1" si="473"/>
        <v>4.4500230326141272</v>
      </c>
      <c r="PA41" s="363">
        <f t="shared" ca="1" si="473"/>
        <v>4.4833069125426785</v>
      </c>
      <c r="PB41" s="363">
        <f t="shared" ca="1" si="473"/>
        <v>4.5159939179880775</v>
      </c>
      <c r="PC41" s="363">
        <f t="shared" ca="1" si="473"/>
        <v>4.5350151732087198</v>
      </c>
      <c r="PD41" s="363">
        <f t="shared" ca="1" si="473"/>
        <v>4.4915406532410049</v>
      </c>
      <c r="PE41" s="363">
        <f t="shared" ca="1" si="473"/>
        <v>4.4989627625759629</v>
      </c>
      <c r="PF41" s="363">
        <f t="shared" ca="1" si="473"/>
        <v>4.4597455679660234</v>
      </c>
      <c r="PG41" s="363">
        <f t="shared" ca="1" si="473"/>
        <v>4.5646893529454928</v>
      </c>
      <c r="PH41" s="363">
        <f t="shared" ca="1" si="473"/>
        <v>4.4563276677575008</v>
      </c>
      <c r="PI41" s="363">
        <f t="shared" ca="1" si="473"/>
        <v>4.3858210522223642</v>
      </c>
      <c r="PJ41" s="363">
        <f t="shared" ca="1" si="473"/>
        <v>4.4965947901326651</v>
      </c>
      <c r="PK41" s="363">
        <f t="shared" ca="1" si="473"/>
        <v>4.4661586509694686</v>
      </c>
      <c r="PL41" s="363">
        <f t="shared" ca="1" si="473"/>
        <v>4.4644736182801159</v>
      </c>
      <c r="PM41" s="363">
        <f t="shared" ca="1" si="473"/>
        <v>4.4779925007268391</v>
      </c>
      <c r="PN41" s="363">
        <f t="shared" ca="1" si="473"/>
        <v>4.5518766768230234</v>
      </c>
      <c r="PO41" s="363">
        <f t="shared" ca="1" si="473"/>
        <v>4.4757065933282325</v>
      </c>
      <c r="PP41" s="363">
        <f t="shared" ca="1" si="473"/>
        <v>4.5159168898948048</v>
      </c>
      <c r="PQ41" s="363">
        <f t="shared" ca="1" si="473"/>
        <v>4.5931285101905237</v>
      </c>
      <c r="PR41" s="363">
        <f t="shared" ca="1" si="473"/>
        <v>4.4235181264223167</v>
      </c>
      <c r="PS41" s="363">
        <f t="shared" ca="1" si="473"/>
        <v>4.4923058262661684</v>
      </c>
      <c r="PT41" s="363">
        <f t="shared" ca="1" si="473"/>
        <v>4.3955386723446903</v>
      </c>
      <c r="PU41" s="363">
        <f t="shared" ca="1" si="473"/>
        <v>4.530352387612429</v>
      </c>
      <c r="PV41" s="363">
        <f t="shared" ca="1" si="473"/>
        <v>4.4757039426390017</v>
      </c>
      <c r="PW41" s="363">
        <f t="shared" ca="1" si="473"/>
        <v>4.4748641401377434</v>
      </c>
      <c r="PX41" s="363">
        <f t="shared" ca="1" si="473"/>
        <v>4.4667273658335365</v>
      </c>
      <c r="PY41" s="363">
        <f t="shared" ca="1" si="473"/>
        <v>4.477193844349423</v>
      </c>
      <c r="PZ41" s="363">
        <f t="shared" ca="1" si="473"/>
        <v>4.554262373680797</v>
      </c>
      <c r="QA41" s="363">
        <f t="shared" ca="1" si="473"/>
        <v>4.4744585918729749</v>
      </c>
      <c r="QB41" s="363">
        <f t="shared" ca="1" si="473"/>
        <v>4.4825024970388538</v>
      </c>
      <c r="QC41" s="363">
        <f t="shared" ca="1" si="473"/>
        <v>4.4395211133645747</v>
      </c>
      <c r="QD41" s="363">
        <f t="shared" ca="1" si="473"/>
        <v>4.5516231455029414</v>
      </c>
      <c r="QE41" s="363">
        <f t="shared" ca="1" si="473"/>
        <v>4.4676415373102012</v>
      </c>
      <c r="QF41" s="363">
        <f t="shared" ca="1" si="473"/>
        <v>4.4421385110796239</v>
      </c>
      <c r="QG41" s="363">
        <f t="shared" ca="1" si="473"/>
        <v>4.5349093738375732</v>
      </c>
      <c r="QH41" s="363">
        <f t="shared" ca="1" si="473"/>
        <v>4.482049342444558</v>
      </c>
      <c r="QI41" s="363">
        <f t="shared" ca="1" si="473"/>
        <v>4.5214012261302807</v>
      </c>
      <c r="QJ41" s="363">
        <f t="shared" ca="1" si="473"/>
        <v>4.5212939052469681</v>
      </c>
      <c r="QK41" s="363">
        <f t="shared" ca="1" si="473"/>
        <v>4.5200040959709833</v>
      </c>
      <c r="QL41" s="363">
        <f t="shared" ca="1" si="473"/>
        <v>4.5310806861534596</v>
      </c>
      <c r="QM41" s="363">
        <f t="shared" ca="1" si="473"/>
        <v>4.476081166122019</v>
      </c>
      <c r="QN41" s="363">
        <f t="shared" ca="1" si="473"/>
        <v>4.4910964218732392</v>
      </c>
      <c r="QO41" s="363">
        <f t="shared" ca="1" si="473"/>
        <v>4.5502000311507045</v>
      </c>
      <c r="QP41" s="363">
        <f t="shared" ca="1" si="473"/>
        <v>4.6111752014565015</v>
      </c>
      <c r="QQ41" s="363">
        <f t="shared" ca="1" si="473"/>
        <v>4.5326505933872934</v>
      </c>
      <c r="QR41" s="363">
        <f t="shared" ca="1" si="473"/>
        <v>4.44445722008731</v>
      </c>
      <c r="QS41" s="363">
        <f t="shared" ca="1" si="473"/>
        <v>4.4736664095695824</v>
      </c>
      <c r="QT41" s="363">
        <f t="shared" ca="1" si="473"/>
        <v>4.4321807528392672</v>
      </c>
      <c r="QU41" s="363">
        <f t="shared" ca="1" si="473"/>
        <v>4.4701224138719313</v>
      </c>
      <c r="QV41" s="363">
        <f t="shared" ca="1" si="473"/>
        <v>4.5141576936867907</v>
      </c>
      <c r="QW41" s="363">
        <f t="shared" ca="1" si="473"/>
        <v>4.4485457454384383</v>
      </c>
      <c r="QX41" s="363">
        <f t="shared" ca="1" si="473"/>
        <v>4.4790940126535697</v>
      </c>
      <c r="QY41" s="363">
        <f t="shared" ca="1" si="473"/>
        <v>4.5202165860502443</v>
      </c>
      <c r="QZ41" s="363">
        <f t="shared" ca="1" si="473"/>
        <v>4.4793691093137298</v>
      </c>
      <c r="RA41" s="363">
        <f t="shared" ca="1" si="473"/>
        <v>4.3989243545149721</v>
      </c>
      <c r="RB41" s="363">
        <f t="shared" ca="1" si="473"/>
        <v>4.5257032781369464</v>
      </c>
      <c r="RC41" s="363">
        <f t="shared" ca="1" si="473"/>
        <v>4.5238559702650427</v>
      </c>
      <c r="RD41" s="363">
        <f t="shared" ca="1" si="473"/>
        <v>4.4696156800356439</v>
      </c>
      <c r="RE41" s="363">
        <f t="shared" ca="1" si="473"/>
        <v>4.5182716311160664</v>
      </c>
      <c r="RF41" s="363">
        <f t="shared" ca="1" si="473"/>
        <v>4.5139239186737941</v>
      </c>
      <c r="RG41" s="363">
        <f t="shared" ca="1" si="473"/>
        <v>4.4722079600345417</v>
      </c>
      <c r="RH41" s="363">
        <f t="shared" ca="1" si="473"/>
        <v>4.4898848802393587</v>
      </c>
      <c r="RI41" s="363">
        <f t="shared" ca="1" si="473"/>
        <v>4.4857470257562868</v>
      </c>
      <c r="RJ41" s="363">
        <f t="shared" ref="RJ41:SR41" ca="1" si="474">_xlfn.LOGNORM.INV(RAND(),$I$41,$J$41)</f>
        <v>4.459435849693457</v>
      </c>
      <c r="RK41" s="363">
        <f t="shared" ca="1" si="474"/>
        <v>4.5123236797176505</v>
      </c>
      <c r="RL41" s="363">
        <f t="shared" ca="1" si="474"/>
        <v>4.5609495748622786</v>
      </c>
      <c r="RM41" s="363">
        <f t="shared" ca="1" si="474"/>
        <v>4.5931923651834641</v>
      </c>
      <c r="RN41" s="363">
        <f t="shared" ca="1" si="474"/>
        <v>4.5131095537578023</v>
      </c>
      <c r="RO41" s="363">
        <f t="shared" ca="1" si="474"/>
        <v>4.4503439849775708</v>
      </c>
      <c r="RP41" s="363">
        <f t="shared" ca="1" si="474"/>
        <v>4.4847286343762773</v>
      </c>
      <c r="RQ41" s="363">
        <f t="shared" ca="1" si="474"/>
        <v>4.5147911035546588</v>
      </c>
      <c r="RR41" s="363">
        <f t="shared" ca="1" si="474"/>
        <v>4.5031323356370319</v>
      </c>
      <c r="RS41" s="363">
        <f t="shared" ca="1" si="474"/>
        <v>4.5109319097875149</v>
      </c>
      <c r="RT41" s="363">
        <f t="shared" ca="1" si="474"/>
        <v>4.4670420263545489</v>
      </c>
      <c r="RU41" s="363">
        <f t="shared" ca="1" si="474"/>
        <v>4.5383842784328357</v>
      </c>
      <c r="RV41" s="363">
        <f t="shared" ca="1" si="474"/>
        <v>4.4411485807876412</v>
      </c>
      <c r="RW41" s="363">
        <f t="shared" ca="1" si="474"/>
        <v>4.5196996753758629</v>
      </c>
      <c r="RX41" s="363">
        <f t="shared" ca="1" si="474"/>
        <v>4.4968373959711627</v>
      </c>
      <c r="RY41" s="363">
        <f t="shared" ca="1" si="474"/>
        <v>4.4627223254586719</v>
      </c>
      <c r="RZ41" s="363">
        <f t="shared" ca="1" si="474"/>
        <v>4.5260243712822783</v>
      </c>
      <c r="SA41" s="363">
        <f t="shared" ca="1" si="474"/>
        <v>4.5133452716407403</v>
      </c>
      <c r="SB41" s="363">
        <f t="shared" ca="1" si="474"/>
        <v>4.5441425700304174</v>
      </c>
      <c r="SC41" s="363">
        <f t="shared" ca="1" si="474"/>
        <v>4.4960492673690675</v>
      </c>
      <c r="SD41" s="363">
        <f t="shared" ca="1" si="474"/>
        <v>4.4670583743170935</v>
      </c>
      <c r="SE41" s="363">
        <f t="shared" ca="1" si="474"/>
        <v>4.522993133180182</v>
      </c>
      <c r="SF41" s="363">
        <f t="shared" ca="1" si="474"/>
        <v>4.4767331845249529</v>
      </c>
      <c r="SG41" s="363">
        <f t="shared" ca="1" si="474"/>
        <v>4.5366199043915421</v>
      </c>
      <c r="SH41" s="363">
        <f t="shared" ca="1" si="474"/>
        <v>4.4624007809122892</v>
      </c>
      <c r="SI41" s="363">
        <f t="shared" ca="1" si="474"/>
        <v>4.5198516576503627</v>
      </c>
      <c r="SJ41" s="363">
        <f t="shared" ca="1" si="474"/>
        <v>4.4838429721230693</v>
      </c>
      <c r="SK41" s="363">
        <f t="shared" ca="1" si="474"/>
        <v>4.5482343838821517</v>
      </c>
      <c r="SL41" s="363">
        <f t="shared" ca="1" si="474"/>
        <v>4.4843349757751483</v>
      </c>
      <c r="SM41" s="363">
        <f t="shared" ca="1" si="474"/>
        <v>4.5021429086607281</v>
      </c>
      <c r="SN41" s="363">
        <f t="shared" ca="1" si="474"/>
        <v>4.5245131371730718</v>
      </c>
      <c r="SO41" s="363">
        <f t="shared" ca="1" si="474"/>
        <v>4.4824433917270792</v>
      </c>
      <c r="SP41" s="363">
        <f t="shared" ca="1" si="474"/>
        <v>4.5423759521224936</v>
      </c>
      <c r="SQ41" s="363">
        <f t="shared" ca="1" si="474"/>
        <v>4.516380689877395</v>
      </c>
      <c r="SR41" s="363">
        <f t="shared" ca="1" si="474"/>
        <v>4.4176793378868222</v>
      </c>
      <c r="SS41" s="363">
        <f ca="1">_xlfn.LOGNORM.INV(RAND(),$I$41,$J$41)</f>
        <v>4.4851948338919936</v>
      </c>
      <c r="ST41" s="363">
        <f t="shared" ref="ST41:VE41" ca="1" si="475">_xlfn.LOGNORM.INV(RAND(),$I$41,$J$41)</f>
        <v>4.5597312461513919</v>
      </c>
      <c r="SU41" s="363">
        <f t="shared" ca="1" si="475"/>
        <v>4.5167850193602206</v>
      </c>
      <c r="SV41" s="363">
        <f t="shared" ca="1" si="475"/>
        <v>4.4617027431996865</v>
      </c>
      <c r="SW41" s="363">
        <f t="shared" ca="1" si="475"/>
        <v>4.5714085136664986</v>
      </c>
      <c r="SX41" s="363">
        <f t="shared" ca="1" si="475"/>
        <v>4.4752125062191324</v>
      </c>
      <c r="SY41" s="363">
        <f t="shared" ca="1" si="475"/>
        <v>4.5046916460152371</v>
      </c>
      <c r="SZ41" s="363">
        <f t="shared" ca="1" si="475"/>
        <v>4.5215036402098301</v>
      </c>
      <c r="TA41" s="363">
        <f t="shared" ca="1" si="475"/>
        <v>4.5141937613203726</v>
      </c>
      <c r="TB41" s="363">
        <f t="shared" ca="1" si="475"/>
        <v>4.3890712536659944</v>
      </c>
      <c r="TC41" s="363">
        <f t="shared" ca="1" si="475"/>
        <v>4.4698332392856939</v>
      </c>
      <c r="TD41" s="363">
        <f t="shared" ca="1" si="475"/>
        <v>4.4691751636807755</v>
      </c>
      <c r="TE41" s="363">
        <f t="shared" ca="1" si="475"/>
        <v>4.4606884143730072</v>
      </c>
      <c r="TF41" s="363">
        <f t="shared" ca="1" si="475"/>
        <v>4.4624370021470021</v>
      </c>
      <c r="TG41" s="363">
        <f t="shared" ca="1" si="475"/>
        <v>4.5314940366773815</v>
      </c>
      <c r="TH41" s="363">
        <f t="shared" ca="1" si="475"/>
        <v>4.4501183208081345</v>
      </c>
      <c r="TI41" s="363">
        <f t="shared" ca="1" si="475"/>
        <v>4.5322624507287674</v>
      </c>
      <c r="TJ41" s="363">
        <f t="shared" ca="1" si="475"/>
        <v>4.5531550414129844</v>
      </c>
      <c r="TK41" s="363">
        <f t="shared" ca="1" si="475"/>
        <v>4.5292918199949108</v>
      </c>
      <c r="TL41" s="363">
        <f t="shared" ca="1" si="475"/>
        <v>4.5055132364563342</v>
      </c>
      <c r="TM41" s="363">
        <f t="shared" ca="1" si="475"/>
        <v>4.4564877760745114</v>
      </c>
      <c r="TN41" s="363">
        <f t="shared" ca="1" si="475"/>
        <v>4.5147396295202542</v>
      </c>
      <c r="TO41" s="363">
        <f t="shared" ca="1" si="475"/>
        <v>4.5101665922085248</v>
      </c>
      <c r="TP41" s="363">
        <f t="shared" ca="1" si="475"/>
        <v>4.4717462778885695</v>
      </c>
      <c r="TQ41" s="363">
        <f t="shared" ca="1" si="475"/>
        <v>4.5141797728070889</v>
      </c>
      <c r="TR41" s="363">
        <f t="shared" ca="1" si="475"/>
        <v>4.5079956363182916</v>
      </c>
      <c r="TS41" s="363">
        <f t="shared" ca="1" si="475"/>
        <v>4.567588867911776</v>
      </c>
      <c r="TT41" s="363">
        <f t="shared" ca="1" si="475"/>
        <v>4.4975023816478821</v>
      </c>
      <c r="TU41" s="363">
        <f t="shared" ca="1" si="475"/>
        <v>4.4683806474027099</v>
      </c>
      <c r="TV41" s="363">
        <f t="shared" ca="1" si="475"/>
        <v>4.4814746381747446</v>
      </c>
      <c r="TW41" s="363">
        <f t="shared" ca="1" si="475"/>
        <v>4.5165044989625471</v>
      </c>
      <c r="TX41" s="363">
        <f t="shared" ca="1" si="475"/>
        <v>4.4307758456281681</v>
      </c>
      <c r="TY41" s="363">
        <f t="shared" ca="1" si="475"/>
        <v>4.5026871337767087</v>
      </c>
      <c r="TZ41" s="363">
        <f t="shared" ca="1" si="475"/>
        <v>4.4713145334140707</v>
      </c>
      <c r="UA41" s="363">
        <f t="shared" ca="1" si="475"/>
        <v>4.4970092217135686</v>
      </c>
      <c r="UB41" s="363">
        <f t="shared" ca="1" si="475"/>
        <v>4.4836048317552795</v>
      </c>
      <c r="UC41" s="363">
        <f t="shared" ca="1" si="475"/>
        <v>4.4232728440699898</v>
      </c>
      <c r="UD41" s="363">
        <f t="shared" ca="1" si="475"/>
        <v>4.4887377048939632</v>
      </c>
      <c r="UE41" s="363">
        <f t="shared" ca="1" si="475"/>
        <v>4.4492543666538005</v>
      </c>
      <c r="UF41" s="363">
        <f t="shared" ca="1" si="475"/>
        <v>4.4978990460340231</v>
      </c>
      <c r="UG41" s="363">
        <f t="shared" ca="1" si="475"/>
        <v>4.547249369981313</v>
      </c>
      <c r="UH41" s="363">
        <f t="shared" ca="1" si="475"/>
        <v>4.4043455519844761</v>
      </c>
      <c r="UI41" s="363">
        <f t="shared" ca="1" si="475"/>
        <v>4.5113234752647005</v>
      </c>
      <c r="UJ41" s="363">
        <f t="shared" ca="1" si="475"/>
        <v>4.4988107943750082</v>
      </c>
      <c r="UK41" s="363">
        <f t="shared" ca="1" si="475"/>
        <v>4.5353031923131173</v>
      </c>
      <c r="UL41" s="363">
        <f t="shared" ca="1" si="475"/>
        <v>4.435625043939984</v>
      </c>
      <c r="UM41" s="363">
        <f t="shared" ca="1" si="475"/>
        <v>4.4959856156470135</v>
      </c>
      <c r="UN41" s="363">
        <f t="shared" ca="1" si="475"/>
        <v>4.4927316438481064</v>
      </c>
      <c r="UO41" s="363">
        <f t="shared" ca="1" si="475"/>
        <v>4.4774856538609091</v>
      </c>
      <c r="UP41" s="363">
        <f t="shared" ca="1" si="475"/>
        <v>4.5107480517545993</v>
      </c>
      <c r="UQ41" s="363">
        <f t="shared" ca="1" si="475"/>
        <v>4.5671067842398063</v>
      </c>
      <c r="UR41" s="363">
        <f t="shared" ca="1" si="475"/>
        <v>4.5092825777187793</v>
      </c>
      <c r="US41" s="363">
        <f t="shared" ca="1" si="475"/>
        <v>4.5380608800508231</v>
      </c>
      <c r="UT41" s="363">
        <f t="shared" ca="1" si="475"/>
        <v>4.4784151395404832</v>
      </c>
      <c r="UU41" s="363">
        <f t="shared" ca="1" si="475"/>
        <v>4.4620604741022607</v>
      </c>
      <c r="UV41" s="363">
        <f t="shared" ca="1" si="475"/>
        <v>4.5218445017664175</v>
      </c>
      <c r="UW41" s="363">
        <f t="shared" ca="1" si="475"/>
        <v>4.5528574933397028</v>
      </c>
      <c r="UX41" s="363">
        <f t="shared" ca="1" si="475"/>
        <v>4.5550611660380929</v>
      </c>
      <c r="UY41" s="363">
        <f t="shared" ca="1" si="475"/>
        <v>4.4177260720685902</v>
      </c>
      <c r="UZ41" s="363">
        <f t="shared" ca="1" si="475"/>
        <v>4.51893451620096</v>
      </c>
      <c r="VA41" s="363">
        <f t="shared" ca="1" si="475"/>
        <v>4.532733599784887</v>
      </c>
      <c r="VB41" s="363">
        <f t="shared" ca="1" si="475"/>
        <v>4.5062252670167942</v>
      </c>
      <c r="VC41" s="363">
        <f t="shared" ca="1" si="475"/>
        <v>4.5096941304602618</v>
      </c>
      <c r="VD41" s="363">
        <f t="shared" ca="1" si="475"/>
        <v>4.5222604326853357</v>
      </c>
      <c r="VE41" s="363">
        <f t="shared" ca="1" si="475"/>
        <v>4.467786196431927</v>
      </c>
      <c r="VF41" s="363">
        <f t="shared" ref="VF41:WN41" ca="1" si="476">_xlfn.LOGNORM.INV(RAND(),$I$41,$J$41)</f>
        <v>4.5810989481163347</v>
      </c>
      <c r="VG41" s="363">
        <f t="shared" ca="1" si="476"/>
        <v>4.3929949141761915</v>
      </c>
      <c r="VH41" s="363">
        <f t="shared" ca="1" si="476"/>
        <v>4.5062407858746578</v>
      </c>
      <c r="VI41" s="363">
        <f t="shared" ca="1" si="476"/>
        <v>4.4617024439831781</v>
      </c>
      <c r="VJ41" s="363">
        <f t="shared" ca="1" si="476"/>
        <v>4.5053759385309293</v>
      </c>
      <c r="VK41" s="363">
        <f t="shared" ca="1" si="476"/>
        <v>4.5091386849354693</v>
      </c>
      <c r="VL41" s="363">
        <f t="shared" ca="1" si="476"/>
        <v>4.5016697167065427</v>
      </c>
      <c r="VM41" s="363">
        <f t="shared" ca="1" si="476"/>
        <v>4.5550226085476417</v>
      </c>
      <c r="VN41" s="363">
        <f t="shared" ca="1" si="476"/>
        <v>4.4806268209207811</v>
      </c>
      <c r="VO41" s="363">
        <f t="shared" ca="1" si="476"/>
        <v>4.4657501308169918</v>
      </c>
      <c r="VP41" s="363">
        <f t="shared" ca="1" si="476"/>
        <v>4.5166321341660609</v>
      </c>
      <c r="VQ41" s="363">
        <f t="shared" ca="1" si="476"/>
        <v>4.4267849444029856</v>
      </c>
      <c r="VR41" s="363">
        <f t="shared" ca="1" si="476"/>
        <v>4.5298808458138424</v>
      </c>
      <c r="VS41" s="363">
        <f t="shared" ca="1" si="476"/>
        <v>4.4472580407759263</v>
      </c>
      <c r="VT41" s="363">
        <f t="shared" ca="1" si="476"/>
        <v>4.4629022666418665</v>
      </c>
      <c r="VU41" s="363">
        <f t="shared" ca="1" si="476"/>
        <v>4.5234831004596581</v>
      </c>
      <c r="VV41" s="363">
        <f t="shared" ca="1" si="476"/>
        <v>4.5500064763104948</v>
      </c>
      <c r="VW41" s="363">
        <f t="shared" ca="1" si="476"/>
        <v>4.4626055904816786</v>
      </c>
      <c r="VX41" s="363">
        <f t="shared" ca="1" si="476"/>
        <v>4.4833494181057958</v>
      </c>
      <c r="VY41" s="363">
        <f t="shared" ca="1" si="476"/>
        <v>4.497937884595764</v>
      </c>
      <c r="VZ41" s="363">
        <f t="shared" ca="1" si="476"/>
        <v>4.4982039017506823</v>
      </c>
      <c r="WA41" s="363">
        <f t="shared" ca="1" si="476"/>
        <v>4.4396862718243026</v>
      </c>
      <c r="WB41" s="363">
        <f t="shared" ca="1" si="476"/>
        <v>4.4485793598438876</v>
      </c>
      <c r="WC41" s="363">
        <f t="shared" ca="1" si="476"/>
        <v>4.517325238691031</v>
      </c>
      <c r="WD41" s="363">
        <f t="shared" ca="1" si="476"/>
        <v>4.4750849584550494</v>
      </c>
      <c r="WE41" s="363">
        <f t="shared" ca="1" si="476"/>
        <v>4.5133538213248077</v>
      </c>
      <c r="WF41" s="363">
        <f t="shared" ca="1" si="476"/>
        <v>4.5282027572085788</v>
      </c>
      <c r="WG41" s="363">
        <f t="shared" ca="1" si="476"/>
        <v>4.529911066464507</v>
      </c>
      <c r="WH41" s="363">
        <f t="shared" ca="1" si="476"/>
        <v>4.556782008143113</v>
      </c>
      <c r="WI41" s="363">
        <f t="shared" ca="1" si="476"/>
        <v>4.5414380416922251</v>
      </c>
      <c r="WJ41" s="363">
        <f t="shared" ca="1" si="476"/>
        <v>4.5189919449422602</v>
      </c>
      <c r="WK41" s="363">
        <f t="shared" ca="1" si="476"/>
        <v>4.4654194765729613</v>
      </c>
      <c r="WL41" s="363">
        <f t="shared" ca="1" si="476"/>
        <v>4.4472283553923226</v>
      </c>
      <c r="WM41" s="363">
        <f t="shared" ca="1" si="476"/>
        <v>4.522178223567856</v>
      </c>
      <c r="WN41" s="363">
        <f t="shared" ca="1" si="476"/>
        <v>4.5186205400559247</v>
      </c>
    </row>
    <row r="42" spans="2:612" x14ac:dyDescent="0.15">
      <c r="B42" s="469" t="s">
        <v>893</v>
      </c>
      <c r="C42" s="513"/>
      <c r="D42" s="457">
        <f t="shared" si="0"/>
        <v>3</v>
      </c>
      <c r="E42" s="510"/>
      <c r="F42" s="457">
        <v>3</v>
      </c>
      <c r="G42" s="457">
        <v>15833</v>
      </c>
      <c r="H42" s="457">
        <v>2.5510204081632563E-2</v>
      </c>
      <c r="I42" s="363">
        <f t="shared" si="463"/>
        <v>1.0982869034119664</v>
      </c>
      <c r="J42" s="367">
        <f t="shared" si="464"/>
        <v>8.5032476509274441E-3</v>
      </c>
      <c r="K42" s="367" t="s">
        <v>1274</v>
      </c>
      <c r="M42" s="363">
        <f ca="1">_xlfn.LOGNORM.INV(RAND(),$I$42,$J$42)</f>
        <v>2.9898345085012261</v>
      </c>
      <c r="N42" s="363">
        <f t="shared" ref="N42:BY42" ca="1" si="477">_xlfn.LOGNORM.INV(RAND(),$I$42,$J$42)</f>
        <v>2.9836336536370482</v>
      </c>
      <c r="O42" s="363">
        <f t="shared" ca="1" si="477"/>
        <v>2.9632691157304052</v>
      </c>
      <c r="P42" s="363">
        <f t="shared" ca="1" si="477"/>
        <v>3.0115649300715579</v>
      </c>
      <c r="Q42" s="363">
        <f t="shared" ca="1" si="477"/>
        <v>2.9804257643522662</v>
      </c>
      <c r="R42" s="363">
        <f t="shared" ca="1" si="477"/>
        <v>3.0194156114796469</v>
      </c>
      <c r="S42" s="363">
        <f t="shared" ca="1" si="477"/>
        <v>3.0066773690984165</v>
      </c>
      <c r="T42" s="363">
        <f t="shared" ca="1" si="477"/>
        <v>2.9471774565346007</v>
      </c>
      <c r="U42" s="363">
        <f t="shared" ca="1" si="477"/>
        <v>3.0027267067942791</v>
      </c>
      <c r="V42" s="363">
        <f t="shared" ca="1" si="477"/>
        <v>3.0189736303774422</v>
      </c>
      <c r="W42" s="363">
        <f t="shared" ca="1" si="477"/>
        <v>2.9983438733587295</v>
      </c>
      <c r="X42" s="363">
        <f t="shared" ca="1" si="477"/>
        <v>3.0253222531571828</v>
      </c>
      <c r="Y42" s="363">
        <f t="shared" ca="1" si="477"/>
        <v>2.9917415904354456</v>
      </c>
      <c r="Z42" s="363">
        <f t="shared" ca="1" si="477"/>
        <v>2.9915853156896679</v>
      </c>
      <c r="AA42" s="363">
        <f t="shared" ca="1" si="477"/>
        <v>3.0458579527701297</v>
      </c>
      <c r="AB42" s="363">
        <f t="shared" ca="1" si="477"/>
        <v>3.0130142005054545</v>
      </c>
      <c r="AC42" s="363">
        <f t="shared" ca="1" si="477"/>
        <v>2.9737184971942159</v>
      </c>
      <c r="AD42" s="363">
        <f t="shared" ca="1" si="477"/>
        <v>2.9565615335180215</v>
      </c>
      <c r="AE42" s="363">
        <f t="shared" ca="1" si="477"/>
        <v>2.9843971585578553</v>
      </c>
      <c r="AF42" s="363">
        <f t="shared" ca="1" si="477"/>
        <v>3.002342607639013</v>
      </c>
      <c r="AG42" s="363">
        <f t="shared" ca="1" si="477"/>
        <v>2.9767652609493775</v>
      </c>
      <c r="AH42" s="363">
        <f t="shared" ca="1" si="477"/>
        <v>2.9916675522513341</v>
      </c>
      <c r="AI42" s="363">
        <f t="shared" ca="1" si="477"/>
        <v>3.0477315197460766</v>
      </c>
      <c r="AJ42" s="363">
        <f t="shared" ca="1" si="477"/>
        <v>2.9990917053158421</v>
      </c>
      <c r="AK42" s="363">
        <f t="shared" ca="1" si="477"/>
        <v>3.0311358770852799</v>
      </c>
      <c r="AL42" s="363">
        <f t="shared" ca="1" si="477"/>
        <v>2.9812319146551034</v>
      </c>
      <c r="AM42" s="363">
        <f t="shared" ca="1" si="477"/>
        <v>2.9749820779073004</v>
      </c>
      <c r="AN42" s="363">
        <f t="shared" ca="1" si="477"/>
        <v>2.9840901872526571</v>
      </c>
      <c r="AO42" s="363">
        <f t="shared" ca="1" si="477"/>
        <v>3.0226124585938012</v>
      </c>
      <c r="AP42" s="363">
        <f t="shared" ca="1" si="477"/>
        <v>2.9846961425804324</v>
      </c>
      <c r="AQ42" s="363">
        <f t="shared" ca="1" si="477"/>
        <v>2.997048210329774</v>
      </c>
      <c r="AR42" s="363">
        <f t="shared" ca="1" si="477"/>
        <v>2.9573775330926488</v>
      </c>
      <c r="AS42" s="363">
        <f t="shared" ca="1" si="477"/>
        <v>3.0086310453998761</v>
      </c>
      <c r="AT42" s="363">
        <f t="shared" ca="1" si="477"/>
        <v>2.9665953878495057</v>
      </c>
      <c r="AU42" s="363">
        <f t="shared" ca="1" si="477"/>
        <v>3.0228566387768532</v>
      </c>
      <c r="AV42" s="363">
        <f t="shared" ca="1" si="477"/>
        <v>2.9689551996825863</v>
      </c>
      <c r="AW42" s="363">
        <f t="shared" ca="1" si="477"/>
        <v>2.9902439463049024</v>
      </c>
      <c r="AX42" s="363">
        <f t="shared" ca="1" si="477"/>
        <v>2.9703309636343227</v>
      </c>
      <c r="AY42" s="363">
        <f t="shared" ca="1" si="477"/>
        <v>3.0090193516128916</v>
      </c>
      <c r="AZ42" s="363">
        <f t="shared" ca="1" si="477"/>
        <v>3.0185156270443958</v>
      </c>
      <c r="BA42" s="363">
        <f t="shared" ca="1" si="477"/>
        <v>3.0292235908475584</v>
      </c>
      <c r="BB42" s="363">
        <f t="shared" ca="1" si="477"/>
        <v>3.004898513292138</v>
      </c>
      <c r="BC42" s="363">
        <f t="shared" ca="1" si="477"/>
        <v>2.9631569759150369</v>
      </c>
      <c r="BD42" s="363">
        <f t="shared" ca="1" si="477"/>
        <v>3.0155849270867581</v>
      </c>
      <c r="BE42" s="363">
        <f t="shared" ca="1" si="477"/>
        <v>2.9654132614796218</v>
      </c>
      <c r="BF42" s="363">
        <f t="shared" ca="1" si="477"/>
        <v>2.9967271688403212</v>
      </c>
      <c r="BG42" s="363">
        <f t="shared" ca="1" si="477"/>
        <v>3.0139464584469251</v>
      </c>
      <c r="BH42" s="363">
        <f t="shared" ca="1" si="477"/>
        <v>2.9831921776938843</v>
      </c>
      <c r="BI42" s="363">
        <f t="shared" ca="1" si="477"/>
        <v>2.9684759465893489</v>
      </c>
      <c r="BJ42" s="363">
        <f t="shared" ca="1" si="477"/>
        <v>3.0258110677805603</v>
      </c>
      <c r="BK42" s="363">
        <f t="shared" ca="1" si="477"/>
        <v>3.0343112576928228</v>
      </c>
      <c r="BL42" s="363">
        <f t="shared" ca="1" si="477"/>
        <v>3.0099403379660377</v>
      </c>
      <c r="BM42" s="363">
        <f t="shared" ca="1" si="477"/>
        <v>2.9774384711730222</v>
      </c>
      <c r="BN42" s="363">
        <f t="shared" ca="1" si="477"/>
        <v>3.0358716339501077</v>
      </c>
      <c r="BO42" s="363">
        <f t="shared" ca="1" si="477"/>
        <v>2.9889762461460312</v>
      </c>
      <c r="BP42" s="363">
        <f t="shared" ca="1" si="477"/>
        <v>3.011001481094985</v>
      </c>
      <c r="BQ42" s="363">
        <f t="shared" ca="1" si="477"/>
        <v>3.0249708241037219</v>
      </c>
      <c r="BR42" s="363">
        <f t="shared" ca="1" si="477"/>
        <v>3.0021341348501052</v>
      </c>
      <c r="BS42" s="363">
        <f t="shared" ca="1" si="477"/>
        <v>3.0092010355148822</v>
      </c>
      <c r="BT42" s="363">
        <f t="shared" ca="1" si="477"/>
        <v>2.9504978675816145</v>
      </c>
      <c r="BU42" s="363">
        <f t="shared" ca="1" si="477"/>
        <v>3.011017727988837</v>
      </c>
      <c r="BV42" s="363">
        <f t="shared" ca="1" si="477"/>
        <v>3.0184039212578813</v>
      </c>
      <c r="BW42" s="363">
        <f t="shared" ca="1" si="477"/>
        <v>3.0512216519937119</v>
      </c>
      <c r="BX42" s="363">
        <f t="shared" ca="1" si="477"/>
        <v>3.0280024309963336</v>
      </c>
      <c r="BY42" s="363">
        <f t="shared" ca="1" si="477"/>
        <v>3.0242319880304285</v>
      </c>
      <c r="BZ42" s="363">
        <f t="shared" ref="BZ42:DH42" ca="1" si="478">_xlfn.LOGNORM.INV(RAND(),$I$42,$J$42)</f>
        <v>2.9990466346974141</v>
      </c>
      <c r="CA42" s="363">
        <f t="shared" ca="1" si="478"/>
        <v>2.9799459662216941</v>
      </c>
      <c r="CB42" s="363">
        <f t="shared" ca="1" si="478"/>
        <v>2.9933609619629795</v>
      </c>
      <c r="CC42" s="363">
        <f t="shared" ca="1" si="478"/>
        <v>2.9979606954810829</v>
      </c>
      <c r="CD42" s="363">
        <f t="shared" ca="1" si="478"/>
        <v>3.0048521637835792</v>
      </c>
      <c r="CE42" s="363">
        <f t="shared" ca="1" si="478"/>
        <v>2.9740379806750035</v>
      </c>
      <c r="CF42" s="363">
        <f t="shared" ca="1" si="478"/>
        <v>2.992128880778218</v>
      </c>
      <c r="CG42" s="363">
        <f t="shared" ca="1" si="478"/>
        <v>3.0381216233254111</v>
      </c>
      <c r="CH42" s="363">
        <f t="shared" ca="1" si="478"/>
        <v>3.0333730419817693</v>
      </c>
      <c r="CI42" s="363">
        <f t="shared" ca="1" si="478"/>
        <v>2.9955382331061249</v>
      </c>
      <c r="CJ42" s="363">
        <f t="shared" ca="1" si="478"/>
        <v>3.0207084904436705</v>
      </c>
      <c r="CK42" s="363">
        <f t="shared" ca="1" si="478"/>
        <v>2.9715883194070165</v>
      </c>
      <c r="CL42" s="363">
        <f t="shared" ca="1" si="478"/>
        <v>3.0104142359653414</v>
      </c>
      <c r="CM42" s="363">
        <f t="shared" ca="1" si="478"/>
        <v>3.0006459008576241</v>
      </c>
      <c r="CN42" s="363">
        <f t="shared" ca="1" si="478"/>
        <v>2.9606247407813235</v>
      </c>
      <c r="CO42" s="363">
        <f t="shared" ca="1" si="478"/>
        <v>2.9987642848958664</v>
      </c>
      <c r="CP42" s="363">
        <f t="shared" ca="1" si="478"/>
        <v>3.0385728411852333</v>
      </c>
      <c r="CQ42" s="363">
        <f t="shared" ca="1" si="478"/>
        <v>3.0254647213987882</v>
      </c>
      <c r="CR42" s="363">
        <f t="shared" ca="1" si="478"/>
        <v>2.9933178235655755</v>
      </c>
      <c r="CS42" s="363">
        <f t="shared" ca="1" si="478"/>
        <v>3.0073282266755128</v>
      </c>
      <c r="CT42" s="363">
        <f t="shared" ca="1" si="478"/>
        <v>2.9941355234880422</v>
      </c>
      <c r="CU42" s="363">
        <f t="shared" ca="1" si="478"/>
        <v>3.0200485681089253</v>
      </c>
      <c r="CV42" s="363">
        <f t="shared" ca="1" si="478"/>
        <v>2.9594199626012361</v>
      </c>
      <c r="CW42" s="363">
        <f t="shared" ca="1" si="478"/>
        <v>2.9878254872972998</v>
      </c>
      <c r="CX42" s="363">
        <f t="shared" ca="1" si="478"/>
        <v>2.9988636370623056</v>
      </c>
      <c r="CY42" s="363">
        <f t="shared" ca="1" si="478"/>
        <v>2.9843729948167654</v>
      </c>
      <c r="CZ42" s="363">
        <f t="shared" ca="1" si="478"/>
        <v>2.9867015317727654</v>
      </c>
      <c r="DA42" s="363">
        <f t="shared" ca="1" si="478"/>
        <v>3.0186665517261235</v>
      </c>
      <c r="DB42" s="363">
        <f t="shared" ca="1" si="478"/>
        <v>3.0026624794026224</v>
      </c>
      <c r="DC42" s="363">
        <f t="shared" ca="1" si="478"/>
        <v>2.9894286275099407</v>
      </c>
      <c r="DD42" s="363">
        <f t="shared" ca="1" si="478"/>
        <v>2.9962799178991744</v>
      </c>
      <c r="DE42" s="363">
        <f t="shared" ca="1" si="478"/>
        <v>2.972169058990056</v>
      </c>
      <c r="DF42" s="363">
        <f t="shared" ca="1" si="478"/>
        <v>3.0371449511897901</v>
      </c>
      <c r="DG42" s="363">
        <f t="shared" ca="1" si="478"/>
        <v>2.9567402380451409</v>
      </c>
      <c r="DH42" s="363">
        <f t="shared" ca="1" si="478"/>
        <v>2.9736079344274842</v>
      </c>
      <c r="DI42" s="363">
        <f ca="1">_xlfn.LOGNORM.INV(RAND(),$I$42,$J$42)</f>
        <v>2.9651128848244634</v>
      </c>
      <c r="DJ42" s="363">
        <f t="shared" ref="DJ42:FU42" ca="1" si="479">_xlfn.LOGNORM.INV(RAND(),$I$42,$J$42)</f>
        <v>3.0345733310333181</v>
      </c>
      <c r="DK42" s="363">
        <f t="shared" ca="1" si="479"/>
        <v>2.9867747602750971</v>
      </c>
      <c r="DL42" s="363">
        <f t="shared" ca="1" si="479"/>
        <v>3.0552257173514148</v>
      </c>
      <c r="DM42" s="363">
        <f t="shared" ca="1" si="479"/>
        <v>2.9908810155411536</v>
      </c>
      <c r="DN42" s="363">
        <f t="shared" ca="1" si="479"/>
        <v>3.0337854629292336</v>
      </c>
      <c r="DO42" s="363">
        <f t="shared" ca="1" si="479"/>
        <v>2.9959605901751152</v>
      </c>
      <c r="DP42" s="363">
        <f t="shared" ca="1" si="479"/>
        <v>3.0361133898588846</v>
      </c>
      <c r="DQ42" s="363">
        <f t="shared" ca="1" si="479"/>
        <v>3.0180205453749305</v>
      </c>
      <c r="DR42" s="363">
        <f t="shared" ca="1" si="479"/>
        <v>2.9937639405034906</v>
      </c>
      <c r="DS42" s="363">
        <f t="shared" ca="1" si="479"/>
        <v>2.993567764466269</v>
      </c>
      <c r="DT42" s="363">
        <f t="shared" ca="1" si="479"/>
        <v>2.9479548366300112</v>
      </c>
      <c r="DU42" s="363">
        <f t="shared" ca="1" si="479"/>
        <v>2.9823035785521914</v>
      </c>
      <c r="DV42" s="363">
        <f t="shared" ca="1" si="479"/>
        <v>3.0301701754299226</v>
      </c>
      <c r="DW42" s="363">
        <f t="shared" ca="1" si="479"/>
        <v>2.9704520795869263</v>
      </c>
      <c r="DX42" s="363">
        <f t="shared" ca="1" si="479"/>
        <v>3.0079978510803849</v>
      </c>
      <c r="DY42" s="363">
        <f t="shared" ca="1" si="479"/>
        <v>3.0670235809894635</v>
      </c>
      <c r="DZ42" s="363">
        <f t="shared" ca="1" si="479"/>
        <v>3.0077249048239354</v>
      </c>
      <c r="EA42" s="363">
        <f t="shared" ca="1" si="479"/>
        <v>2.9916743549393261</v>
      </c>
      <c r="EB42" s="363">
        <f t="shared" ca="1" si="479"/>
        <v>3.0289752428870207</v>
      </c>
      <c r="EC42" s="363">
        <f t="shared" ca="1" si="479"/>
        <v>2.9993246625825418</v>
      </c>
      <c r="ED42" s="363">
        <f t="shared" ca="1" si="479"/>
        <v>2.9902775322128785</v>
      </c>
      <c r="EE42" s="363">
        <f t="shared" ca="1" si="479"/>
        <v>2.982819452023024</v>
      </c>
      <c r="EF42" s="363">
        <f t="shared" ca="1" si="479"/>
        <v>3.022905621084135</v>
      </c>
      <c r="EG42" s="363">
        <f t="shared" ca="1" si="479"/>
        <v>3.0039428296853981</v>
      </c>
      <c r="EH42" s="363">
        <f t="shared" ca="1" si="479"/>
        <v>3.0067180061667731</v>
      </c>
      <c r="EI42" s="363">
        <f t="shared" ca="1" si="479"/>
        <v>2.9648358560365127</v>
      </c>
      <c r="EJ42" s="363">
        <f t="shared" ca="1" si="479"/>
        <v>3.0271976910508029</v>
      </c>
      <c r="EK42" s="363">
        <f t="shared" ca="1" si="479"/>
        <v>3.0204671013429585</v>
      </c>
      <c r="EL42" s="363">
        <f t="shared" ca="1" si="479"/>
        <v>2.9941510797376054</v>
      </c>
      <c r="EM42" s="363">
        <f t="shared" ca="1" si="479"/>
        <v>3.0108474879649116</v>
      </c>
      <c r="EN42" s="363">
        <f t="shared" ca="1" si="479"/>
        <v>3.020830599607299</v>
      </c>
      <c r="EO42" s="363">
        <f t="shared" ca="1" si="479"/>
        <v>2.9613070981129073</v>
      </c>
      <c r="EP42" s="363">
        <f t="shared" ca="1" si="479"/>
        <v>3.0458859784868055</v>
      </c>
      <c r="EQ42" s="363">
        <f t="shared" ca="1" si="479"/>
        <v>2.9525377950517488</v>
      </c>
      <c r="ER42" s="363">
        <f t="shared" ca="1" si="479"/>
        <v>3.0008680092420219</v>
      </c>
      <c r="ES42" s="363">
        <f t="shared" ca="1" si="479"/>
        <v>3.0422359278098163</v>
      </c>
      <c r="ET42" s="363">
        <f t="shared" ca="1" si="479"/>
        <v>3.0598285723614844</v>
      </c>
      <c r="EU42" s="363">
        <f t="shared" ca="1" si="479"/>
        <v>3.0121497417740284</v>
      </c>
      <c r="EV42" s="363">
        <f t="shared" ca="1" si="479"/>
        <v>2.9902827214662038</v>
      </c>
      <c r="EW42" s="363">
        <f t="shared" ca="1" si="479"/>
        <v>2.9782270379361839</v>
      </c>
      <c r="EX42" s="363">
        <f t="shared" ca="1" si="479"/>
        <v>2.9786367505742088</v>
      </c>
      <c r="EY42" s="363">
        <f t="shared" ca="1" si="479"/>
        <v>3.0035810462797228</v>
      </c>
      <c r="EZ42" s="363">
        <f t="shared" ca="1" si="479"/>
        <v>2.9798321009187418</v>
      </c>
      <c r="FA42" s="363">
        <f t="shared" ca="1" si="479"/>
        <v>3.0063200593062418</v>
      </c>
      <c r="FB42" s="363">
        <f t="shared" ca="1" si="479"/>
        <v>2.9565155600548763</v>
      </c>
      <c r="FC42" s="363">
        <f t="shared" ca="1" si="479"/>
        <v>3.0073479516542552</v>
      </c>
      <c r="FD42" s="363">
        <f t="shared" ca="1" si="479"/>
        <v>2.9541346014560652</v>
      </c>
      <c r="FE42" s="363">
        <f t="shared" ca="1" si="479"/>
        <v>2.9590376343501972</v>
      </c>
      <c r="FF42" s="363">
        <f t="shared" ca="1" si="479"/>
        <v>2.9404444613113006</v>
      </c>
      <c r="FG42" s="363">
        <f t="shared" ca="1" si="479"/>
        <v>2.9947425014541187</v>
      </c>
      <c r="FH42" s="363">
        <f t="shared" ca="1" si="479"/>
        <v>2.9991818122593434</v>
      </c>
      <c r="FI42" s="363">
        <f t="shared" ca="1" si="479"/>
        <v>3.0073995177987651</v>
      </c>
      <c r="FJ42" s="363">
        <f t="shared" ca="1" si="479"/>
        <v>3.0029491932627153</v>
      </c>
      <c r="FK42" s="363">
        <f t="shared" ca="1" si="479"/>
        <v>3.0036791921713268</v>
      </c>
      <c r="FL42" s="363">
        <f t="shared" ca="1" si="479"/>
        <v>2.9864405807110903</v>
      </c>
      <c r="FM42" s="363">
        <f t="shared" ca="1" si="479"/>
        <v>3.0002489598407025</v>
      </c>
      <c r="FN42" s="363">
        <f t="shared" ca="1" si="479"/>
        <v>3.0157523248929432</v>
      </c>
      <c r="FO42" s="363">
        <f t="shared" ca="1" si="479"/>
        <v>3.018247048084743</v>
      </c>
      <c r="FP42" s="363">
        <f t="shared" ca="1" si="479"/>
        <v>2.9842873271182273</v>
      </c>
      <c r="FQ42" s="363">
        <f t="shared" ca="1" si="479"/>
        <v>3.0450932721602557</v>
      </c>
      <c r="FR42" s="363">
        <f t="shared" ca="1" si="479"/>
        <v>3.0195047078463739</v>
      </c>
      <c r="FS42" s="363">
        <f t="shared" ca="1" si="479"/>
        <v>2.9674319046227522</v>
      </c>
      <c r="FT42" s="363">
        <f t="shared" ca="1" si="479"/>
        <v>2.9992272286298802</v>
      </c>
      <c r="FU42" s="363">
        <f t="shared" ca="1" si="479"/>
        <v>3.0190306105771842</v>
      </c>
      <c r="FV42" s="363">
        <f t="shared" ref="FV42:HD42" ca="1" si="480">_xlfn.LOGNORM.INV(RAND(),$I$42,$J$42)</f>
        <v>3.0112580127054254</v>
      </c>
      <c r="FW42" s="363">
        <f t="shared" ca="1" si="480"/>
        <v>3.041876744552618</v>
      </c>
      <c r="FX42" s="363">
        <f t="shared" ca="1" si="480"/>
        <v>2.9781903143502495</v>
      </c>
      <c r="FY42" s="363">
        <f t="shared" ca="1" si="480"/>
        <v>2.9718058143128014</v>
      </c>
      <c r="FZ42" s="363">
        <f t="shared" ca="1" si="480"/>
        <v>2.9806209076195413</v>
      </c>
      <c r="GA42" s="363">
        <f t="shared" ca="1" si="480"/>
        <v>3.0154979442159471</v>
      </c>
      <c r="GB42" s="363">
        <f t="shared" ca="1" si="480"/>
        <v>2.9964150496939697</v>
      </c>
      <c r="GC42" s="363">
        <f t="shared" ca="1" si="480"/>
        <v>3.0163250290536698</v>
      </c>
      <c r="GD42" s="363">
        <f t="shared" ca="1" si="480"/>
        <v>3.0331944967464222</v>
      </c>
      <c r="GE42" s="363">
        <f t="shared" ca="1" si="480"/>
        <v>2.9962912517210749</v>
      </c>
      <c r="GF42" s="363">
        <f t="shared" ca="1" si="480"/>
        <v>2.9716673965192131</v>
      </c>
      <c r="GG42" s="363">
        <f t="shared" ca="1" si="480"/>
        <v>2.9938570070690438</v>
      </c>
      <c r="GH42" s="363">
        <f t="shared" ca="1" si="480"/>
        <v>2.9782698607898865</v>
      </c>
      <c r="GI42" s="363">
        <f t="shared" ca="1" si="480"/>
        <v>2.9823046454847</v>
      </c>
      <c r="GJ42" s="363">
        <f t="shared" ca="1" si="480"/>
        <v>2.998378897298339</v>
      </c>
      <c r="GK42" s="363">
        <f t="shared" ca="1" si="480"/>
        <v>2.9824647456963502</v>
      </c>
      <c r="GL42" s="363">
        <f t="shared" ca="1" si="480"/>
        <v>2.9847193431645143</v>
      </c>
      <c r="GM42" s="363">
        <f t="shared" ca="1" si="480"/>
        <v>3.0757692959131049</v>
      </c>
      <c r="GN42" s="363">
        <f t="shared" ca="1" si="480"/>
        <v>3.0177790214782019</v>
      </c>
      <c r="GO42" s="363">
        <f t="shared" ca="1" si="480"/>
        <v>2.9886688813946738</v>
      </c>
      <c r="GP42" s="363">
        <f t="shared" ca="1" si="480"/>
        <v>3.0284295022552739</v>
      </c>
      <c r="GQ42" s="363">
        <f t="shared" ca="1" si="480"/>
        <v>2.9795399004527368</v>
      </c>
      <c r="GR42" s="363">
        <f t="shared" ca="1" si="480"/>
        <v>2.9951267256095764</v>
      </c>
      <c r="GS42" s="363">
        <f t="shared" ca="1" si="480"/>
        <v>2.9897297779068928</v>
      </c>
      <c r="GT42" s="363">
        <f t="shared" ca="1" si="480"/>
        <v>3.0092883510444599</v>
      </c>
      <c r="GU42" s="363">
        <f t="shared" ca="1" si="480"/>
        <v>3.0132544445567175</v>
      </c>
      <c r="GV42" s="363">
        <f t="shared" ca="1" si="480"/>
        <v>3.0065568249248211</v>
      </c>
      <c r="GW42" s="363">
        <f t="shared" ca="1" si="480"/>
        <v>2.9563311683179059</v>
      </c>
      <c r="GX42" s="363">
        <f t="shared" ca="1" si="480"/>
        <v>3.0044668487998631</v>
      </c>
      <c r="GY42" s="363">
        <f t="shared" ca="1" si="480"/>
        <v>3.0247033090973163</v>
      </c>
      <c r="GZ42" s="363">
        <f t="shared" ca="1" si="480"/>
        <v>2.9818889563800721</v>
      </c>
      <c r="HA42" s="363">
        <f t="shared" ca="1" si="480"/>
        <v>3.0094407774391314</v>
      </c>
      <c r="HB42" s="363">
        <f t="shared" ca="1" si="480"/>
        <v>3.0230878690618299</v>
      </c>
      <c r="HC42" s="363">
        <f t="shared" ca="1" si="480"/>
        <v>3.0228086501852216</v>
      </c>
      <c r="HD42" s="363">
        <f t="shared" ca="1" si="480"/>
        <v>2.9542116323976684</v>
      </c>
      <c r="HE42" s="363">
        <f ca="1">_xlfn.LOGNORM.INV(RAND(),$I$42,$J$42)</f>
        <v>2.9599937362125228</v>
      </c>
      <c r="HF42" s="363">
        <f t="shared" ref="HF42:JQ42" ca="1" si="481">_xlfn.LOGNORM.INV(RAND(),$I$42,$J$42)</f>
        <v>3.0331671874832375</v>
      </c>
      <c r="HG42" s="363">
        <f t="shared" ca="1" si="481"/>
        <v>2.9971377432478978</v>
      </c>
      <c r="HH42" s="363">
        <f t="shared" ca="1" si="481"/>
        <v>2.9811344742705019</v>
      </c>
      <c r="HI42" s="363">
        <f t="shared" ca="1" si="481"/>
        <v>2.9880298353278758</v>
      </c>
      <c r="HJ42" s="363">
        <f t="shared" ca="1" si="481"/>
        <v>2.998621068555793</v>
      </c>
      <c r="HK42" s="363">
        <f t="shared" ca="1" si="481"/>
        <v>3.0555350594419162</v>
      </c>
      <c r="HL42" s="363">
        <f t="shared" ca="1" si="481"/>
        <v>2.9579163293289445</v>
      </c>
      <c r="HM42" s="363">
        <f t="shared" ca="1" si="481"/>
        <v>2.9777234420917691</v>
      </c>
      <c r="HN42" s="363">
        <f t="shared" ca="1" si="481"/>
        <v>2.9853067561490061</v>
      </c>
      <c r="HO42" s="363">
        <f t="shared" ca="1" si="481"/>
        <v>2.9550614942392057</v>
      </c>
      <c r="HP42" s="363">
        <f t="shared" ca="1" si="481"/>
        <v>2.9776904691648278</v>
      </c>
      <c r="HQ42" s="363">
        <f t="shared" ca="1" si="481"/>
        <v>3.025774701799127</v>
      </c>
      <c r="HR42" s="363">
        <f t="shared" ca="1" si="481"/>
        <v>3.0070172548310725</v>
      </c>
      <c r="HS42" s="363">
        <f t="shared" ca="1" si="481"/>
        <v>2.9859476487723531</v>
      </c>
      <c r="HT42" s="363">
        <f t="shared" ca="1" si="481"/>
        <v>3.0246223928057403</v>
      </c>
      <c r="HU42" s="363">
        <f t="shared" ca="1" si="481"/>
        <v>2.9909060775441914</v>
      </c>
      <c r="HV42" s="363">
        <f t="shared" ca="1" si="481"/>
        <v>3.0341708809483392</v>
      </c>
      <c r="HW42" s="363">
        <f t="shared" ca="1" si="481"/>
        <v>2.9856415560835101</v>
      </c>
      <c r="HX42" s="363">
        <f t="shared" ca="1" si="481"/>
        <v>3.0381393849406089</v>
      </c>
      <c r="HY42" s="363">
        <f t="shared" ca="1" si="481"/>
        <v>2.9698873744126706</v>
      </c>
      <c r="HZ42" s="363">
        <f t="shared" ca="1" si="481"/>
        <v>2.9839324481722951</v>
      </c>
      <c r="IA42" s="363">
        <f t="shared" ca="1" si="481"/>
        <v>3.0195466058881499</v>
      </c>
      <c r="IB42" s="363">
        <f t="shared" ca="1" si="481"/>
        <v>3.0365302967492362</v>
      </c>
      <c r="IC42" s="363">
        <f t="shared" ca="1" si="481"/>
        <v>2.9893971892092797</v>
      </c>
      <c r="ID42" s="363">
        <f t="shared" ca="1" si="481"/>
        <v>3.0277571166166197</v>
      </c>
      <c r="IE42" s="363">
        <f t="shared" ca="1" si="481"/>
        <v>3.0352830616437898</v>
      </c>
      <c r="IF42" s="363">
        <f t="shared" ca="1" si="481"/>
        <v>3.0166674153277584</v>
      </c>
      <c r="IG42" s="363">
        <f t="shared" ca="1" si="481"/>
        <v>2.9648033166979642</v>
      </c>
      <c r="IH42" s="363">
        <f t="shared" ca="1" si="481"/>
        <v>2.9839241050196486</v>
      </c>
      <c r="II42" s="363">
        <f t="shared" ca="1" si="481"/>
        <v>2.975194185881036</v>
      </c>
      <c r="IJ42" s="363">
        <f t="shared" ca="1" si="481"/>
        <v>3.0175541320200132</v>
      </c>
      <c r="IK42" s="363">
        <f t="shared" ca="1" si="481"/>
        <v>2.9764182562397856</v>
      </c>
      <c r="IL42" s="363">
        <f t="shared" ca="1" si="481"/>
        <v>2.9776665564660987</v>
      </c>
      <c r="IM42" s="363">
        <f t="shared" ca="1" si="481"/>
        <v>3.0414639301560116</v>
      </c>
      <c r="IN42" s="363">
        <f t="shared" ca="1" si="481"/>
        <v>3.0126575421598161</v>
      </c>
      <c r="IO42" s="363">
        <f t="shared" ca="1" si="481"/>
        <v>2.9987513943540849</v>
      </c>
      <c r="IP42" s="363">
        <f t="shared" ca="1" si="481"/>
        <v>2.9917743899109079</v>
      </c>
      <c r="IQ42" s="363">
        <f t="shared" ca="1" si="481"/>
        <v>3.0028606467165595</v>
      </c>
      <c r="IR42" s="363">
        <f t="shared" ca="1" si="481"/>
        <v>2.9619267491231449</v>
      </c>
      <c r="IS42" s="363">
        <f t="shared" ca="1" si="481"/>
        <v>3.0253803356107971</v>
      </c>
      <c r="IT42" s="363">
        <f t="shared" ca="1" si="481"/>
        <v>2.9152867032025376</v>
      </c>
      <c r="IU42" s="363">
        <f t="shared" ca="1" si="481"/>
        <v>2.9955262319205649</v>
      </c>
      <c r="IV42" s="363">
        <f t="shared" ca="1" si="481"/>
        <v>2.9874629766704532</v>
      </c>
      <c r="IW42" s="363">
        <f t="shared" ca="1" si="481"/>
        <v>2.9646917961970103</v>
      </c>
      <c r="IX42" s="363">
        <f t="shared" ca="1" si="481"/>
        <v>3.0407290656223624</v>
      </c>
      <c r="IY42" s="363">
        <f t="shared" ca="1" si="481"/>
        <v>2.9635916120133055</v>
      </c>
      <c r="IZ42" s="363">
        <f t="shared" ca="1" si="481"/>
        <v>2.9789770116147847</v>
      </c>
      <c r="JA42" s="363">
        <f t="shared" ca="1" si="481"/>
        <v>2.9894822371309857</v>
      </c>
      <c r="JB42" s="363">
        <f t="shared" ca="1" si="481"/>
        <v>2.9886434677581826</v>
      </c>
      <c r="JC42" s="363">
        <f t="shared" ca="1" si="481"/>
        <v>3.0066282589264253</v>
      </c>
      <c r="JD42" s="363">
        <f t="shared" ca="1" si="481"/>
        <v>2.9720599980557885</v>
      </c>
      <c r="JE42" s="363">
        <f t="shared" ca="1" si="481"/>
        <v>3.0022455859174926</v>
      </c>
      <c r="JF42" s="363">
        <f t="shared" ca="1" si="481"/>
        <v>2.9893945698276738</v>
      </c>
      <c r="JG42" s="363">
        <f t="shared" ca="1" si="481"/>
        <v>3.0016953403896793</v>
      </c>
      <c r="JH42" s="363">
        <f t="shared" ca="1" si="481"/>
        <v>2.9811731985324768</v>
      </c>
      <c r="JI42" s="363">
        <f t="shared" ca="1" si="481"/>
        <v>2.9737756112341569</v>
      </c>
      <c r="JJ42" s="363">
        <f t="shared" ca="1" si="481"/>
        <v>3.0204773713618329</v>
      </c>
      <c r="JK42" s="363">
        <f t="shared" ca="1" si="481"/>
        <v>3.006691168974938</v>
      </c>
      <c r="JL42" s="363">
        <f t="shared" ca="1" si="481"/>
        <v>2.9772326947318009</v>
      </c>
      <c r="JM42" s="363">
        <f t="shared" ca="1" si="481"/>
        <v>3.0028613655746184</v>
      </c>
      <c r="JN42" s="363">
        <f t="shared" ca="1" si="481"/>
        <v>3.0290701191640022</v>
      </c>
      <c r="JO42" s="363">
        <f t="shared" ca="1" si="481"/>
        <v>3.0119569720493691</v>
      </c>
      <c r="JP42" s="363">
        <f t="shared" ca="1" si="481"/>
        <v>2.9459608769065309</v>
      </c>
      <c r="JQ42" s="363">
        <f t="shared" ca="1" si="481"/>
        <v>2.9701690770243374</v>
      </c>
      <c r="JR42" s="363">
        <f t="shared" ref="JR42:KZ42" ca="1" si="482">_xlfn.LOGNORM.INV(RAND(),$I$42,$J$42)</f>
        <v>2.9743841321981273</v>
      </c>
      <c r="JS42" s="363">
        <f t="shared" ca="1" si="482"/>
        <v>2.9948026255644353</v>
      </c>
      <c r="JT42" s="363">
        <f t="shared" ca="1" si="482"/>
        <v>3.0185792671209493</v>
      </c>
      <c r="JU42" s="363">
        <f t="shared" ca="1" si="482"/>
        <v>3.0254901837666917</v>
      </c>
      <c r="JV42" s="363">
        <f t="shared" ca="1" si="482"/>
        <v>2.9928208106894041</v>
      </c>
      <c r="JW42" s="363">
        <f t="shared" ca="1" si="482"/>
        <v>2.9927741798067342</v>
      </c>
      <c r="JX42" s="363">
        <f t="shared" ca="1" si="482"/>
        <v>3.0447207532703158</v>
      </c>
      <c r="JY42" s="363">
        <f t="shared" ca="1" si="482"/>
        <v>3.0364829177402028</v>
      </c>
      <c r="JZ42" s="363">
        <f t="shared" ca="1" si="482"/>
        <v>2.9969259527762495</v>
      </c>
      <c r="KA42" s="363">
        <f t="shared" ca="1" si="482"/>
        <v>2.9867009615496096</v>
      </c>
      <c r="KB42" s="363">
        <f t="shared" ca="1" si="482"/>
        <v>3.0146108904290245</v>
      </c>
      <c r="KC42" s="363">
        <f t="shared" ca="1" si="482"/>
        <v>3.0086185123773652</v>
      </c>
      <c r="KD42" s="363">
        <f t="shared" ca="1" si="482"/>
        <v>3.0079210051201088</v>
      </c>
      <c r="KE42" s="363">
        <f t="shared" ca="1" si="482"/>
        <v>2.9831663040526384</v>
      </c>
      <c r="KF42" s="363">
        <f t="shared" ca="1" si="482"/>
        <v>3.0160924111089833</v>
      </c>
      <c r="KG42" s="363">
        <f t="shared" ca="1" si="482"/>
        <v>2.9903630824132028</v>
      </c>
      <c r="KH42" s="363">
        <f t="shared" ca="1" si="482"/>
        <v>2.9933257951994725</v>
      </c>
      <c r="KI42" s="363">
        <f t="shared" ca="1" si="482"/>
        <v>2.9973846305576624</v>
      </c>
      <c r="KJ42" s="363">
        <f t="shared" ca="1" si="482"/>
        <v>2.9697762844568061</v>
      </c>
      <c r="KK42" s="363">
        <f t="shared" ca="1" si="482"/>
        <v>3.0308174517341087</v>
      </c>
      <c r="KL42" s="363">
        <f t="shared" ca="1" si="482"/>
        <v>2.9932615046527289</v>
      </c>
      <c r="KM42" s="363">
        <f t="shared" ca="1" si="482"/>
        <v>3.0004224942243343</v>
      </c>
      <c r="KN42" s="363">
        <f t="shared" ca="1" si="482"/>
        <v>2.9802352356764867</v>
      </c>
      <c r="KO42" s="363">
        <f t="shared" ca="1" si="482"/>
        <v>2.9781788962178535</v>
      </c>
      <c r="KP42" s="363">
        <f t="shared" ca="1" si="482"/>
        <v>3.0196990648049167</v>
      </c>
      <c r="KQ42" s="363">
        <f t="shared" ca="1" si="482"/>
        <v>3.0206713982639637</v>
      </c>
      <c r="KR42" s="363">
        <f t="shared" ca="1" si="482"/>
        <v>3.0207739601295849</v>
      </c>
      <c r="KS42" s="363">
        <f t="shared" ca="1" si="482"/>
        <v>2.9697242686248106</v>
      </c>
      <c r="KT42" s="363">
        <f t="shared" ca="1" si="482"/>
        <v>3.0133856597115867</v>
      </c>
      <c r="KU42" s="363">
        <f t="shared" ca="1" si="482"/>
        <v>2.9663106125157594</v>
      </c>
      <c r="KV42" s="363">
        <f t="shared" ca="1" si="482"/>
        <v>3.0185407074291235</v>
      </c>
      <c r="KW42" s="363">
        <f t="shared" ca="1" si="482"/>
        <v>2.998596052054185</v>
      </c>
      <c r="KX42" s="363">
        <f t="shared" ca="1" si="482"/>
        <v>2.9941198144289896</v>
      </c>
      <c r="KY42" s="363">
        <f t="shared" ca="1" si="482"/>
        <v>2.9882525655368934</v>
      </c>
      <c r="KZ42" s="363">
        <f t="shared" ca="1" si="482"/>
        <v>3.0106947055162294</v>
      </c>
      <c r="LA42" s="363">
        <f ca="1">_xlfn.LOGNORM.INV(RAND(),$I$42,$J$42)</f>
        <v>3.0307920693906949</v>
      </c>
      <c r="LB42" s="363">
        <f t="shared" ref="LB42:NM42" ca="1" si="483">_xlfn.LOGNORM.INV(RAND(),$I$42,$J$42)</f>
        <v>3.0117006040572538</v>
      </c>
      <c r="LC42" s="363">
        <f t="shared" ca="1" si="483"/>
        <v>2.9954373052512766</v>
      </c>
      <c r="LD42" s="363">
        <f t="shared" ca="1" si="483"/>
        <v>3.0061774195379831</v>
      </c>
      <c r="LE42" s="363">
        <f t="shared" ca="1" si="483"/>
        <v>3.0316152203970921</v>
      </c>
      <c r="LF42" s="363">
        <f t="shared" ca="1" si="483"/>
        <v>3.0068651392599803</v>
      </c>
      <c r="LG42" s="363">
        <f t="shared" ca="1" si="483"/>
        <v>3.0175056985787068</v>
      </c>
      <c r="LH42" s="363">
        <f t="shared" ca="1" si="483"/>
        <v>3.011900938461642</v>
      </c>
      <c r="LI42" s="363">
        <f t="shared" ca="1" si="483"/>
        <v>3.0533728460059488</v>
      </c>
      <c r="LJ42" s="363">
        <f t="shared" ca="1" si="483"/>
        <v>3.0032780166164779</v>
      </c>
      <c r="LK42" s="363">
        <f t="shared" ca="1" si="483"/>
        <v>3.0079486276956033</v>
      </c>
      <c r="LL42" s="363">
        <f t="shared" ca="1" si="483"/>
        <v>2.9893209996298222</v>
      </c>
      <c r="LM42" s="363">
        <f t="shared" ca="1" si="483"/>
        <v>3.0013778792810903</v>
      </c>
      <c r="LN42" s="363">
        <f t="shared" ca="1" si="483"/>
        <v>3.00876018463679</v>
      </c>
      <c r="LO42" s="363">
        <f t="shared" ca="1" si="483"/>
        <v>2.9824836517347322</v>
      </c>
      <c r="LP42" s="363">
        <f t="shared" ca="1" si="483"/>
        <v>2.9641278519160408</v>
      </c>
      <c r="LQ42" s="363">
        <f t="shared" ca="1" si="483"/>
        <v>3.0256541925881528</v>
      </c>
      <c r="LR42" s="363">
        <f t="shared" ca="1" si="483"/>
        <v>2.9716565426772279</v>
      </c>
      <c r="LS42" s="363">
        <f t="shared" ca="1" si="483"/>
        <v>3.0021114213900448</v>
      </c>
      <c r="LT42" s="363">
        <f t="shared" ca="1" si="483"/>
        <v>2.9522580279188015</v>
      </c>
      <c r="LU42" s="363">
        <f t="shared" ca="1" si="483"/>
        <v>3.0148265344229972</v>
      </c>
      <c r="LV42" s="363">
        <f t="shared" ca="1" si="483"/>
        <v>2.964539006053641</v>
      </c>
      <c r="LW42" s="363">
        <f t="shared" ca="1" si="483"/>
        <v>3.0445635706915404</v>
      </c>
      <c r="LX42" s="363">
        <f t="shared" ca="1" si="483"/>
        <v>3.0291605009288811</v>
      </c>
      <c r="LY42" s="363">
        <f t="shared" ca="1" si="483"/>
        <v>3.0341011811898153</v>
      </c>
      <c r="LZ42" s="363">
        <f t="shared" ca="1" si="483"/>
        <v>3.0322639630234431</v>
      </c>
      <c r="MA42" s="363">
        <f t="shared" ca="1" si="483"/>
        <v>2.9843141938015361</v>
      </c>
      <c r="MB42" s="363">
        <f t="shared" ca="1" si="483"/>
        <v>2.9582268736400654</v>
      </c>
      <c r="MC42" s="363">
        <f t="shared" ca="1" si="483"/>
        <v>2.9662381447710371</v>
      </c>
      <c r="MD42" s="363">
        <f t="shared" ca="1" si="483"/>
        <v>2.9690123035307168</v>
      </c>
      <c r="ME42" s="363">
        <f t="shared" ca="1" si="483"/>
        <v>2.9866306843326296</v>
      </c>
      <c r="MF42" s="363">
        <f t="shared" ca="1" si="483"/>
        <v>3.0010781930056871</v>
      </c>
      <c r="MG42" s="363">
        <f t="shared" ca="1" si="483"/>
        <v>2.9750863061390533</v>
      </c>
      <c r="MH42" s="363">
        <f t="shared" ca="1" si="483"/>
        <v>3.0383943424642408</v>
      </c>
      <c r="MI42" s="363">
        <f t="shared" ca="1" si="483"/>
        <v>2.9777652172084443</v>
      </c>
      <c r="MJ42" s="363">
        <f t="shared" ca="1" si="483"/>
        <v>3.0489865801293621</v>
      </c>
      <c r="MK42" s="363">
        <f t="shared" ca="1" si="483"/>
        <v>3.0187701449458446</v>
      </c>
      <c r="ML42" s="363">
        <f t="shared" ca="1" si="483"/>
        <v>3.0221766555992762</v>
      </c>
      <c r="MM42" s="363">
        <f t="shared" ca="1" si="483"/>
        <v>2.9862021534498449</v>
      </c>
      <c r="MN42" s="363">
        <f t="shared" ca="1" si="483"/>
        <v>2.9791534977607093</v>
      </c>
      <c r="MO42" s="363">
        <f t="shared" ca="1" si="483"/>
        <v>3.0608221795562911</v>
      </c>
      <c r="MP42" s="363">
        <f t="shared" ca="1" si="483"/>
        <v>2.9743755256346613</v>
      </c>
      <c r="MQ42" s="363">
        <f t="shared" ca="1" si="483"/>
        <v>2.9515654727649459</v>
      </c>
      <c r="MR42" s="363">
        <f t="shared" ca="1" si="483"/>
        <v>2.9947371368661129</v>
      </c>
      <c r="MS42" s="363">
        <f t="shared" ca="1" si="483"/>
        <v>3.0258841892545973</v>
      </c>
      <c r="MT42" s="363">
        <f t="shared" ca="1" si="483"/>
        <v>2.9742808059221137</v>
      </c>
      <c r="MU42" s="363">
        <f t="shared" ca="1" si="483"/>
        <v>2.9546980213864504</v>
      </c>
      <c r="MV42" s="363">
        <f t="shared" ca="1" si="483"/>
        <v>2.9649295338063042</v>
      </c>
      <c r="MW42" s="363">
        <f t="shared" ca="1" si="483"/>
        <v>3.0111623331795396</v>
      </c>
      <c r="MX42" s="363">
        <f t="shared" ca="1" si="483"/>
        <v>2.9670022348778842</v>
      </c>
      <c r="MY42" s="363">
        <f t="shared" ca="1" si="483"/>
        <v>3.0082867502495181</v>
      </c>
      <c r="MZ42" s="363">
        <f t="shared" ca="1" si="483"/>
        <v>2.9767724146188441</v>
      </c>
      <c r="NA42" s="363">
        <f t="shared" ca="1" si="483"/>
        <v>3.0060492262350147</v>
      </c>
      <c r="NB42" s="363">
        <f t="shared" ca="1" si="483"/>
        <v>3.0020404428069551</v>
      </c>
      <c r="NC42" s="363">
        <f t="shared" ca="1" si="483"/>
        <v>3.0032507804154855</v>
      </c>
      <c r="ND42" s="363">
        <f t="shared" ca="1" si="483"/>
        <v>2.9943811629340638</v>
      </c>
      <c r="NE42" s="363">
        <f t="shared" ca="1" si="483"/>
        <v>3.0365624089689538</v>
      </c>
      <c r="NF42" s="363">
        <f t="shared" ca="1" si="483"/>
        <v>3.0256008721617267</v>
      </c>
      <c r="NG42" s="363">
        <f t="shared" ca="1" si="483"/>
        <v>3.0210285935454455</v>
      </c>
      <c r="NH42" s="363">
        <f t="shared" ca="1" si="483"/>
        <v>2.9769418632704405</v>
      </c>
      <c r="NI42" s="363">
        <f t="shared" ca="1" si="483"/>
        <v>2.9780760291641113</v>
      </c>
      <c r="NJ42" s="363">
        <f t="shared" ca="1" si="483"/>
        <v>3.0356111558536121</v>
      </c>
      <c r="NK42" s="363">
        <f t="shared" ca="1" si="483"/>
        <v>3.0405632013517585</v>
      </c>
      <c r="NL42" s="363">
        <f t="shared" ca="1" si="483"/>
        <v>2.9939204253162583</v>
      </c>
      <c r="NM42" s="363">
        <f t="shared" ca="1" si="483"/>
        <v>3.0352494602583504</v>
      </c>
      <c r="NN42" s="363">
        <f t="shared" ref="NN42:OV42" ca="1" si="484">_xlfn.LOGNORM.INV(RAND(),$I$42,$J$42)</f>
        <v>2.9875193655413601</v>
      </c>
      <c r="NO42" s="363">
        <f t="shared" ca="1" si="484"/>
        <v>2.9782200233210263</v>
      </c>
      <c r="NP42" s="363">
        <f t="shared" ca="1" si="484"/>
        <v>2.9763616329665306</v>
      </c>
      <c r="NQ42" s="363">
        <f t="shared" ca="1" si="484"/>
        <v>3.0165480941358251</v>
      </c>
      <c r="NR42" s="363">
        <f t="shared" ca="1" si="484"/>
        <v>2.9772023065677859</v>
      </c>
      <c r="NS42" s="363">
        <f t="shared" ca="1" si="484"/>
        <v>3.046198723841695</v>
      </c>
      <c r="NT42" s="363">
        <f t="shared" ca="1" si="484"/>
        <v>3.0069031423048398</v>
      </c>
      <c r="NU42" s="363">
        <f t="shared" ca="1" si="484"/>
        <v>2.9827928553552985</v>
      </c>
      <c r="NV42" s="363">
        <f t="shared" ca="1" si="484"/>
        <v>2.9687193560018117</v>
      </c>
      <c r="NW42" s="363">
        <f t="shared" ca="1" si="484"/>
        <v>2.9794023005092929</v>
      </c>
      <c r="NX42" s="363">
        <f t="shared" ca="1" si="484"/>
        <v>3.0136446323385306</v>
      </c>
      <c r="NY42" s="363">
        <f t="shared" ca="1" si="484"/>
        <v>2.9958515014435947</v>
      </c>
      <c r="NZ42" s="363">
        <f t="shared" ca="1" si="484"/>
        <v>2.9837213042074286</v>
      </c>
      <c r="OA42" s="363">
        <f t="shared" ca="1" si="484"/>
        <v>3.015217914659956</v>
      </c>
      <c r="OB42" s="363">
        <f t="shared" ca="1" si="484"/>
        <v>3.0324328525219335</v>
      </c>
      <c r="OC42" s="363">
        <f t="shared" ca="1" si="484"/>
        <v>2.9634665340251112</v>
      </c>
      <c r="OD42" s="363">
        <f t="shared" ca="1" si="484"/>
        <v>2.9768470013015653</v>
      </c>
      <c r="OE42" s="363">
        <f t="shared" ca="1" si="484"/>
        <v>2.9561529022433799</v>
      </c>
      <c r="OF42" s="363">
        <f t="shared" ca="1" si="484"/>
        <v>3.0307936075852742</v>
      </c>
      <c r="OG42" s="363">
        <f t="shared" ca="1" si="484"/>
        <v>3.0170103598716751</v>
      </c>
      <c r="OH42" s="363">
        <f t="shared" ca="1" si="484"/>
        <v>3.0051701940131794</v>
      </c>
      <c r="OI42" s="363">
        <f t="shared" ca="1" si="484"/>
        <v>2.9817220886857037</v>
      </c>
      <c r="OJ42" s="363">
        <f t="shared" ca="1" si="484"/>
        <v>3.0279090402976876</v>
      </c>
      <c r="OK42" s="363">
        <f t="shared" ca="1" si="484"/>
        <v>2.9361023104690758</v>
      </c>
      <c r="OL42" s="363">
        <f t="shared" ca="1" si="484"/>
        <v>3.0233804140049596</v>
      </c>
      <c r="OM42" s="363">
        <f t="shared" ca="1" si="484"/>
        <v>2.9960750920203729</v>
      </c>
      <c r="ON42" s="363">
        <f t="shared" ca="1" si="484"/>
        <v>3.0181598374295127</v>
      </c>
      <c r="OO42" s="363">
        <f t="shared" ca="1" si="484"/>
        <v>2.9525337515505141</v>
      </c>
      <c r="OP42" s="363">
        <f t="shared" ca="1" si="484"/>
        <v>3.0164100415225712</v>
      </c>
      <c r="OQ42" s="363">
        <f t="shared" ca="1" si="484"/>
        <v>2.9998588506699382</v>
      </c>
      <c r="OR42" s="363">
        <f t="shared" ca="1" si="484"/>
        <v>3.0338163947990009</v>
      </c>
      <c r="OS42" s="363">
        <f t="shared" ca="1" si="484"/>
        <v>3.0213639417683535</v>
      </c>
      <c r="OT42" s="363">
        <f t="shared" ca="1" si="484"/>
        <v>2.9942910181477322</v>
      </c>
      <c r="OU42" s="363">
        <f t="shared" ca="1" si="484"/>
        <v>2.9975280434572045</v>
      </c>
      <c r="OV42" s="363">
        <f t="shared" ca="1" si="484"/>
        <v>2.9871193838461947</v>
      </c>
      <c r="OW42" s="363">
        <f ca="1">_xlfn.LOGNORM.INV(RAND(),$I$42,$J$42)</f>
        <v>2.9703302081332246</v>
      </c>
      <c r="OX42" s="363">
        <f t="shared" ref="OX42:RI42" ca="1" si="485">_xlfn.LOGNORM.INV(RAND(),$I$42,$J$42)</f>
        <v>2.9798058305952195</v>
      </c>
      <c r="OY42" s="363">
        <f t="shared" ca="1" si="485"/>
        <v>2.9695836386386132</v>
      </c>
      <c r="OZ42" s="363">
        <f t="shared" ca="1" si="485"/>
        <v>2.9664512199640827</v>
      </c>
      <c r="PA42" s="363">
        <f t="shared" ca="1" si="485"/>
        <v>2.9969992064882987</v>
      </c>
      <c r="PB42" s="363">
        <f t="shared" ca="1" si="485"/>
        <v>3.0046323973512221</v>
      </c>
      <c r="PC42" s="363">
        <f t="shared" ca="1" si="485"/>
        <v>2.989102631718072</v>
      </c>
      <c r="PD42" s="363">
        <f t="shared" ca="1" si="485"/>
        <v>3.0096125480334144</v>
      </c>
      <c r="PE42" s="363">
        <f t="shared" ca="1" si="485"/>
        <v>3.0054040388719971</v>
      </c>
      <c r="PF42" s="363">
        <f t="shared" ca="1" si="485"/>
        <v>3.0448238333631101</v>
      </c>
      <c r="PG42" s="363">
        <f t="shared" ca="1" si="485"/>
        <v>2.9835326748766553</v>
      </c>
      <c r="PH42" s="363">
        <f t="shared" ca="1" si="485"/>
        <v>3.0307522475934388</v>
      </c>
      <c r="PI42" s="363">
        <f t="shared" ca="1" si="485"/>
        <v>2.9936580598217923</v>
      </c>
      <c r="PJ42" s="363">
        <f t="shared" ca="1" si="485"/>
        <v>3.0177218638599603</v>
      </c>
      <c r="PK42" s="363">
        <f t="shared" ca="1" si="485"/>
        <v>3.0057328390637039</v>
      </c>
      <c r="PL42" s="363">
        <f t="shared" ca="1" si="485"/>
        <v>3.0081034367186796</v>
      </c>
      <c r="PM42" s="363">
        <f t="shared" ca="1" si="485"/>
        <v>3.025040685888599</v>
      </c>
      <c r="PN42" s="363">
        <f t="shared" ca="1" si="485"/>
        <v>3.015458319193157</v>
      </c>
      <c r="PO42" s="363">
        <f t="shared" ca="1" si="485"/>
        <v>2.979224782512135</v>
      </c>
      <c r="PP42" s="363">
        <f t="shared" ca="1" si="485"/>
        <v>2.9517163986527959</v>
      </c>
      <c r="PQ42" s="363">
        <f t="shared" ca="1" si="485"/>
        <v>3.0300995067241048</v>
      </c>
      <c r="PR42" s="363">
        <f t="shared" ca="1" si="485"/>
        <v>3.027486542904652</v>
      </c>
      <c r="PS42" s="363">
        <f t="shared" ca="1" si="485"/>
        <v>2.9988771701293979</v>
      </c>
      <c r="PT42" s="363">
        <f t="shared" ca="1" si="485"/>
        <v>3.016387903745009</v>
      </c>
      <c r="PU42" s="363">
        <f t="shared" ca="1" si="485"/>
        <v>2.9867075281823272</v>
      </c>
      <c r="PV42" s="363">
        <f t="shared" ca="1" si="485"/>
        <v>3.0225514554217772</v>
      </c>
      <c r="PW42" s="363">
        <f t="shared" ca="1" si="485"/>
        <v>3.000260249634529</v>
      </c>
      <c r="PX42" s="363">
        <f t="shared" ca="1" si="485"/>
        <v>3.0154990876114787</v>
      </c>
      <c r="PY42" s="363">
        <f t="shared" ca="1" si="485"/>
        <v>2.9908317508415263</v>
      </c>
      <c r="PZ42" s="363">
        <f t="shared" ca="1" si="485"/>
        <v>3.0123008892141745</v>
      </c>
      <c r="QA42" s="363">
        <f t="shared" ca="1" si="485"/>
        <v>2.992363502701513</v>
      </c>
      <c r="QB42" s="363">
        <f t="shared" ca="1" si="485"/>
        <v>3.0139356782419804</v>
      </c>
      <c r="QC42" s="363">
        <f t="shared" ca="1" si="485"/>
        <v>3.0310700328621598</v>
      </c>
      <c r="QD42" s="363">
        <f t="shared" ca="1" si="485"/>
        <v>2.9836018127060782</v>
      </c>
      <c r="QE42" s="363">
        <f t="shared" ca="1" si="485"/>
        <v>2.9963046627776193</v>
      </c>
      <c r="QF42" s="363">
        <f t="shared" ca="1" si="485"/>
        <v>3.0678696443911648</v>
      </c>
      <c r="QG42" s="363">
        <f t="shared" ca="1" si="485"/>
        <v>2.9880058187043375</v>
      </c>
      <c r="QH42" s="363">
        <f t="shared" ca="1" si="485"/>
        <v>2.9902113298237594</v>
      </c>
      <c r="QI42" s="363">
        <f t="shared" ca="1" si="485"/>
        <v>3.0005865278171715</v>
      </c>
      <c r="QJ42" s="363">
        <f t="shared" ca="1" si="485"/>
        <v>2.9903028732907986</v>
      </c>
      <c r="QK42" s="363">
        <f t="shared" ca="1" si="485"/>
        <v>2.9928226837559637</v>
      </c>
      <c r="QL42" s="363">
        <f t="shared" ca="1" si="485"/>
        <v>3.0285998987962857</v>
      </c>
      <c r="QM42" s="363">
        <f t="shared" ca="1" si="485"/>
        <v>2.9939395018006723</v>
      </c>
      <c r="QN42" s="363">
        <f t="shared" ca="1" si="485"/>
        <v>3.0483988040416343</v>
      </c>
      <c r="QO42" s="363">
        <f t="shared" ca="1" si="485"/>
        <v>2.9998854511476423</v>
      </c>
      <c r="QP42" s="363">
        <f t="shared" ca="1" si="485"/>
        <v>2.987781016166799</v>
      </c>
      <c r="QQ42" s="363">
        <f t="shared" ca="1" si="485"/>
        <v>2.9662624223226541</v>
      </c>
      <c r="QR42" s="363">
        <f t="shared" ca="1" si="485"/>
        <v>2.9448565248063137</v>
      </c>
      <c r="QS42" s="363">
        <f t="shared" ca="1" si="485"/>
        <v>2.9940436985242336</v>
      </c>
      <c r="QT42" s="363">
        <f t="shared" ca="1" si="485"/>
        <v>3.00058419992056</v>
      </c>
      <c r="QU42" s="363">
        <f t="shared" ca="1" si="485"/>
        <v>3.0036002204522632</v>
      </c>
      <c r="QV42" s="363">
        <f t="shared" ca="1" si="485"/>
        <v>3.0246809140772233</v>
      </c>
      <c r="QW42" s="363">
        <f t="shared" ca="1" si="485"/>
        <v>3.0145312816803576</v>
      </c>
      <c r="QX42" s="363">
        <f t="shared" ca="1" si="485"/>
        <v>3.0334743958422647</v>
      </c>
      <c r="QY42" s="363">
        <f t="shared" ca="1" si="485"/>
        <v>2.9675978933482074</v>
      </c>
      <c r="QZ42" s="363">
        <f t="shared" ca="1" si="485"/>
        <v>2.9533768248807282</v>
      </c>
      <c r="RA42" s="363">
        <f t="shared" ca="1" si="485"/>
        <v>3.0213365741486187</v>
      </c>
      <c r="RB42" s="363">
        <f t="shared" ca="1" si="485"/>
        <v>2.9585571439705358</v>
      </c>
      <c r="RC42" s="363">
        <f t="shared" ca="1" si="485"/>
        <v>2.9855150705005373</v>
      </c>
      <c r="RD42" s="363">
        <f t="shared" ca="1" si="485"/>
        <v>2.9849309723799555</v>
      </c>
      <c r="RE42" s="363">
        <f t="shared" ca="1" si="485"/>
        <v>3.0133823206958148</v>
      </c>
      <c r="RF42" s="363">
        <f t="shared" ca="1" si="485"/>
        <v>2.9920993151263215</v>
      </c>
      <c r="RG42" s="363">
        <f t="shared" ca="1" si="485"/>
        <v>2.9861090191219359</v>
      </c>
      <c r="RH42" s="363">
        <f t="shared" ca="1" si="485"/>
        <v>2.9926944998799319</v>
      </c>
      <c r="RI42" s="363">
        <f t="shared" ca="1" si="485"/>
        <v>2.9980385762563402</v>
      </c>
      <c r="RJ42" s="363">
        <f t="shared" ref="RJ42:SR42" ca="1" si="486">_xlfn.LOGNORM.INV(RAND(),$I$42,$J$42)</f>
        <v>2.9976940348124521</v>
      </c>
      <c r="RK42" s="363">
        <f t="shared" ca="1" si="486"/>
        <v>2.9792183703455453</v>
      </c>
      <c r="RL42" s="363">
        <f t="shared" ca="1" si="486"/>
        <v>2.9781713093784949</v>
      </c>
      <c r="RM42" s="363">
        <f t="shared" ca="1" si="486"/>
        <v>3.0176850588291644</v>
      </c>
      <c r="RN42" s="363">
        <f t="shared" ca="1" si="486"/>
        <v>2.9740926984050913</v>
      </c>
      <c r="RO42" s="363">
        <f t="shared" ca="1" si="486"/>
        <v>2.9804589632967486</v>
      </c>
      <c r="RP42" s="363">
        <f t="shared" ca="1" si="486"/>
        <v>2.9954920378871552</v>
      </c>
      <c r="RQ42" s="363">
        <f t="shared" ca="1" si="486"/>
        <v>3.023400706339086</v>
      </c>
      <c r="RR42" s="363">
        <f t="shared" ca="1" si="486"/>
        <v>3.00846053981323</v>
      </c>
      <c r="RS42" s="363">
        <f t="shared" ca="1" si="486"/>
        <v>3.0163517526584815</v>
      </c>
      <c r="RT42" s="363">
        <f t="shared" ca="1" si="486"/>
        <v>2.9786989360673575</v>
      </c>
      <c r="RU42" s="363">
        <f t="shared" ca="1" si="486"/>
        <v>2.9763284561379999</v>
      </c>
      <c r="RV42" s="363">
        <f t="shared" ca="1" si="486"/>
        <v>3.0014342251759922</v>
      </c>
      <c r="RW42" s="363">
        <f t="shared" ca="1" si="486"/>
        <v>3.0211721793956832</v>
      </c>
      <c r="RX42" s="363">
        <f t="shared" ca="1" si="486"/>
        <v>3.0164622754724122</v>
      </c>
      <c r="RY42" s="363">
        <f t="shared" ca="1" si="486"/>
        <v>2.9846978671603845</v>
      </c>
      <c r="RZ42" s="363">
        <f t="shared" ca="1" si="486"/>
        <v>3.0138009822393306</v>
      </c>
      <c r="SA42" s="363">
        <f t="shared" ca="1" si="486"/>
        <v>3.0080728775451795</v>
      </c>
      <c r="SB42" s="363">
        <f t="shared" ca="1" si="486"/>
        <v>3.0149585606995828</v>
      </c>
      <c r="SC42" s="363">
        <f t="shared" ca="1" si="486"/>
        <v>2.9902438445045987</v>
      </c>
      <c r="SD42" s="363">
        <f t="shared" ca="1" si="486"/>
        <v>2.9623220711765144</v>
      </c>
      <c r="SE42" s="363">
        <f t="shared" ca="1" si="486"/>
        <v>3.0485151395307066</v>
      </c>
      <c r="SF42" s="363">
        <f t="shared" ca="1" si="486"/>
        <v>3.0048468615360284</v>
      </c>
      <c r="SG42" s="363">
        <f t="shared" ca="1" si="486"/>
        <v>2.9932954420193219</v>
      </c>
      <c r="SH42" s="363">
        <f t="shared" ca="1" si="486"/>
        <v>2.9923462738503193</v>
      </c>
      <c r="SI42" s="363">
        <f t="shared" ca="1" si="486"/>
        <v>2.9628979041941483</v>
      </c>
      <c r="SJ42" s="363">
        <f t="shared" ca="1" si="486"/>
        <v>2.9772707576985731</v>
      </c>
      <c r="SK42" s="363">
        <f t="shared" ca="1" si="486"/>
        <v>3.0263519334981246</v>
      </c>
      <c r="SL42" s="363">
        <f t="shared" ca="1" si="486"/>
        <v>2.9647498491379931</v>
      </c>
      <c r="SM42" s="363">
        <f t="shared" ca="1" si="486"/>
        <v>2.9680630810409516</v>
      </c>
      <c r="SN42" s="363">
        <f t="shared" ca="1" si="486"/>
        <v>2.9540227984529381</v>
      </c>
      <c r="SO42" s="363">
        <f t="shared" ca="1" si="486"/>
        <v>2.989586099788661</v>
      </c>
      <c r="SP42" s="363">
        <f t="shared" ca="1" si="486"/>
        <v>3.0263919560993173</v>
      </c>
      <c r="SQ42" s="363">
        <f t="shared" ca="1" si="486"/>
        <v>3.0232309882825117</v>
      </c>
      <c r="SR42" s="363">
        <f t="shared" ca="1" si="486"/>
        <v>2.9943255219900187</v>
      </c>
      <c r="SS42" s="363">
        <f ca="1">_xlfn.LOGNORM.INV(RAND(),$I$42,$J$42)</f>
        <v>2.9501780541389713</v>
      </c>
      <c r="ST42" s="363">
        <f t="shared" ref="ST42:VE42" ca="1" si="487">_xlfn.LOGNORM.INV(RAND(),$I$42,$J$42)</f>
        <v>2.9652681319217216</v>
      </c>
      <c r="SU42" s="363">
        <f t="shared" ca="1" si="487"/>
        <v>3.0209663609264368</v>
      </c>
      <c r="SV42" s="363">
        <f t="shared" ca="1" si="487"/>
        <v>3.0234835187209921</v>
      </c>
      <c r="SW42" s="363">
        <f t="shared" ca="1" si="487"/>
        <v>3.0367080035522607</v>
      </c>
      <c r="SX42" s="363">
        <f t="shared" ca="1" si="487"/>
        <v>3.020122019467669</v>
      </c>
      <c r="SY42" s="363">
        <f t="shared" ca="1" si="487"/>
        <v>3.0333178755814134</v>
      </c>
      <c r="SZ42" s="363">
        <f t="shared" ca="1" si="487"/>
        <v>3.0017885787590619</v>
      </c>
      <c r="TA42" s="363">
        <f t="shared" ca="1" si="487"/>
        <v>2.9909371065400441</v>
      </c>
      <c r="TB42" s="363">
        <f t="shared" ca="1" si="487"/>
        <v>3.0081926478503687</v>
      </c>
      <c r="TC42" s="363">
        <f t="shared" ca="1" si="487"/>
        <v>2.9742478460188098</v>
      </c>
      <c r="TD42" s="363">
        <f t="shared" ca="1" si="487"/>
        <v>3.0030019380218285</v>
      </c>
      <c r="TE42" s="363">
        <f t="shared" ca="1" si="487"/>
        <v>2.9796579475969764</v>
      </c>
      <c r="TF42" s="363">
        <f t="shared" ca="1" si="487"/>
        <v>3.0024550747433318</v>
      </c>
      <c r="TG42" s="363">
        <f t="shared" ca="1" si="487"/>
        <v>2.9923509538020454</v>
      </c>
      <c r="TH42" s="363">
        <f t="shared" ca="1" si="487"/>
        <v>3.0250408251370202</v>
      </c>
      <c r="TI42" s="363">
        <f t="shared" ca="1" si="487"/>
        <v>2.9878039786856947</v>
      </c>
      <c r="TJ42" s="363">
        <f t="shared" ca="1" si="487"/>
        <v>3.0442355448434162</v>
      </c>
      <c r="TK42" s="363">
        <f t="shared" ca="1" si="487"/>
        <v>2.9607481947284326</v>
      </c>
      <c r="TL42" s="363">
        <f t="shared" ca="1" si="487"/>
        <v>2.9728579026922413</v>
      </c>
      <c r="TM42" s="363">
        <f t="shared" ca="1" si="487"/>
        <v>3.0041168399779608</v>
      </c>
      <c r="TN42" s="363">
        <f t="shared" ca="1" si="487"/>
        <v>2.9919295336602127</v>
      </c>
      <c r="TO42" s="363">
        <f t="shared" ca="1" si="487"/>
        <v>2.9922805193532866</v>
      </c>
      <c r="TP42" s="363">
        <f t="shared" ca="1" si="487"/>
        <v>2.9943555404915716</v>
      </c>
      <c r="TQ42" s="363">
        <f t="shared" ca="1" si="487"/>
        <v>3.0290833010553859</v>
      </c>
      <c r="TR42" s="363">
        <f t="shared" ca="1" si="487"/>
        <v>2.9891866434036363</v>
      </c>
      <c r="TS42" s="363">
        <f t="shared" ca="1" si="487"/>
        <v>2.9830497416720685</v>
      </c>
      <c r="TT42" s="363">
        <f t="shared" ca="1" si="487"/>
        <v>3.0047395849086458</v>
      </c>
      <c r="TU42" s="363">
        <f t="shared" ca="1" si="487"/>
        <v>2.9914550315847142</v>
      </c>
      <c r="TV42" s="363">
        <f t="shared" ca="1" si="487"/>
        <v>2.9870237958225294</v>
      </c>
      <c r="TW42" s="363">
        <f t="shared" ca="1" si="487"/>
        <v>2.9855908397473239</v>
      </c>
      <c r="TX42" s="363">
        <f t="shared" ca="1" si="487"/>
        <v>3.0080790510161743</v>
      </c>
      <c r="TY42" s="363">
        <f t="shared" ca="1" si="487"/>
        <v>2.9651696569338601</v>
      </c>
      <c r="TZ42" s="363">
        <f t="shared" ca="1" si="487"/>
        <v>3.0060675452382655</v>
      </c>
      <c r="UA42" s="363">
        <f t="shared" ca="1" si="487"/>
        <v>3.0453750062614522</v>
      </c>
      <c r="UB42" s="363">
        <f t="shared" ca="1" si="487"/>
        <v>3.0018640957705904</v>
      </c>
      <c r="UC42" s="363">
        <f t="shared" ca="1" si="487"/>
        <v>2.9917021652700764</v>
      </c>
      <c r="UD42" s="363">
        <f t="shared" ca="1" si="487"/>
        <v>2.9660924320739763</v>
      </c>
      <c r="UE42" s="363">
        <f t="shared" ca="1" si="487"/>
        <v>3.0023952554893656</v>
      </c>
      <c r="UF42" s="363">
        <f t="shared" ca="1" si="487"/>
        <v>3.0067361309996787</v>
      </c>
      <c r="UG42" s="363">
        <f t="shared" ca="1" si="487"/>
        <v>3.0407400470651136</v>
      </c>
      <c r="UH42" s="363">
        <f t="shared" ca="1" si="487"/>
        <v>2.9853592196207539</v>
      </c>
      <c r="UI42" s="363">
        <f t="shared" ca="1" si="487"/>
        <v>3.0175124352290741</v>
      </c>
      <c r="UJ42" s="363">
        <f t="shared" ca="1" si="487"/>
        <v>2.9964341525229479</v>
      </c>
      <c r="UK42" s="363">
        <f t="shared" ca="1" si="487"/>
        <v>3.0272064221110258</v>
      </c>
      <c r="UL42" s="363">
        <f t="shared" ca="1" si="487"/>
        <v>2.9745828989083218</v>
      </c>
      <c r="UM42" s="363">
        <f t="shared" ca="1" si="487"/>
        <v>3.0291519362848733</v>
      </c>
      <c r="UN42" s="363">
        <f t="shared" ca="1" si="487"/>
        <v>2.9984490044662873</v>
      </c>
      <c r="UO42" s="363">
        <f t="shared" ca="1" si="487"/>
        <v>2.967451227141733</v>
      </c>
      <c r="UP42" s="363">
        <f t="shared" ca="1" si="487"/>
        <v>2.9826714452053502</v>
      </c>
      <c r="UQ42" s="363">
        <f t="shared" ca="1" si="487"/>
        <v>2.9809765307689648</v>
      </c>
      <c r="UR42" s="363">
        <f t="shared" ca="1" si="487"/>
        <v>2.969515389021371</v>
      </c>
      <c r="US42" s="363">
        <f t="shared" ca="1" si="487"/>
        <v>3.0069279930227348</v>
      </c>
      <c r="UT42" s="363">
        <f t="shared" ca="1" si="487"/>
        <v>3.0538453900446556</v>
      </c>
      <c r="UU42" s="363">
        <f t="shared" ca="1" si="487"/>
        <v>3.0174815258076451</v>
      </c>
      <c r="UV42" s="363">
        <f t="shared" ca="1" si="487"/>
        <v>3.0378142281340152</v>
      </c>
      <c r="UW42" s="363">
        <f t="shared" ca="1" si="487"/>
        <v>2.9772531384916103</v>
      </c>
      <c r="UX42" s="363">
        <f t="shared" ca="1" si="487"/>
        <v>3.0623301971814412</v>
      </c>
      <c r="UY42" s="363">
        <f t="shared" ca="1" si="487"/>
        <v>2.9940491120547641</v>
      </c>
      <c r="UZ42" s="363">
        <f t="shared" ca="1" si="487"/>
        <v>2.985486281369429</v>
      </c>
      <c r="VA42" s="363">
        <f t="shared" ca="1" si="487"/>
        <v>3.0116396883337435</v>
      </c>
      <c r="VB42" s="363">
        <f t="shared" ca="1" si="487"/>
        <v>3.0088240651652161</v>
      </c>
      <c r="VC42" s="363">
        <f t="shared" ca="1" si="487"/>
        <v>2.9694361766988173</v>
      </c>
      <c r="VD42" s="363">
        <f t="shared" ca="1" si="487"/>
        <v>2.9970689291195369</v>
      </c>
      <c r="VE42" s="363">
        <f t="shared" ca="1" si="487"/>
        <v>2.9854623958931352</v>
      </c>
      <c r="VF42" s="363">
        <f t="shared" ref="VF42:WN42" ca="1" si="488">_xlfn.LOGNORM.INV(RAND(),$I$42,$J$42)</f>
        <v>3.0129699648715755</v>
      </c>
      <c r="VG42" s="363">
        <f t="shared" ca="1" si="488"/>
        <v>2.9914411269070666</v>
      </c>
      <c r="VH42" s="363">
        <f t="shared" ca="1" si="488"/>
        <v>2.9791986351677471</v>
      </c>
      <c r="VI42" s="363">
        <f t="shared" ca="1" si="488"/>
        <v>3.0035999718822741</v>
      </c>
      <c r="VJ42" s="363">
        <f t="shared" ca="1" si="488"/>
        <v>2.9962702677868394</v>
      </c>
      <c r="VK42" s="363">
        <f t="shared" ca="1" si="488"/>
        <v>2.9315572426186001</v>
      </c>
      <c r="VL42" s="363">
        <f t="shared" ca="1" si="488"/>
        <v>3.0168330141870783</v>
      </c>
      <c r="VM42" s="363">
        <f t="shared" ca="1" si="488"/>
        <v>3.0227496584928644</v>
      </c>
      <c r="VN42" s="363">
        <f t="shared" ca="1" si="488"/>
        <v>3.0444093109474113</v>
      </c>
      <c r="VO42" s="363">
        <f t="shared" ca="1" si="488"/>
        <v>2.9525093559883882</v>
      </c>
      <c r="VP42" s="363">
        <f t="shared" ca="1" si="488"/>
        <v>2.9826344049836768</v>
      </c>
      <c r="VQ42" s="363">
        <f t="shared" ca="1" si="488"/>
        <v>2.9872915947141543</v>
      </c>
      <c r="VR42" s="363">
        <f t="shared" ca="1" si="488"/>
        <v>3.0043984986253878</v>
      </c>
      <c r="VS42" s="363">
        <f t="shared" ca="1" si="488"/>
        <v>2.9756925287636808</v>
      </c>
      <c r="VT42" s="363">
        <f t="shared" ca="1" si="488"/>
        <v>2.9723149383988345</v>
      </c>
      <c r="VU42" s="363">
        <f t="shared" ca="1" si="488"/>
        <v>3.0086149373930384</v>
      </c>
      <c r="VV42" s="363">
        <f t="shared" ca="1" si="488"/>
        <v>3.0179672707658884</v>
      </c>
      <c r="VW42" s="363">
        <f t="shared" ca="1" si="488"/>
        <v>3.0011871164104629</v>
      </c>
      <c r="VX42" s="363">
        <f t="shared" ca="1" si="488"/>
        <v>3.0519231795906063</v>
      </c>
      <c r="VY42" s="363">
        <f t="shared" ca="1" si="488"/>
        <v>3.0323153366898996</v>
      </c>
      <c r="VZ42" s="363">
        <f t="shared" ca="1" si="488"/>
        <v>2.9699919816702876</v>
      </c>
      <c r="WA42" s="363">
        <f t="shared" ca="1" si="488"/>
        <v>3.004666341718544</v>
      </c>
      <c r="WB42" s="363">
        <f t="shared" ca="1" si="488"/>
        <v>3.0117597150239441</v>
      </c>
      <c r="WC42" s="363">
        <f t="shared" ca="1" si="488"/>
        <v>2.9579719586429181</v>
      </c>
      <c r="WD42" s="363">
        <f t="shared" ca="1" si="488"/>
        <v>2.9877985004269054</v>
      </c>
      <c r="WE42" s="363">
        <f t="shared" ca="1" si="488"/>
        <v>3.0202207729631132</v>
      </c>
      <c r="WF42" s="363">
        <f t="shared" ca="1" si="488"/>
        <v>3.0119190470770096</v>
      </c>
      <c r="WG42" s="363">
        <f t="shared" ca="1" si="488"/>
        <v>3.0347695534577448</v>
      </c>
      <c r="WH42" s="363">
        <f t="shared" ca="1" si="488"/>
        <v>2.9823023965394122</v>
      </c>
      <c r="WI42" s="363">
        <f t="shared" ca="1" si="488"/>
        <v>3.019807944293734</v>
      </c>
      <c r="WJ42" s="363">
        <f t="shared" ca="1" si="488"/>
        <v>3.0193969347389245</v>
      </c>
      <c r="WK42" s="363">
        <f t="shared" ca="1" si="488"/>
        <v>2.9864594549565497</v>
      </c>
      <c r="WL42" s="363">
        <f t="shared" ca="1" si="488"/>
        <v>3.0245191731531826</v>
      </c>
      <c r="WM42" s="363">
        <f t="shared" ca="1" si="488"/>
        <v>2.9976054551783018</v>
      </c>
      <c r="WN42" s="363">
        <f t="shared" ca="1" si="488"/>
        <v>2.9585219067292163</v>
      </c>
    </row>
    <row r="43" spans="2:612" x14ac:dyDescent="0.15">
      <c r="B43" s="469" t="s">
        <v>812</v>
      </c>
      <c r="C43" s="513"/>
      <c r="D43" s="457">
        <f t="shared" si="0"/>
        <v>4.7300000000000004</v>
      </c>
      <c r="E43" s="510"/>
      <c r="F43" s="457">
        <f>smr_stk</f>
        <v>4.7300000000000004</v>
      </c>
      <c r="G43" s="457">
        <v>8324</v>
      </c>
      <c r="H43" s="457">
        <v>0.20663265306122461</v>
      </c>
      <c r="I43" s="363">
        <f t="shared" si="463"/>
        <v>1.5325766758482815</v>
      </c>
      <c r="J43" s="367">
        <f t="shared" si="464"/>
        <v>4.3664729173861667E-2</v>
      </c>
      <c r="K43" s="367" t="s">
        <v>1274</v>
      </c>
      <c r="M43" s="363">
        <f ca="1">_xlfn.LOGNORM.INV(RAND(),$I$43,$J$43)</f>
        <v>4.7659826418928697</v>
      </c>
      <c r="N43" s="363">
        <f t="shared" ref="N43:BY43" ca="1" si="489">_xlfn.LOGNORM.INV(RAND(),$I$43,$J$43)</f>
        <v>4.9227521280351958</v>
      </c>
      <c r="O43" s="363">
        <f t="shared" ca="1" si="489"/>
        <v>4.5576066183806168</v>
      </c>
      <c r="P43" s="363">
        <f t="shared" ca="1" si="489"/>
        <v>4.7244073421595871</v>
      </c>
      <c r="Q43" s="363">
        <f t="shared" ca="1" si="489"/>
        <v>4.7756217892184099</v>
      </c>
      <c r="R43" s="363">
        <f t="shared" ca="1" si="489"/>
        <v>4.5516044603995018</v>
      </c>
      <c r="S43" s="363">
        <f t="shared" ca="1" si="489"/>
        <v>5.3435283072534014</v>
      </c>
      <c r="T43" s="363">
        <f t="shared" ca="1" si="489"/>
        <v>4.7911128512535548</v>
      </c>
      <c r="U43" s="363">
        <f t="shared" ca="1" si="489"/>
        <v>4.310652429977349</v>
      </c>
      <c r="V43" s="363">
        <f t="shared" ca="1" si="489"/>
        <v>4.6056685168953608</v>
      </c>
      <c r="W43" s="363">
        <f t="shared" ca="1" si="489"/>
        <v>4.8428921311335671</v>
      </c>
      <c r="X43" s="363">
        <f t="shared" ca="1" si="489"/>
        <v>4.4783577853075816</v>
      </c>
      <c r="Y43" s="363">
        <f t="shared" ca="1" si="489"/>
        <v>4.5300208376050222</v>
      </c>
      <c r="Z43" s="363">
        <f t="shared" ca="1" si="489"/>
        <v>4.3488013463036204</v>
      </c>
      <c r="AA43" s="363">
        <f t="shared" ca="1" si="489"/>
        <v>4.5619477367770074</v>
      </c>
      <c r="AB43" s="363">
        <f t="shared" ca="1" si="489"/>
        <v>4.6019710828307065</v>
      </c>
      <c r="AC43" s="363">
        <f t="shared" ca="1" si="489"/>
        <v>4.6271460658696615</v>
      </c>
      <c r="AD43" s="363">
        <f t="shared" ca="1" si="489"/>
        <v>5.0165739459542893</v>
      </c>
      <c r="AE43" s="363">
        <f t="shared" ca="1" si="489"/>
        <v>4.7527854265173044</v>
      </c>
      <c r="AF43" s="363">
        <f t="shared" ca="1" si="489"/>
        <v>4.7045933397093425</v>
      </c>
      <c r="AG43" s="363">
        <f t="shared" ca="1" si="489"/>
        <v>4.5387333806277566</v>
      </c>
      <c r="AH43" s="363">
        <f t="shared" ca="1" si="489"/>
        <v>4.6138851248867807</v>
      </c>
      <c r="AI43" s="363">
        <f t="shared" ca="1" si="489"/>
        <v>4.2684984913256718</v>
      </c>
      <c r="AJ43" s="363">
        <f t="shared" ca="1" si="489"/>
        <v>4.4074662575012704</v>
      </c>
      <c r="AK43" s="363">
        <f t="shared" ca="1" si="489"/>
        <v>4.5955497530462468</v>
      </c>
      <c r="AL43" s="363">
        <f t="shared" ca="1" si="489"/>
        <v>4.1904692654689537</v>
      </c>
      <c r="AM43" s="363">
        <f t="shared" ca="1" si="489"/>
        <v>4.4710852441523361</v>
      </c>
      <c r="AN43" s="363">
        <f t="shared" ca="1" si="489"/>
        <v>4.6716029584285756</v>
      </c>
      <c r="AO43" s="363">
        <f t="shared" ca="1" si="489"/>
        <v>4.6810748537358773</v>
      </c>
      <c r="AP43" s="363">
        <f t="shared" ca="1" si="489"/>
        <v>4.4912435327701763</v>
      </c>
      <c r="AQ43" s="363">
        <f t="shared" ca="1" si="489"/>
        <v>4.4258092044744251</v>
      </c>
      <c r="AR43" s="363">
        <f t="shared" ca="1" si="489"/>
        <v>4.872222245503175</v>
      </c>
      <c r="AS43" s="363">
        <f t="shared" ca="1" si="489"/>
        <v>4.4465319467981743</v>
      </c>
      <c r="AT43" s="363">
        <f t="shared" ca="1" si="489"/>
        <v>4.6977765356610783</v>
      </c>
      <c r="AU43" s="363">
        <f t="shared" ca="1" si="489"/>
        <v>4.5705175804116251</v>
      </c>
      <c r="AV43" s="363">
        <f t="shared" ca="1" si="489"/>
        <v>4.5734792913677982</v>
      </c>
      <c r="AW43" s="363">
        <f t="shared" ca="1" si="489"/>
        <v>4.6178994420896462</v>
      </c>
      <c r="AX43" s="363">
        <f t="shared" ca="1" si="489"/>
        <v>4.8069439873442166</v>
      </c>
      <c r="AY43" s="363">
        <f t="shared" ca="1" si="489"/>
        <v>4.864496670532235</v>
      </c>
      <c r="AZ43" s="363">
        <f t="shared" ca="1" si="489"/>
        <v>4.0451477864297409</v>
      </c>
      <c r="BA43" s="363">
        <f t="shared" ca="1" si="489"/>
        <v>4.4553185295277808</v>
      </c>
      <c r="BB43" s="363">
        <f t="shared" ca="1" si="489"/>
        <v>4.7382748022424792</v>
      </c>
      <c r="BC43" s="363">
        <f t="shared" ca="1" si="489"/>
        <v>4.4533922451613321</v>
      </c>
      <c r="BD43" s="363">
        <f t="shared" ca="1" si="489"/>
        <v>4.6740333012508062</v>
      </c>
      <c r="BE43" s="363">
        <f t="shared" ca="1" si="489"/>
        <v>4.4897707297942819</v>
      </c>
      <c r="BF43" s="363">
        <f t="shared" ca="1" si="489"/>
        <v>4.8359324645773167</v>
      </c>
      <c r="BG43" s="363">
        <f t="shared" ca="1" si="489"/>
        <v>4.5056503304012612</v>
      </c>
      <c r="BH43" s="363">
        <f t="shared" ca="1" si="489"/>
        <v>4.7942191197978907</v>
      </c>
      <c r="BI43" s="363">
        <f t="shared" ca="1" si="489"/>
        <v>4.5570036359117756</v>
      </c>
      <c r="BJ43" s="363">
        <f t="shared" ca="1" si="489"/>
        <v>4.9137753432909905</v>
      </c>
      <c r="BK43" s="363">
        <f t="shared" ca="1" si="489"/>
        <v>4.6608826494762301</v>
      </c>
      <c r="BL43" s="363">
        <f t="shared" ca="1" si="489"/>
        <v>5.0654312622797635</v>
      </c>
      <c r="BM43" s="363">
        <f t="shared" ca="1" si="489"/>
        <v>4.9358286332503774</v>
      </c>
      <c r="BN43" s="363">
        <f t="shared" ca="1" si="489"/>
        <v>4.529902678344178</v>
      </c>
      <c r="BO43" s="363">
        <f t="shared" ca="1" si="489"/>
        <v>4.4033881185858892</v>
      </c>
      <c r="BP43" s="363">
        <f t="shared" ca="1" si="489"/>
        <v>4.3511565407074935</v>
      </c>
      <c r="BQ43" s="363">
        <f t="shared" ca="1" si="489"/>
        <v>4.3201009554144605</v>
      </c>
      <c r="BR43" s="363">
        <f t="shared" ca="1" si="489"/>
        <v>4.7447541574672458</v>
      </c>
      <c r="BS43" s="363">
        <f t="shared" ca="1" si="489"/>
        <v>4.3348316383386596</v>
      </c>
      <c r="BT43" s="363">
        <f t="shared" ca="1" si="489"/>
        <v>4.8208169813911397</v>
      </c>
      <c r="BU43" s="363">
        <f t="shared" ca="1" si="489"/>
        <v>4.4156934344040977</v>
      </c>
      <c r="BV43" s="363">
        <f t="shared" ca="1" si="489"/>
        <v>4.5819839920272072</v>
      </c>
      <c r="BW43" s="363">
        <f t="shared" ca="1" si="489"/>
        <v>4.9254771924154923</v>
      </c>
      <c r="BX43" s="363">
        <f t="shared" ca="1" si="489"/>
        <v>4.559755645960089</v>
      </c>
      <c r="BY43" s="363">
        <f t="shared" ca="1" si="489"/>
        <v>4.7864703078253541</v>
      </c>
      <c r="BZ43" s="363">
        <f t="shared" ref="BZ43:DH43" ca="1" si="490">_xlfn.LOGNORM.INV(RAND(),$I$43,$J$43)</f>
        <v>4.3653427512272556</v>
      </c>
      <c r="CA43" s="363">
        <f t="shared" ca="1" si="490"/>
        <v>4.5619277696173608</v>
      </c>
      <c r="CB43" s="363">
        <f t="shared" ca="1" si="490"/>
        <v>4.537121278006027</v>
      </c>
      <c r="CC43" s="363">
        <f t="shared" ca="1" si="490"/>
        <v>4.1952875143376929</v>
      </c>
      <c r="CD43" s="363">
        <f t="shared" ca="1" si="490"/>
        <v>4.5535756143669346</v>
      </c>
      <c r="CE43" s="363">
        <f t="shared" ca="1" si="490"/>
        <v>5.0705293192083021</v>
      </c>
      <c r="CF43" s="363">
        <f t="shared" ca="1" si="490"/>
        <v>4.58560050912814</v>
      </c>
      <c r="CG43" s="363">
        <f t="shared" ca="1" si="490"/>
        <v>4.8773599125428309</v>
      </c>
      <c r="CH43" s="363">
        <f t="shared" ca="1" si="490"/>
        <v>4.7442645657785922</v>
      </c>
      <c r="CI43" s="363">
        <f t="shared" ca="1" si="490"/>
        <v>4.9587179144172095</v>
      </c>
      <c r="CJ43" s="363">
        <f t="shared" ca="1" si="490"/>
        <v>4.955036444634449</v>
      </c>
      <c r="CK43" s="363">
        <f t="shared" ca="1" si="490"/>
        <v>4.9175592847247325</v>
      </c>
      <c r="CL43" s="363">
        <f t="shared" ca="1" si="490"/>
        <v>4.6248113684330265</v>
      </c>
      <c r="CM43" s="363">
        <f t="shared" ca="1" si="490"/>
        <v>4.6694907153825254</v>
      </c>
      <c r="CN43" s="363">
        <f t="shared" ca="1" si="490"/>
        <v>4.2686412930813873</v>
      </c>
      <c r="CO43" s="363">
        <f t="shared" ca="1" si="490"/>
        <v>4.4537022480748156</v>
      </c>
      <c r="CP43" s="363">
        <f t="shared" ca="1" si="490"/>
        <v>4.57820928554092</v>
      </c>
      <c r="CQ43" s="363">
        <f t="shared" ca="1" si="490"/>
        <v>4.2955055081386488</v>
      </c>
      <c r="CR43" s="363">
        <f t="shared" ca="1" si="490"/>
        <v>4.6732377252808588</v>
      </c>
      <c r="CS43" s="363">
        <f t="shared" ca="1" si="490"/>
        <v>4.4056970173708931</v>
      </c>
      <c r="CT43" s="363">
        <f t="shared" ca="1" si="490"/>
        <v>4.383372579091251</v>
      </c>
      <c r="CU43" s="363">
        <f t="shared" ca="1" si="490"/>
        <v>4.5226024204441382</v>
      </c>
      <c r="CV43" s="363">
        <f t="shared" ca="1" si="490"/>
        <v>4.5669186278141147</v>
      </c>
      <c r="CW43" s="363">
        <f t="shared" ca="1" si="490"/>
        <v>4.3780361854404459</v>
      </c>
      <c r="CX43" s="363">
        <f t="shared" ca="1" si="490"/>
        <v>4.5049595607170447</v>
      </c>
      <c r="CY43" s="363">
        <f t="shared" ca="1" si="490"/>
        <v>4.8080536789062478</v>
      </c>
      <c r="CZ43" s="363">
        <f t="shared" ca="1" si="490"/>
        <v>4.3991228189167666</v>
      </c>
      <c r="DA43" s="363">
        <f t="shared" ca="1" si="490"/>
        <v>4.792386310046564</v>
      </c>
      <c r="DB43" s="363">
        <f t="shared" ca="1" si="490"/>
        <v>4.722579264728088</v>
      </c>
      <c r="DC43" s="363">
        <f t="shared" ca="1" si="490"/>
        <v>4.8957378246313183</v>
      </c>
      <c r="DD43" s="363">
        <f t="shared" ca="1" si="490"/>
        <v>4.580195092306953</v>
      </c>
      <c r="DE43" s="363">
        <f t="shared" ca="1" si="490"/>
        <v>4.4672627898851625</v>
      </c>
      <c r="DF43" s="363">
        <f t="shared" ca="1" si="490"/>
        <v>4.7120041465859872</v>
      </c>
      <c r="DG43" s="363">
        <f t="shared" ca="1" si="490"/>
        <v>4.5805964861627677</v>
      </c>
      <c r="DH43" s="363">
        <f t="shared" ca="1" si="490"/>
        <v>4.6320784183461008</v>
      </c>
      <c r="DI43" s="363">
        <f ca="1">_xlfn.LOGNORM.INV(RAND(),$I$43,$J$43)</f>
        <v>4.644228146449862</v>
      </c>
      <c r="DJ43" s="363">
        <f t="shared" ref="DJ43:FU43" ca="1" si="491">_xlfn.LOGNORM.INV(RAND(),$I$43,$J$43)</f>
        <v>4.8972474020380892</v>
      </c>
      <c r="DK43" s="363">
        <f t="shared" ca="1" si="491"/>
        <v>4.3853410389202443</v>
      </c>
      <c r="DL43" s="363">
        <f t="shared" ca="1" si="491"/>
        <v>4.6911929543804183</v>
      </c>
      <c r="DM43" s="363">
        <f t="shared" ca="1" si="491"/>
        <v>4.4865424536719143</v>
      </c>
      <c r="DN43" s="363">
        <f t="shared" ca="1" si="491"/>
        <v>4.6043743881410961</v>
      </c>
      <c r="DO43" s="363">
        <f t="shared" ca="1" si="491"/>
        <v>5.0202427422140792</v>
      </c>
      <c r="DP43" s="363">
        <f t="shared" ca="1" si="491"/>
        <v>4.7160675415070878</v>
      </c>
      <c r="DQ43" s="363">
        <f t="shared" ca="1" si="491"/>
        <v>4.6289609372135025</v>
      </c>
      <c r="DR43" s="363">
        <f t="shared" ca="1" si="491"/>
        <v>4.6758634389542975</v>
      </c>
      <c r="DS43" s="363">
        <f t="shared" ca="1" si="491"/>
        <v>4.5949505605229541</v>
      </c>
      <c r="DT43" s="363">
        <f t="shared" ca="1" si="491"/>
        <v>4.6294310805313144</v>
      </c>
      <c r="DU43" s="363">
        <f t="shared" ca="1" si="491"/>
        <v>4.4630258403902365</v>
      </c>
      <c r="DV43" s="363">
        <f t="shared" ca="1" si="491"/>
        <v>4.6472076213892661</v>
      </c>
      <c r="DW43" s="363">
        <f t="shared" ca="1" si="491"/>
        <v>4.692691219118255</v>
      </c>
      <c r="DX43" s="363">
        <f t="shared" ca="1" si="491"/>
        <v>4.5777591939077968</v>
      </c>
      <c r="DY43" s="363">
        <f t="shared" ca="1" si="491"/>
        <v>4.4196139482705776</v>
      </c>
      <c r="DZ43" s="363">
        <f t="shared" ca="1" si="491"/>
        <v>4.999705234750321</v>
      </c>
      <c r="EA43" s="363">
        <f t="shared" ca="1" si="491"/>
        <v>4.6375747862585905</v>
      </c>
      <c r="EB43" s="363">
        <f t="shared" ca="1" si="491"/>
        <v>4.6392392154364144</v>
      </c>
      <c r="EC43" s="363">
        <f t="shared" ca="1" si="491"/>
        <v>4.7378788768118882</v>
      </c>
      <c r="ED43" s="363">
        <f t="shared" ca="1" si="491"/>
        <v>4.7202432051228245</v>
      </c>
      <c r="EE43" s="363">
        <f t="shared" ca="1" si="491"/>
        <v>4.4246692452564274</v>
      </c>
      <c r="EF43" s="363">
        <f t="shared" ca="1" si="491"/>
        <v>4.6840897080020492</v>
      </c>
      <c r="EG43" s="363">
        <f t="shared" ca="1" si="491"/>
        <v>4.9718496244312318</v>
      </c>
      <c r="EH43" s="363">
        <f t="shared" ca="1" si="491"/>
        <v>4.560355691978903</v>
      </c>
      <c r="EI43" s="363">
        <f t="shared" ca="1" si="491"/>
        <v>4.6140001469557177</v>
      </c>
      <c r="EJ43" s="363">
        <f t="shared" ca="1" si="491"/>
        <v>4.4130820813719343</v>
      </c>
      <c r="EK43" s="363">
        <f t="shared" ca="1" si="491"/>
        <v>4.642021528824519</v>
      </c>
      <c r="EL43" s="363">
        <f t="shared" ca="1" si="491"/>
        <v>4.7915769377700785</v>
      </c>
      <c r="EM43" s="363">
        <f t="shared" ca="1" si="491"/>
        <v>4.8015158081178511</v>
      </c>
      <c r="EN43" s="363">
        <f t="shared" ca="1" si="491"/>
        <v>4.2644930004145394</v>
      </c>
      <c r="EO43" s="363">
        <f t="shared" ca="1" si="491"/>
        <v>4.7916107210152941</v>
      </c>
      <c r="EP43" s="363">
        <f t="shared" ca="1" si="491"/>
        <v>4.6145927476591302</v>
      </c>
      <c r="EQ43" s="363">
        <f t="shared" ca="1" si="491"/>
        <v>4.3769303370410402</v>
      </c>
      <c r="ER43" s="363">
        <f t="shared" ca="1" si="491"/>
        <v>4.742903400577128</v>
      </c>
      <c r="ES43" s="363">
        <f t="shared" ca="1" si="491"/>
        <v>4.6932391077185205</v>
      </c>
      <c r="ET43" s="363">
        <f t="shared" ca="1" si="491"/>
        <v>4.7852368732007964</v>
      </c>
      <c r="EU43" s="363">
        <f t="shared" ca="1" si="491"/>
        <v>4.6181774698083444</v>
      </c>
      <c r="EV43" s="363">
        <f t="shared" ca="1" si="491"/>
        <v>4.8521358861491706</v>
      </c>
      <c r="EW43" s="363">
        <f t="shared" ca="1" si="491"/>
        <v>4.4881582404735125</v>
      </c>
      <c r="EX43" s="363">
        <f t="shared" ca="1" si="491"/>
        <v>4.5924881363271028</v>
      </c>
      <c r="EY43" s="363">
        <f t="shared" ca="1" si="491"/>
        <v>4.7956418946952253</v>
      </c>
      <c r="EZ43" s="363">
        <f t="shared" ca="1" si="491"/>
        <v>4.9151472828440514</v>
      </c>
      <c r="FA43" s="363">
        <f t="shared" ca="1" si="491"/>
        <v>4.7351327451425256</v>
      </c>
      <c r="FB43" s="363">
        <f t="shared" ca="1" si="491"/>
        <v>4.4238914030172856</v>
      </c>
      <c r="FC43" s="363">
        <f t="shared" ca="1" si="491"/>
        <v>4.6044527558753376</v>
      </c>
      <c r="FD43" s="363">
        <f t="shared" ca="1" si="491"/>
        <v>4.5851299388936644</v>
      </c>
      <c r="FE43" s="363">
        <f t="shared" ca="1" si="491"/>
        <v>4.7341998255360229</v>
      </c>
      <c r="FF43" s="363">
        <f t="shared" ca="1" si="491"/>
        <v>4.441045137388878</v>
      </c>
      <c r="FG43" s="363">
        <f t="shared" ca="1" si="491"/>
        <v>4.4911455705676282</v>
      </c>
      <c r="FH43" s="363">
        <f t="shared" ca="1" si="491"/>
        <v>4.6013570975705997</v>
      </c>
      <c r="FI43" s="363">
        <f t="shared" ca="1" si="491"/>
        <v>4.6683783153242384</v>
      </c>
      <c r="FJ43" s="363">
        <f t="shared" ca="1" si="491"/>
        <v>4.7315103243998085</v>
      </c>
      <c r="FK43" s="363">
        <f t="shared" ca="1" si="491"/>
        <v>4.2795245926863252</v>
      </c>
      <c r="FL43" s="363">
        <f t="shared" ca="1" si="491"/>
        <v>4.1536837558525299</v>
      </c>
      <c r="FM43" s="363">
        <f t="shared" ca="1" si="491"/>
        <v>4.7128744254544737</v>
      </c>
      <c r="FN43" s="363">
        <f t="shared" ca="1" si="491"/>
        <v>4.3983627754089989</v>
      </c>
      <c r="FO43" s="363">
        <f t="shared" ca="1" si="491"/>
        <v>4.705304095939578</v>
      </c>
      <c r="FP43" s="363">
        <f t="shared" ca="1" si="491"/>
        <v>4.3706683903845382</v>
      </c>
      <c r="FQ43" s="363">
        <f t="shared" ca="1" si="491"/>
        <v>4.4605055168069976</v>
      </c>
      <c r="FR43" s="363">
        <f t="shared" ca="1" si="491"/>
        <v>4.7205787761491225</v>
      </c>
      <c r="FS43" s="363">
        <f t="shared" ca="1" si="491"/>
        <v>4.4093919766416514</v>
      </c>
      <c r="FT43" s="363">
        <f t="shared" ca="1" si="491"/>
        <v>4.2602567824030642</v>
      </c>
      <c r="FU43" s="363">
        <f t="shared" ca="1" si="491"/>
        <v>4.780437704336598</v>
      </c>
      <c r="FV43" s="363">
        <f t="shared" ref="FV43:HD43" ca="1" si="492">_xlfn.LOGNORM.INV(RAND(),$I$43,$J$43)</f>
        <v>4.4663864295721218</v>
      </c>
      <c r="FW43" s="363">
        <f t="shared" ca="1" si="492"/>
        <v>4.662008489116249</v>
      </c>
      <c r="FX43" s="363">
        <f t="shared" ca="1" si="492"/>
        <v>4.7497935929529733</v>
      </c>
      <c r="FY43" s="363">
        <f t="shared" ca="1" si="492"/>
        <v>4.755166507582806</v>
      </c>
      <c r="FZ43" s="363">
        <f t="shared" ca="1" si="492"/>
        <v>4.5826584819571794</v>
      </c>
      <c r="GA43" s="363">
        <f t="shared" ca="1" si="492"/>
        <v>4.8217649443818669</v>
      </c>
      <c r="GB43" s="363">
        <f t="shared" ca="1" si="492"/>
        <v>4.9532652981842835</v>
      </c>
      <c r="GC43" s="363">
        <f t="shared" ca="1" si="492"/>
        <v>4.4880712555447104</v>
      </c>
      <c r="GD43" s="363">
        <f t="shared" ca="1" si="492"/>
        <v>4.4773720409436768</v>
      </c>
      <c r="GE43" s="363">
        <f t="shared" ca="1" si="492"/>
        <v>4.4821849768834756</v>
      </c>
      <c r="GF43" s="363">
        <f t="shared" ca="1" si="492"/>
        <v>4.6340778728209537</v>
      </c>
      <c r="GG43" s="363">
        <f t="shared" ca="1" si="492"/>
        <v>4.4636121210335951</v>
      </c>
      <c r="GH43" s="363">
        <f t="shared" ca="1" si="492"/>
        <v>4.9246455314187561</v>
      </c>
      <c r="GI43" s="363">
        <f t="shared" ca="1" si="492"/>
        <v>4.6023728185780106</v>
      </c>
      <c r="GJ43" s="363">
        <f t="shared" ca="1" si="492"/>
        <v>4.7630943070118628</v>
      </c>
      <c r="GK43" s="363">
        <f t="shared" ca="1" si="492"/>
        <v>4.7947862718400094</v>
      </c>
      <c r="GL43" s="363">
        <f t="shared" ca="1" si="492"/>
        <v>4.5946183387870718</v>
      </c>
      <c r="GM43" s="363">
        <f t="shared" ca="1" si="492"/>
        <v>4.5847643482646196</v>
      </c>
      <c r="GN43" s="363">
        <f t="shared" ca="1" si="492"/>
        <v>4.4818284193575533</v>
      </c>
      <c r="GO43" s="363">
        <f t="shared" ca="1" si="492"/>
        <v>4.6219546713941249</v>
      </c>
      <c r="GP43" s="363">
        <f t="shared" ca="1" si="492"/>
        <v>4.6191132805909207</v>
      </c>
      <c r="GQ43" s="363">
        <f t="shared" ca="1" si="492"/>
        <v>4.6765153811014288</v>
      </c>
      <c r="GR43" s="363">
        <f t="shared" ca="1" si="492"/>
        <v>4.8362786725347044</v>
      </c>
      <c r="GS43" s="363">
        <f t="shared" ca="1" si="492"/>
        <v>4.6228233450020664</v>
      </c>
      <c r="GT43" s="363">
        <f t="shared" ca="1" si="492"/>
        <v>4.7113124881217541</v>
      </c>
      <c r="GU43" s="363">
        <f t="shared" ca="1" si="492"/>
        <v>4.6765920400600427</v>
      </c>
      <c r="GV43" s="363">
        <f t="shared" ca="1" si="492"/>
        <v>4.5083502681875647</v>
      </c>
      <c r="GW43" s="363">
        <f t="shared" ca="1" si="492"/>
        <v>4.8279219955487989</v>
      </c>
      <c r="GX43" s="363">
        <f t="shared" ca="1" si="492"/>
        <v>4.455304866913262</v>
      </c>
      <c r="GY43" s="363">
        <f t="shared" ca="1" si="492"/>
        <v>4.3860171503021697</v>
      </c>
      <c r="GZ43" s="363">
        <f t="shared" ca="1" si="492"/>
        <v>4.6277055383928722</v>
      </c>
      <c r="HA43" s="363">
        <f t="shared" ca="1" si="492"/>
        <v>4.5267889989912078</v>
      </c>
      <c r="HB43" s="363">
        <f t="shared" ca="1" si="492"/>
        <v>4.4215734684433192</v>
      </c>
      <c r="HC43" s="363">
        <f t="shared" ca="1" si="492"/>
        <v>4.4341059710603892</v>
      </c>
      <c r="HD43" s="363">
        <f t="shared" ca="1" si="492"/>
        <v>3.9906963125294093</v>
      </c>
      <c r="HE43" s="363">
        <f ca="1">_xlfn.LOGNORM.INV(RAND(),$I$43,$J$43)</f>
        <v>4.553655557673947</v>
      </c>
      <c r="HF43" s="363">
        <f t="shared" ref="HF43:JQ43" ca="1" si="493">_xlfn.LOGNORM.INV(RAND(),$I$43,$J$43)</f>
        <v>4.5108491185391824</v>
      </c>
      <c r="HG43" s="363">
        <f t="shared" ca="1" si="493"/>
        <v>4.7762620237237465</v>
      </c>
      <c r="HH43" s="363">
        <f t="shared" ca="1" si="493"/>
        <v>4.6583980545981305</v>
      </c>
      <c r="HI43" s="363">
        <f t="shared" ca="1" si="493"/>
        <v>4.7354989356108144</v>
      </c>
      <c r="HJ43" s="363">
        <f t="shared" ca="1" si="493"/>
        <v>4.542802898077932</v>
      </c>
      <c r="HK43" s="363">
        <f t="shared" ca="1" si="493"/>
        <v>4.6901096928937802</v>
      </c>
      <c r="HL43" s="363">
        <f t="shared" ca="1" si="493"/>
        <v>4.7844846282931428</v>
      </c>
      <c r="HM43" s="363">
        <f t="shared" ca="1" si="493"/>
        <v>5.1184695728199703</v>
      </c>
      <c r="HN43" s="363">
        <f t="shared" ca="1" si="493"/>
        <v>4.4644548187783029</v>
      </c>
      <c r="HO43" s="363">
        <f t="shared" ca="1" si="493"/>
        <v>4.3362347168285771</v>
      </c>
      <c r="HP43" s="363">
        <f t="shared" ca="1" si="493"/>
        <v>4.8447988856552016</v>
      </c>
      <c r="HQ43" s="363">
        <f t="shared" ca="1" si="493"/>
        <v>4.5777974665869072</v>
      </c>
      <c r="HR43" s="363">
        <f t="shared" ca="1" si="493"/>
        <v>4.4141702313999582</v>
      </c>
      <c r="HS43" s="363">
        <f t="shared" ca="1" si="493"/>
        <v>4.9982423912599536</v>
      </c>
      <c r="HT43" s="363">
        <f t="shared" ca="1" si="493"/>
        <v>4.3868716665375391</v>
      </c>
      <c r="HU43" s="363">
        <f t="shared" ca="1" si="493"/>
        <v>4.7952473404973572</v>
      </c>
      <c r="HV43" s="363">
        <f t="shared" ca="1" si="493"/>
        <v>4.6660403435381816</v>
      </c>
      <c r="HW43" s="363">
        <f t="shared" ca="1" si="493"/>
        <v>4.1761712950468466</v>
      </c>
      <c r="HX43" s="363">
        <f t="shared" ca="1" si="493"/>
        <v>4.5088862163412156</v>
      </c>
      <c r="HY43" s="363">
        <f t="shared" ca="1" si="493"/>
        <v>4.7407105439876549</v>
      </c>
      <c r="HZ43" s="363">
        <f t="shared" ca="1" si="493"/>
        <v>4.673358973074011</v>
      </c>
      <c r="IA43" s="363">
        <f t="shared" ca="1" si="493"/>
        <v>4.6765419302187192</v>
      </c>
      <c r="IB43" s="363">
        <f t="shared" ca="1" si="493"/>
        <v>4.5981114273229329</v>
      </c>
      <c r="IC43" s="363">
        <f t="shared" ca="1" si="493"/>
        <v>4.6907655312002401</v>
      </c>
      <c r="ID43" s="363">
        <f t="shared" ca="1" si="493"/>
        <v>4.6985617608902288</v>
      </c>
      <c r="IE43" s="363">
        <f t="shared" ca="1" si="493"/>
        <v>4.2319722635399328</v>
      </c>
      <c r="IF43" s="363">
        <f t="shared" ca="1" si="493"/>
        <v>4.6420753204230412</v>
      </c>
      <c r="IG43" s="363">
        <f t="shared" ca="1" si="493"/>
        <v>4.4832670129509067</v>
      </c>
      <c r="IH43" s="363">
        <f t="shared" ca="1" si="493"/>
        <v>4.6443901374056349</v>
      </c>
      <c r="II43" s="363">
        <f t="shared" ca="1" si="493"/>
        <v>4.5562889806399278</v>
      </c>
      <c r="IJ43" s="363">
        <f t="shared" ca="1" si="493"/>
        <v>4.6637737843929816</v>
      </c>
      <c r="IK43" s="363">
        <f t="shared" ca="1" si="493"/>
        <v>4.7334164129618204</v>
      </c>
      <c r="IL43" s="363">
        <f t="shared" ca="1" si="493"/>
        <v>4.2290008348582537</v>
      </c>
      <c r="IM43" s="363">
        <f t="shared" ca="1" si="493"/>
        <v>4.5710190762238154</v>
      </c>
      <c r="IN43" s="363">
        <f t="shared" ca="1" si="493"/>
        <v>4.5828218474264411</v>
      </c>
      <c r="IO43" s="363">
        <f t="shared" ca="1" si="493"/>
        <v>4.6405353919786743</v>
      </c>
      <c r="IP43" s="363">
        <f t="shared" ca="1" si="493"/>
        <v>4.5529457369376249</v>
      </c>
      <c r="IQ43" s="363">
        <f t="shared" ca="1" si="493"/>
        <v>4.6701977573340328</v>
      </c>
      <c r="IR43" s="363">
        <f t="shared" ca="1" si="493"/>
        <v>4.4719302163256103</v>
      </c>
      <c r="IS43" s="363">
        <f t="shared" ca="1" si="493"/>
        <v>4.3921879832333515</v>
      </c>
      <c r="IT43" s="363">
        <f t="shared" ca="1" si="493"/>
        <v>4.8023253798879075</v>
      </c>
      <c r="IU43" s="363">
        <f t="shared" ca="1" si="493"/>
        <v>4.8784623632950055</v>
      </c>
      <c r="IV43" s="363">
        <f t="shared" ca="1" si="493"/>
        <v>4.7320617601135151</v>
      </c>
      <c r="IW43" s="363">
        <f t="shared" ca="1" si="493"/>
        <v>4.7901706820260266</v>
      </c>
      <c r="IX43" s="363">
        <f t="shared" ca="1" si="493"/>
        <v>4.7304494660769576</v>
      </c>
      <c r="IY43" s="363">
        <f t="shared" ca="1" si="493"/>
        <v>4.9072170390554124</v>
      </c>
      <c r="IZ43" s="363">
        <f t="shared" ca="1" si="493"/>
        <v>4.5966424872606169</v>
      </c>
      <c r="JA43" s="363">
        <f t="shared" ca="1" si="493"/>
        <v>4.6180422764868343</v>
      </c>
      <c r="JB43" s="363">
        <f t="shared" ca="1" si="493"/>
        <v>4.4648369808615609</v>
      </c>
      <c r="JC43" s="363">
        <f t="shared" ca="1" si="493"/>
        <v>4.8230171392248913</v>
      </c>
      <c r="JD43" s="363">
        <f t="shared" ca="1" si="493"/>
        <v>4.7250226170711338</v>
      </c>
      <c r="JE43" s="363">
        <f t="shared" ca="1" si="493"/>
        <v>4.7988374307986632</v>
      </c>
      <c r="JF43" s="363">
        <f t="shared" ca="1" si="493"/>
        <v>4.5978811544492704</v>
      </c>
      <c r="JG43" s="363">
        <f t="shared" ca="1" si="493"/>
        <v>4.7768940499300365</v>
      </c>
      <c r="JH43" s="363">
        <f t="shared" ca="1" si="493"/>
        <v>4.8076756806001804</v>
      </c>
      <c r="JI43" s="363">
        <f t="shared" ca="1" si="493"/>
        <v>4.7649904590210213</v>
      </c>
      <c r="JJ43" s="363">
        <f t="shared" ca="1" si="493"/>
        <v>4.4726898768445054</v>
      </c>
      <c r="JK43" s="363">
        <f t="shared" ca="1" si="493"/>
        <v>4.9867730700897699</v>
      </c>
      <c r="JL43" s="363">
        <f t="shared" ca="1" si="493"/>
        <v>4.5413295132546025</v>
      </c>
      <c r="JM43" s="363">
        <f t="shared" ca="1" si="493"/>
        <v>4.5915611341451497</v>
      </c>
      <c r="JN43" s="363">
        <f t="shared" ca="1" si="493"/>
        <v>4.3576328097194228</v>
      </c>
      <c r="JO43" s="363">
        <f t="shared" ca="1" si="493"/>
        <v>4.6104579841946407</v>
      </c>
      <c r="JP43" s="363">
        <f t="shared" ca="1" si="493"/>
        <v>4.5183162977154874</v>
      </c>
      <c r="JQ43" s="363">
        <f t="shared" ca="1" si="493"/>
        <v>4.6800041936507046</v>
      </c>
      <c r="JR43" s="363">
        <f t="shared" ref="JR43:KZ43" ca="1" si="494">_xlfn.LOGNORM.INV(RAND(),$I$43,$J$43)</f>
        <v>4.3093850248153203</v>
      </c>
      <c r="JS43" s="363">
        <f t="shared" ca="1" si="494"/>
        <v>4.861172240225863</v>
      </c>
      <c r="JT43" s="363">
        <f t="shared" ca="1" si="494"/>
        <v>4.5246332200211423</v>
      </c>
      <c r="JU43" s="363">
        <f t="shared" ca="1" si="494"/>
        <v>4.8191807360685015</v>
      </c>
      <c r="JV43" s="363">
        <f t="shared" ca="1" si="494"/>
        <v>4.5779210559992407</v>
      </c>
      <c r="JW43" s="363">
        <f t="shared" ca="1" si="494"/>
        <v>4.3563323502264968</v>
      </c>
      <c r="JX43" s="363">
        <f t="shared" ca="1" si="494"/>
        <v>4.7920865254566696</v>
      </c>
      <c r="JY43" s="363">
        <f t="shared" ca="1" si="494"/>
        <v>4.4582775096832865</v>
      </c>
      <c r="JZ43" s="363">
        <f t="shared" ca="1" si="494"/>
        <v>5.1757260787497268</v>
      </c>
      <c r="KA43" s="363">
        <f t="shared" ca="1" si="494"/>
        <v>4.4177082094142222</v>
      </c>
      <c r="KB43" s="363">
        <f t="shared" ca="1" si="494"/>
        <v>4.3800009410162861</v>
      </c>
      <c r="KC43" s="363">
        <f t="shared" ca="1" si="494"/>
        <v>4.8517834905448707</v>
      </c>
      <c r="KD43" s="363">
        <f t="shared" ca="1" si="494"/>
        <v>4.6357810516024731</v>
      </c>
      <c r="KE43" s="363">
        <f t="shared" ca="1" si="494"/>
        <v>4.6167993201719284</v>
      </c>
      <c r="KF43" s="363">
        <f t="shared" ca="1" si="494"/>
        <v>4.6403694576005599</v>
      </c>
      <c r="KG43" s="363">
        <f t="shared" ca="1" si="494"/>
        <v>4.3410398700724198</v>
      </c>
      <c r="KH43" s="363">
        <f t="shared" ca="1" si="494"/>
        <v>4.6729898781683783</v>
      </c>
      <c r="KI43" s="363">
        <f t="shared" ca="1" si="494"/>
        <v>4.6164145204691192</v>
      </c>
      <c r="KJ43" s="363">
        <f t="shared" ca="1" si="494"/>
        <v>4.6234475717764969</v>
      </c>
      <c r="KK43" s="363">
        <f t="shared" ca="1" si="494"/>
        <v>4.5663925418641336</v>
      </c>
      <c r="KL43" s="363">
        <f t="shared" ca="1" si="494"/>
        <v>4.4726650787617954</v>
      </c>
      <c r="KM43" s="363">
        <f t="shared" ca="1" si="494"/>
        <v>4.6320772287361844</v>
      </c>
      <c r="KN43" s="363">
        <f t="shared" ca="1" si="494"/>
        <v>4.6333989532123887</v>
      </c>
      <c r="KO43" s="363">
        <f t="shared" ca="1" si="494"/>
        <v>4.6135492500828921</v>
      </c>
      <c r="KP43" s="363">
        <f t="shared" ca="1" si="494"/>
        <v>4.4060908016900546</v>
      </c>
      <c r="KQ43" s="363">
        <f t="shared" ca="1" si="494"/>
        <v>4.6331974363099073</v>
      </c>
      <c r="KR43" s="363">
        <f t="shared" ca="1" si="494"/>
        <v>4.6090687950018365</v>
      </c>
      <c r="KS43" s="363">
        <f t="shared" ca="1" si="494"/>
        <v>4.6149849625557238</v>
      </c>
      <c r="KT43" s="363">
        <f t="shared" ca="1" si="494"/>
        <v>4.6316378002281322</v>
      </c>
      <c r="KU43" s="363">
        <f t="shared" ca="1" si="494"/>
        <v>4.7199525844374293</v>
      </c>
      <c r="KV43" s="363">
        <f t="shared" ca="1" si="494"/>
        <v>5.3463195113618189</v>
      </c>
      <c r="KW43" s="363">
        <f t="shared" ca="1" si="494"/>
        <v>4.4912825778507788</v>
      </c>
      <c r="KX43" s="363">
        <f t="shared" ca="1" si="494"/>
        <v>4.5521049790317907</v>
      </c>
      <c r="KY43" s="363">
        <f t="shared" ca="1" si="494"/>
        <v>4.5327477341859987</v>
      </c>
      <c r="KZ43" s="363">
        <f t="shared" ca="1" si="494"/>
        <v>4.6969686557627721</v>
      </c>
      <c r="LA43" s="363">
        <f ca="1">_xlfn.LOGNORM.INV(RAND(),$I$43,$J$43)</f>
        <v>4.9377598962796183</v>
      </c>
      <c r="LB43" s="363">
        <f t="shared" ref="LB43:NM43" ca="1" si="495">_xlfn.LOGNORM.INV(RAND(),$I$43,$J$43)</f>
        <v>4.4683940933499615</v>
      </c>
      <c r="LC43" s="363">
        <f t="shared" ca="1" si="495"/>
        <v>4.6176761095862435</v>
      </c>
      <c r="LD43" s="363">
        <f t="shared" ca="1" si="495"/>
        <v>4.4497167174138097</v>
      </c>
      <c r="LE43" s="363">
        <f t="shared" ca="1" si="495"/>
        <v>4.620518581190562</v>
      </c>
      <c r="LF43" s="363">
        <f t="shared" ca="1" si="495"/>
        <v>4.261206389092723</v>
      </c>
      <c r="LG43" s="363">
        <f t="shared" ca="1" si="495"/>
        <v>4.8314748135643502</v>
      </c>
      <c r="LH43" s="363">
        <f t="shared" ca="1" si="495"/>
        <v>4.7693676648364702</v>
      </c>
      <c r="LI43" s="363">
        <f t="shared" ca="1" si="495"/>
        <v>4.7978267672115722</v>
      </c>
      <c r="LJ43" s="363">
        <f t="shared" ca="1" si="495"/>
        <v>4.3610956171050601</v>
      </c>
      <c r="LK43" s="363">
        <f t="shared" ca="1" si="495"/>
        <v>4.2331706713895594</v>
      </c>
      <c r="LL43" s="363">
        <f t="shared" ca="1" si="495"/>
        <v>4.457914606920939</v>
      </c>
      <c r="LM43" s="363">
        <f t="shared" ca="1" si="495"/>
        <v>4.5762842795125973</v>
      </c>
      <c r="LN43" s="363">
        <f t="shared" ca="1" si="495"/>
        <v>4.4154341930172141</v>
      </c>
      <c r="LO43" s="363">
        <f t="shared" ca="1" si="495"/>
        <v>4.7030918705336733</v>
      </c>
      <c r="LP43" s="363">
        <f t="shared" ca="1" si="495"/>
        <v>4.6175822755370417</v>
      </c>
      <c r="LQ43" s="363">
        <f t="shared" ca="1" si="495"/>
        <v>4.4006950418626394</v>
      </c>
      <c r="LR43" s="363">
        <f t="shared" ca="1" si="495"/>
        <v>4.6547189813898093</v>
      </c>
      <c r="LS43" s="363">
        <f t="shared" ca="1" si="495"/>
        <v>4.6922482714087792</v>
      </c>
      <c r="LT43" s="363">
        <f t="shared" ca="1" si="495"/>
        <v>5.0936136354878156</v>
      </c>
      <c r="LU43" s="363">
        <f t="shared" ca="1" si="495"/>
        <v>4.554590056148748</v>
      </c>
      <c r="LV43" s="363">
        <f t="shared" ca="1" si="495"/>
        <v>4.9087512372219315</v>
      </c>
      <c r="LW43" s="363">
        <f t="shared" ca="1" si="495"/>
        <v>4.6414040600417241</v>
      </c>
      <c r="LX43" s="363">
        <f t="shared" ca="1" si="495"/>
        <v>4.7340189579229923</v>
      </c>
      <c r="LY43" s="363">
        <f t="shared" ca="1" si="495"/>
        <v>4.4826232139490125</v>
      </c>
      <c r="LZ43" s="363">
        <f t="shared" ca="1" si="495"/>
        <v>4.709952637998934</v>
      </c>
      <c r="MA43" s="363">
        <f t="shared" ca="1" si="495"/>
        <v>4.2791709941739722</v>
      </c>
      <c r="MB43" s="363">
        <f t="shared" ca="1" si="495"/>
        <v>4.8580099192095147</v>
      </c>
      <c r="MC43" s="363">
        <f t="shared" ca="1" si="495"/>
        <v>4.6839893780653989</v>
      </c>
      <c r="MD43" s="363">
        <f t="shared" ca="1" si="495"/>
        <v>4.7389942620054413</v>
      </c>
      <c r="ME43" s="363">
        <f t="shared" ca="1" si="495"/>
        <v>4.5918570034548809</v>
      </c>
      <c r="MF43" s="363">
        <f t="shared" ca="1" si="495"/>
        <v>4.5263595492777187</v>
      </c>
      <c r="MG43" s="363">
        <f t="shared" ca="1" si="495"/>
        <v>4.4941579981053037</v>
      </c>
      <c r="MH43" s="363">
        <f t="shared" ca="1" si="495"/>
        <v>4.6227125621976741</v>
      </c>
      <c r="MI43" s="363">
        <f t="shared" ca="1" si="495"/>
        <v>4.6434049744278481</v>
      </c>
      <c r="MJ43" s="363">
        <f t="shared" ca="1" si="495"/>
        <v>5.0938866974809258</v>
      </c>
      <c r="MK43" s="363">
        <f t="shared" ca="1" si="495"/>
        <v>4.3638285092903271</v>
      </c>
      <c r="ML43" s="363">
        <f t="shared" ca="1" si="495"/>
        <v>4.5543508661121566</v>
      </c>
      <c r="MM43" s="363">
        <f t="shared" ca="1" si="495"/>
        <v>4.6174493727136054</v>
      </c>
      <c r="MN43" s="363">
        <f t="shared" ca="1" si="495"/>
        <v>4.8652624351219877</v>
      </c>
      <c r="MO43" s="363">
        <f t="shared" ca="1" si="495"/>
        <v>4.8911768834031761</v>
      </c>
      <c r="MP43" s="363">
        <f t="shared" ca="1" si="495"/>
        <v>4.1998787879027439</v>
      </c>
      <c r="MQ43" s="363">
        <f t="shared" ca="1" si="495"/>
        <v>4.850949524772826</v>
      </c>
      <c r="MR43" s="363">
        <f t="shared" ca="1" si="495"/>
        <v>4.6986709928726995</v>
      </c>
      <c r="MS43" s="363">
        <f t="shared" ca="1" si="495"/>
        <v>4.5858960788304541</v>
      </c>
      <c r="MT43" s="363">
        <f t="shared" ca="1" si="495"/>
        <v>4.4303200444679804</v>
      </c>
      <c r="MU43" s="363">
        <f t="shared" ca="1" si="495"/>
        <v>4.6420065180085981</v>
      </c>
      <c r="MV43" s="363">
        <f t="shared" ca="1" si="495"/>
        <v>4.6608375194249128</v>
      </c>
      <c r="MW43" s="363">
        <f t="shared" ca="1" si="495"/>
        <v>4.4832094210197369</v>
      </c>
      <c r="MX43" s="363">
        <f t="shared" ca="1" si="495"/>
        <v>4.8207853532086382</v>
      </c>
      <c r="MY43" s="363">
        <f t="shared" ca="1" si="495"/>
        <v>4.5285481497813382</v>
      </c>
      <c r="MZ43" s="363">
        <f t="shared" ca="1" si="495"/>
        <v>4.6140749768870783</v>
      </c>
      <c r="NA43" s="363">
        <f t="shared" ca="1" si="495"/>
        <v>4.519358059099611</v>
      </c>
      <c r="NB43" s="363">
        <f t="shared" ca="1" si="495"/>
        <v>4.6010418950970866</v>
      </c>
      <c r="NC43" s="363">
        <f t="shared" ca="1" si="495"/>
        <v>4.6727938292685804</v>
      </c>
      <c r="ND43" s="363">
        <f t="shared" ca="1" si="495"/>
        <v>4.6885032496728041</v>
      </c>
      <c r="NE43" s="363">
        <f t="shared" ca="1" si="495"/>
        <v>4.7561056244729718</v>
      </c>
      <c r="NF43" s="363">
        <f t="shared" ca="1" si="495"/>
        <v>4.3905602871485385</v>
      </c>
      <c r="NG43" s="363">
        <f t="shared" ca="1" si="495"/>
        <v>4.8770874639097874</v>
      </c>
      <c r="NH43" s="363">
        <f t="shared" ca="1" si="495"/>
        <v>4.4191491643207748</v>
      </c>
      <c r="NI43" s="363">
        <f t="shared" ca="1" si="495"/>
        <v>5.0517158115777461</v>
      </c>
      <c r="NJ43" s="363">
        <f t="shared" ca="1" si="495"/>
        <v>4.7925212031691968</v>
      </c>
      <c r="NK43" s="363">
        <f t="shared" ca="1" si="495"/>
        <v>4.3642945480691653</v>
      </c>
      <c r="NL43" s="363">
        <f t="shared" ca="1" si="495"/>
        <v>4.6476004280127476</v>
      </c>
      <c r="NM43" s="363">
        <f t="shared" ca="1" si="495"/>
        <v>4.655969849270944</v>
      </c>
      <c r="NN43" s="363">
        <f t="shared" ref="NN43:OV43" ca="1" si="496">_xlfn.LOGNORM.INV(RAND(),$I$43,$J$43)</f>
        <v>4.5912617475215773</v>
      </c>
      <c r="NO43" s="363">
        <f t="shared" ca="1" si="496"/>
        <v>4.6225792180581369</v>
      </c>
      <c r="NP43" s="363">
        <f t="shared" ca="1" si="496"/>
        <v>4.6348802238971087</v>
      </c>
      <c r="NQ43" s="363">
        <f t="shared" ca="1" si="496"/>
        <v>4.7103817086362696</v>
      </c>
      <c r="NR43" s="363">
        <f t="shared" ca="1" si="496"/>
        <v>4.8489918603240572</v>
      </c>
      <c r="NS43" s="363">
        <f t="shared" ca="1" si="496"/>
        <v>4.487341834029114</v>
      </c>
      <c r="NT43" s="363">
        <f t="shared" ca="1" si="496"/>
        <v>4.6586508310945307</v>
      </c>
      <c r="NU43" s="363">
        <f t="shared" ca="1" si="496"/>
        <v>4.6617138101233273</v>
      </c>
      <c r="NV43" s="363">
        <f t="shared" ca="1" si="496"/>
        <v>4.6940223642375551</v>
      </c>
      <c r="NW43" s="363">
        <f t="shared" ca="1" si="496"/>
        <v>4.7719108137282502</v>
      </c>
      <c r="NX43" s="363">
        <f t="shared" ca="1" si="496"/>
        <v>4.5351554242215766</v>
      </c>
      <c r="NY43" s="363">
        <f t="shared" ca="1" si="496"/>
        <v>4.3481107952512428</v>
      </c>
      <c r="NZ43" s="363">
        <f t="shared" ca="1" si="496"/>
        <v>4.7097457906731757</v>
      </c>
      <c r="OA43" s="363">
        <f t="shared" ca="1" si="496"/>
        <v>4.5266335154675748</v>
      </c>
      <c r="OB43" s="363">
        <f t="shared" ca="1" si="496"/>
        <v>4.5816018921075763</v>
      </c>
      <c r="OC43" s="363">
        <f t="shared" ca="1" si="496"/>
        <v>4.7100167320201276</v>
      </c>
      <c r="OD43" s="363">
        <f t="shared" ca="1" si="496"/>
        <v>4.6277760457070576</v>
      </c>
      <c r="OE43" s="363">
        <f t="shared" ca="1" si="496"/>
        <v>4.7628497263906189</v>
      </c>
      <c r="OF43" s="363">
        <f t="shared" ca="1" si="496"/>
        <v>4.5680730385254007</v>
      </c>
      <c r="OG43" s="363">
        <f t="shared" ca="1" si="496"/>
        <v>4.6974007529452351</v>
      </c>
      <c r="OH43" s="363">
        <f t="shared" ca="1" si="496"/>
        <v>4.8109419067264456</v>
      </c>
      <c r="OI43" s="363">
        <f t="shared" ca="1" si="496"/>
        <v>4.6340176324274349</v>
      </c>
      <c r="OJ43" s="363">
        <f t="shared" ca="1" si="496"/>
        <v>4.5352632062233447</v>
      </c>
      <c r="OK43" s="363">
        <f t="shared" ca="1" si="496"/>
        <v>4.1790109173965648</v>
      </c>
      <c r="OL43" s="363">
        <f t="shared" ca="1" si="496"/>
        <v>4.7144246655267894</v>
      </c>
      <c r="OM43" s="363">
        <f t="shared" ca="1" si="496"/>
        <v>4.4346886707955795</v>
      </c>
      <c r="ON43" s="363">
        <f t="shared" ca="1" si="496"/>
        <v>4.6304461088203359</v>
      </c>
      <c r="OO43" s="363">
        <f t="shared" ca="1" si="496"/>
        <v>4.4366314765991532</v>
      </c>
      <c r="OP43" s="363">
        <f t="shared" ca="1" si="496"/>
        <v>4.7582876711968556</v>
      </c>
      <c r="OQ43" s="363">
        <f t="shared" ca="1" si="496"/>
        <v>4.7175012266935106</v>
      </c>
      <c r="OR43" s="363">
        <f t="shared" ca="1" si="496"/>
        <v>4.7598068726695812</v>
      </c>
      <c r="OS43" s="363">
        <f t="shared" ca="1" si="496"/>
        <v>4.9408504775382376</v>
      </c>
      <c r="OT43" s="363">
        <f t="shared" ca="1" si="496"/>
        <v>4.7675913457548109</v>
      </c>
      <c r="OU43" s="363">
        <f t="shared" ca="1" si="496"/>
        <v>4.2382975931536366</v>
      </c>
      <c r="OV43" s="363">
        <f t="shared" ca="1" si="496"/>
        <v>4.3989865033682483</v>
      </c>
      <c r="OW43" s="363">
        <f ca="1">_xlfn.LOGNORM.INV(RAND(),$I$43,$J$43)</f>
        <v>4.5584568801966521</v>
      </c>
      <c r="OX43" s="363">
        <f t="shared" ref="OX43:RI43" ca="1" si="497">_xlfn.LOGNORM.INV(RAND(),$I$43,$J$43)</f>
        <v>4.4763448325455135</v>
      </c>
      <c r="OY43" s="363">
        <f t="shared" ca="1" si="497"/>
        <v>4.6312523710986842</v>
      </c>
      <c r="OZ43" s="363">
        <f t="shared" ca="1" si="497"/>
        <v>4.4098983014506361</v>
      </c>
      <c r="PA43" s="363">
        <f t="shared" ca="1" si="497"/>
        <v>4.9134404981289101</v>
      </c>
      <c r="PB43" s="363">
        <f t="shared" ca="1" si="497"/>
        <v>4.7160560561431097</v>
      </c>
      <c r="PC43" s="363">
        <f t="shared" ca="1" si="497"/>
        <v>4.4721220075864752</v>
      </c>
      <c r="PD43" s="363">
        <f t="shared" ca="1" si="497"/>
        <v>4.5395187262991774</v>
      </c>
      <c r="PE43" s="363">
        <f t="shared" ca="1" si="497"/>
        <v>4.4662135973356527</v>
      </c>
      <c r="PF43" s="363">
        <f t="shared" ca="1" si="497"/>
        <v>4.645273147811273</v>
      </c>
      <c r="PG43" s="363">
        <f t="shared" ca="1" si="497"/>
        <v>4.0299965992427804</v>
      </c>
      <c r="PH43" s="363">
        <f t="shared" ca="1" si="497"/>
        <v>4.8269701529669424</v>
      </c>
      <c r="PI43" s="363">
        <f t="shared" ca="1" si="497"/>
        <v>4.5853094488664219</v>
      </c>
      <c r="PJ43" s="363">
        <f t="shared" ca="1" si="497"/>
        <v>4.8440277892406982</v>
      </c>
      <c r="PK43" s="363">
        <f t="shared" ca="1" si="497"/>
        <v>4.3223600528273343</v>
      </c>
      <c r="PL43" s="363">
        <f t="shared" ca="1" si="497"/>
        <v>4.7873912448967362</v>
      </c>
      <c r="PM43" s="363">
        <f t="shared" ca="1" si="497"/>
        <v>4.8995921452331634</v>
      </c>
      <c r="PN43" s="363">
        <f t="shared" ca="1" si="497"/>
        <v>4.4544489293084233</v>
      </c>
      <c r="PO43" s="363">
        <f t="shared" ca="1" si="497"/>
        <v>4.7377652499905478</v>
      </c>
      <c r="PP43" s="363">
        <f t="shared" ca="1" si="497"/>
        <v>4.4485284870818784</v>
      </c>
      <c r="PQ43" s="363">
        <f t="shared" ca="1" si="497"/>
        <v>4.9259068833648705</v>
      </c>
      <c r="PR43" s="363">
        <f t="shared" ca="1" si="497"/>
        <v>4.8299380433255044</v>
      </c>
      <c r="PS43" s="363">
        <f t="shared" ca="1" si="497"/>
        <v>4.5119202236567988</v>
      </c>
      <c r="PT43" s="363">
        <f t="shared" ca="1" si="497"/>
        <v>4.5730328627425667</v>
      </c>
      <c r="PU43" s="363">
        <f t="shared" ca="1" si="497"/>
        <v>4.7632045436436012</v>
      </c>
      <c r="PV43" s="363">
        <f t="shared" ca="1" si="497"/>
        <v>4.7397512611430059</v>
      </c>
      <c r="PW43" s="363">
        <f t="shared" ca="1" si="497"/>
        <v>4.8290560433967453</v>
      </c>
      <c r="PX43" s="363">
        <f t="shared" ca="1" si="497"/>
        <v>4.3944185842701025</v>
      </c>
      <c r="PY43" s="363">
        <f t="shared" ca="1" si="497"/>
        <v>4.6075607964505521</v>
      </c>
      <c r="PZ43" s="363">
        <f t="shared" ca="1" si="497"/>
        <v>4.5836095646885529</v>
      </c>
      <c r="QA43" s="363">
        <f t="shared" ca="1" si="497"/>
        <v>4.757631112246246</v>
      </c>
      <c r="QB43" s="363">
        <f t="shared" ca="1" si="497"/>
        <v>4.496845806538011</v>
      </c>
      <c r="QC43" s="363">
        <f t="shared" ca="1" si="497"/>
        <v>4.3336527208359445</v>
      </c>
      <c r="QD43" s="363">
        <f t="shared" ca="1" si="497"/>
        <v>4.4161410035560937</v>
      </c>
      <c r="QE43" s="363">
        <f t="shared" ca="1" si="497"/>
        <v>4.7415664265326711</v>
      </c>
      <c r="QF43" s="363">
        <f t="shared" ca="1" si="497"/>
        <v>4.7730290073745945</v>
      </c>
      <c r="QG43" s="363">
        <f t="shared" ca="1" si="497"/>
        <v>4.7146200160644387</v>
      </c>
      <c r="QH43" s="363">
        <f t="shared" ca="1" si="497"/>
        <v>4.3848988138874239</v>
      </c>
      <c r="QI43" s="363">
        <f t="shared" ca="1" si="497"/>
        <v>4.6015735304117031</v>
      </c>
      <c r="QJ43" s="363">
        <f t="shared" ca="1" si="497"/>
        <v>4.7087414920895894</v>
      </c>
      <c r="QK43" s="363">
        <f t="shared" ca="1" si="497"/>
        <v>4.8666915419663397</v>
      </c>
      <c r="QL43" s="363">
        <f t="shared" ca="1" si="497"/>
        <v>4.3303277713895341</v>
      </c>
      <c r="QM43" s="363">
        <f t="shared" ca="1" si="497"/>
        <v>4.6582169262408142</v>
      </c>
      <c r="QN43" s="363">
        <f t="shared" ca="1" si="497"/>
        <v>4.7738413693708335</v>
      </c>
      <c r="QO43" s="363">
        <f t="shared" ca="1" si="497"/>
        <v>4.3682441756929951</v>
      </c>
      <c r="QP43" s="363">
        <f t="shared" ca="1" si="497"/>
        <v>4.6100632227516591</v>
      </c>
      <c r="QQ43" s="363">
        <f t="shared" ca="1" si="497"/>
        <v>4.6200051878642272</v>
      </c>
      <c r="QR43" s="363">
        <f t="shared" ca="1" si="497"/>
        <v>4.6951346860631968</v>
      </c>
      <c r="QS43" s="363">
        <f t="shared" ca="1" si="497"/>
        <v>4.3806349611046027</v>
      </c>
      <c r="QT43" s="363">
        <f t="shared" ca="1" si="497"/>
        <v>4.3799507976938896</v>
      </c>
      <c r="QU43" s="363">
        <f t="shared" ca="1" si="497"/>
        <v>4.6286700977373636</v>
      </c>
      <c r="QV43" s="363">
        <f t="shared" ca="1" si="497"/>
        <v>4.5295811891402904</v>
      </c>
      <c r="QW43" s="363">
        <f t="shared" ca="1" si="497"/>
        <v>4.6410156582986488</v>
      </c>
      <c r="QX43" s="363">
        <f t="shared" ca="1" si="497"/>
        <v>5.0669455760947919</v>
      </c>
      <c r="QY43" s="363">
        <f t="shared" ca="1" si="497"/>
        <v>4.6124812148740384</v>
      </c>
      <c r="QZ43" s="363">
        <f t="shared" ca="1" si="497"/>
        <v>4.6182951976201183</v>
      </c>
      <c r="RA43" s="363">
        <f t="shared" ca="1" si="497"/>
        <v>4.7607375229228301</v>
      </c>
      <c r="RB43" s="363">
        <f t="shared" ca="1" si="497"/>
        <v>4.4818396574304433</v>
      </c>
      <c r="RC43" s="363">
        <f t="shared" ca="1" si="497"/>
        <v>4.7390884705531526</v>
      </c>
      <c r="RD43" s="363">
        <f t="shared" ca="1" si="497"/>
        <v>5.0637330684843862</v>
      </c>
      <c r="RE43" s="363">
        <f t="shared" ca="1" si="497"/>
        <v>4.346923993866314</v>
      </c>
      <c r="RF43" s="363">
        <f t="shared" ca="1" si="497"/>
        <v>4.4610897698701057</v>
      </c>
      <c r="RG43" s="363">
        <f t="shared" ca="1" si="497"/>
        <v>4.9565624587695067</v>
      </c>
      <c r="RH43" s="363">
        <f t="shared" ca="1" si="497"/>
        <v>4.7923214144283257</v>
      </c>
      <c r="RI43" s="363">
        <f t="shared" ca="1" si="497"/>
        <v>4.7113169297865136</v>
      </c>
      <c r="RJ43" s="363">
        <f t="shared" ref="RJ43:SR43" ca="1" si="498">_xlfn.LOGNORM.INV(RAND(),$I$43,$J$43)</f>
        <v>5.156988720037889</v>
      </c>
      <c r="RK43" s="363">
        <f t="shared" ca="1" si="498"/>
        <v>4.6176277606035594</v>
      </c>
      <c r="RL43" s="363">
        <f t="shared" ca="1" si="498"/>
        <v>4.5713172830376987</v>
      </c>
      <c r="RM43" s="363">
        <f t="shared" ca="1" si="498"/>
        <v>4.8714921282346122</v>
      </c>
      <c r="RN43" s="363">
        <f t="shared" ca="1" si="498"/>
        <v>4.4495441079824749</v>
      </c>
      <c r="RO43" s="363">
        <f t="shared" ca="1" si="498"/>
        <v>4.5578547240189611</v>
      </c>
      <c r="RP43" s="363">
        <f t="shared" ca="1" si="498"/>
        <v>4.6456141106662621</v>
      </c>
      <c r="RQ43" s="363">
        <f t="shared" ca="1" si="498"/>
        <v>4.8292668117800277</v>
      </c>
      <c r="RR43" s="363">
        <f t="shared" ca="1" si="498"/>
        <v>4.7503693724305167</v>
      </c>
      <c r="RS43" s="363">
        <f t="shared" ca="1" si="498"/>
        <v>4.687563175516491</v>
      </c>
      <c r="RT43" s="363">
        <f t="shared" ca="1" si="498"/>
        <v>4.6443145781723532</v>
      </c>
      <c r="RU43" s="363">
        <f t="shared" ca="1" si="498"/>
        <v>5.1671613180753857</v>
      </c>
      <c r="RV43" s="363">
        <f t="shared" ca="1" si="498"/>
        <v>4.629901562698068</v>
      </c>
      <c r="RW43" s="363">
        <f t="shared" ca="1" si="498"/>
        <v>5.1388077623883452</v>
      </c>
      <c r="RX43" s="363">
        <f t="shared" ca="1" si="498"/>
        <v>4.4512197793582375</v>
      </c>
      <c r="RY43" s="363">
        <f t="shared" ca="1" si="498"/>
        <v>4.2032415672491137</v>
      </c>
      <c r="RZ43" s="363">
        <f t="shared" ca="1" si="498"/>
        <v>4.7597635063378974</v>
      </c>
      <c r="SA43" s="363">
        <f t="shared" ca="1" si="498"/>
        <v>4.5510266659530076</v>
      </c>
      <c r="SB43" s="363">
        <f t="shared" ca="1" si="498"/>
        <v>4.1251905224449441</v>
      </c>
      <c r="SC43" s="363">
        <f t="shared" ca="1" si="498"/>
        <v>4.6921279768485906</v>
      </c>
      <c r="SD43" s="363">
        <f t="shared" ca="1" si="498"/>
        <v>4.5480526615062251</v>
      </c>
      <c r="SE43" s="363">
        <f t="shared" ca="1" si="498"/>
        <v>4.621107313226144</v>
      </c>
      <c r="SF43" s="363">
        <f t="shared" ca="1" si="498"/>
        <v>4.8592398346788626</v>
      </c>
      <c r="SG43" s="363">
        <f t="shared" ca="1" si="498"/>
        <v>4.8057053699411414</v>
      </c>
      <c r="SH43" s="363">
        <f t="shared" ca="1" si="498"/>
        <v>4.5487140780520994</v>
      </c>
      <c r="SI43" s="363">
        <f t="shared" ca="1" si="498"/>
        <v>5.0865650106832767</v>
      </c>
      <c r="SJ43" s="363">
        <f t="shared" ca="1" si="498"/>
        <v>4.5473373219216233</v>
      </c>
      <c r="SK43" s="363">
        <f t="shared" ca="1" si="498"/>
        <v>4.7483335990098086</v>
      </c>
      <c r="SL43" s="363">
        <f t="shared" ca="1" si="498"/>
        <v>4.7646437658573131</v>
      </c>
      <c r="SM43" s="363">
        <f t="shared" ca="1" si="498"/>
        <v>4.7531173171333458</v>
      </c>
      <c r="SN43" s="363">
        <f t="shared" ca="1" si="498"/>
        <v>4.9176898562633973</v>
      </c>
      <c r="SO43" s="363">
        <f t="shared" ca="1" si="498"/>
        <v>4.491642011574009</v>
      </c>
      <c r="SP43" s="363">
        <f t="shared" ca="1" si="498"/>
        <v>4.8719616461941353</v>
      </c>
      <c r="SQ43" s="363">
        <f t="shared" ca="1" si="498"/>
        <v>4.4319565711358608</v>
      </c>
      <c r="SR43" s="363">
        <f t="shared" ca="1" si="498"/>
        <v>4.5779816218661527</v>
      </c>
      <c r="SS43" s="363">
        <f ca="1">_xlfn.LOGNORM.INV(RAND(),$I$43,$J$43)</f>
        <v>4.6748829475256999</v>
      </c>
      <c r="ST43" s="363">
        <f t="shared" ref="ST43:VE43" ca="1" si="499">_xlfn.LOGNORM.INV(RAND(),$I$43,$J$43)</f>
        <v>4.4932488973200595</v>
      </c>
      <c r="SU43" s="363">
        <f t="shared" ca="1" si="499"/>
        <v>4.5394102604350124</v>
      </c>
      <c r="SV43" s="363">
        <f t="shared" ca="1" si="499"/>
        <v>4.4270737877332245</v>
      </c>
      <c r="SW43" s="363">
        <f t="shared" ca="1" si="499"/>
        <v>4.8837070522369403</v>
      </c>
      <c r="SX43" s="363">
        <f t="shared" ca="1" si="499"/>
        <v>4.7346621386415908</v>
      </c>
      <c r="SY43" s="363">
        <f t="shared" ca="1" si="499"/>
        <v>4.3813007680222942</v>
      </c>
      <c r="SZ43" s="363">
        <f t="shared" ca="1" si="499"/>
        <v>4.8263973396973316</v>
      </c>
      <c r="TA43" s="363">
        <f t="shared" ca="1" si="499"/>
        <v>4.7492222580325221</v>
      </c>
      <c r="TB43" s="363">
        <f t="shared" ca="1" si="499"/>
        <v>4.8417946042923621</v>
      </c>
      <c r="TC43" s="363">
        <f t="shared" ca="1" si="499"/>
        <v>4.6817922501029745</v>
      </c>
      <c r="TD43" s="363">
        <f t="shared" ca="1" si="499"/>
        <v>4.7426990771816744</v>
      </c>
      <c r="TE43" s="363">
        <f t="shared" ca="1" si="499"/>
        <v>4.8683607463533267</v>
      </c>
      <c r="TF43" s="363">
        <f t="shared" ca="1" si="499"/>
        <v>4.6091836971530986</v>
      </c>
      <c r="TG43" s="363">
        <f t="shared" ca="1" si="499"/>
        <v>4.6875482197528582</v>
      </c>
      <c r="TH43" s="363">
        <f t="shared" ca="1" si="499"/>
        <v>4.6073265518197832</v>
      </c>
      <c r="TI43" s="363">
        <f t="shared" ca="1" si="499"/>
        <v>4.9950407603067157</v>
      </c>
      <c r="TJ43" s="363">
        <f t="shared" ca="1" si="499"/>
        <v>4.8890806623074088</v>
      </c>
      <c r="TK43" s="363">
        <f t="shared" ca="1" si="499"/>
        <v>4.6467072807565435</v>
      </c>
      <c r="TL43" s="363">
        <f t="shared" ca="1" si="499"/>
        <v>4.3979403269188833</v>
      </c>
      <c r="TM43" s="363">
        <f t="shared" ca="1" si="499"/>
        <v>5.0180603612372687</v>
      </c>
      <c r="TN43" s="363">
        <f t="shared" ca="1" si="499"/>
        <v>4.2929692393997572</v>
      </c>
      <c r="TO43" s="363">
        <f t="shared" ca="1" si="499"/>
        <v>4.3686724854481254</v>
      </c>
      <c r="TP43" s="363">
        <f t="shared" ca="1" si="499"/>
        <v>4.669045534479606</v>
      </c>
      <c r="TQ43" s="363">
        <f t="shared" ca="1" si="499"/>
        <v>4.1801939733801881</v>
      </c>
      <c r="TR43" s="363">
        <f t="shared" ca="1" si="499"/>
        <v>4.6388441099687139</v>
      </c>
      <c r="TS43" s="363">
        <f t="shared" ca="1" si="499"/>
        <v>4.7478447213713499</v>
      </c>
      <c r="TT43" s="363">
        <f t="shared" ca="1" si="499"/>
        <v>4.7839200759755975</v>
      </c>
      <c r="TU43" s="363">
        <f t="shared" ca="1" si="499"/>
        <v>4.6224447143326479</v>
      </c>
      <c r="TV43" s="363">
        <f t="shared" ca="1" si="499"/>
        <v>4.8448090384720315</v>
      </c>
      <c r="TW43" s="363">
        <f t="shared" ca="1" si="499"/>
        <v>4.6241722559470446</v>
      </c>
      <c r="TX43" s="363">
        <f t="shared" ca="1" si="499"/>
        <v>5.2337403680765133</v>
      </c>
      <c r="TY43" s="363">
        <f t="shared" ca="1" si="499"/>
        <v>4.4541038488060956</v>
      </c>
      <c r="TZ43" s="363">
        <f t="shared" ca="1" si="499"/>
        <v>4.7945400471835544</v>
      </c>
      <c r="UA43" s="363">
        <f t="shared" ca="1" si="499"/>
        <v>4.5053759367575381</v>
      </c>
      <c r="UB43" s="363">
        <f t="shared" ca="1" si="499"/>
        <v>4.6352578638181692</v>
      </c>
      <c r="UC43" s="363">
        <f t="shared" ca="1" si="499"/>
        <v>4.6212959038697514</v>
      </c>
      <c r="UD43" s="363">
        <f t="shared" ca="1" si="499"/>
        <v>4.525350584787966</v>
      </c>
      <c r="UE43" s="363">
        <f t="shared" ca="1" si="499"/>
        <v>4.8629823737643427</v>
      </c>
      <c r="UF43" s="363">
        <f t="shared" ca="1" si="499"/>
        <v>4.8599202490749596</v>
      </c>
      <c r="UG43" s="363">
        <f t="shared" ca="1" si="499"/>
        <v>4.7769939107127524</v>
      </c>
      <c r="UH43" s="363">
        <f t="shared" ca="1" si="499"/>
        <v>4.8661748235615621</v>
      </c>
      <c r="UI43" s="363">
        <f t="shared" ca="1" si="499"/>
        <v>4.9323089012989705</v>
      </c>
      <c r="UJ43" s="363">
        <f t="shared" ca="1" si="499"/>
        <v>4.7208405423304391</v>
      </c>
      <c r="UK43" s="363">
        <f t="shared" ca="1" si="499"/>
        <v>4.6953650456427418</v>
      </c>
      <c r="UL43" s="363">
        <f t="shared" ca="1" si="499"/>
        <v>4.5657334589386531</v>
      </c>
      <c r="UM43" s="363">
        <f t="shared" ca="1" si="499"/>
        <v>4.5802939734340651</v>
      </c>
      <c r="UN43" s="363">
        <f t="shared" ca="1" si="499"/>
        <v>4.884832703038664</v>
      </c>
      <c r="UO43" s="363">
        <f t="shared" ca="1" si="499"/>
        <v>4.6807954237798093</v>
      </c>
      <c r="UP43" s="363">
        <f t="shared" ca="1" si="499"/>
        <v>4.5506489794131859</v>
      </c>
      <c r="UQ43" s="363">
        <f t="shared" ca="1" si="499"/>
        <v>4.925270222266918</v>
      </c>
      <c r="UR43" s="363">
        <f t="shared" ca="1" si="499"/>
        <v>4.8847238075560959</v>
      </c>
      <c r="US43" s="363">
        <f t="shared" ca="1" si="499"/>
        <v>4.7724434473197812</v>
      </c>
      <c r="UT43" s="363">
        <f t="shared" ca="1" si="499"/>
        <v>4.5181012128333586</v>
      </c>
      <c r="UU43" s="363">
        <f t="shared" ca="1" si="499"/>
        <v>4.4971037769738551</v>
      </c>
      <c r="UV43" s="363">
        <f t="shared" ca="1" si="499"/>
        <v>4.8258629532724555</v>
      </c>
      <c r="UW43" s="363">
        <f t="shared" ca="1" si="499"/>
        <v>4.3992073136446699</v>
      </c>
      <c r="UX43" s="363">
        <f t="shared" ca="1" si="499"/>
        <v>4.4602005180071291</v>
      </c>
      <c r="UY43" s="363">
        <f t="shared" ca="1" si="499"/>
        <v>4.6565061059537598</v>
      </c>
      <c r="UZ43" s="363">
        <f t="shared" ca="1" si="499"/>
        <v>4.3514487863671576</v>
      </c>
      <c r="VA43" s="363">
        <f t="shared" ca="1" si="499"/>
        <v>4.5485051390915556</v>
      </c>
      <c r="VB43" s="363">
        <f t="shared" ca="1" si="499"/>
        <v>4.7674621231027245</v>
      </c>
      <c r="VC43" s="363">
        <f t="shared" ca="1" si="499"/>
        <v>4.8569247624653293</v>
      </c>
      <c r="VD43" s="363">
        <f t="shared" ca="1" si="499"/>
        <v>4.6226808516034561</v>
      </c>
      <c r="VE43" s="363">
        <f t="shared" ca="1" si="499"/>
        <v>4.1860876778653564</v>
      </c>
      <c r="VF43" s="363">
        <f t="shared" ref="VF43:WN43" ca="1" si="500">_xlfn.LOGNORM.INV(RAND(),$I$43,$J$43)</f>
        <v>4.561097229848591</v>
      </c>
      <c r="VG43" s="363">
        <f t="shared" ca="1" si="500"/>
        <v>4.7317272497375331</v>
      </c>
      <c r="VH43" s="363">
        <f t="shared" ca="1" si="500"/>
        <v>4.6307284062859546</v>
      </c>
      <c r="VI43" s="363">
        <f t="shared" ca="1" si="500"/>
        <v>4.4444736471026376</v>
      </c>
      <c r="VJ43" s="363">
        <f t="shared" ca="1" si="500"/>
        <v>4.7766260143253705</v>
      </c>
      <c r="VK43" s="363">
        <f t="shared" ca="1" si="500"/>
        <v>4.4059665564359305</v>
      </c>
      <c r="VL43" s="363">
        <f t="shared" ca="1" si="500"/>
        <v>4.4795054378905776</v>
      </c>
      <c r="VM43" s="363">
        <f t="shared" ca="1" si="500"/>
        <v>4.4747695379387027</v>
      </c>
      <c r="VN43" s="363">
        <f t="shared" ca="1" si="500"/>
        <v>4.6503864208687977</v>
      </c>
      <c r="VO43" s="363">
        <f t="shared" ca="1" si="500"/>
        <v>5.0277290193696764</v>
      </c>
      <c r="VP43" s="363">
        <f t="shared" ca="1" si="500"/>
        <v>4.4931772578576217</v>
      </c>
      <c r="VQ43" s="363">
        <f t="shared" ca="1" si="500"/>
        <v>4.7643358402831204</v>
      </c>
      <c r="VR43" s="363">
        <f t="shared" ca="1" si="500"/>
        <v>4.9148405391925154</v>
      </c>
      <c r="VS43" s="363">
        <f t="shared" ca="1" si="500"/>
        <v>4.5749648299257775</v>
      </c>
      <c r="VT43" s="363">
        <f t="shared" ca="1" si="500"/>
        <v>4.8969870828332143</v>
      </c>
      <c r="VU43" s="363">
        <f t="shared" ca="1" si="500"/>
        <v>4.6433143526982601</v>
      </c>
      <c r="VV43" s="363">
        <f t="shared" ca="1" si="500"/>
        <v>5.0980670027841297</v>
      </c>
      <c r="VW43" s="363">
        <f t="shared" ca="1" si="500"/>
        <v>4.5781855664115572</v>
      </c>
      <c r="VX43" s="363">
        <f t="shared" ca="1" si="500"/>
        <v>4.7262919756954105</v>
      </c>
      <c r="VY43" s="363">
        <f t="shared" ca="1" si="500"/>
        <v>5.1566464404288404</v>
      </c>
      <c r="VZ43" s="363">
        <f t="shared" ca="1" si="500"/>
        <v>4.5370711915834399</v>
      </c>
      <c r="WA43" s="363">
        <f t="shared" ca="1" si="500"/>
        <v>4.3995448330249189</v>
      </c>
      <c r="WB43" s="363">
        <f t="shared" ca="1" si="500"/>
        <v>4.7554134593582793</v>
      </c>
      <c r="WC43" s="363">
        <f t="shared" ca="1" si="500"/>
        <v>4.8771671559658749</v>
      </c>
      <c r="WD43" s="363">
        <f t="shared" ca="1" si="500"/>
        <v>4.6199297881301611</v>
      </c>
      <c r="WE43" s="363">
        <f t="shared" ca="1" si="500"/>
        <v>4.8135284233793358</v>
      </c>
      <c r="WF43" s="363">
        <f t="shared" ca="1" si="500"/>
        <v>4.2932039074872321</v>
      </c>
      <c r="WG43" s="363">
        <f t="shared" ca="1" si="500"/>
        <v>4.7133110441101413</v>
      </c>
      <c r="WH43" s="363">
        <f t="shared" ca="1" si="500"/>
        <v>4.4778888245612523</v>
      </c>
      <c r="WI43" s="363">
        <f t="shared" ca="1" si="500"/>
        <v>4.5614072085424251</v>
      </c>
      <c r="WJ43" s="363">
        <f t="shared" ca="1" si="500"/>
        <v>4.4083794648342458</v>
      </c>
      <c r="WK43" s="363">
        <f t="shared" ca="1" si="500"/>
        <v>4.8545317298057737</v>
      </c>
      <c r="WL43" s="363">
        <f t="shared" ca="1" si="500"/>
        <v>5.0186843670156529</v>
      </c>
      <c r="WM43" s="363">
        <f t="shared" ca="1" si="500"/>
        <v>4.3037199136733193</v>
      </c>
      <c r="WN43" s="363">
        <f t="shared" ca="1" si="500"/>
        <v>4.6063731866822542</v>
      </c>
    </row>
    <row r="44" spans="2:612" x14ac:dyDescent="0.15">
      <c r="B44" s="469" t="s">
        <v>894</v>
      </c>
      <c r="C44" s="513"/>
      <c r="D44" s="457">
        <f t="shared" si="0"/>
        <v>2.3199999999999998</v>
      </c>
      <c r="E44" s="510"/>
      <c r="F44" s="457">
        <f>smr_post_stk</f>
        <v>2.3199999999999998</v>
      </c>
      <c r="G44" s="457">
        <v>8324</v>
      </c>
      <c r="H44" s="457">
        <v>8.1632653061224567E-2</v>
      </c>
      <c r="I44" s="363">
        <f t="shared" si="463"/>
        <v>0.83823524065531141</v>
      </c>
      <c r="J44" s="367">
        <f t="shared" si="464"/>
        <v>3.5175604685477382E-2</v>
      </c>
      <c r="K44" s="367" t="s">
        <v>1274</v>
      </c>
      <c r="M44" s="363">
        <f ca="1">_xlfn.LOGNORM.INV(RAND(),$I$44,$J$44)</f>
        <v>2.2187354708114144</v>
      </c>
      <c r="N44" s="363">
        <f t="shared" ref="N44:BY44" ca="1" si="501">_xlfn.LOGNORM.INV(RAND(),$I$44,$J$44)</f>
        <v>2.3026302045881524</v>
      </c>
      <c r="O44" s="363">
        <f t="shared" ca="1" si="501"/>
        <v>2.347923079457876</v>
      </c>
      <c r="P44" s="363">
        <f t="shared" ca="1" si="501"/>
        <v>2.1884570849949352</v>
      </c>
      <c r="Q44" s="363">
        <f t="shared" ca="1" si="501"/>
        <v>2.3317936385545237</v>
      </c>
      <c r="R44" s="363">
        <f t="shared" ca="1" si="501"/>
        <v>2.2632799675146158</v>
      </c>
      <c r="S44" s="363">
        <f t="shared" ca="1" si="501"/>
        <v>2.2456603335499414</v>
      </c>
      <c r="T44" s="363">
        <f t="shared" ca="1" si="501"/>
        <v>2.3052974129132284</v>
      </c>
      <c r="U44" s="363">
        <f t="shared" ca="1" si="501"/>
        <v>2.3455132001781873</v>
      </c>
      <c r="V44" s="363">
        <f t="shared" ca="1" si="501"/>
        <v>2.4262092566827391</v>
      </c>
      <c r="W44" s="363">
        <f t="shared" ca="1" si="501"/>
        <v>2.2450011860407986</v>
      </c>
      <c r="X44" s="363">
        <f t="shared" ca="1" si="501"/>
        <v>2.3485515022441974</v>
      </c>
      <c r="Y44" s="363">
        <f t="shared" ca="1" si="501"/>
        <v>2.1272215159732957</v>
      </c>
      <c r="Z44" s="363">
        <f t="shared" ca="1" si="501"/>
        <v>2.4886775800089613</v>
      </c>
      <c r="AA44" s="363">
        <f t="shared" ca="1" si="501"/>
        <v>2.4180239387325453</v>
      </c>
      <c r="AB44" s="363">
        <f t="shared" ca="1" si="501"/>
        <v>2.1123316854392251</v>
      </c>
      <c r="AC44" s="363">
        <f t="shared" ca="1" si="501"/>
        <v>2.3086125369803892</v>
      </c>
      <c r="AD44" s="363">
        <f t="shared" ca="1" si="501"/>
        <v>2.4124936022991301</v>
      </c>
      <c r="AE44" s="363">
        <f t="shared" ca="1" si="501"/>
        <v>2.2803196666852323</v>
      </c>
      <c r="AF44" s="363">
        <f t="shared" ca="1" si="501"/>
        <v>2.3964422013978024</v>
      </c>
      <c r="AG44" s="363">
        <f t="shared" ca="1" si="501"/>
        <v>2.2166819477000019</v>
      </c>
      <c r="AH44" s="363">
        <f t="shared" ca="1" si="501"/>
        <v>2.2815206723833232</v>
      </c>
      <c r="AI44" s="363">
        <f t="shared" ca="1" si="501"/>
        <v>2.1886847922721766</v>
      </c>
      <c r="AJ44" s="363">
        <f t="shared" ca="1" si="501"/>
        <v>2.3015637637309121</v>
      </c>
      <c r="AK44" s="363">
        <f t="shared" ca="1" si="501"/>
        <v>2.3180709590600901</v>
      </c>
      <c r="AL44" s="363">
        <f t="shared" ca="1" si="501"/>
        <v>2.3494066602415362</v>
      </c>
      <c r="AM44" s="363">
        <f t="shared" ca="1" si="501"/>
        <v>2.3251660137003669</v>
      </c>
      <c r="AN44" s="363">
        <f t="shared" ca="1" si="501"/>
        <v>2.3952763348935653</v>
      </c>
      <c r="AO44" s="363">
        <f t="shared" ca="1" si="501"/>
        <v>2.3632515800818301</v>
      </c>
      <c r="AP44" s="363">
        <f t="shared" ca="1" si="501"/>
        <v>2.3829767884563422</v>
      </c>
      <c r="AQ44" s="363">
        <f t="shared" ca="1" si="501"/>
        <v>2.3406555687099617</v>
      </c>
      <c r="AR44" s="363">
        <f t="shared" ca="1" si="501"/>
        <v>2.3858664366092133</v>
      </c>
      <c r="AS44" s="363">
        <f t="shared" ca="1" si="501"/>
        <v>2.3264798233315322</v>
      </c>
      <c r="AT44" s="363">
        <f t="shared" ca="1" si="501"/>
        <v>2.2690712708319589</v>
      </c>
      <c r="AU44" s="363">
        <f t="shared" ca="1" si="501"/>
        <v>2.3958100969224101</v>
      </c>
      <c r="AV44" s="363">
        <f t="shared" ca="1" si="501"/>
        <v>2.3693404653459194</v>
      </c>
      <c r="AW44" s="363">
        <f t="shared" ca="1" si="501"/>
        <v>2.3383112503950421</v>
      </c>
      <c r="AX44" s="363">
        <f t="shared" ca="1" si="501"/>
        <v>2.3795035868668202</v>
      </c>
      <c r="AY44" s="363">
        <f t="shared" ca="1" si="501"/>
        <v>2.3087493787447499</v>
      </c>
      <c r="AZ44" s="363">
        <f t="shared" ca="1" si="501"/>
        <v>2.3526597539337977</v>
      </c>
      <c r="BA44" s="363">
        <f t="shared" ca="1" si="501"/>
        <v>2.3055237846427827</v>
      </c>
      <c r="BB44" s="363">
        <f t="shared" ca="1" si="501"/>
        <v>2.3285797582981629</v>
      </c>
      <c r="BC44" s="363">
        <f t="shared" ca="1" si="501"/>
        <v>2.2743751157229739</v>
      </c>
      <c r="BD44" s="363">
        <f t="shared" ca="1" si="501"/>
        <v>2.1966245367679922</v>
      </c>
      <c r="BE44" s="363">
        <f t="shared" ca="1" si="501"/>
        <v>2.2947622069277624</v>
      </c>
      <c r="BF44" s="363">
        <f t="shared" ca="1" si="501"/>
        <v>2.3315945032137342</v>
      </c>
      <c r="BG44" s="363">
        <f t="shared" ca="1" si="501"/>
        <v>2.2005459098477824</v>
      </c>
      <c r="BH44" s="363">
        <f t="shared" ca="1" si="501"/>
        <v>2.2923575236124729</v>
      </c>
      <c r="BI44" s="363">
        <f t="shared" ca="1" si="501"/>
        <v>2.3689808087479913</v>
      </c>
      <c r="BJ44" s="363">
        <f t="shared" ca="1" si="501"/>
        <v>2.4451738548407618</v>
      </c>
      <c r="BK44" s="363">
        <f t="shared" ca="1" si="501"/>
        <v>2.2362649148768483</v>
      </c>
      <c r="BL44" s="363">
        <f t="shared" ca="1" si="501"/>
        <v>2.134344241439901</v>
      </c>
      <c r="BM44" s="363">
        <f t="shared" ca="1" si="501"/>
        <v>2.4197025223518249</v>
      </c>
      <c r="BN44" s="363">
        <f t="shared" ca="1" si="501"/>
        <v>2.3660480501013663</v>
      </c>
      <c r="BO44" s="363">
        <f t="shared" ca="1" si="501"/>
        <v>2.1903621742006281</v>
      </c>
      <c r="BP44" s="363">
        <f t="shared" ca="1" si="501"/>
        <v>2.4156957628956532</v>
      </c>
      <c r="BQ44" s="363">
        <f t="shared" ca="1" si="501"/>
        <v>2.2627083905877901</v>
      </c>
      <c r="BR44" s="363">
        <f t="shared" ca="1" si="501"/>
        <v>2.3350267990192615</v>
      </c>
      <c r="BS44" s="363">
        <f t="shared" ca="1" si="501"/>
        <v>2.4240705072287545</v>
      </c>
      <c r="BT44" s="363">
        <f t="shared" ca="1" si="501"/>
        <v>2.3248376807688764</v>
      </c>
      <c r="BU44" s="363">
        <f t="shared" ca="1" si="501"/>
        <v>2.2268132024818468</v>
      </c>
      <c r="BV44" s="363">
        <f t="shared" ca="1" si="501"/>
        <v>2.3140238569972569</v>
      </c>
      <c r="BW44" s="363">
        <f t="shared" ca="1" si="501"/>
        <v>2.2774830071700602</v>
      </c>
      <c r="BX44" s="363">
        <f t="shared" ca="1" si="501"/>
        <v>2.2489401012910291</v>
      </c>
      <c r="BY44" s="363">
        <f t="shared" ca="1" si="501"/>
        <v>2.3359267452087771</v>
      </c>
      <c r="BZ44" s="363">
        <f t="shared" ref="BZ44:DH44" ca="1" si="502">_xlfn.LOGNORM.INV(RAND(),$I$44,$J$44)</f>
        <v>2.2893178424166702</v>
      </c>
      <c r="CA44" s="363">
        <f t="shared" ca="1" si="502"/>
        <v>2.3245843240156092</v>
      </c>
      <c r="CB44" s="363">
        <f t="shared" ca="1" si="502"/>
        <v>2.1872688562217184</v>
      </c>
      <c r="CC44" s="363">
        <f t="shared" ca="1" si="502"/>
        <v>2.5007158395425844</v>
      </c>
      <c r="CD44" s="363">
        <f t="shared" ca="1" si="502"/>
        <v>2.379717558811604</v>
      </c>
      <c r="CE44" s="363">
        <f t="shared" ca="1" si="502"/>
        <v>2.2483128964552579</v>
      </c>
      <c r="CF44" s="363">
        <f t="shared" ca="1" si="502"/>
        <v>2.2926238768189662</v>
      </c>
      <c r="CG44" s="363">
        <f t="shared" ca="1" si="502"/>
        <v>2.302856257383858</v>
      </c>
      <c r="CH44" s="363">
        <f t="shared" ca="1" si="502"/>
        <v>2.2356489848557537</v>
      </c>
      <c r="CI44" s="363">
        <f t="shared" ca="1" si="502"/>
        <v>2.3958562362940201</v>
      </c>
      <c r="CJ44" s="363">
        <f t="shared" ca="1" si="502"/>
        <v>2.3385580453375536</v>
      </c>
      <c r="CK44" s="363">
        <f t="shared" ca="1" si="502"/>
        <v>2.2552727391334351</v>
      </c>
      <c r="CL44" s="363">
        <f t="shared" ca="1" si="502"/>
        <v>2.2491971249909133</v>
      </c>
      <c r="CM44" s="363">
        <f t="shared" ca="1" si="502"/>
        <v>2.346496088487386</v>
      </c>
      <c r="CN44" s="363">
        <f t="shared" ca="1" si="502"/>
        <v>2.3416728179886155</v>
      </c>
      <c r="CO44" s="363">
        <f t="shared" ca="1" si="502"/>
        <v>2.179062904637437</v>
      </c>
      <c r="CP44" s="363">
        <f t="shared" ca="1" si="502"/>
        <v>2.3321789388045455</v>
      </c>
      <c r="CQ44" s="363">
        <f t="shared" ca="1" si="502"/>
        <v>2.2422213860130431</v>
      </c>
      <c r="CR44" s="363">
        <f t="shared" ca="1" si="502"/>
        <v>2.1950368284420136</v>
      </c>
      <c r="CS44" s="363">
        <f t="shared" ca="1" si="502"/>
        <v>2.3623879900427744</v>
      </c>
      <c r="CT44" s="363">
        <f t="shared" ca="1" si="502"/>
        <v>2.1747794814358321</v>
      </c>
      <c r="CU44" s="363">
        <f t="shared" ca="1" si="502"/>
        <v>2.3400359503048658</v>
      </c>
      <c r="CV44" s="363">
        <f t="shared" ca="1" si="502"/>
        <v>2.4108840355175998</v>
      </c>
      <c r="CW44" s="363">
        <f t="shared" ca="1" si="502"/>
        <v>2.3449806267132138</v>
      </c>
      <c r="CX44" s="363">
        <f t="shared" ca="1" si="502"/>
        <v>2.3724748620116896</v>
      </c>
      <c r="CY44" s="363">
        <f t="shared" ca="1" si="502"/>
        <v>2.2479928351232803</v>
      </c>
      <c r="CZ44" s="363">
        <f t="shared" ca="1" si="502"/>
        <v>2.3066889984248533</v>
      </c>
      <c r="DA44" s="363">
        <f t="shared" ca="1" si="502"/>
        <v>2.3469984682168636</v>
      </c>
      <c r="DB44" s="363">
        <f t="shared" ca="1" si="502"/>
        <v>2.3992965602312668</v>
      </c>
      <c r="DC44" s="363">
        <f t="shared" ca="1" si="502"/>
        <v>2.2870339969489755</v>
      </c>
      <c r="DD44" s="363">
        <f t="shared" ca="1" si="502"/>
        <v>2.3570778301370643</v>
      </c>
      <c r="DE44" s="363">
        <f t="shared" ca="1" si="502"/>
        <v>2.2638150620848529</v>
      </c>
      <c r="DF44" s="363">
        <f t="shared" ca="1" si="502"/>
        <v>2.4366968048745781</v>
      </c>
      <c r="DG44" s="363">
        <f t="shared" ca="1" si="502"/>
        <v>2.3422745778306222</v>
      </c>
      <c r="DH44" s="363">
        <f t="shared" ca="1" si="502"/>
        <v>2.3508732571589532</v>
      </c>
      <c r="DI44" s="363">
        <f ca="1">_xlfn.LOGNORM.INV(RAND(),$I$44,$J$44)</f>
        <v>2.4012638470628276</v>
      </c>
      <c r="DJ44" s="363">
        <f t="shared" ref="DJ44:FU44" ca="1" si="503">_xlfn.LOGNORM.INV(RAND(),$I$44,$J$44)</f>
        <v>2.3517278397122272</v>
      </c>
      <c r="DK44" s="363">
        <f t="shared" ca="1" si="503"/>
        <v>2.3342855226679649</v>
      </c>
      <c r="DL44" s="363">
        <f t="shared" ca="1" si="503"/>
        <v>2.2752270565401664</v>
      </c>
      <c r="DM44" s="363">
        <f t="shared" ca="1" si="503"/>
        <v>2.3828503597106261</v>
      </c>
      <c r="DN44" s="363">
        <f t="shared" ca="1" si="503"/>
        <v>2.2585578337680134</v>
      </c>
      <c r="DO44" s="363">
        <f t="shared" ca="1" si="503"/>
        <v>2.1888293215843544</v>
      </c>
      <c r="DP44" s="363">
        <f t="shared" ca="1" si="503"/>
        <v>2.3307544815319701</v>
      </c>
      <c r="DQ44" s="363">
        <f t="shared" ca="1" si="503"/>
        <v>2.2847487890403313</v>
      </c>
      <c r="DR44" s="363">
        <f t="shared" ca="1" si="503"/>
        <v>2.2692121005110404</v>
      </c>
      <c r="DS44" s="363">
        <f t="shared" ca="1" si="503"/>
        <v>2.3002790304611422</v>
      </c>
      <c r="DT44" s="363">
        <f t="shared" ca="1" si="503"/>
        <v>2.3526632802144096</v>
      </c>
      <c r="DU44" s="363">
        <f t="shared" ca="1" si="503"/>
        <v>2.2789718010967657</v>
      </c>
      <c r="DV44" s="363">
        <f t="shared" ca="1" si="503"/>
        <v>2.3936862169824691</v>
      </c>
      <c r="DW44" s="363">
        <f t="shared" ca="1" si="503"/>
        <v>2.2874674108501218</v>
      </c>
      <c r="DX44" s="363">
        <f t="shared" ca="1" si="503"/>
        <v>2.2521164557459361</v>
      </c>
      <c r="DY44" s="363">
        <f t="shared" ca="1" si="503"/>
        <v>2.3760789364792654</v>
      </c>
      <c r="DZ44" s="363">
        <f t="shared" ca="1" si="503"/>
        <v>2.2446817979771239</v>
      </c>
      <c r="EA44" s="363">
        <f t="shared" ca="1" si="503"/>
        <v>2.4504943825313923</v>
      </c>
      <c r="EB44" s="363">
        <f t="shared" ca="1" si="503"/>
        <v>2.3816214764830472</v>
      </c>
      <c r="EC44" s="363">
        <f t="shared" ca="1" si="503"/>
        <v>2.2953244955136727</v>
      </c>
      <c r="ED44" s="363">
        <f t="shared" ca="1" si="503"/>
        <v>2.3916642107088704</v>
      </c>
      <c r="EE44" s="363">
        <f t="shared" ca="1" si="503"/>
        <v>2.3728075777883935</v>
      </c>
      <c r="EF44" s="363">
        <f t="shared" ca="1" si="503"/>
        <v>2.2478437032943615</v>
      </c>
      <c r="EG44" s="363">
        <f t="shared" ca="1" si="503"/>
        <v>2.3746742348313856</v>
      </c>
      <c r="EH44" s="363">
        <f t="shared" ca="1" si="503"/>
        <v>2.362399027932744</v>
      </c>
      <c r="EI44" s="363">
        <f t="shared" ca="1" si="503"/>
        <v>2.2866879659724542</v>
      </c>
      <c r="EJ44" s="363">
        <f t="shared" ca="1" si="503"/>
        <v>2.3475246232124438</v>
      </c>
      <c r="EK44" s="363">
        <f t="shared" ca="1" si="503"/>
        <v>2.244224172450179</v>
      </c>
      <c r="EL44" s="363">
        <f t="shared" ca="1" si="503"/>
        <v>2.2084531208918601</v>
      </c>
      <c r="EM44" s="363">
        <f t="shared" ca="1" si="503"/>
        <v>2.1496408743318614</v>
      </c>
      <c r="EN44" s="363">
        <f t="shared" ca="1" si="503"/>
        <v>2.3281778484327273</v>
      </c>
      <c r="EO44" s="363">
        <f t="shared" ca="1" si="503"/>
        <v>2.2923040079018899</v>
      </c>
      <c r="EP44" s="363">
        <f t="shared" ca="1" si="503"/>
        <v>2.3251963990416828</v>
      </c>
      <c r="EQ44" s="363">
        <f t="shared" ca="1" si="503"/>
        <v>2.0837245252676935</v>
      </c>
      <c r="ER44" s="363">
        <f t="shared" ca="1" si="503"/>
        <v>2.3055486848637123</v>
      </c>
      <c r="ES44" s="363">
        <f t="shared" ca="1" si="503"/>
        <v>2.3628916113977287</v>
      </c>
      <c r="ET44" s="363">
        <f t="shared" ca="1" si="503"/>
        <v>2.3849525068780433</v>
      </c>
      <c r="EU44" s="363">
        <f t="shared" ca="1" si="503"/>
        <v>2.2602390657563438</v>
      </c>
      <c r="EV44" s="363">
        <f t="shared" ca="1" si="503"/>
        <v>2.3635000542587021</v>
      </c>
      <c r="EW44" s="363">
        <f t="shared" ca="1" si="503"/>
        <v>2.3012132992962804</v>
      </c>
      <c r="EX44" s="363">
        <f t="shared" ca="1" si="503"/>
        <v>2.3178147421176627</v>
      </c>
      <c r="EY44" s="363">
        <f t="shared" ca="1" si="503"/>
        <v>2.3105886703811813</v>
      </c>
      <c r="EZ44" s="363">
        <f t="shared" ca="1" si="503"/>
        <v>2.3984022833091587</v>
      </c>
      <c r="FA44" s="363">
        <f t="shared" ca="1" si="503"/>
        <v>2.3336711219023525</v>
      </c>
      <c r="FB44" s="363">
        <f t="shared" ca="1" si="503"/>
        <v>2.4210086131816722</v>
      </c>
      <c r="FC44" s="363">
        <f t="shared" ca="1" si="503"/>
        <v>2.2703389678791788</v>
      </c>
      <c r="FD44" s="363">
        <f t="shared" ca="1" si="503"/>
        <v>2.2286537809942617</v>
      </c>
      <c r="FE44" s="363">
        <f t="shared" ca="1" si="503"/>
        <v>2.1817246647607198</v>
      </c>
      <c r="FF44" s="363">
        <f t="shared" ca="1" si="503"/>
        <v>2.1945114962841896</v>
      </c>
      <c r="FG44" s="363">
        <f t="shared" ca="1" si="503"/>
        <v>2.2893663955170895</v>
      </c>
      <c r="FH44" s="363">
        <f t="shared" ca="1" si="503"/>
        <v>2.2764786917541389</v>
      </c>
      <c r="FI44" s="363">
        <f t="shared" ca="1" si="503"/>
        <v>2.3960001066636001</v>
      </c>
      <c r="FJ44" s="363">
        <f t="shared" ca="1" si="503"/>
        <v>2.3596322169412787</v>
      </c>
      <c r="FK44" s="363">
        <f t="shared" ca="1" si="503"/>
        <v>2.2864288048019659</v>
      </c>
      <c r="FL44" s="363">
        <f t="shared" ca="1" si="503"/>
        <v>2.4220054808770342</v>
      </c>
      <c r="FM44" s="363">
        <f t="shared" ca="1" si="503"/>
        <v>2.2753437238685743</v>
      </c>
      <c r="FN44" s="363">
        <f t="shared" ca="1" si="503"/>
        <v>2.3044625669459293</v>
      </c>
      <c r="FO44" s="363">
        <f t="shared" ca="1" si="503"/>
        <v>2.3917553847737496</v>
      </c>
      <c r="FP44" s="363">
        <f t="shared" ca="1" si="503"/>
        <v>2.3129995919346524</v>
      </c>
      <c r="FQ44" s="363">
        <f t="shared" ca="1" si="503"/>
        <v>2.3971981663420467</v>
      </c>
      <c r="FR44" s="363">
        <f t="shared" ca="1" si="503"/>
        <v>2.2896278995945396</v>
      </c>
      <c r="FS44" s="363">
        <f t="shared" ca="1" si="503"/>
        <v>2.4448623981531248</v>
      </c>
      <c r="FT44" s="363">
        <f t="shared" ca="1" si="503"/>
        <v>2.3408354632742769</v>
      </c>
      <c r="FU44" s="363">
        <f t="shared" ca="1" si="503"/>
        <v>2.347802896696598</v>
      </c>
      <c r="FV44" s="363">
        <f t="shared" ref="FV44:HD44" ca="1" si="504">_xlfn.LOGNORM.INV(RAND(),$I$44,$J$44)</f>
        <v>2.255713965567931</v>
      </c>
      <c r="FW44" s="363">
        <f t="shared" ca="1" si="504"/>
        <v>2.2803463210719861</v>
      </c>
      <c r="FX44" s="363">
        <f t="shared" ca="1" si="504"/>
        <v>2.2413447167603873</v>
      </c>
      <c r="FY44" s="363">
        <f t="shared" ca="1" si="504"/>
        <v>2.3010650918641082</v>
      </c>
      <c r="FZ44" s="363">
        <f t="shared" ca="1" si="504"/>
        <v>2.2911989003789182</v>
      </c>
      <c r="GA44" s="363">
        <f t="shared" ca="1" si="504"/>
        <v>2.223283600369323</v>
      </c>
      <c r="GB44" s="363">
        <f t="shared" ca="1" si="504"/>
        <v>2.4179067398086063</v>
      </c>
      <c r="GC44" s="363">
        <f t="shared" ca="1" si="504"/>
        <v>2.2910793693739051</v>
      </c>
      <c r="GD44" s="363">
        <f t="shared" ca="1" si="504"/>
        <v>2.311234754893229</v>
      </c>
      <c r="GE44" s="363">
        <f t="shared" ca="1" si="504"/>
        <v>2.2243480211553157</v>
      </c>
      <c r="GF44" s="363">
        <f t="shared" ca="1" si="504"/>
        <v>2.2468680322162848</v>
      </c>
      <c r="GG44" s="363">
        <f t="shared" ca="1" si="504"/>
        <v>2.2712838286624417</v>
      </c>
      <c r="GH44" s="363">
        <f t="shared" ca="1" si="504"/>
        <v>2.2377905630750039</v>
      </c>
      <c r="GI44" s="363">
        <f t="shared" ca="1" si="504"/>
        <v>2.3094907900004822</v>
      </c>
      <c r="GJ44" s="363">
        <f t="shared" ca="1" si="504"/>
        <v>2.2097364083989852</v>
      </c>
      <c r="GK44" s="363">
        <f t="shared" ca="1" si="504"/>
        <v>2.5223719020900885</v>
      </c>
      <c r="GL44" s="363">
        <f t="shared" ca="1" si="504"/>
        <v>2.4148390128453059</v>
      </c>
      <c r="GM44" s="363">
        <f t="shared" ca="1" si="504"/>
        <v>2.5371374434305558</v>
      </c>
      <c r="GN44" s="363">
        <f t="shared" ca="1" si="504"/>
        <v>2.2079388001630922</v>
      </c>
      <c r="GO44" s="363">
        <f t="shared" ca="1" si="504"/>
        <v>2.4276548027266815</v>
      </c>
      <c r="GP44" s="363">
        <f t="shared" ca="1" si="504"/>
        <v>2.2155818394583191</v>
      </c>
      <c r="GQ44" s="363">
        <f t="shared" ca="1" si="504"/>
        <v>2.3368160717526454</v>
      </c>
      <c r="GR44" s="363">
        <f t="shared" ca="1" si="504"/>
        <v>2.336854635829031</v>
      </c>
      <c r="GS44" s="363">
        <f t="shared" ca="1" si="504"/>
        <v>2.2836501248444492</v>
      </c>
      <c r="GT44" s="363">
        <f t="shared" ca="1" si="504"/>
        <v>2.2900661402435594</v>
      </c>
      <c r="GU44" s="363">
        <f t="shared" ca="1" si="504"/>
        <v>2.4442840414686575</v>
      </c>
      <c r="GV44" s="363">
        <f t="shared" ca="1" si="504"/>
        <v>2.2813401435344631</v>
      </c>
      <c r="GW44" s="363">
        <f t="shared" ca="1" si="504"/>
        <v>2.1939150515932409</v>
      </c>
      <c r="GX44" s="363">
        <f t="shared" ca="1" si="504"/>
        <v>2.3399595397673143</v>
      </c>
      <c r="GY44" s="363">
        <f t="shared" ca="1" si="504"/>
        <v>2.318642014511048</v>
      </c>
      <c r="GZ44" s="363">
        <f t="shared" ca="1" si="504"/>
        <v>2.2552110028914285</v>
      </c>
      <c r="HA44" s="363">
        <f t="shared" ca="1" si="504"/>
        <v>2.3724764620226901</v>
      </c>
      <c r="HB44" s="363">
        <f t="shared" ca="1" si="504"/>
        <v>2.2735895426384536</v>
      </c>
      <c r="HC44" s="363">
        <f t="shared" ca="1" si="504"/>
        <v>2.2019062260271078</v>
      </c>
      <c r="HD44" s="363">
        <f t="shared" ca="1" si="504"/>
        <v>2.3190666597752236</v>
      </c>
      <c r="HE44" s="363">
        <f ca="1">_xlfn.LOGNORM.INV(RAND(),$I$44,$J$44)</f>
        <v>2.2696670574916924</v>
      </c>
      <c r="HF44" s="363">
        <f t="shared" ref="HF44:JQ44" ca="1" si="505">_xlfn.LOGNORM.INV(RAND(),$I$44,$J$44)</f>
        <v>2.2841566928649764</v>
      </c>
      <c r="HG44" s="363">
        <f t="shared" ca="1" si="505"/>
        <v>2.3727617237945595</v>
      </c>
      <c r="HH44" s="363">
        <f t="shared" ca="1" si="505"/>
        <v>2.2962102156546571</v>
      </c>
      <c r="HI44" s="363">
        <f t="shared" ca="1" si="505"/>
        <v>2.3531137619586864</v>
      </c>
      <c r="HJ44" s="363">
        <f t="shared" ca="1" si="505"/>
        <v>2.3010818317734736</v>
      </c>
      <c r="HK44" s="363">
        <f t="shared" ca="1" si="505"/>
        <v>2.3709048314585917</v>
      </c>
      <c r="HL44" s="363">
        <f t="shared" ca="1" si="505"/>
        <v>2.3391168789403269</v>
      </c>
      <c r="HM44" s="363">
        <f t="shared" ca="1" si="505"/>
        <v>2.2031646474139874</v>
      </c>
      <c r="HN44" s="363">
        <f t="shared" ca="1" si="505"/>
        <v>2.1939237923454966</v>
      </c>
      <c r="HO44" s="363">
        <f t="shared" ca="1" si="505"/>
        <v>2.2437707344418643</v>
      </c>
      <c r="HP44" s="363">
        <f t="shared" ca="1" si="505"/>
        <v>2.2973895646248517</v>
      </c>
      <c r="HQ44" s="363">
        <f t="shared" ca="1" si="505"/>
        <v>2.2878844989511209</v>
      </c>
      <c r="HR44" s="363">
        <f t="shared" ca="1" si="505"/>
        <v>2.3487096531519351</v>
      </c>
      <c r="HS44" s="363">
        <f t="shared" ca="1" si="505"/>
        <v>2.2509984100530729</v>
      </c>
      <c r="HT44" s="363">
        <f t="shared" ca="1" si="505"/>
        <v>2.4501102636751173</v>
      </c>
      <c r="HU44" s="363">
        <f t="shared" ca="1" si="505"/>
        <v>2.1202070050674324</v>
      </c>
      <c r="HV44" s="363">
        <f t="shared" ca="1" si="505"/>
        <v>2.2649278233238848</v>
      </c>
      <c r="HW44" s="363">
        <f t="shared" ca="1" si="505"/>
        <v>2.260291518326945</v>
      </c>
      <c r="HX44" s="363">
        <f t="shared" ca="1" si="505"/>
        <v>2.4287532388151396</v>
      </c>
      <c r="HY44" s="363">
        <f t="shared" ca="1" si="505"/>
        <v>2.2487028598061443</v>
      </c>
      <c r="HZ44" s="363">
        <f t="shared" ca="1" si="505"/>
        <v>2.3112554700790278</v>
      </c>
      <c r="IA44" s="363">
        <f t="shared" ca="1" si="505"/>
        <v>2.3775260073127917</v>
      </c>
      <c r="IB44" s="363">
        <f t="shared" ca="1" si="505"/>
        <v>2.3143013026520927</v>
      </c>
      <c r="IC44" s="363">
        <f t="shared" ca="1" si="505"/>
        <v>2.3509007781330724</v>
      </c>
      <c r="ID44" s="363">
        <f t="shared" ca="1" si="505"/>
        <v>2.3149283240441862</v>
      </c>
      <c r="IE44" s="363">
        <f t="shared" ca="1" si="505"/>
        <v>2.4281832266002059</v>
      </c>
      <c r="IF44" s="363">
        <f t="shared" ca="1" si="505"/>
        <v>2.4181713951715547</v>
      </c>
      <c r="IG44" s="363">
        <f t="shared" ca="1" si="505"/>
        <v>2.4258905563201663</v>
      </c>
      <c r="IH44" s="363">
        <f t="shared" ca="1" si="505"/>
        <v>2.3475341480168765</v>
      </c>
      <c r="II44" s="363">
        <f t="shared" ca="1" si="505"/>
        <v>2.2525410594767554</v>
      </c>
      <c r="IJ44" s="363">
        <f t="shared" ca="1" si="505"/>
        <v>2.3257585711884148</v>
      </c>
      <c r="IK44" s="363">
        <f t="shared" ca="1" si="505"/>
        <v>2.3320162889517739</v>
      </c>
      <c r="IL44" s="363">
        <f t="shared" ca="1" si="505"/>
        <v>2.330332923025995</v>
      </c>
      <c r="IM44" s="363">
        <f t="shared" ca="1" si="505"/>
        <v>2.2036579302496975</v>
      </c>
      <c r="IN44" s="363">
        <f t="shared" ca="1" si="505"/>
        <v>2.2619037190648577</v>
      </c>
      <c r="IO44" s="363">
        <f t="shared" ca="1" si="505"/>
        <v>2.2978673371701466</v>
      </c>
      <c r="IP44" s="363">
        <f t="shared" ca="1" si="505"/>
        <v>2.386247879874094</v>
      </c>
      <c r="IQ44" s="363">
        <f t="shared" ca="1" si="505"/>
        <v>2.3052155605068325</v>
      </c>
      <c r="IR44" s="363">
        <f t="shared" ca="1" si="505"/>
        <v>2.3464155631963739</v>
      </c>
      <c r="IS44" s="363">
        <f t="shared" ca="1" si="505"/>
        <v>2.2046280318616049</v>
      </c>
      <c r="IT44" s="363">
        <f t="shared" ca="1" si="505"/>
        <v>2.1920901499154288</v>
      </c>
      <c r="IU44" s="363">
        <f t="shared" ca="1" si="505"/>
        <v>2.3539449730524558</v>
      </c>
      <c r="IV44" s="363">
        <f t="shared" ca="1" si="505"/>
        <v>2.4895074680642861</v>
      </c>
      <c r="IW44" s="363">
        <f t="shared" ca="1" si="505"/>
        <v>2.2313160333491675</v>
      </c>
      <c r="IX44" s="363">
        <f t="shared" ca="1" si="505"/>
        <v>2.3799634332914867</v>
      </c>
      <c r="IY44" s="363">
        <f t="shared" ca="1" si="505"/>
        <v>2.2950889921627993</v>
      </c>
      <c r="IZ44" s="363">
        <f t="shared" ca="1" si="505"/>
        <v>2.3015222967434683</v>
      </c>
      <c r="JA44" s="363">
        <f t="shared" ca="1" si="505"/>
        <v>2.3029266678398703</v>
      </c>
      <c r="JB44" s="363">
        <f t="shared" ca="1" si="505"/>
        <v>2.3826930135001434</v>
      </c>
      <c r="JC44" s="363">
        <f t="shared" ca="1" si="505"/>
        <v>2.3474623042699245</v>
      </c>
      <c r="JD44" s="363">
        <f t="shared" ca="1" si="505"/>
        <v>2.3691507272976366</v>
      </c>
      <c r="JE44" s="363">
        <f t="shared" ca="1" si="505"/>
        <v>2.3037777205886689</v>
      </c>
      <c r="JF44" s="363">
        <f t="shared" ca="1" si="505"/>
        <v>2.334257602511542</v>
      </c>
      <c r="JG44" s="363">
        <f t="shared" ca="1" si="505"/>
        <v>2.4467112233595332</v>
      </c>
      <c r="JH44" s="363">
        <f t="shared" ca="1" si="505"/>
        <v>2.4057669132872208</v>
      </c>
      <c r="JI44" s="363">
        <f t="shared" ca="1" si="505"/>
        <v>2.3680974582496952</v>
      </c>
      <c r="JJ44" s="363">
        <f t="shared" ca="1" si="505"/>
        <v>2.4393411465996628</v>
      </c>
      <c r="JK44" s="363">
        <f t="shared" ca="1" si="505"/>
        <v>2.1863735963057085</v>
      </c>
      <c r="JL44" s="363">
        <f t="shared" ca="1" si="505"/>
        <v>2.4185242630614696</v>
      </c>
      <c r="JM44" s="363">
        <f t="shared" ca="1" si="505"/>
        <v>2.3564620887033936</v>
      </c>
      <c r="JN44" s="363">
        <f t="shared" ca="1" si="505"/>
        <v>2.2434870405099314</v>
      </c>
      <c r="JO44" s="363">
        <f t="shared" ca="1" si="505"/>
        <v>2.3767796270821164</v>
      </c>
      <c r="JP44" s="363">
        <f t="shared" ca="1" si="505"/>
        <v>2.3591553108388084</v>
      </c>
      <c r="JQ44" s="363">
        <f t="shared" ca="1" si="505"/>
        <v>2.2384546853729193</v>
      </c>
      <c r="JR44" s="363">
        <f t="shared" ref="JR44:KZ44" ca="1" si="506">_xlfn.LOGNORM.INV(RAND(),$I$44,$J$44)</f>
        <v>2.2555116645984108</v>
      </c>
      <c r="JS44" s="363">
        <f t="shared" ca="1" si="506"/>
        <v>2.3727513181937248</v>
      </c>
      <c r="JT44" s="363">
        <f t="shared" ca="1" si="506"/>
        <v>2.3662091624054873</v>
      </c>
      <c r="JU44" s="363">
        <f t="shared" ca="1" si="506"/>
        <v>2.4113700877725428</v>
      </c>
      <c r="JV44" s="363">
        <f t="shared" ca="1" si="506"/>
        <v>2.4722426469047991</v>
      </c>
      <c r="JW44" s="363">
        <f t="shared" ca="1" si="506"/>
        <v>2.2203684991600685</v>
      </c>
      <c r="JX44" s="363">
        <f t="shared" ca="1" si="506"/>
        <v>2.2141576458522017</v>
      </c>
      <c r="JY44" s="363">
        <f t="shared" ca="1" si="506"/>
        <v>2.512173937205668</v>
      </c>
      <c r="JZ44" s="363">
        <f t="shared" ca="1" si="506"/>
        <v>2.2369376752284533</v>
      </c>
      <c r="KA44" s="363">
        <f t="shared" ca="1" si="506"/>
        <v>2.3805740537208875</v>
      </c>
      <c r="KB44" s="363">
        <f t="shared" ca="1" si="506"/>
        <v>2.5120402636013766</v>
      </c>
      <c r="KC44" s="363">
        <f t="shared" ca="1" si="506"/>
        <v>2.3888172354347135</v>
      </c>
      <c r="KD44" s="363">
        <f t="shared" ca="1" si="506"/>
        <v>2.3603052961121289</v>
      </c>
      <c r="KE44" s="363">
        <f t="shared" ca="1" si="506"/>
        <v>2.2417986725437653</v>
      </c>
      <c r="KF44" s="363">
        <f t="shared" ca="1" si="506"/>
        <v>2.4004618855446629</v>
      </c>
      <c r="KG44" s="363">
        <f t="shared" ca="1" si="506"/>
        <v>2.269649813496863</v>
      </c>
      <c r="KH44" s="363">
        <f t="shared" ca="1" si="506"/>
        <v>2.3365439854834791</v>
      </c>
      <c r="KI44" s="363">
        <f t="shared" ca="1" si="506"/>
        <v>2.3826791221925898</v>
      </c>
      <c r="KJ44" s="363">
        <f t="shared" ca="1" si="506"/>
        <v>2.3112730171077169</v>
      </c>
      <c r="KK44" s="363">
        <f t="shared" ca="1" si="506"/>
        <v>2.3028961614893397</v>
      </c>
      <c r="KL44" s="363">
        <f t="shared" ca="1" si="506"/>
        <v>2.4210720275636661</v>
      </c>
      <c r="KM44" s="363">
        <f t="shared" ca="1" si="506"/>
        <v>2.2530386150753521</v>
      </c>
      <c r="KN44" s="363">
        <f t="shared" ca="1" si="506"/>
        <v>2.3274920243673165</v>
      </c>
      <c r="KO44" s="363">
        <f t="shared" ca="1" si="506"/>
        <v>2.3841544281038285</v>
      </c>
      <c r="KP44" s="363">
        <f t="shared" ca="1" si="506"/>
        <v>2.3208512437984754</v>
      </c>
      <c r="KQ44" s="363">
        <f t="shared" ca="1" si="506"/>
        <v>2.2704270222827714</v>
      </c>
      <c r="KR44" s="363">
        <f t="shared" ca="1" si="506"/>
        <v>2.4106806899069948</v>
      </c>
      <c r="KS44" s="363">
        <f t="shared" ca="1" si="506"/>
        <v>2.2927251663016022</v>
      </c>
      <c r="KT44" s="363">
        <f t="shared" ca="1" si="506"/>
        <v>2.27700632536079</v>
      </c>
      <c r="KU44" s="363">
        <f t="shared" ca="1" si="506"/>
        <v>2.2484136524912586</v>
      </c>
      <c r="KV44" s="363">
        <f t="shared" ca="1" si="506"/>
        <v>2.2711530566128659</v>
      </c>
      <c r="KW44" s="363">
        <f t="shared" ca="1" si="506"/>
        <v>2.2998337055752738</v>
      </c>
      <c r="KX44" s="363">
        <f t="shared" ca="1" si="506"/>
        <v>2.4281509684203018</v>
      </c>
      <c r="KY44" s="363">
        <f t="shared" ca="1" si="506"/>
        <v>2.21374916919858</v>
      </c>
      <c r="KZ44" s="363">
        <f t="shared" ca="1" si="506"/>
        <v>2.2705944857995974</v>
      </c>
      <c r="LA44" s="363">
        <f ca="1">_xlfn.LOGNORM.INV(RAND(),$I$44,$J$44)</f>
        <v>2.2617452739037294</v>
      </c>
      <c r="LB44" s="363">
        <f t="shared" ref="LB44:NM44" ca="1" si="507">_xlfn.LOGNORM.INV(RAND(),$I$44,$J$44)</f>
        <v>2.2403842138215024</v>
      </c>
      <c r="LC44" s="363">
        <f t="shared" ca="1" si="507"/>
        <v>2.2188678509773392</v>
      </c>
      <c r="LD44" s="363">
        <f t="shared" ca="1" si="507"/>
        <v>2.2781861121460554</v>
      </c>
      <c r="LE44" s="363">
        <f t="shared" ca="1" si="507"/>
        <v>2.1430811161693932</v>
      </c>
      <c r="LF44" s="363">
        <f t="shared" ca="1" si="507"/>
        <v>2.3005298658830515</v>
      </c>
      <c r="LG44" s="363">
        <f t="shared" ca="1" si="507"/>
        <v>2.4211124183785997</v>
      </c>
      <c r="LH44" s="363">
        <f t="shared" ca="1" si="507"/>
        <v>2.343992005213325</v>
      </c>
      <c r="LI44" s="363">
        <f t="shared" ca="1" si="507"/>
        <v>2.2494553405912923</v>
      </c>
      <c r="LJ44" s="363">
        <f t="shared" ca="1" si="507"/>
        <v>2.2995398938522285</v>
      </c>
      <c r="LK44" s="363">
        <f t="shared" ca="1" si="507"/>
        <v>2.4309765731744495</v>
      </c>
      <c r="LL44" s="363">
        <f t="shared" ca="1" si="507"/>
        <v>2.322896195804744</v>
      </c>
      <c r="LM44" s="363">
        <f t="shared" ca="1" si="507"/>
        <v>2.5605328084002013</v>
      </c>
      <c r="LN44" s="363">
        <f t="shared" ca="1" si="507"/>
        <v>2.2483435227030704</v>
      </c>
      <c r="LO44" s="363">
        <f t="shared" ca="1" si="507"/>
        <v>2.2284730904635572</v>
      </c>
      <c r="LP44" s="363">
        <f t="shared" ca="1" si="507"/>
        <v>2.1728428075865174</v>
      </c>
      <c r="LQ44" s="363">
        <f t="shared" ca="1" si="507"/>
        <v>2.3736788341627681</v>
      </c>
      <c r="LR44" s="363">
        <f t="shared" ca="1" si="507"/>
        <v>2.3733533665679287</v>
      </c>
      <c r="LS44" s="363">
        <f t="shared" ca="1" si="507"/>
        <v>2.439628439602842</v>
      </c>
      <c r="LT44" s="363">
        <f t="shared" ca="1" si="507"/>
        <v>2.2508866653654467</v>
      </c>
      <c r="LU44" s="363">
        <f t="shared" ca="1" si="507"/>
        <v>2.2818268305495888</v>
      </c>
      <c r="LV44" s="363">
        <f t="shared" ca="1" si="507"/>
        <v>2.3192929129408784</v>
      </c>
      <c r="LW44" s="363">
        <f t="shared" ca="1" si="507"/>
        <v>2.3255300114394712</v>
      </c>
      <c r="LX44" s="363">
        <f t="shared" ca="1" si="507"/>
        <v>2.3138211355522955</v>
      </c>
      <c r="LY44" s="363">
        <f t="shared" ca="1" si="507"/>
        <v>2.3590924176791077</v>
      </c>
      <c r="LZ44" s="363">
        <f t="shared" ca="1" si="507"/>
        <v>2.343537289104376</v>
      </c>
      <c r="MA44" s="363">
        <f t="shared" ca="1" si="507"/>
        <v>2.2660523044483214</v>
      </c>
      <c r="MB44" s="363">
        <f t="shared" ca="1" si="507"/>
        <v>2.3193240164309681</v>
      </c>
      <c r="MC44" s="363">
        <f t="shared" ca="1" si="507"/>
        <v>2.3762299527689659</v>
      </c>
      <c r="MD44" s="363">
        <f t="shared" ca="1" si="507"/>
        <v>2.2754129987095215</v>
      </c>
      <c r="ME44" s="363">
        <f t="shared" ca="1" si="507"/>
        <v>2.3760295885306255</v>
      </c>
      <c r="MF44" s="363">
        <f t="shared" ca="1" si="507"/>
        <v>2.3760210781294324</v>
      </c>
      <c r="MG44" s="363">
        <f t="shared" ca="1" si="507"/>
        <v>2.2256576111719988</v>
      </c>
      <c r="MH44" s="363">
        <f t="shared" ca="1" si="507"/>
        <v>2.3821288048834104</v>
      </c>
      <c r="MI44" s="363">
        <f t="shared" ca="1" si="507"/>
        <v>2.3318130889503248</v>
      </c>
      <c r="MJ44" s="363">
        <f t="shared" ca="1" si="507"/>
        <v>2.3899144690479091</v>
      </c>
      <c r="MK44" s="363">
        <f t="shared" ca="1" si="507"/>
        <v>2.2479952988885246</v>
      </c>
      <c r="ML44" s="363">
        <f t="shared" ca="1" si="507"/>
        <v>2.2851150758342498</v>
      </c>
      <c r="MM44" s="363">
        <f t="shared" ca="1" si="507"/>
        <v>2.3756404362241041</v>
      </c>
      <c r="MN44" s="363">
        <f t="shared" ca="1" si="507"/>
        <v>2.2522187330972288</v>
      </c>
      <c r="MO44" s="363">
        <f t="shared" ca="1" si="507"/>
        <v>2.3346224202367813</v>
      </c>
      <c r="MP44" s="363">
        <f t="shared" ca="1" si="507"/>
        <v>2.3157452082960153</v>
      </c>
      <c r="MQ44" s="363">
        <f t="shared" ca="1" si="507"/>
        <v>2.3521466208448616</v>
      </c>
      <c r="MR44" s="363">
        <f t="shared" ca="1" si="507"/>
        <v>2.3165240956935369</v>
      </c>
      <c r="MS44" s="363">
        <f t="shared" ca="1" si="507"/>
        <v>2.4377909583421888</v>
      </c>
      <c r="MT44" s="363">
        <f t="shared" ca="1" si="507"/>
        <v>2.282788889408502</v>
      </c>
      <c r="MU44" s="363">
        <f t="shared" ca="1" si="507"/>
        <v>2.3399492129195325</v>
      </c>
      <c r="MV44" s="363">
        <f t="shared" ca="1" si="507"/>
        <v>2.3164703788829586</v>
      </c>
      <c r="MW44" s="363">
        <f t="shared" ca="1" si="507"/>
        <v>2.304198308991158</v>
      </c>
      <c r="MX44" s="363">
        <f t="shared" ca="1" si="507"/>
        <v>2.1720691309435902</v>
      </c>
      <c r="MY44" s="363">
        <f t="shared" ca="1" si="507"/>
        <v>2.3416631782805841</v>
      </c>
      <c r="MZ44" s="363">
        <f t="shared" ca="1" si="507"/>
        <v>2.4174229467967603</v>
      </c>
      <c r="NA44" s="363">
        <f t="shared" ca="1" si="507"/>
        <v>2.2496801159819872</v>
      </c>
      <c r="NB44" s="363">
        <f t="shared" ca="1" si="507"/>
        <v>2.3317878540329291</v>
      </c>
      <c r="NC44" s="363">
        <f t="shared" ca="1" si="507"/>
        <v>2.2182279766626327</v>
      </c>
      <c r="ND44" s="363">
        <f t="shared" ca="1" si="507"/>
        <v>2.308399076873644</v>
      </c>
      <c r="NE44" s="363">
        <f t="shared" ca="1" si="507"/>
        <v>2.2947505876647654</v>
      </c>
      <c r="NF44" s="363">
        <f t="shared" ca="1" si="507"/>
        <v>2.2236784171238879</v>
      </c>
      <c r="NG44" s="363">
        <f t="shared" ca="1" si="507"/>
        <v>2.3868789103348771</v>
      </c>
      <c r="NH44" s="363">
        <f t="shared" ca="1" si="507"/>
        <v>2.4268396838946469</v>
      </c>
      <c r="NI44" s="363">
        <f t="shared" ca="1" si="507"/>
        <v>2.3052749753035298</v>
      </c>
      <c r="NJ44" s="363">
        <f t="shared" ca="1" si="507"/>
        <v>2.3049498855504198</v>
      </c>
      <c r="NK44" s="363">
        <f t="shared" ca="1" si="507"/>
        <v>2.257031481189415</v>
      </c>
      <c r="NL44" s="363">
        <f t="shared" ca="1" si="507"/>
        <v>2.2954789418667536</v>
      </c>
      <c r="NM44" s="363">
        <f t="shared" ca="1" si="507"/>
        <v>2.3469046197626668</v>
      </c>
      <c r="NN44" s="363">
        <f t="shared" ref="NN44:OV44" ca="1" si="508">_xlfn.LOGNORM.INV(RAND(),$I$44,$J$44)</f>
        <v>2.4025150789449072</v>
      </c>
      <c r="NO44" s="363">
        <f t="shared" ca="1" si="508"/>
        <v>2.2727042977084451</v>
      </c>
      <c r="NP44" s="363">
        <f t="shared" ca="1" si="508"/>
        <v>2.3162455445430004</v>
      </c>
      <c r="NQ44" s="363">
        <f t="shared" ca="1" si="508"/>
        <v>2.1698555005049096</v>
      </c>
      <c r="NR44" s="363">
        <f t="shared" ca="1" si="508"/>
        <v>2.3187858423371468</v>
      </c>
      <c r="NS44" s="363">
        <f t="shared" ca="1" si="508"/>
        <v>2.3889786015972727</v>
      </c>
      <c r="NT44" s="363">
        <f t="shared" ca="1" si="508"/>
        <v>2.4605150754294791</v>
      </c>
      <c r="NU44" s="363">
        <f t="shared" ca="1" si="508"/>
        <v>2.2008839463771142</v>
      </c>
      <c r="NV44" s="363">
        <f t="shared" ca="1" si="508"/>
        <v>2.242644098086509</v>
      </c>
      <c r="NW44" s="363">
        <f t="shared" ca="1" si="508"/>
        <v>2.3226876966074479</v>
      </c>
      <c r="NX44" s="363">
        <f t="shared" ca="1" si="508"/>
        <v>2.4201489782254284</v>
      </c>
      <c r="NY44" s="363">
        <f t="shared" ca="1" si="508"/>
        <v>2.4382718660991789</v>
      </c>
      <c r="NZ44" s="363">
        <f t="shared" ca="1" si="508"/>
        <v>2.3006742946434517</v>
      </c>
      <c r="OA44" s="363">
        <f t="shared" ca="1" si="508"/>
        <v>2.3211575994047258</v>
      </c>
      <c r="OB44" s="363">
        <f t="shared" ca="1" si="508"/>
        <v>2.3908043773824761</v>
      </c>
      <c r="OC44" s="363">
        <f t="shared" ca="1" si="508"/>
        <v>2.2320831774380867</v>
      </c>
      <c r="OD44" s="363">
        <f t="shared" ca="1" si="508"/>
        <v>2.30317621176459</v>
      </c>
      <c r="OE44" s="363">
        <f t="shared" ca="1" si="508"/>
        <v>2.2923873355050288</v>
      </c>
      <c r="OF44" s="363">
        <f t="shared" ca="1" si="508"/>
        <v>2.2896863518053276</v>
      </c>
      <c r="OG44" s="363">
        <f t="shared" ca="1" si="508"/>
        <v>2.3513865713380357</v>
      </c>
      <c r="OH44" s="363">
        <f t="shared" ca="1" si="508"/>
        <v>2.27404628853381</v>
      </c>
      <c r="OI44" s="363">
        <f t="shared" ca="1" si="508"/>
        <v>2.2257907414721423</v>
      </c>
      <c r="OJ44" s="363">
        <f t="shared" ca="1" si="508"/>
        <v>2.3166624686748869</v>
      </c>
      <c r="OK44" s="363">
        <f t="shared" ca="1" si="508"/>
        <v>2.328601736289154</v>
      </c>
      <c r="OL44" s="363">
        <f t="shared" ca="1" si="508"/>
        <v>2.3103539398280475</v>
      </c>
      <c r="OM44" s="363">
        <f t="shared" ca="1" si="508"/>
        <v>2.3171303052366516</v>
      </c>
      <c r="ON44" s="363">
        <f t="shared" ca="1" si="508"/>
        <v>2.1983986052854259</v>
      </c>
      <c r="OO44" s="363">
        <f t="shared" ca="1" si="508"/>
        <v>2.3404679415774323</v>
      </c>
      <c r="OP44" s="363">
        <f t="shared" ca="1" si="508"/>
        <v>2.4073652220464021</v>
      </c>
      <c r="OQ44" s="363">
        <f t="shared" ca="1" si="508"/>
        <v>2.360920947110694</v>
      </c>
      <c r="OR44" s="363">
        <f t="shared" ca="1" si="508"/>
        <v>2.3901641212263081</v>
      </c>
      <c r="OS44" s="363">
        <f t="shared" ca="1" si="508"/>
        <v>2.3837491677889497</v>
      </c>
      <c r="OT44" s="363">
        <f t="shared" ca="1" si="508"/>
        <v>2.3145350563254405</v>
      </c>
      <c r="OU44" s="363">
        <f t="shared" ca="1" si="508"/>
        <v>2.4312614532686037</v>
      </c>
      <c r="OV44" s="363">
        <f t="shared" ca="1" si="508"/>
        <v>2.2506172138491194</v>
      </c>
      <c r="OW44" s="363">
        <f ca="1">_xlfn.LOGNORM.INV(RAND(),$I$44,$J$44)</f>
        <v>2.3293521364233869</v>
      </c>
      <c r="OX44" s="363">
        <f t="shared" ref="OX44:RI44" ca="1" si="509">_xlfn.LOGNORM.INV(RAND(),$I$44,$J$44)</f>
        <v>2.2410979056768152</v>
      </c>
      <c r="OY44" s="363">
        <f t="shared" ca="1" si="509"/>
        <v>2.433074064471433</v>
      </c>
      <c r="OZ44" s="363">
        <f t="shared" ca="1" si="509"/>
        <v>2.1939991101800151</v>
      </c>
      <c r="PA44" s="363">
        <f t="shared" ca="1" si="509"/>
        <v>2.1834707378531197</v>
      </c>
      <c r="PB44" s="363">
        <f t="shared" ca="1" si="509"/>
        <v>2.1747834072131771</v>
      </c>
      <c r="PC44" s="363">
        <f t="shared" ca="1" si="509"/>
        <v>2.4556409294869503</v>
      </c>
      <c r="PD44" s="363">
        <f t="shared" ca="1" si="509"/>
        <v>2.3620950263655605</v>
      </c>
      <c r="PE44" s="363">
        <f t="shared" ca="1" si="509"/>
        <v>2.22883931700559</v>
      </c>
      <c r="PF44" s="363">
        <f t="shared" ca="1" si="509"/>
        <v>2.3833884508517813</v>
      </c>
      <c r="PG44" s="363">
        <f t="shared" ca="1" si="509"/>
        <v>2.4464382854762534</v>
      </c>
      <c r="PH44" s="363">
        <f t="shared" ca="1" si="509"/>
        <v>2.2979904006703222</v>
      </c>
      <c r="PI44" s="363">
        <f t="shared" ca="1" si="509"/>
        <v>2.3349107101403539</v>
      </c>
      <c r="PJ44" s="363">
        <f t="shared" ca="1" si="509"/>
        <v>2.4210213255560245</v>
      </c>
      <c r="PK44" s="363">
        <f t="shared" ca="1" si="509"/>
        <v>2.368870591115237</v>
      </c>
      <c r="PL44" s="363">
        <f t="shared" ca="1" si="509"/>
        <v>2.3426108625654547</v>
      </c>
      <c r="PM44" s="363">
        <f t="shared" ca="1" si="509"/>
        <v>2.238905394629588</v>
      </c>
      <c r="PN44" s="363">
        <f t="shared" ca="1" si="509"/>
        <v>2.1787522497532272</v>
      </c>
      <c r="PO44" s="363">
        <f t="shared" ca="1" si="509"/>
        <v>2.3361354509220171</v>
      </c>
      <c r="PP44" s="363">
        <f t="shared" ca="1" si="509"/>
        <v>2.3527880724428978</v>
      </c>
      <c r="PQ44" s="363">
        <f t="shared" ca="1" si="509"/>
        <v>2.3246351853989</v>
      </c>
      <c r="PR44" s="363">
        <f t="shared" ca="1" si="509"/>
        <v>2.2274664639806443</v>
      </c>
      <c r="PS44" s="363">
        <f t="shared" ca="1" si="509"/>
        <v>2.1923403345667083</v>
      </c>
      <c r="PT44" s="363">
        <f t="shared" ca="1" si="509"/>
        <v>2.4881680717201689</v>
      </c>
      <c r="PU44" s="363">
        <f t="shared" ca="1" si="509"/>
        <v>2.369560041745209</v>
      </c>
      <c r="PV44" s="363">
        <f t="shared" ca="1" si="509"/>
        <v>2.3663625765616878</v>
      </c>
      <c r="PW44" s="363">
        <f t="shared" ca="1" si="509"/>
        <v>2.3140783760713304</v>
      </c>
      <c r="PX44" s="363">
        <f t="shared" ca="1" si="509"/>
        <v>2.4414393918962793</v>
      </c>
      <c r="PY44" s="363">
        <f t="shared" ca="1" si="509"/>
        <v>2.1843171386249951</v>
      </c>
      <c r="PZ44" s="363">
        <f t="shared" ca="1" si="509"/>
        <v>2.4725930567638406</v>
      </c>
      <c r="QA44" s="363">
        <f t="shared" ca="1" si="509"/>
        <v>2.3864657189195504</v>
      </c>
      <c r="QB44" s="363">
        <f t="shared" ca="1" si="509"/>
        <v>2.2630193670296994</v>
      </c>
      <c r="QC44" s="363">
        <f t="shared" ca="1" si="509"/>
        <v>2.4008303756449245</v>
      </c>
      <c r="QD44" s="363">
        <f t="shared" ca="1" si="509"/>
        <v>2.14822415022434</v>
      </c>
      <c r="QE44" s="363">
        <f t="shared" ca="1" si="509"/>
        <v>2.2017510922636978</v>
      </c>
      <c r="QF44" s="363">
        <f t="shared" ca="1" si="509"/>
        <v>2.2647449638565043</v>
      </c>
      <c r="QG44" s="363">
        <f t="shared" ca="1" si="509"/>
        <v>2.2212153702443591</v>
      </c>
      <c r="QH44" s="363">
        <f t="shared" ca="1" si="509"/>
        <v>2.2558228761649075</v>
      </c>
      <c r="QI44" s="363">
        <f t="shared" ca="1" si="509"/>
        <v>2.3952038440311694</v>
      </c>
      <c r="QJ44" s="363">
        <f t="shared" ca="1" si="509"/>
        <v>2.4973224260298448</v>
      </c>
      <c r="QK44" s="363">
        <f t="shared" ca="1" si="509"/>
        <v>2.3073541442854379</v>
      </c>
      <c r="QL44" s="363">
        <f t="shared" ca="1" si="509"/>
        <v>2.2387310685973758</v>
      </c>
      <c r="QM44" s="363">
        <f t="shared" ca="1" si="509"/>
        <v>2.1789843380298111</v>
      </c>
      <c r="QN44" s="363">
        <f t="shared" ca="1" si="509"/>
        <v>2.2291142891462514</v>
      </c>
      <c r="QO44" s="363">
        <f t="shared" ca="1" si="509"/>
        <v>2.3307119881024816</v>
      </c>
      <c r="QP44" s="363">
        <f t="shared" ca="1" si="509"/>
        <v>2.4657728974588218</v>
      </c>
      <c r="QQ44" s="363">
        <f t="shared" ca="1" si="509"/>
        <v>2.3168027354958953</v>
      </c>
      <c r="QR44" s="363">
        <f t="shared" ca="1" si="509"/>
        <v>2.1224690054198918</v>
      </c>
      <c r="QS44" s="363">
        <f t="shared" ca="1" si="509"/>
        <v>2.2350678989647306</v>
      </c>
      <c r="QT44" s="363">
        <f t="shared" ca="1" si="509"/>
        <v>2.2557680760763983</v>
      </c>
      <c r="QU44" s="363">
        <f t="shared" ca="1" si="509"/>
        <v>2.3931373618464402</v>
      </c>
      <c r="QV44" s="363">
        <f t="shared" ca="1" si="509"/>
        <v>2.2821378591042714</v>
      </c>
      <c r="QW44" s="363">
        <f t="shared" ca="1" si="509"/>
        <v>2.3088118730020901</v>
      </c>
      <c r="QX44" s="363">
        <f t="shared" ca="1" si="509"/>
        <v>2.2977923272561398</v>
      </c>
      <c r="QY44" s="363">
        <f t="shared" ca="1" si="509"/>
        <v>2.220425579752892</v>
      </c>
      <c r="QZ44" s="363">
        <f t="shared" ca="1" si="509"/>
        <v>2.3198064348440233</v>
      </c>
      <c r="RA44" s="363">
        <f t="shared" ca="1" si="509"/>
        <v>2.359375727257695</v>
      </c>
      <c r="RB44" s="363">
        <f t="shared" ca="1" si="509"/>
        <v>2.3713718969629207</v>
      </c>
      <c r="RC44" s="363">
        <f t="shared" ca="1" si="509"/>
        <v>2.3047726401596176</v>
      </c>
      <c r="RD44" s="363">
        <f t="shared" ca="1" si="509"/>
        <v>2.3730987208573322</v>
      </c>
      <c r="RE44" s="363">
        <f t="shared" ca="1" si="509"/>
        <v>2.310149436756249</v>
      </c>
      <c r="RF44" s="363">
        <f t="shared" ca="1" si="509"/>
        <v>2.24402028537992</v>
      </c>
      <c r="RG44" s="363">
        <f t="shared" ca="1" si="509"/>
        <v>2.3707538831201997</v>
      </c>
      <c r="RH44" s="363">
        <f t="shared" ca="1" si="509"/>
        <v>2.3411745223647515</v>
      </c>
      <c r="RI44" s="363">
        <f t="shared" ca="1" si="509"/>
        <v>2.4501723868750496</v>
      </c>
      <c r="RJ44" s="363">
        <f t="shared" ref="RJ44:SR44" ca="1" si="510">_xlfn.LOGNORM.INV(RAND(),$I$44,$J$44)</f>
        <v>2.2782968737686393</v>
      </c>
      <c r="RK44" s="363">
        <f t="shared" ca="1" si="510"/>
        <v>2.3677606852208841</v>
      </c>
      <c r="RL44" s="363">
        <f t="shared" ca="1" si="510"/>
        <v>2.2048397190883855</v>
      </c>
      <c r="RM44" s="363">
        <f t="shared" ca="1" si="510"/>
        <v>2.2071345981339019</v>
      </c>
      <c r="RN44" s="363">
        <f t="shared" ca="1" si="510"/>
        <v>2.3929461957339293</v>
      </c>
      <c r="RO44" s="363">
        <f t="shared" ca="1" si="510"/>
        <v>2.3380818485130401</v>
      </c>
      <c r="RP44" s="363">
        <f t="shared" ca="1" si="510"/>
        <v>2.3912159930925228</v>
      </c>
      <c r="RQ44" s="363">
        <f t="shared" ca="1" si="510"/>
        <v>2.3167986391362865</v>
      </c>
      <c r="RR44" s="363">
        <f t="shared" ca="1" si="510"/>
        <v>2.2470189810216432</v>
      </c>
      <c r="RS44" s="363">
        <f t="shared" ca="1" si="510"/>
        <v>2.3735528726374477</v>
      </c>
      <c r="RT44" s="363">
        <f t="shared" ca="1" si="510"/>
        <v>2.4233089600950084</v>
      </c>
      <c r="RU44" s="363">
        <f t="shared" ca="1" si="510"/>
        <v>2.2260837103648532</v>
      </c>
      <c r="RV44" s="363">
        <f t="shared" ca="1" si="510"/>
        <v>2.1315165937127158</v>
      </c>
      <c r="RW44" s="363">
        <f t="shared" ca="1" si="510"/>
        <v>2.3036465869460248</v>
      </c>
      <c r="RX44" s="363">
        <f t="shared" ca="1" si="510"/>
        <v>2.3439762890371809</v>
      </c>
      <c r="RY44" s="363">
        <f t="shared" ca="1" si="510"/>
        <v>2.2338895274312756</v>
      </c>
      <c r="RZ44" s="363">
        <f t="shared" ca="1" si="510"/>
        <v>2.3742695396344757</v>
      </c>
      <c r="SA44" s="363">
        <f t="shared" ca="1" si="510"/>
        <v>2.2940538192184965</v>
      </c>
      <c r="SB44" s="363">
        <f t="shared" ca="1" si="510"/>
        <v>2.261478310648998</v>
      </c>
      <c r="SC44" s="363">
        <f t="shared" ca="1" si="510"/>
        <v>2.2608612280406932</v>
      </c>
      <c r="SD44" s="363">
        <f t="shared" ca="1" si="510"/>
        <v>2.3300002616671134</v>
      </c>
      <c r="SE44" s="363">
        <f t="shared" ca="1" si="510"/>
        <v>2.3663034736147837</v>
      </c>
      <c r="SF44" s="363">
        <f t="shared" ca="1" si="510"/>
        <v>2.3682797078900903</v>
      </c>
      <c r="SG44" s="363">
        <f t="shared" ca="1" si="510"/>
        <v>2.1922691076038427</v>
      </c>
      <c r="SH44" s="363">
        <f t="shared" ca="1" si="510"/>
        <v>2.1670454887165724</v>
      </c>
      <c r="SI44" s="363">
        <f t="shared" ca="1" si="510"/>
        <v>2.3336386644204778</v>
      </c>
      <c r="SJ44" s="363">
        <f t="shared" ca="1" si="510"/>
        <v>2.3178641813093788</v>
      </c>
      <c r="SK44" s="363">
        <f t="shared" ca="1" si="510"/>
        <v>2.3927761513498784</v>
      </c>
      <c r="SL44" s="363">
        <f t="shared" ca="1" si="510"/>
        <v>2.3931524824772552</v>
      </c>
      <c r="SM44" s="363">
        <f t="shared" ca="1" si="510"/>
        <v>2.4165893192443466</v>
      </c>
      <c r="SN44" s="363">
        <f t="shared" ca="1" si="510"/>
        <v>2.2828035116084724</v>
      </c>
      <c r="SO44" s="363">
        <f t="shared" ca="1" si="510"/>
        <v>2.3074248417492367</v>
      </c>
      <c r="SP44" s="363">
        <f t="shared" ca="1" si="510"/>
        <v>2.3396529850346313</v>
      </c>
      <c r="SQ44" s="363">
        <f t="shared" ca="1" si="510"/>
        <v>2.2629355136110352</v>
      </c>
      <c r="SR44" s="363">
        <f t="shared" ca="1" si="510"/>
        <v>2.2528515009680556</v>
      </c>
      <c r="SS44" s="363">
        <f ca="1">_xlfn.LOGNORM.INV(RAND(),$I$44,$J$44)</f>
        <v>2.1153093216359853</v>
      </c>
      <c r="ST44" s="363">
        <f t="shared" ref="ST44:VE44" ca="1" si="511">_xlfn.LOGNORM.INV(RAND(),$I$44,$J$44)</f>
        <v>2.349425461496113</v>
      </c>
      <c r="SU44" s="363">
        <f t="shared" ca="1" si="511"/>
        <v>2.2460130276039298</v>
      </c>
      <c r="SV44" s="363">
        <f t="shared" ca="1" si="511"/>
        <v>2.3338534836163416</v>
      </c>
      <c r="SW44" s="363">
        <f t="shared" ca="1" si="511"/>
        <v>2.2735561520747334</v>
      </c>
      <c r="SX44" s="363">
        <f t="shared" ca="1" si="511"/>
        <v>2.3741968935990747</v>
      </c>
      <c r="SY44" s="363">
        <f t="shared" ca="1" si="511"/>
        <v>2.3523722221708474</v>
      </c>
      <c r="SZ44" s="363">
        <f t="shared" ca="1" si="511"/>
        <v>2.3807196843372602</v>
      </c>
      <c r="TA44" s="363">
        <f t="shared" ca="1" si="511"/>
        <v>2.3786478061332188</v>
      </c>
      <c r="TB44" s="363">
        <f t="shared" ca="1" si="511"/>
        <v>2.1707055742248218</v>
      </c>
      <c r="TC44" s="363">
        <f t="shared" ca="1" si="511"/>
        <v>2.3542352611791113</v>
      </c>
      <c r="TD44" s="363">
        <f t="shared" ca="1" si="511"/>
        <v>2.2770424481573777</v>
      </c>
      <c r="TE44" s="363">
        <f t="shared" ca="1" si="511"/>
        <v>2.3552483995626381</v>
      </c>
      <c r="TF44" s="363">
        <f t="shared" ca="1" si="511"/>
        <v>2.2042172035017775</v>
      </c>
      <c r="TG44" s="363">
        <f t="shared" ca="1" si="511"/>
        <v>2.3800647529007941</v>
      </c>
      <c r="TH44" s="363">
        <f t="shared" ca="1" si="511"/>
        <v>2.3014625510196915</v>
      </c>
      <c r="TI44" s="363">
        <f t="shared" ca="1" si="511"/>
        <v>2.4346336729473639</v>
      </c>
      <c r="TJ44" s="363">
        <f t="shared" ca="1" si="511"/>
        <v>2.5196151561577418</v>
      </c>
      <c r="TK44" s="363">
        <f t="shared" ca="1" si="511"/>
        <v>2.4481616745196022</v>
      </c>
      <c r="TL44" s="363">
        <f t="shared" ca="1" si="511"/>
        <v>2.3295728502712714</v>
      </c>
      <c r="TM44" s="363">
        <f t="shared" ca="1" si="511"/>
        <v>2.1982761899832446</v>
      </c>
      <c r="TN44" s="363">
        <f t="shared" ca="1" si="511"/>
        <v>2.2859693363535567</v>
      </c>
      <c r="TO44" s="363">
        <f t="shared" ca="1" si="511"/>
        <v>2.3114114792443328</v>
      </c>
      <c r="TP44" s="363">
        <f t="shared" ca="1" si="511"/>
        <v>2.2277368463158713</v>
      </c>
      <c r="TQ44" s="363">
        <f t="shared" ca="1" si="511"/>
        <v>2.3321960687177943</v>
      </c>
      <c r="TR44" s="363">
        <f t="shared" ca="1" si="511"/>
        <v>2.3319210913225956</v>
      </c>
      <c r="TS44" s="363">
        <f t="shared" ca="1" si="511"/>
        <v>2.3980678477592265</v>
      </c>
      <c r="TT44" s="363">
        <f t="shared" ca="1" si="511"/>
        <v>2.4472210437912816</v>
      </c>
      <c r="TU44" s="363">
        <f t="shared" ca="1" si="511"/>
        <v>2.3256195092298411</v>
      </c>
      <c r="TV44" s="363">
        <f t="shared" ca="1" si="511"/>
        <v>2.3190017129550453</v>
      </c>
      <c r="TW44" s="363">
        <f t="shared" ca="1" si="511"/>
        <v>2.2244415409516876</v>
      </c>
      <c r="TX44" s="363">
        <f t="shared" ca="1" si="511"/>
        <v>2.3694662628299534</v>
      </c>
      <c r="TY44" s="363">
        <f t="shared" ca="1" si="511"/>
        <v>2.3703953794939348</v>
      </c>
      <c r="TZ44" s="363">
        <f t="shared" ca="1" si="511"/>
        <v>2.2180194954877961</v>
      </c>
      <c r="UA44" s="363">
        <f t="shared" ca="1" si="511"/>
        <v>2.2601943570875642</v>
      </c>
      <c r="UB44" s="363">
        <f t="shared" ca="1" si="511"/>
        <v>2.3222016336401703</v>
      </c>
      <c r="UC44" s="363">
        <f t="shared" ca="1" si="511"/>
        <v>2.1770646887933336</v>
      </c>
      <c r="UD44" s="363">
        <f t="shared" ca="1" si="511"/>
        <v>2.4116934096438056</v>
      </c>
      <c r="UE44" s="363">
        <f t="shared" ca="1" si="511"/>
        <v>2.3858676527149707</v>
      </c>
      <c r="UF44" s="363">
        <f t="shared" ca="1" si="511"/>
        <v>2.3316490251566351</v>
      </c>
      <c r="UG44" s="363">
        <f t="shared" ca="1" si="511"/>
        <v>2.2611754521081004</v>
      </c>
      <c r="UH44" s="363">
        <f t="shared" ca="1" si="511"/>
        <v>2.2758978019818854</v>
      </c>
      <c r="UI44" s="363">
        <f t="shared" ca="1" si="511"/>
        <v>2.3579613161974344</v>
      </c>
      <c r="UJ44" s="363">
        <f t="shared" ca="1" si="511"/>
        <v>2.430205735732764</v>
      </c>
      <c r="UK44" s="363">
        <f t="shared" ca="1" si="511"/>
        <v>2.3696821776707298</v>
      </c>
      <c r="UL44" s="363">
        <f t="shared" ca="1" si="511"/>
        <v>2.4064674177918093</v>
      </c>
      <c r="UM44" s="363">
        <f t="shared" ca="1" si="511"/>
        <v>2.3041824460809712</v>
      </c>
      <c r="UN44" s="363">
        <f t="shared" ca="1" si="511"/>
        <v>2.4864770050528824</v>
      </c>
      <c r="UO44" s="363">
        <f t="shared" ca="1" si="511"/>
        <v>2.3767030167601333</v>
      </c>
      <c r="UP44" s="363">
        <f t="shared" ca="1" si="511"/>
        <v>2.3139384940919445</v>
      </c>
      <c r="UQ44" s="363">
        <f t="shared" ca="1" si="511"/>
        <v>2.3163380938323521</v>
      </c>
      <c r="UR44" s="363">
        <f t="shared" ca="1" si="511"/>
        <v>2.337083542398362</v>
      </c>
      <c r="US44" s="363">
        <f t="shared" ca="1" si="511"/>
        <v>2.2083204822668661</v>
      </c>
      <c r="UT44" s="363">
        <f t="shared" ca="1" si="511"/>
        <v>2.4223793616939373</v>
      </c>
      <c r="UU44" s="363">
        <f t="shared" ca="1" si="511"/>
        <v>2.3226681373091003</v>
      </c>
      <c r="UV44" s="363">
        <f t="shared" ca="1" si="511"/>
        <v>2.3246673103266624</v>
      </c>
      <c r="UW44" s="363">
        <f t="shared" ca="1" si="511"/>
        <v>2.4389671757199487</v>
      </c>
      <c r="UX44" s="363">
        <f t="shared" ca="1" si="511"/>
        <v>2.3575567794293963</v>
      </c>
      <c r="UY44" s="363">
        <f t="shared" ca="1" si="511"/>
        <v>2.3698788379954405</v>
      </c>
      <c r="UZ44" s="363">
        <f t="shared" ca="1" si="511"/>
        <v>2.3830445499498683</v>
      </c>
      <c r="VA44" s="363">
        <f t="shared" ca="1" si="511"/>
        <v>2.299955347788369</v>
      </c>
      <c r="VB44" s="363">
        <f t="shared" ca="1" si="511"/>
        <v>2.2976299383258931</v>
      </c>
      <c r="VC44" s="363">
        <f t="shared" ca="1" si="511"/>
        <v>2.3419472313286041</v>
      </c>
      <c r="VD44" s="363">
        <f t="shared" ca="1" si="511"/>
        <v>2.2316190071033253</v>
      </c>
      <c r="VE44" s="363">
        <f t="shared" ca="1" si="511"/>
        <v>2.1350139183986587</v>
      </c>
      <c r="VF44" s="363">
        <f t="shared" ref="VF44:WN44" ca="1" si="512">_xlfn.LOGNORM.INV(RAND(),$I$44,$J$44)</f>
        <v>2.2856276282539607</v>
      </c>
      <c r="VG44" s="363">
        <f t="shared" ca="1" si="512"/>
        <v>2.3999056271237529</v>
      </c>
      <c r="VH44" s="363">
        <f t="shared" ca="1" si="512"/>
        <v>2.3126287950491622</v>
      </c>
      <c r="VI44" s="363">
        <f t="shared" ca="1" si="512"/>
        <v>2.5335620945843589</v>
      </c>
      <c r="VJ44" s="363">
        <f t="shared" ca="1" si="512"/>
        <v>2.298276087295176</v>
      </c>
      <c r="VK44" s="363">
        <f t="shared" ca="1" si="512"/>
        <v>2.4212589768586219</v>
      </c>
      <c r="VL44" s="363">
        <f t="shared" ca="1" si="512"/>
        <v>2.4154656000420056</v>
      </c>
      <c r="VM44" s="363">
        <f t="shared" ca="1" si="512"/>
        <v>2.2906213237604707</v>
      </c>
      <c r="VN44" s="363">
        <f t="shared" ca="1" si="512"/>
        <v>2.337110249882095</v>
      </c>
      <c r="VO44" s="363">
        <f t="shared" ca="1" si="512"/>
        <v>2.1987236463549498</v>
      </c>
      <c r="VP44" s="363">
        <f t="shared" ca="1" si="512"/>
        <v>2.1682639781078525</v>
      </c>
      <c r="VQ44" s="363">
        <f t="shared" ca="1" si="512"/>
        <v>2.1920608185375046</v>
      </c>
      <c r="VR44" s="363">
        <f t="shared" ca="1" si="512"/>
        <v>2.2333003159336662</v>
      </c>
      <c r="VS44" s="363">
        <f t="shared" ca="1" si="512"/>
        <v>2.1886636980016823</v>
      </c>
      <c r="VT44" s="363">
        <f t="shared" ca="1" si="512"/>
        <v>2.3267259443667863</v>
      </c>
      <c r="VU44" s="363">
        <f t="shared" ca="1" si="512"/>
        <v>2.3223998871258424</v>
      </c>
      <c r="VV44" s="363">
        <f t="shared" ca="1" si="512"/>
        <v>2.3575692225155782</v>
      </c>
      <c r="VW44" s="363">
        <f t="shared" ca="1" si="512"/>
        <v>2.3232560723179216</v>
      </c>
      <c r="VX44" s="363">
        <f t="shared" ca="1" si="512"/>
        <v>2.3563791196900938</v>
      </c>
      <c r="VY44" s="363">
        <f t="shared" ca="1" si="512"/>
        <v>2.2700014141737976</v>
      </c>
      <c r="VZ44" s="363">
        <f t="shared" ca="1" si="512"/>
        <v>2.2366390508819722</v>
      </c>
      <c r="WA44" s="363">
        <f t="shared" ca="1" si="512"/>
        <v>2.2852077084466691</v>
      </c>
      <c r="WB44" s="363">
        <f t="shared" ca="1" si="512"/>
        <v>2.3517899128517983</v>
      </c>
      <c r="WC44" s="363">
        <f t="shared" ca="1" si="512"/>
        <v>2.4030996320664082</v>
      </c>
      <c r="WD44" s="363">
        <f t="shared" ca="1" si="512"/>
        <v>2.3242225771384328</v>
      </c>
      <c r="WE44" s="363">
        <f t="shared" ca="1" si="512"/>
        <v>2.2717116990638506</v>
      </c>
      <c r="WF44" s="363">
        <f t="shared" ca="1" si="512"/>
        <v>2.4804340753842604</v>
      </c>
      <c r="WG44" s="363">
        <f t="shared" ca="1" si="512"/>
        <v>2.3695806541423861</v>
      </c>
      <c r="WH44" s="363">
        <f t="shared" ca="1" si="512"/>
        <v>2.3003722530323985</v>
      </c>
      <c r="WI44" s="363">
        <f t="shared" ca="1" si="512"/>
        <v>2.3318073673412134</v>
      </c>
      <c r="WJ44" s="363">
        <f t="shared" ca="1" si="512"/>
        <v>2.2796090843337153</v>
      </c>
      <c r="WK44" s="363">
        <f t="shared" ca="1" si="512"/>
        <v>2.3020547768849942</v>
      </c>
      <c r="WL44" s="363">
        <f t="shared" ca="1" si="512"/>
        <v>2.3760240471163248</v>
      </c>
      <c r="WM44" s="363">
        <f t="shared" ca="1" si="512"/>
        <v>2.2345787170970928</v>
      </c>
      <c r="WN44" s="363">
        <f t="shared" ca="1" si="512"/>
        <v>2.3601974159590524</v>
      </c>
    </row>
  </sheetData>
  <pageMargins left="0.7" right="0.7" top="0.75" bottom="0.75" header="0.3" footer="0.3"/>
  <pageSetup paperSize="9" orientation="portrait" r:id="rId1"/>
  <ignoredErrors>
    <ignoredError sqref="I34:J34" formula="1"/>
    <ignoredError sqref="H35"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6EFB3-C6C0-478E-BD2C-9BB81E29E68B}">
  <dimension ref="B1:H1007"/>
  <sheetViews>
    <sheetView workbookViewId="0">
      <pane ySplit="6" topLeftCell="A7" activePane="bottomLeft" state="frozen"/>
      <selection pane="bottomLeft" activeCell="C8" sqref="C8"/>
    </sheetView>
  </sheetViews>
  <sheetFormatPr baseColWidth="10" defaultColWidth="8.6640625" defaultRowHeight="12" x14ac:dyDescent="0.15"/>
  <cols>
    <col min="1" max="1" width="8.6640625" style="358"/>
    <col min="2" max="2" width="8.6640625" style="367"/>
    <col min="3" max="1999" width="8.6640625" style="358"/>
    <col min="2000" max="2000" width="2.1640625" style="358" customWidth="1"/>
    <col min="2001" max="16384" width="8.6640625" style="358"/>
  </cols>
  <sheetData>
    <row r="1" spans="2:8" s="372" customFormat="1" x14ac:dyDescent="0.15">
      <c r="B1" s="373"/>
    </row>
    <row r="2" spans="2:8" s="372" customFormat="1" x14ac:dyDescent="0.15">
      <c r="B2" s="373"/>
    </row>
    <row r="3" spans="2:8" s="372" customFormat="1" x14ac:dyDescent="0.15">
      <c r="B3" s="373"/>
    </row>
    <row r="4" spans="2:8" s="372" customFormat="1" x14ac:dyDescent="0.15">
      <c r="B4" s="373"/>
    </row>
    <row r="5" spans="2:8" s="372" customFormat="1" x14ac:dyDescent="0.15">
      <c r="B5" s="373"/>
      <c r="C5" s="577" t="s">
        <v>1301</v>
      </c>
      <c r="D5" s="577"/>
      <c r="E5" s="577" t="s">
        <v>1302</v>
      </c>
      <c r="F5" s="577"/>
      <c r="G5" s="577" t="s">
        <v>1303</v>
      </c>
      <c r="H5" s="577"/>
    </row>
    <row r="6" spans="2:8" x14ac:dyDescent="0.15">
      <c r="B6" s="383" t="s">
        <v>1298</v>
      </c>
      <c r="C6" s="484" t="s">
        <v>1299</v>
      </c>
      <c r="D6" s="484" t="s">
        <v>1300</v>
      </c>
      <c r="E6" s="484" t="s">
        <v>1299</v>
      </c>
      <c r="F6" s="484" t="s">
        <v>1300</v>
      </c>
      <c r="G6" s="484" t="s">
        <v>1299</v>
      </c>
      <c r="H6" s="484" t="s">
        <v>1300</v>
      </c>
    </row>
    <row r="7" spans="2:8" x14ac:dyDescent="0.15">
      <c r="G7" s="358" t="s">
        <v>954</v>
      </c>
    </row>
    <row r="8" spans="2:8" x14ac:dyDescent="0.15">
      <c r="B8" s="367">
        <v>1</v>
      </c>
      <c r="D8" s="483"/>
    </row>
    <row r="9" spans="2:8" x14ac:dyDescent="0.15">
      <c r="B9" s="367">
        <v>2</v>
      </c>
    </row>
    <row r="10" spans="2:8" x14ac:dyDescent="0.15">
      <c r="B10" s="367">
        <v>3</v>
      </c>
    </row>
    <row r="11" spans="2:8" x14ac:dyDescent="0.15">
      <c r="B11" s="367">
        <v>4</v>
      </c>
    </row>
    <row r="12" spans="2:8" x14ac:dyDescent="0.15">
      <c r="B12" s="367">
        <v>5</v>
      </c>
    </row>
    <row r="13" spans="2:8" x14ac:dyDescent="0.15">
      <c r="B13" s="367">
        <v>6</v>
      </c>
    </row>
    <row r="14" spans="2:8" x14ac:dyDescent="0.15">
      <c r="B14" s="367">
        <v>7</v>
      </c>
    </row>
    <row r="15" spans="2:8" x14ac:dyDescent="0.15">
      <c r="B15" s="367">
        <v>8</v>
      </c>
    </row>
    <row r="16" spans="2:8" x14ac:dyDescent="0.15">
      <c r="B16" s="367">
        <v>9</v>
      </c>
    </row>
    <row r="17" spans="2:2" x14ac:dyDescent="0.15">
      <c r="B17" s="367">
        <v>10</v>
      </c>
    </row>
    <row r="18" spans="2:2" x14ac:dyDescent="0.15">
      <c r="B18" s="367">
        <v>11</v>
      </c>
    </row>
    <row r="19" spans="2:2" x14ac:dyDescent="0.15">
      <c r="B19" s="367">
        <v>12</v>
      </c>
    </row>
    <row r="20" spans="2:2" x14ac:dyDescent="0.15">
      <c r="B20" s="367">
        <v>13</v>
      </c>
    </row>
    <row r="21" spans="2:2" x14ac:dyDescent="0.15">
      <c r="B21" s="367">
        <v>14</v>
      </c>
    </row>
    <row r="22" spans="2:2" x14ac:dyDescent="0.15">
      <c r="B22" s="367">
        <v>15</v>
      </c>
    </row>
    <row r="23" spans="2:2" x14ac:dyDescent="0.15">
      <c r="B23" s="367">
        <v>16</v>
      </c>
    </row>
    <row r="24" spans="2:2" x14ac:dyDescent="0.15">
      <c r="B24" s="367">
        <v>17</v>
      </c>
    </row>
    <row r="25" spans="2:2" x14ac:dyDescent="0.15">
      <c r="B25" s="367">
        <v>18</v>
      </c>
    </row>
    <row r="26" spans="2:2" x14ac:dyDescent="0.15">
      <c r="B26" s="367">
        <v>19</v>
      </c>
    </row>
    <row r="27" spans="2:2" x14ac:dyDescent="0.15">
      <c r="B27" s="367">
        <v>20</v>
      </c>
    </row>
    <row r="28" spans="2:2" x14ac:dyDescent="0.15">
      <c r="B28" s="367">
        <v>21</v>
      </c>
    </row>
    <row r="29" spans="2:2" x14ac:dyDescent="0.15">
      <c r="B29" s="367">
        <v>22</v>
      </c>
    </row>
    <row r="30" spans="2:2" x14ac:dyDescent="0.15">
      <c r="B30" s="367">
        <v>23</v>
      </c>
    </row>
    <row r="31" spans="2:2" x14ac:dyDescent="0.15">
      <c r="B31" s="367">
        <v>24</v>
      </c>
    </row>
    <row r="32" spans="2:2" x14ac:dyDescent="0.15">
      <c r="B32" s="367">
        <v>25</v>
      </c>
    </row>
    <row r="33" spans="2:2" x14ac:dyDescent="0.15">
      <c r="B33" s="367">
        <v>26</v>
      </c>
    </row>
    <row r="34" spans="2:2" x14ac:dyDescent="0.15">
      <c r="B34" s="367">
        <v>27</v>
      </c>
    </row>
    <row r="35" spans="2:2" x14ac:dyDescent="0.15">
      <c r="B35" s="367">
        <v>28</v>
      </c>
    </row>
    <row r="36" spans="2:2" x14ac:dyDescent="0.15">
      <c r="B36" s="367">
        <v>29</v>
      </c>
    </row>
    <row r="37" spans="2:2" x14ac:dyDescent="0.15">
      <c r="B37" s="367">
        <v>30</v>
      </c>
    </row>
    <row r="38" spans="2:2" x14ac:dyDescent="0.15">
      <c r="B38" s="367">
        <v>31</v>
      </c>
    </row>
    <row r="39" spans="2:2" x14ac:dyDescent="0.15">
      <c r="B39" s="367">
        <v>32</v>
      </c>
    </row>
    <row r="40" spans="2:2" x14ac:dyDescent="0.15">
      <c r="B40" s="367">
        <v>33</v>
      </c>
    </row>
    <row r="41" spans="2:2" x14ac:dyDescent="0.15">
      <c r="B41" s="367">
        <v>34</v>
      </c>
    </row>
    <row r="42" spans="2:2" x14ac:dyDescent="0.15">
      <c r="B42" s="367">
        <v>35</v>
      </c>
    </row>
    <row r="43" spans="2:2" x14ac:dyDescent="0.15">
      <c r="B43" s="367">
        <v>36</v>
      </c>
    </row>
    <row r="44" spans="2:2" x14ac:dyDescent="0.15">
      <c r="B44" s="367">
        <v>37</v>
      </c>
    </row>
    <row r="45" spans="2:2" x14ac:dyDescent="0.15">
      <c r="B45" s="367">
        <v>38</v>
      </c>
    </row>
    <row r="46" spans="2:2" x14ac:dyDescent="0.15">
      <c r="B46" s="367">
        <v>39</v>
      </c>
    </row>
    <row r="47" spans="2:2" x14ac:dyDescent="0.15">
      <c r="B47" s="367">
        <v>40</v>
      </c>
    </row>
    <row r="48" spans="2:2" x14ac:dyDescent="0.15">
      <c r="B48" s="367">
        <v>41</v>
      </c>
    </row>
    <row r="49" spans="2:2" x14ac:dyDescent="0.15">
      <c r="B49" s="367">
        <v>42</v>
      </c>
    </row>
    <row r="50" spans="2:2" x14ac:dyDescent="0.15">
      <c r="B50" s="367">
        <v>43</v>
      </c>
    </row>
    <row r="51" spans="2:2" x14ac:dyDescent="0.15">
      <c r="B51" s="367">
        <v>44</v>
      </c>
    </row>
    <row r="52" spans="2:2" x14ac:dyDescent="0.15">
      <c r="B52" s="367">
        <v>45</v>
      </c>
    </row>
    <row r="53" spans="2:2" x14ac:dyDescent="0.15">
      <c r="B53" s="367">
        <v>46</v>
      </c>
    </row>
    <row r="54" spans="2:2" x14ac:dyDescent="0.15">
      <c r="B54" s="367">
        <v>47</v>
      </c>
    </row>
    <row r="55" spans="2:2" x14ac:dyDescent="0.15">
      <c r="B55" s="367">
        <v>48</v>
      </c>
    </row>
    <row r="56" spans="2:2" x14ac:dyDescent="0.15">
      <c r="B56" s="367">
        <v>49</v>
      </c>
    </row>
    <row r="57" spans="2:2" x14ac:dyDescent="0.15">
      <c r="B57" s="367">
        <v>50</v>
      </c>
    </row>
    <row r="58" spans="2:2" x14ac:dyDescent="0.15">
      <c r="B58" s="367">
        <v>51</v>
      </c>
    </row>
    <row r="59" spans="2:2" x14ac:dyDescent="0.15">
      <c r="B59" s="367">
        <v>52</v>
      </c>
    </row>
    <row r="60" spans="2:2" x14ac:dyDescent="0.15">
      <c r="B60" s="367">
        <v>53</v>
      </c>
    </row>
    <row r="61" spans="2:2" x14ac:dyDescent="0.15">
      <c r="B61" s="367">
        <v>54</v>
      </c>
    </row>
    <row r="62" spans="2:2" x14ac:dyDescent="0.15">
      <c r="B62" s="367">
        <v>55</v>
      </c>
    </row>
    <row r="63" spans="2:2" x14ac:dyDescent="0.15">
      <c r="B63" s="367">
        <v>56</v>
      </c>
    </row>
    <row r="64" spans="2:2" x14ac:dyDescent="0.15">
      <c r="B64" s="367">
        <v>57</v>
      </c>
    </row>
    <row r="65" spans="2:2" x14ac:dyDescent="0.15">
      <c r="B65" s="367">
        <v>58</v>
      </c>
    </row>
    <row r="66" spans="2:2" x14ac:dyDescent="0.15">
      <c r="B66" s="367">
        <v>59</v>
      </c>
    </row>
    <row r="67" spans="2:2" x14ac:dyDescent="0.15">
      <c r="B67" s="367">
        <v>60</v>
      </c>
    </row>
    <row r="68" spans="2:2" x14ac:dyDescent="0.15">
      <c r="B68" s="367">
        <v>61</v>
      </c>
    </row>
    <row r="69" spans="2:2" x14ac:dyDescent="0.15">
      <c r="B69" s="367">
        <v>62</v>
      </c>
    </row>
    <row r="70" spans="2:2" x14ac:dyDescent="0.15">
      <c r="B70" s="367">
        <v>63</v>
      </c>
    </row>
    <row r="71" spans="2:2" x14ac:dyDescent="0.15">
      <c r="B71" s="367">
        <v>64</v>
      </c>
    </row>
    <row r="72" spans="2:2" x14ac:dyDescent="0.15">
      <c r="B72" s="367">
        <v>65</v>
      </c>
    </row>
    <row r="73" spans="2:2" x14ac:dyDescent="0.15">
      <c r="B73" s="367">
        <v>66</v>
      </c>
    </row>
    <row r="74" spans="2:2" x14ac:dyDescent="0.15">
      <c r="B74" s="367">
        <v>67</v>
      </c>
    </row>
    <row r="75" spans="2:2" x14ac:dyDescent="0.15">
      <c r="B75" s="367">
        <v>68</v>
      </c>
    </row>
    <row r="76" spans="2:2" x14ac:dyDescent="0.15">
      <c r="B76" s="367">
        <v>69</v>
      </c>
    </row>
    <row r="77" spans="2:2" x14ac:dyDescent="0.15">
      <c r="B77" s="367">
        <v>70</v>
      </c>
    </row>
    <row r="78" spans="2:2" x14ac:dyDescent="0.15">
      <c r="B78" s="367">
        <v>71</v>
      </c>
    </row>
    <row r="79" spans="2:2" x14ac:dyDescent="0.15">
      <c r="B79" s="367">
        <v>72</v>
      </c>
    </row>
    <row r="80" spans="2:2" x14ac:dyDescent="0.15">
      <c r="B80" s="367">
        <v>73</v>
      </c>
    </row>
    <row r="81" spans="2:2" x14ac:dyDescent="0.15">
      <c r="B81" s="367">
        <v>74</v>
      </c>
    </row>
    <row r="82" spans="2:2" x14ac:dyDescent="0.15">
      <c r="B82" s="367">
        <v>75</v>
      </c>
    </row>
    <row r="83" spans="2:2" x14ac:dyDescent="0.15">
      <c r="B83" s="367">
        <v>76</v>
      </c>
    </row>
    <row r="84" spans="2:2" x14ac:dyDescent="0.15">
      <c r="B84" s="367">
        <v>77</v>
      </c>
    </row>
    <row r="85" spans="2:2" x14ac:dyDescent="0.15">
      <c r="B85" s="367">
        <v>78</v>
      </c>
    </row>
    <row r="86" spans="2:2" x14ac:dyDescent="0.15">
      <c r="B86" s="367">
        <v>79</v>
      </c>
    </row>
    <row r="87" spans="2:2" x14ac:dyDescent="0.15">
      <c r="B87" s="367">
        <v>80</v>
      </c>
    </row>
    <row r="88" spans="2:2" x14ac:dyDescent="0.15">
      <c r="B88" s="367">
        <v>81</v>
      </c>
    </row>
    <row r="89" spans="2:2" x14ac:dyDescent="0.15">
      <c r="B89" s="367">
        <v>82</v>
      </c>
    </row>
    <row r="90" spans="2:2" x14ac:dyDescent="0.15">
      <c r="B90" s="367">
        <v>83</v>
      </c>
    </row>
    <row r="91" spans="2:2" x14ac:dyDescent="0.15">
      <c r="B91" s="367">
        <v>84</v>
      </c>
    </row>
    <row r="92" spans="2:2" x14ac:dyDescent="0.15">
      <c r="B92" s="367">
        <v>85</v>
      </c>
    </row>
    <row r="93" spans="2:2" x14ac:dyDescent="0.15">
      <c r="B93" s="367">
        <v>86</v>
      </c>
    </row>
    <row r="94" spans="2:2" x14ac:dyDescent="0.15">
      <c r="B94" s="367">
        <v>87</v>
      </c>
    </row>
    <row r="95" spans="2:2" x14ac:dyDescent="0.15">
      <c r="B95" s="367">
        <v>88</v>
      </c>
    </row>
    <row r="96" spans="2:2" x14ac:dyDescent="0.15">
      <c r="B96" s="367">
        <v>89</v>
      </c>
    </row>
    <row r="97" spans="2:2" x14ac:dyDescent="0.15">
      <c r="B97" s="367">
        <v>90</v>
      </c>
    </row>
    <row r="98" spans="2:2" x14ac:dyDescent="0.15">
      <c r="B98" s="367">
        <v>91</v>
      </c>
    </row>
    <row r="99" spans="2:2" x14ac:dyDescent="0.15">
      <c r="B99" s="367">
        <v>92</v>
      </c>
    </row>
    <row r="100" spans="2:2" x14ac:dyDescent="0.15">
      <c r="B100" s="367">
        <v>93</v>
      </c>
    </row>
    <row r="101" spans="2:2" x14ac:dyDescent="0.15">
      <c r="B101" s="367">
        <v>94</v>
      </c>
    </row>
    <row r="102" spans="2:2" x14ac:dyDescent="0.15">
      <c r="B102" s="367">
        <v>95</v>
      </c>
    </row>
    <row r="103" spans="2:2" x14ac:dyDescent="0.15">
      <c r="B103" s="367">
        <v>96</v>
      </c>
    </row>
    <row r="104" spans="2:2" x14ac:dyDescent="0.15">
      <c r="B104" s="367">
        <v>97</v>
      </c>
    </row>
    <row r="105" spans="2:2" x14ac:dyDescent="0.15">
      <c r="B105" s="367">
        <v>98</v>
      </c>
    </row>
    <row r="106" spans="2:2" x14ac:dyDescent="0.15">
      <c r="B106" s="367">
        <v>99</v>
      </c>
    </row>
    <row r="107" spans="2:2" x14ac:dyDescent="0.15">
      <c r="B107" s="367">
        <v>100</v>
      </c>
    </row>
    <row r="108" spans="2:2" x14ac:dyDescent="0.15">
      <c r="B108" s="367">
        <v>101</v>
      </c>
    </row>
    <row r="109" spans="2:2" x14ac:dyDescent="0.15">
      <c r="B109" s="367">
        <v>102</v>
      </c>
    </row>
    <row r="110" spans="2:2" x14ac:dyDescent="0.15">
      <c r="B110" s="367">
        <v>103</v>
      </c>
    </row>
    <row r="111" spans="2:2" x14ac:dyDescent="0.15">
      <c r="B111" s="367">
        <v>104</v>
      </c>
    </row>
    <row r="112" spans="2:2" x14ac:dyDescent="0.15">
      <c r="B112" s="367">
        <v>105</v>
      </c>
    </row>
    <row r="113" spans="2:2" x14ac:dyDescent="0.15">
      <c r="B113" s="367">
        <v>106</v>
      </c>
    </row>
    <row r="114" spans="2:2" x14ac:dyDescent="0.15">
      <c r="B114" s="367">
        <v>107</v>
      </c>
    </row>
    <row r="115" spans="2:2" x14ac:dyDescent="0.15">
      <c r="B115" s="367">
        <v>108</v>
      </c>
    </row>
    <row r="116" spans="2:2" x14ac:dyDescent="0.15">
      <c r="B116" s="367">
        <v>109</v>
      </c>
    </row>
    <row r="117" spans="2:2" x14ac:dyDescent="0.15">
      <c r="B117" s="367">
        <v>110</v>
      </c>
    </row>
    <row r="118" spans="2:2" x14ac:dyDescent="0.15">
      <c r="B118" s="367">
        <v>111</v>
      </c>
    </row>
    <row r="119" spans="2:2" x14ac:dyDescent="0.15">
      <c r="B119" s="367">
        <v>112</v>
      </c>
    </row>
    <row r="120" spans="2:2" x14ac:dyDescent="0.15">
      <c r="B120" s="367">
        <v>113</v>
      </c>
    </row>
    <row r="121" spans="2:2" x14ac:dyDescent="0.15">
      <c r="B121" s="367">
        <v>114</v>
      </c>
    </row>
    <row r="122" spans="2:2" x14ac:dyDescent="0.15">
      <c r="B122" s="367">
        <v>115</v>
      </c>
    </row>
    <row r="123" spans="2:2" x14ac:dyDescent="0.15">
      <c r="B123" s="367">
        <v>116</v>
      </c>
    </row>
    <row r="124" spans="2:2" x14ac:dyDescent="0.15">
      <c r="B124" s="367">
        <v>117</v>
      </c>
    </row>
    <row r="125" spans="2:2" x14ac:dyDescent="0.15">
      <c r="B125" s="367">
        <v>118</v>
      </c>
    </row>
    <row r="126" spans="2:2" x14ac:dyDescent="0.15">
      <c r="B126" s="367">
        <v>119</v>
      </c>
    </row>
    <row r="127" spans="2:2" x14ac:dyDescent="0.15">
      <c r="B127" s="367">
        <v>120</v>
      </c>
    </row>
    <row r="128" spans="2:2" x14ac:dyDescent="0.15">
      <c r="B128" s="367">
        <v>121</v>
      </c>
    </row>
    <row r="129" spans="2:2" x14ac:dyDescent="0.15">
      <c r="B129" s="367">
        <v>122</v>
      </c>
    </row>
    <row r="130" spans="2:2" x14ac:dyDescent="0.15">
      <c r="B130" s="367">
        <v>123</v>
      </c>
    </row>
    <row r="131" spans="2:2" x14ac:dyDescent="0.15">
      <c r="B131" s="367">
        <v>124</v>
      </c>
    </row>
    <row r="132" spans="2:2" x14ac:dyDescent="0.15">
      <c r="B132" s="367">
        <v>125</v>
      </c>
    </row>
    <row r="133" spans="2:2" x14ac:dyDescent="0.15">
      <c r="B133" s="367">
        <v>126</v>
      </c>
    </row>
    <row r="134" spans="2:2" x14ac:dyDescent="0.15">
      <c r="B134" s="367">
        <v>127</v>
      </c>
    </row>
    <row r="135" spans="2:2" x14ac:dyDescent="0.15">
      <c r="B135" s="367">
        <v>128</v>
      </c>
    </row>
    <row r="136" spans="2:2" x14ac:dyDescent="0.15">
      <c r="B136" s="367">
        <v>129</v>
      </c>
    </row>
    <row r="137" spans="2:2" x14ac:dyDescent="0.15">
      <c r="B137" s="367">
        <v>130</v>
      </c>
    </row>
    <row r="138" spans="2:2" x14ac:dyDescent="0.15">
      <c r="B138" s="367">
        <v>131</v>
      </c>
    </row>
    <row r="139" spans="2:2" x14ac:dyDescent="0.15">
      <c r="B139" s="367">
        <v>132</v>
      </c>
    </row>
    <row r="140" spans="2:2" x14ac:dyDescent="0.15">
      <c r="B140" s="367">
        <v>133</v>
      </c>
    </row>
    <row r="141" spans="2:2" x14ac:dyDescent="0.15">
      <c r="B141" s="367">
        <v>134</v>
      </c>
    </row>
    <row r="142" spans="2:2" x14ac:dyDescent="0.15">
      <c r="B142" s="367">
        <v>135</v>
      </c>
    </row>
    <row r="143" spans="2:2" x14ac:dyDescent="0.15">
      <c r="B143" s="367">
        <v>136</v>
      </c>
    </row>
    <row r="144" spans="2:2" x14ac:dyDescent="0.15">
      <c r="B144" s="367">
        <v>137</v>
      </c>
    </row>
    <row r="145" spans="2:2" x14ac:dyDescent="0.15">
      <c r="B145" s="367">
        <v>138</v>
      </c>
    </row>
    <row r="146" spans="2:2" x14ac:dyDescent="0.15">
      <c r="B146" s="367">
        <v>139</v>
      </c>
    </row>
    <row r="147" spans="2:2" x14ac:dyDescent="0.15">
      <c r="B147" s="367">
        <v>140</v>
      </c>
    </row>
    <row r="148" spans="2:2" x14ac:dyDescent="0.15">
      <c r="B148" s="367">
        <v>141</v>
      </c>
    </row>
    <row r="149" spans="2:2" x14ac:dyDescent="0.15">
      <c r="B149" s="367">
        <v>142</v>
      </c>
    </row>
    <row r="150" spans="2:2" x14ac:dyDescent="0.15">
      <c r="B150" s="367">
        <v>143</v>
      </c>
    </row>
    <row r="151" spans="2:2" x14ac:dyDescent="0.15">
      <c r="B151" s="367">
        <v>144</v>
      </c>
    </row>
    <row r="152" spans="2:2" x14ac:dyDescent="0.15">
      <c r="B152" s="367">
        <v>145</v>
      </c>
    </row>
    <row r="153" spans="2:2" x14ac:dyDescent="0.15">
      <c r="B153" s="367">
        <v>146</v>
      </c>
    </row>
    <row r="154" spans="2:2" x14ac:dyDescent="0.15">
      <c r="B154" s="367">
        <v>147</v>
      </c>
    </row>
    <row r="155" spans="2:2" x14ac:dyDescent="0.15">
      <c r="B155" s="367">
        <v>148</v>
      </c>
    </row>
    <row r="156" spans="2:2" x14ac:dyDescent="0.15">
      <c r="B156" s="367">
        <v>149</v>
      </c>
    </row>
    <row r="157" spans="2:2" x14ac:dyDescent="0.15">
      <c r="B157" s="367">
        <v>150</v>
      </c>
    </row>
    <row r="158" spans="2:2" x14ac:dyDescent="0.15">
      <c r="B158" s="367">
        <v>151</v>
      </c>
    </row>
    <row r="159" spans="2:2" x14ac:dyDescent="0.15">
      <c r="B159" s="367">
        <v>152</v>
      </c>
    </row>
    <row r="160" spans="2:2" x14ac:dyDescent="0.15">
      <c r="B160" s="367">
        <v>153</v>
      </c>
    </row>
    <row r="161" spans="2:2" x14ac:dyDescent="0.15">
      <c r="B161" s="367">
        <v>154</v>
      </c>
    </row>
    <row r="162" spans="2:2" x14ac:dyDescent="0.15">
      <c r="B162" s="367">
        <v>155</v>
      </c>
    </row>
    <row r="163" spans="2:2" x14ac:dyDescent="0.15">
      <c r="B163" s="367">
        <v>156</v>
      </c>
    </row>
    <row r="164" spans="2:2" x14ac:dyDescent="0.15">
      <c r="B164" s="367">
        <v>157</v>
      </c>
    </row>
    <row r="165" spans="2:2" x14ac:dyDescent="0.15">
      <c r="B165" s="367">
        <v>158</v>
      </c>
    </row>
    <row r="166" spans="2:2" x14ac:dyDescent="0.15">
      <c r="B166" s="367">
        <v>159</v>
      </c>
    </row>
    <row r="167" spans="2:2" x14ac:dyDescent="0.15">
      <c r="B167" s="367">
        <v>160</v>
      </c>
    </row>
    <row r="168" spans="2:2" x14ac:dyDescent="0.15">
      <c r="B168" s="367">
        <v>161</v>
      </c>
    </row>
    <row r="169" spans="2:2" x14ac:dyDescent="0.15">
      <c r="B169" s="367">
        <v>162</v>
      </c>
    </row>
    <row r="170" spans="2:2" x14ac:dyDescent="0.15">
      <c r="B170" s="367">
        <v>163</v>
      </c>
    </row>
    <row r="171" spans="2:2" x14ac:dyDescent="0.15">
      <c r="B171" s="367">
        <v>164</v>
      </c>
    </row>
    <row r="172" spans="2:2" x14ac:dyDescent="0.15">
      <c r="B172" s="367">
        <v>165</v>
      </c>
    </row>
    <row r="173" spans="2:2" x14ac:dyDescent="0.15">
      <c r="B173" s="367">
        <v>166</v>
      </c>
    </row>
    <row r="174" spans="2:2" x14ac:dyDescent="0.15">
      <c r="B174" s="367">
        <v>167</v>
      </c>
    </row>
    <row r="175" spans="2:2" x14ac:dyDescent="0.15">
      <c r="B175" s="367">
        <v>168</v>
      </c>
    </row>
    <row r="176" spans="2:2" x14ac:dyDescent="0.15">
      <c r="B176" s="367">
        <v>169</v>
      </c>
    </row>
    <row r="177" spans="2:2" x14ac:dyDescent="0.15">
      <c r="B177" s="367">
        <v>170</v>
      </c>
    </row>
    <row r="178" spans="2:2" x14ac:dyDescent="0.15">
      <c r="B178" s="367">
        <v>171</v>
      </c>
    </row>
    <row r="179" spans="2:2" x14ac:dyDescent="0.15">
      <c r="B179" s="367">
        <v>172</v>
      </c>
    </row>
    <row r="180" spans="2:2" x14ac:dyDescent="0.15">
      <c r="B180" s="367">
        <v>173</v>
      </c>
    </row>
    <row r="181" spans="2:2" x14ac:dyDescent="0.15">
      <c r="B181" s="367">
        <v>174</v>
      </c>
    </row>
    <row r="182" spans="2:2" x14ac:dyDescent="0.15">
      <c r="B182" s="367">
        <v>175</v>
      </c>
    </row>
    <row r="183" spans="2:2" x14ac:dyDescent="0.15">
      <c r="B183" s="367">
        <v>176</v>
      </c>
    </row>
    <row r="184" spans="2:2" x14ac:dyDescent="0.15">
      <c r="B184" s="367">
        <v>177</v>
      </c>
    </row>
    <row r="185" spans="2:2" x14ac:dyDescent="0.15">
      <c r="B185" s="367">
        <v>178</v>
      </c>
    </row>
    <row r="186" spans="2:2" x14ac:dyDescent="0.15">
      <c r="B186" s="367">
        <v>179</v>
      </c>
    </row>
    <row r="187" spans="2:2" x14ac:dyDescent="0.15">
      <c r="B187" s="367">
        <v>180</v>
      </c>
    </row>
    <row r="188" spans="2:2" x14ac:dyDescent="0.15">
      <c r="B188" s="367">
        <v>181</v>
      </c>
    </row>
    <row r="189" spans="2:2" x14ac:dyDescent="0.15">
      <c r="B189" s="367">
        <v>182</v>
      </c>
    </row>
    <row r="190" spans="2:2" x14ac:dyDescent="0.15">
      <c r="B190" s="367">
        <v>183</v>
      </c>
    </row>
    <row r="191" spans="2:2" x14ac:dyDescent="0.15">
      <c r="B191" s="367">
        <v>184</v>
      </c>
    </row>
    <row r="192" spans="2:2" x14ac:dyDescent="0.15">
      <c r="B192" s="367">
        <v>185</v>
      </c>
    </row>
    <row r="193" spans="2:2" x14ac:dyDescent="0.15">
      <c r="B193" s="367">
        <v>186</v>
      </c>
    </row>
    <row r="194" spans="2:2" x14ac:dyDescent="0.15">
      <c r="B194" s="367">
        <v>187</v>
      </c>
    </row>
    <row r="195" spans="2:2" x14ac:dyDescent="0.15">
      <c r="B195" s="367">
        <v>188</v>
      </c>
    </row>
    <row r="196" spans="2:2" x14ac:dyDescent="0.15">
      <c r="B196" s="367">
        <v>189</v>
      </c>
    </row>
    <row r="197" spans="2:2" x14ac:dyDescent="0.15">
      <c r="B197" s="367">
        <v>190</v>
      </c>
    </row>
    <row r="198" spans="2:2" x14ac:dyDescent="0.15">
      <c r="B198" s="367">
        <v>191</v>
      </c>
    </row>
    <row r="199" spans="2:2" x14ac:dyDescent="0.15">
      <c r="B199" s="367">
        <v>192</v>
      </c>
    </row>
    <row r="200" spans="2:2" x14ac:dyDescent="0.15">
      <c r="B200" s="367">
        <v>193</v>
      </c>
    </row>
    <row r="201" spans="2:2" x14ac:dyDescent="0.15">
      <c r="B201" s="367">
        <v>194</v>
      </c>
    </row>
    <row r="202" spans="2:2" x14ac:dyDescent="0.15">
      <c r="B202" s="367">
        <v>195</v>
      </c>
    </row>
    <row r="203" spans="2:2" x14ac:dyDescent="0.15">
      <c r="B203" s="367">
        <v>196</v>
      </c>
    </row>
    <row r="204" spans="2:2" x14ac:dyDescent="0.15">
      <c r="B204" s="367">
        <v>197</v>
      </c>
    </row>
    <row r="205" spans="2:2" x14ac:dyDescent="0.15">
      <c r="B205" s="367">
        <v>198</v>
      </c>
    </row>
    <row r="206" spans="2:2" x14ac:dyDescent="0.15">
      <c r="B206" s="367">
        <v>199</v>
      </c>
    </row>
    <row r="207" spans="2:2" x14ac:dyDescent="0.15">
      <c r="B207" s="367">
        <v>200</v>
      </c>
    </row>
    <row r="208" spans="2:2" x14ac:dyDescent="0.15">
      <c r="B208" s="367">
        <v>201</v>
      </c>
    </row>
    <row r="209" spans="2:2" x14ac:dyDescent="0.15">
      <c r="B209" s="367">
        <v>202</v>
      </c>
    </row>
    <row r="210" spans="2:2" x14ac:dyDescent="0.15">
      <c r="B210" s="367">
        <v>203</v>
      </c>
    </row>
    <row r="211" spans="2:2" x14ac:dyDescent="0.15">
      <c r="B211" s="367">
        <v>204</v>
      </c>
    </row>
    <row r="212" spans="2:2" x14ac:dyDescent="0.15">
      <c r="B212" s="367">
        <v>205</v>
      </c>
    </row>
    <row r="213" spans="2:2" x14ac:dyDescent="0.15">
      <c r="B213" s="367">
        <v>206</v>
      </c>
    </row>
    <row r="214" spans="2:2" x14ac:dyDescent="0.15">
      <c r="B214" s="367">
        <v>207</v>
      </c>
    </row>
    <row r="215" spans="2:2" x14ac:dyDescent="0.15">
      <c r="B215" s="367">
        <v>208</v>
      </c>
    </row>
    <row r="216" spans="2:2" x14ac:dyDescent="0.15">
      <c r="B216" s="367">
        <v>209</v>
      </c>
    </row>
    <row r="217" spans="2:2" x14ac:dyDescent="0.15">
      <c r="B217" s="367">
        <v>210</v>
      </c>
    </row>
    <row r="218" spans="2:2" x14ac:dyDescent="0.15">
      <c r="B218" s="367">
        <v>211</v>
      </c>
    </row>
    <row r="219" spans="2:2" x14ac:dyDescent="0.15">
      <c r="B219" s="367">
        <v>212</v>
      </c>
    </row>
    <row r="220" spans="2:2" x14ac:dyDescent="0.15">
      <c r="B220" s="367">
        <v>213</v>
      </c>
    </row>
    <row r="221" spans="2:2" x14ac:dyDescent="0.15">
      <c r="B221" s="367">
        <v>214</v>
      </c>
    </row>
    <row r="222" spans="2:2" x14ac:dyDescent="0.15">
      <c r="B222" s="367">
        <v>215</v>
      </c>
    </row>
    <row r="223" spans="2:2" x14ac:dyDescent="0.15">
      <c r="B223" s="367">
        <v>216</v>
      </c>
    </row>
    <row r="224" spans="2:2" x14ac:dyDescent="0.15">
      <c r="B224" s="367">
        <v>217</v>
      </c>
    </row>
    <row r="225" spans="2:2" x14ac:dyDescent="0.15">
      <c r="B225" s="367">
        <v>218</v>
      </c>
    </row>
    <row r="226" spans="2:2" x14ac:dyDescent="0.15">
      <c r="B226" s="367">
        <v>219</v>
      </c>
    </row>
    <row r="227" spans="2:2" x14ac:dyDescent="0.15">
      <c r="B227" s="367">
        <v>220</v>
      </c>
    </row>
    <row r="228" spans="2:2" x14ac:dyDescent="0.15">
      <c r="B228" s="367">
        <v>221</v>
      </c>
    </row>
    <row r="229" spans="2:2" x14ac:dyDescent="0.15">
      <c r="B229" s="367">
        <v>222</v>
      </c>
    </row>
    <row r="230" spans="2:2" x14ac:dyDescent="0.15">
      <c r="B230" s="367">
        <v>223</v>
      </c>
    </row>
    <row r="231" spans="2:2" x14ac:dyDescent="0.15">
      <c r="B231" s="367">
        <v>224</v>
      </c>
    </row>
    <row r="232" spans="2:2" x14ac:dyDescent="0.15">
      <c r="B232" s="367">
        <v>225</v>
      </c>
    </row>
    <row r="233" spans="2:2" x14ac:dyDescent="0.15">
      <c r="B233" s="367">
        <v>226</v>
      </c>
    </row>
    <row r="234" spans="2:2" x14ac:dyDescent="0.15">
      <c r="B234" s="367">
        <v>227</v>
      </c>
    </row>
    <row r="235" spans="2:2" x14ac:dyDescent="0.15">
      <c r="B235" s="367">
        <v>228</v>
      </c>
    </row>
    <row r="236" spans="2:2" x14ac:dyDescent="0.15">
      <c r="B236" s="367">
        <v>229</v>
      </c>
    </row>
    <row r="237" spans="2:2" x14ac:dyDescent="0.15">
      <c r="B237" s="367">
        <v>230</v>
      </c>
    </row>
    <row r="238" spans="2:2" x14ac:dyDescent="0.15">
      <c r="B238" s="367">
        <v>231</v>
      </c>
    </row>
    <row r="239" spans="2:2" x14ac:dyDescent="0.15">
      <c r="B239" s="367">
        <v>232</v>
      </c>
    </row>
    <row r="240" spans="2:2" x14ac:dyDescent="0.15">
      <c r="B240" s="367">
        <v>233</v>
      </c>
    </row>
    <row r="241" spans="2:2" x14ac:dyDescent="0.15">
      <c r="B241" s="367">
        <v>234</v>
      </c>
    </row>
    <row r="242" spans="2:2" x14ac:dyDescent="0.15">
      <c r="B242" s="367">
        <v>235</v>
      </c>
    </row>
    <row r="243" spans="2:2" x14ac:dyDescent="0.15">
      <c r="B243" s="367">
        <v>236</v>
      </c>
    </row>
    <row r="244" spans="2:2" x14ac:dyDescent="0.15">
      <c r="B244" s="367">
        <v>237</v>
      </c>
    </row>
    <row r="245" spans="2:2" x14ac:dyDescent="0.15">
      <c r="B245" s="367">
        <v>238</v>
      </c>
    </row>
    <row r="246" spans="2:2" x14ac:dyDescent="0.15">
      <c r="B246" s="367">
        <v>239</v>
      </c>
    </row>
    <row r="247" spans="2:2" x14ac:dyDescent="0.15">
      <c r="B247" s="367">
        <v>240</v>
      </c>
    </row>
    <row r="248" spans="2:2" x14ac:dyDescent="0.15">
      <c r="B248" s="367">
        <v>241</v>
      </c>
    </row>
    <row r="249" spans="2:2" x14ac:dyDescent="0.15">
      <c r="B249" s="367">
        <v>242</v>
      </c>
    </row>
    <row r="250" spans="2:2" x14ac:dyDescent="0.15">
      <c r="B250" s="367">
        <v>243</v>
      </c>
    </row>
    <row r="251" spans="2:2" x14ac:dyDescent="0.15">
      <c r="B251" s="367">
        <v>244</v>
      </c>
    </row>
    <row r="252" spans="2:2" x14ac:dyDescent="0.15">
      <c r="B252" s="367">
        <v>245</v>
      </c>
    </row>
    <row r="253" spans="2:2" x14ac:dyDescent="0.15">
      <c r="B253" s="367">
        <v>246</v>
      </c>
    </row>
    <row r="254" spans="2:2" x14ac:dyDescent="0.15">
      <c r="B254" s="367">
        <v>247</v>
      </c>
    </row>
    <row r="255" spans="2:2" x14ac:dyDescent="0.15">
      <c r="B255" s="367">
        <v>248</v>
      </c>
    </row>
    <row r="256" spans="2:2" x14ac:dyDescent="0.15">
      <c r="B256" s="367">
        <v>249</v>
      </c>
    </row>
    <row r="257" spans="2:2" x14ac:dyDescent="0.15">
      <c r="B257" s="367">
        <v>250</v>
      </c>
    </row>
    <row r="258" spans="2:2" x14ac:dyDescent="0.15">
      <c r="B258" s="367">
        <v>251</v>
      </c>
    </row>
    <row r="259" spans="2:2" x14ac:dyDescent="0.15">
      <c r="B259" s="367">
        <v>252</v>
      </c>
    </row>
    <row r="260" spans="2:2" x14ac:dyDescent="0.15">
      <c r="B260" s="367">
        <v>253</v>
      </c>
    </row>
    <row r="261" spans="2:2" x14ac:dyDescent="0.15">
      <c r="B261" s="367">
        <v>254</v>
      </c>
    </row>
    <row r="262" spans="2:2" x14ac:dyDescent="0.15">
      <c r="B262" s="367">
        <v>255</v>
      </c>
    </row>
    <row r="263" spans="2:2" x14ac:dyDescent="0.15">
      <c r="B263" s="367">
        <v>256</v>
      </c>
    </row>
    <row r="264" spans="2:2" x14ac:dyDescent="0.15">
      <c r="B264" s="367">
        <v>257</v>
      </c>
    </row>
    <row r="265" spans="2:2" x14ac:dyDescent="0.15">
      <c r="B265" s="367">
        <v>258</v>
      </c>
    </row>
    <row r="266" spans="2:2" x14ac:dyDescent="0.15">
      <c r="B266" s="367">
        <v>259</v>
      </c>
    </row>
    <row r="267" spans="2:2" x14ac:dyDescent="0.15">
      <c r="B267" s="367">
        <v>260</v>
      </c>
    </row>
    <row r="268" spans="2:2" x14ac:dyDescent="0.15">
      <c r="B268" s="367">
        <v>261</v>
      </c>
    </row>
    <row r="269" spans="2:2" x14ac:dyDescent="0.15">
      <c r="B269" s="367">
        <v>262</v>
      </c>
    </row>
    <row r="270" spans="2:2" x14ac:dyDescent="0.15">
      <c r="B270" s="367">
        <v>263</v>
      </c>
    </row>
    <row r="271" spans="2:2" x14ac:dyDescent="0.15">
      <c r="B271" s="367">
        <v>264</v>
      </c>
    </row>
    <row r="272" spans="2:2" x14ac:dyDescent="0.15">
      <c r="B272" s="367">
        <v>265</v>
      </c>
    </row>
    <row r="273" spans="2:2" x14ac:dyDescent="0.15">
      <c r="B273" s="367">
        <v>266</v>
      </c>
    </row>
    <row r="274" spans="2:2" x14ac:dyDescent="0.15">
      <c r="B274" s="367">
        <v>267</v>
      </c>
    </row>
    <row r="275" spans="2:2" x14ac:dyDescent="0.15">
      <c r="B275" s="367">
        <v>268</v>
      </c>
    </row>
    <row r="276" spans="2:2" x14ac:dyDescent="0.15">
      <c r="B276" s="367">
        <v>269</v>
      </c>
    </row>
    <row r="277" spans="2:2" x14ac:dyDescent="0.15">
      <c r="B277" s="367">
        <v>270</v>
      </c>
    </row>
    <row r="278" spans="2:2" x14ac:dyDescent="0.15">
      <c r="B278" s="367">
        <v>271</v>
      </c>
    </row>
    <row r="279" spans="2:2" x14ac:dyDescent="0.15">
      <c r="B279" s="367">
        <v>272</v>
      </c>
    </row>
    <row r="280" spans="2:2" x14ac:dyDescent="0.15">
      <c r="B280" s="367">
        <v>273</v>
      </c>
    </row>
    <row r="281" spans="2:2" x14ac:dyDescent="0.15">
      <c r="B281" s="367">
        <v>274</v>
      </c>
    </row>
    <row r="282" spans="2:2" x14ac:dyDescent="0.15">
      <c r="B282" s="367">
        <v>275</v>
      </c>
    </row>
    <row r="283" spans="2:2" x14ac:dyDescent="0.15">
      <c r="B283" s="367">
        <v>276</v>
      </c>
    </row>
    <row r="284" spans="2:2" x14ac:dyDescent="0.15">
      <c r="B284" s="367">
        <v>277</v>
      </c>
    </row>
    <row r="285" spans="2:2" x14ac:dyDescent="0.15">
      <c r="B285" s="367">
        <v>278</v>
      </c>
    </row>
    <row r="286" spans="2:2" x14ac:dyDescent="0.15">
      <c r="B286" s="367">
        <v>279</v>
      </c>
    </row>
    <row r="287" spans="2:2" x14ac:dyDescent="0.15">
      <c r="B287" s="367">
        <v>280</v>
      </c>
    </row>
    <row r="288" spans="2:2" x14ac:dyDescent="0.15">
      <c r="B288" s="367">
        <v>281</v>
      </c>
    </row>
    <row r="289" spans="2:2" x14ac:dyDescent="0.15">
      <c r="B289" s="367">
        <v>282</v>
      </c>
    </row>
    <row r="290" spans="2:2" x14ac:dyDescent="0.15">
      <c r="B290" s="367">
        <v>283</v>
      </c>
    </row>
    <row r="291" spans="2:2" x14ac:dyDescent="0.15">
      <c r="B291" s="367">
        <v>284</v>
      </c>
    </row>
    <row r="292" spans="2:2" x14ac:dyDescent="0.15">
      <c r="B292" s="367">
        <v>285</v>
      </c>
    </row>
    <row r="293" spans="2:2" x14ac:dyDescent="0.15">
      <c r="B293" s="367">
        <v>286</v>
      </c>
    </row>
    <row r="294" spans="2:2" x14ac:dyDescent="0.15">
      <c r="B294" s="367">
        <v>287</v>
      </c>
    </row>
    <row r="295" spans="2:2" x14ac:dyDescent="0.15">
      <c r="B295" s="367">
        <v>288</v>
      </c>
    </row>
    <row r="296" spans="2:2" x14ac:dyDescent="0.15">
      <c r="B296" s="367">
        <v>289</v>
      </c>
    </row>
    <row r="297" spans="2:2" x14ac:dyDescent="0.15">
      <c r="B297" s="367">
        <v>290</v>
      </c>
    </row>
    <row r="298" spans="2:2" x14ac:dyDescent="0.15">
      <c r="B298" s="367">
        <v>291</v>
      </c>
    </row>
    <row r="299" spans="2:2" x14ac:dyDescent="0.15">
      <c r="B299" s="367">
        <v>292</v>
      </c>
    </row>
    <row r="300" spans="2:2" x14ac:dyDescent="0.15">
      <c r="B300" s="367">
        <v>293</v>
      </c>
    </row>
    <row r="301" spans="2:2" x14ac:dyDescent="0.15">
      <c r="B301" s="367">
        <v>294</v>
      </c>
    </row>
    <row r="302" spans="2:2" x14ac:dyDescent="0.15">
      <c r="B302" s="367">
        <v>295</v>
      </c>
    </row>
    <row r="303" spans="2:2" x14ac:dyDescent="0.15">
      <c r="B303" s="367">
        <v>296</v>
      </c>
    </row>
    <row r="304" spans="2:2" x14ac:dyDescent="0.15">
      <c r="B304" s="367">
        <v>297</v>
      </c>
    </row>
    <row r="305" spans="2:2" x14ac:dyDescent="0.15">
      <c r="B305" s="367">
        <v>298</v>
      </c>
    </row>
    <row r="306" spans="2:2" x14ac:dyDescent="0.15">
      <c r="B306" s="367">
        <v>299</v>
      </c>
    </row>
    <row r="307" spans="2:2" x14ac:dyDescent="0.15">
      <c r="B307" s="367">
        <v>300</v>
      </c>
    </row>
    <row r="308" spans="2:2" x14ac:dyDescent="0.15">
      <c r="B308" s="367">
        <v>301</v>
      </c>
    </row>
    <row r="309" spans="2:2" x14ac:dyDescent="0.15">
      <c r="B309" s="367">
        <v>302</v>
      </c>
    </row>
    <row r="310" spans="2:2" x14ac:dyDescent="0.15">
      <c r="B310" s="367">
        <v>303</v>
      </c>
    </row>
    <row r="311" spans="2:2" x14ac:dyDescent="0.15">
      <c r="B311" s="367">
        <v>304</v>
      </c>
    </row>
    <row r="312" spans="2:2" x14ac:dyDescent="0.15">
      <c r="B312" s="367">
        <v>305</v>
      </c>
    </row>
    <row r="313" spans="2:2" x14ac:dyDescent="0.15">
      <c r="B313" s="367">
        <v>306</v>
      </c>
    </row>
    <row r="314" spans="2:2" x14ac:dyDescent="0.15">
      <c r="B314" s="367">
        <v>307</v>
      </c>
    </row>
    <row r="315" spans="2:2" x14ac:dyDescent="0.15">
      <c r="B315" s="367">
        <v>308</v>
      </c>
    </row>
    <row r="316" spans="2:2" x14ac:dyDescent="0.15">
      <c r="B316" s="367">
        <v>309</v>
      </c>
    </row>
    <row r="317" spans="2:2" x14ac:dyDescent="0.15">
      <c r="B317" s="367">
        <v>310</v>
      </c>
    </row>
    <row r="318" spans="2:2" x14ac:dyDescent="0.15">
      <c r="B318" s="367">
        <v>311</v>
      </c>
    </row>
    <row r="319" spans="2:2" x14ac:dyDescent="0.15">
      <c r="B319" s="367">
        <v>312</v>
      </c>
    </row>
    <row r="320" spans="2:2" x14ac:dyDescent="0.15">
      <c r="B320" s="367">
        <v>313</v>
      </c>
    </row>
    <row r="321" spans="2:2" x14ac:dyDescent="0.15">
      <c r="B321" s="367">
        <v>314</v>
      </c>
    </row>
    <row r="322" spans="2:2" x14ac:dyDescent="0.15">
      <c r="B322" s="367">
        <v>315</v>
      </c>
    </row>
    <row r="323" spans="2:2" x14ac:dyDescent="0.15">
      <c r="B323" s="367">
        <v>316</v>
      </c>
    </row>
    <row r="324" spans="2:2" x14ac:dyDescent="0.15">
      <c r="B324" s="367">
        <v>317</v>
      </c>
    </row>
    <row r="325" spans="2:2" x14ac:dyDescent="0.15">
      <c r="B325" s="367">
        <v>318</v>
      </c>
    </row>
    <row r="326" spans="2:2" x14ac:dyDescent="0.15">
      <c r="B326" s="367">
        <v>319</v>
      </c>
    </row>
    <row r="327" spans="2:2" x14ac:dyDescent="0.15">
      <c r="B327" s="367">
        <v>320</v>
      </c>
    </row>
    <row r="328" spans="2:2" x14ac:dyDescent="0.15">
      <c r="B328" s="367">
        <v>321</v>
      </c>
    </row>
    <row r="329" spans="2:2" x14ac:dyDescent="0.15">
      <c r="B329" s="367">
        <v>322</v>
      </c>
    </row>
    <row r="330" spans="2:2" x14ac:dyDescent="0.15">
      <c r="B330" s="367">
        <v>323</v>
      </c>
    </row>
    <row r="331" spans="2:2" x14ac:dyDescent="0.15">
      <c r="B331" s="367">
        <v>324</v>
      </c>
    </row>
    <row r="332" spans="2:2" x14ac:dyDescent="0.15">
      <c r="B332" s="367">
        <v>325</v>
      </c>
    </row>
    <row r="333" spans="2:2" x14ac:dyDescent="0.15">
      <c r="B333" s="367">
        <v>326</v>
      </c>
    </row>
    <row r="334" spans="2:2" x14ac:dyDescent="0.15">
      <c r="B334" s="367">
        <v>327</v>
      </c>
    </row>
    <row r="335" spans="2:2" x14ac:dyDescent="0.15">
      <c r="B335" s="367">
        <v>328</v>
      </c>
    </row>
    <row r="336" spans="2:2" x14ac:dyDescent="0.15">
      <c r="B336" s="367">
        <v>329</v>
      </c>
    </row>
    <row r="337" spans="2:2" x14ac:dyDescent="0.15">
      <c r="B337" s="367">
        <v>330</v>
      </c>
    </row>
    <row r="338" spans="2:2" x14ac:dyDescent="0.15">
      <c r="B338" s="367">
        <v>331</v>
      </c>
    </row>
    <row r="339" spans="2:2" x14ac:dyDescent="0.15">
      <c r="B339" s="367">
        <v>332</v>
      </c>
    </row>
    <row r="340" spans="2:2" x14ac:dyDescent="0.15">
      <c r="B340" s="367">
        <v>333</v>
      </c>
    </row>
    <row r="341" spans="2:2" x14ac:dyDescent="0.15">
      <c r="B341" s="367">
        <v>334</v>
      </c>
    </row>
    <row r="342" spans="2:2" x14ac:dyDescent="0.15">
      <c r="B342" s="367">
        <v>335</v>
      </c>
    </row>
    <row r="343" spans="2:2" x14ac:dyDescent="0.15">
      <c r="B343" s="367">
        <v>336</v>
      </c>
    </row>
    <row r="344" spans="2:2" x14ac:dyDescent="0.15">
      <c r="B344" s="367">
        <v>337</v>
      </c>
    </row>
    <row r="345" spans="2:2" x14ac:dyDescent="0.15">
      <c r="B345" s="367">
        <v>338</v>
      </c>
    </row>
    <row r="346" spans="2:2" x14ac:dyDescent="0.15">
      <c r="B346" s="367">
        <v>339</v>
      </c>
    </row>
    <row r="347" spans="2:2" x14ac:dyDescent="0.15">
      <c r="B347" s="367">
        <v>340</v>
      </c>
    </row>
    <row r="348" spans="2:2" x14ac:dyDescent="0.15">
      <c r="B348" s="367">
        <v>341</v>
      </c>
    </row>
    <row r="349" spans="2:2" x14ac:dyDescent="0.15">
      <c r="B349" s="367">
        <v>342</v>
      </c>
    </row>
    <row r="350" spans="2:2" x14ac:dyDescent="0.15">
      <c r="B350" s="367">
        <v>343</v>
      </c>
    </row>
    <row r="351" spans="2:2" x14ac:dyDescent="0.15">
      <c r="B351" s="367">
        <v>344</v>
      </c>
    </row>
    <row r="352" spans="2:2" x14ac:dyDescent="0.15">
      <c r="B352" s="367">
        <v>345</v>
      </c>
    </row>
    <row r="353" spans="2:2" x14ac:dyDescent="0.15">
      <c r="B353" s="367">
        <v>346</v>
      </c>
    </row>
    <row r="354" spans="2:2" x14ac:dyDescent="0.15">
      <c r="B354" s="367">
        <v>347</v>
      </c>
    </row>
    <row r="355" spans="2:2" x14ac:dyDescent="0.15">
      <c r="B355" s="367">
        <v>348</v>
      </c>
    </row>
    <row r="356" spans="2:2" x14ac:dyDescent="0.15">
      <c r="B356" s="367">
        <v>349</v>
      </c>
    </row>
    <row r="357" spans="2:2" x14ac:dyDescent="0.15">
      <c r="B357" s="367">
        <v>350</v>
      </c>
    </row>
    <row r="358" spans="2:2" x14ac:dyDescent="0.15">
      <c r="B358" s="367">
        <v>351</v>
      </c>
    </row>
    <row r="359" spans="2:2" x14ac:dyDescent="0.15">
      <c r="B359" s="367">
        <v>352</v>
      </c>
    </row>
    <row r="360" spans="2:2" x14ac:dyDescent="0.15">
      <c r="B360" s="367">
        <v>353</v>
      </c>
    </row>
    <row r="361" spans="2:2" x14ac:dyDescent="0.15">
      <c r="B361" s="367">
        <v>354</v>
      </c>
    </row>
    <row r="362" spans="2:2" x14ac:dyDescent="0.15">
      <c r="B362" s="367">
        <v>355</v>
      </c>
    </row>
    <row r="363" spans="2:2" x14ac:dyDescent="0.15">
      <c r="B363" s="367">
        <v>356</v>
      </c>
    </row>
    <row r="364" spans="2:2" x14ac:dyDescent="0.15">
      <c r="B364" s="367">
        <v>357</v>
      </c>
    </row>
    <row r="365" spans="2:2" x14ac:dyDescent="0.15">
      <c r="B365" s="367">
        <v>358</v>
      </c>
    </row>
    <row r="366" spans="2:2" x14ac:dyDescent="0.15">
      <c r="B366" s="367">
        <v>359</v>
      </c>
    </row>
    <row r="367" spans="2:2" x14ac:dyDescent="0.15">
      <c r="B367" s="367">
        <v>360</v>
      </c>
    </row>
    <row r="368" spans="2:2" x14ac:dyDescent="0.15">
      <c r="B368" s="367">
        <v>361</v>
      </c>
    </row>
    <row r="369" spans="2:2" x14ac:dyDescent="0.15">
      <c r="B369" s="367">
        <v>362</v>
      </c>
    </row>
    <row r="370" spans="2:2" x14ac:dyDescent="0.15">
      <c r="B370" s="367">
        <v>363</v>
      </c>
    </row>
    <row r="371" spans="2:2" x14ac:dyDescent="0.15">
      <c r="B371" s="367">
        <v>364</v>
      </c>
    </row>
    <row r="372" spans="2:2" x14ac:dyDescent="0.15">
      <c r="B372" s="367">
        <v>365</v>
      </c>
    </row>
    <row r="373" spans="2:2" x14ac:dyDescent="0.15">
      <c r="B373" s="367">
        <v>366</v>
      </c>
    </row>
    <row r="374" spans="2:2" x14ac:dyDescent="0.15">
      <c r="B374" s="367">
        <v>367</v>
      </c>
    </row>
    <row r="375" spans="2:2" x14ac:dyDescent="0.15">
      <c r="B375" s="367">
        <v>368</v>
      </c>
    </row>
    <row r="376" spans="2:2" x14ac:dyDescent="0.15">
      <c r="B376" s="367">
        <v>369</v>
      </c>
    </row>
    <row r="377" spans="2:2" x14ac:dyDescent="0.15">
      <c r="B377" s="367">
        <v>370</v>
      </c>
    </row>
    <row r="378" spans="2:2" x14ac:dyDescent="0.15">
      <c r="B378" s="367">
        <v>371</v>
      </c>
    </row>
    <row r="379" spans="2:2" x14ac:dyDescent="0.15">
      <c r="B379" s="367">
        <v>372</v>
      </c>
    </row>
    <row r="380" spans="2:2" x14ac:dyDescent="0.15">
      <c r="B380" s="367">
        <v>373</v>
      </c>
    </row>
    <row r="381" spans="2:2" x14ac:dyDescent="0.15">
      <c r="B381" s="367">
        <v>374</v>
      </c>
    </row>
    <row r="382" spans="2:2" x14ac:dyDescent="0.15">
      <c r="B382" s="367">
        <v>375</v>
      </c>
    </row>
    <row r="383" spans="2:2" x14ac:dyDescent="0.15">
      <c r="B383" s="367">
        <v>376</v>
      </c>
    </row>
    <row r="384" spans="2:2" x14ac:dyDescent="0.15">
      <c r="B384" s="367">
        <v>377</v>
      </c>
    </row>
    <row r="385" spans="2:2" x14ac:dyDescent="0.15">
      <c r="B385" s="367">
        <v>378</v>
      </c>
    </row>
    <row r="386" spans="2:2" x14ac:dyDescent="0.15">
      <c r="B386" s="367">
        <v>379</v>
      </c>
    </row>
    <row r="387" spans="2:2" x14ac:dyDescent="0.15">
      <c r="B387" s="367">
        <v>380</v>
      </c>
    </row>
    <row r="388" spans="2:2" x14ac:dyDescent="0.15">
      <c r="B388" s="367">
        <v>381</v>
      </c>
    </row>
    <row r="389" spans="2:2" x14ac:dyDescent="0.15">
      <c r="B389" s="367">
        <v>382</v>
      </c>
    </row>
    <row r="390" spans="2:2" x14ac:dyDescent="0.15">
      <c r="B390" s="367">
        <v>383</v>
      </c>
    </row>
    <row r="391" spans="2:2" x14ac:dyDescent="0.15">
      <c r="B391" s="367">
        <v>384</v>
      </c>
    </row>
    <row r="392" spans="2:2" x14ac:dyDescent="0.15">
      <c r="B392" s="367">
        <v>385</v>
      </c>
    </row>
    <row r="393" spans="2:2" x14ac:dyDescent="0.15">
      <c r="B393" s="367">
        <v>386</v>
      </c>
    </row>
    <row r="394" spans="2:2" x14ac:dyDescent="0.15">
      <c r="B394" s="367">
        <v>387</v>
      </c>
    </row>
    <row r="395" spans="2:2" x14ac:dyDescent="0.15">
      <c r="B395" s="367">
        <v>388</v>
      </c>
    </row>
    <row r="396" spans="2:2" x14ac:dyDescent="0.15">
      <c r="B396" s="367">
        <v>389</v>
      </c>
    </row>
    <row r="397" spans="2:2" x14ac:dyDescent="0.15">
      <c r="B397" s="367">
        <v>390</v>
      </c>
    </row>
    <row r="398" spans="2:2" x14ac:dyDescent="0.15">
      <c r="B398" s="367">
        <v>391</v>
      </c>
    </row>
    <row r="399" spans="2:2" x14ac:dyDescent="0.15">
      <c r="B399" s="367">
        <v>392</v>
      </c>
    </row>
    <row r="400" spans="2:2" x14ac:dyDescent="0.15">
      <c r="B400" s="367">
        <v>393</v>
      </c>
    </row>
    <row r="401" spans="2:2" x14ac:dyDescent="0.15">
      <c r="B401" s="367">
        <v>394</v>
      </c>
    </row>
    <row r="402" spans="2:2" x14ac:dyDescent="0.15">
      <c r="B402" s="367">
        <v>395</v>
      </c>
    </row>
    <row r="403" spans="2:2" x14ac:dyDescent="0.15">
      <c r="B403" s="367">
        <v>396</v>
      </c>
    </row>
    <row r="404" spans="2:2" x14ac:dyDescent="0.15">
      <c r="B404" s="367">
        <v>397</v>
      </c>
    </row>
    <row r="405" spans="2:2" x14ac:dyDescent="0.15">
      <c r="B405" s="367">
        <v>398</v>
      </c>
    </row>
    <row r="406" spans="2:2" x14ac:dyDescent="0.15">
      <c r="B406" s="367">
        <v>399</v>
      </c>
    </row>
    <row r="407" spans="2:2" x14ac:dyDescent="0.15">
      <c r="B407" s="367">
        <v>400</v>
      </c>
    </row>
    <row r="408" spans="2:2" x14ac:dyDescent="0.15">
      <c r="B408" s="367">
        <v>401</v>
      </c>
    </row>
    <row r="409" spans="2:2" x14ac:dyDescent="0.15">
      <c r="B409" s="367">
        <v>402</v>
      </c>
    </row>
    <row r="410" spans="2:2" x14ac:dyDescent="0.15">
      <c r="B410" s="367">
        <v>403</v>
      </c>
    </row>
    <row r="411" spans="2:2" x14ac:dyDescent="0.15">
      <c r="B411" s="367">
        <v>404</v>
      </c>
    </row>
    <row r="412" spans="2:2" x14ac:dyDescent="0.15">
      <c r="B412" s="367">
        <v>405</v>
      </c>
    </row>
    <row r="413" spans="2:2" x14ac:dyDescent="0.15">
      <c r="B413" s="367">
        <v>406</v>
      </c>
    </row>
    <row r="414" spans="2:2" x14ac:dyDescent="0.15">
      <c r="B414" s="367">
        <v>407</v>
      </c>
    </row>
    <row r="415" spans="2:2" x14ac:dyDescent="0.15">
      <c r="B415" s="367">
        <v>408</v>
      </c>
    </row>
    <row r="416" spans="2:2" x14ac:dyDescent="0.15">
      <c r="B416" s="367">
        <v>409</v>
      </c>
    </row>
    <row r="417" spans="2:2" x14ac:dyDescent="0.15">
      <c r="B417" s="367">
        <v>410</v>
      </c>
    </row>
    <row r="418" spans="2:2" x14ac:dyDescent="0.15">
      <c r="B418" s="367">
        <v>411</v>
      </c>
    </row>
    <row r="419" spans="2:2" x14ac:dyDescent="0.15">
      <c r="B419" s="367">
        <v>412</v>
      </c>
    </row>
    <row r="420" spans="2:2" x14ac:dyDescent="0.15">
      <c r="B420" s="367">
        <v>413</v>
      </c>
    </row>
    <row r="421" spans="2:2" x14ac:dyDescent="0.15">
      <c r="B421" s="367">
        <v>414</v>
      </c>
    </row>
    <row r="422" spans="2:2" x14ac:dyDescent="0.15">
      <c r="B422" s="367">
        <v>415</v>
      </c>
    </row>
    <row r="423" spans="2:2" x14ac:dyDescent="0.15">
      <c r="B423" s="367">
        <v>416</v>
      </c>
    </row>
    <row r="424" spans="2:2" x14ac:dyDescent="0.15">
      <c r="B424" s="367">
        <v>417</v>
      </c>
    </row>
    <row r="425" spans="2:2" x14ac:dyDescent="0.15">
      <c r="B425" s="367">
        <v>418</v>
      </c>
    </row>
    <row r="426" spans="2:2" x14ac:dyDescent="0.15">
      <c r="B426" s="367">
        <v>419</v>
      </c>
    </row>
    <row r="427" spans="2:2" x14ac:dyDescent="0.15">
      <c r="B427" s="367">
        <v>420</v>
      </c>
    </row>
    <row r="428" spans="2:2" x14ac:dyDescent="0.15">
      <c r="B428" s="367">
        <v>421</v>
      </c>
    </row>
    <row r="429" spans="2:2" x14ac:dyDescent="0.15">
      <c r="B429" s="367">
        <v>422</v>
      </c>
    </row>
    <row r="430" spans="2:2" x14ac:dyDescent="0.15">
      <c r="B430" s="367">
        <v>423</v>
      </c>
    </row>
    <row r="431" spans="2:2" x14ac:dyDescent="0.15">
      <c r="B431" s="367">
        <v>424</v>
      </c>
    </row>
    <row r="432" spans="2:2" x14ac:dyDescent="0.15">
      <c r="B432" s="367">
        <v>425</v>
      </c>
    </row>
    <row r="433" spans="2:2" x14ac:dyDescent="0.15">
      <c r="B433" s="367">
        <v>426</v>
      </c>
    </row>
    <row r="434" spans="2:2" x14ac:dyDescent="0.15">
      <c r="B434" s="367">
        <v>427</v>
      </c>
    </row>
    <row r="435" spans="2:2" x14ac:dyDescent="0.15">
      <c r="B435" s="367">
        <v>428</v>
      </c>
    </row>
    <row r="436" spans="2:2" x14ac:dyDescent="0.15">
      <c r="B436" s="367">
        <v>429</v>
      </c>
    </row>
    <row r="437" spans="2:2" x14ac:dyDescent="0.15">
      <c r="B437" s="367">
        <v>430</v>
      </c>
    </row>
    <row r="438" spans="2:2" x14ac:dyDescent="0.15">
      <c r="B438" s="367">
        <v>431</v>
      </c>
    </row>
    <row r="439" spans="2:2" x14ac:dyDescent="0.15">
      <c r="B439" s="367">
        <v>432</v>
      </c>
    </row>
    <row r="440" spans="2:2" x14ac:dyDescent="0.15">
      <c r="B440" s="367">
        <v>433</v>
      </c>
    </row>
    <row r="441" spans="2:2" x14ac:dyDescent="0.15">
      <c r="B441" s="367">
        <v>434</v>
      </c>
    </row>
    <row r="442" spans="2:2" x14ac:dyDescent="0.15">
      <c r="B442" s="367">
        <v>435</v>
      </c>
    </row>
    <row r="443" spans="2:2" x14ac:dyDescent="0.15">
      <c r="B443" s="367">
        <v>436</v>
      </c>
    </row>
    <row r="444" spans="2:2" x14ac:dyDescent="0.15">
      <c r="B444" s="367">
        <v>437</v>
      </c>
    </row>
    <row r="445" spans="2:2" x14ac:dyDescent="0.15">
      <c r="B445" s="367">
        <v>438</v>
      </c>
    </row>
    <row r="446" spans="2:2" x14ac:dyDescent="0.15">
      <c r="B446" s="367">
        <v>439</v>
      </c>
    </row>
    <row r="447" spans="2:2" x14ac:dyDescent="0.15">
      <c r="B447" s="367">
        <v>440</v>
      </c>
    </row>
    <row r="448" spans="2:2" x14ac:dyDescent="0.15">
      <c r="B448" s="367">
        <v>441</v>
      </c>
    </row>
    <row r="449" spans="2:2" x14ac:dyDescent="0.15">
      <c r="B449" s="367">
        <v>442</v>
      </c>
    </row>
    <row r="450" spans="2:2" x14ac:dyDescent="0.15">
      <c r="B450" s="367">
        <v>443</v>
      </c>
    </row>
    <row r="451" spans="2:2" x14ac:dyDescent="0.15">
      <c r="B451" s="367">
        <v>444</v>
      </c>
    </row>
    <row r="452" spans="2:2" x14ac:dyDescent="0.15">
      <c r="B452" s="367">
        <v>445</v>
      </c>
    </row>
    <row r="453" spans="2:2" x14ac:dyDescent="0.15">
      <c r="B453" s="367">
        <v>446</v>
      </c>
    </row>
    <row r="454" spans="2:2" x14ac:dyDescent="0.15">
      <c r="B454" s="367">
        <v>447</v>
      </c>
    </row>
    <row r="455" spans="2:2" x14ac:dyDescent="0.15">
      <c r="B455" s="367">
        <v>448</v>
      </c>
    </row>
    <row r="456" spans="2:2" x14ac:dyDescent="0.15">
      <c r="B456" s="367">
        <v>449</v>
      </c>
    </row>
    <row r="457" spans="2:2" x14ac:dyDescent="0.15">
      <c r="B457" s="367">
        <v>450</v>
      </c>
    </row>
    <row r="458" spans="2:2" x14ac:dyDescent="0.15">
      <c r="B458" s="367">
        <v>451</v>
      </c>
    </row>
    <row r="459" spans="2:2" x14ac:dyDescent="0.15">
      <c r="B459" s="367">
        <v>452</v>
      </c>
    </row>
    <row r="460" spans="2:2" x14ac:dyDescent="0.15">
      <c r="B460" s="367">
        <v>453</v>
      </c>
    </row>
    <row r="461" spans="2:2" x14ac:dyDescent="0.15">
      <c r="B461" s="367">
        <v>454</v>
      </c>
    </row>
    <row r="462" spans="2:2" x14ac:dyDescent="0.15">
      <c r="B462" s="367">
        <v>455</v>
      </c>
    </row>
    <row r="463" spans="2:2" x14ac:dyDescent="0.15">
      <c r="B463" s="367">
        <v>456</v>
      </c>
    </row>
    <row r="464" spans="2:2" x14ac:dyDescent="0.15">
      <c r="B464" s="367">
        <v>457</v>
      </c>
    </row>
    <row r="465" spans="2:2" x14ac:dyDescent="0.15">
      <c r="B465" s="367">
        <v>458</v>
      </c>
    </row>
    <row r="466" spans="2:2" x14ac:dyDescent="0.15">
      <c r="B466" s="367">
        <v>459</v>
      </c>
    </row>
    <row r="467" spans="2:2" x14ac:dyDescent="0.15">
      <c r="B467" s="367">
        <v>460</v>
      </c>
    </row>
    <row r="468" spans="2:2" x14ac:dyDescent="0.15">
      <c r="B468" s="367">
        <v>461</v>
      </c>
    </row>
    <row r="469" spans="2:2" x14ac:dyDescent="0.15">
      <c r="B469" s="367">
        <v>462</v>
      </c>
    </row>
    <row r="470" spans="2:2" x14ac:dyDescent="0.15">
      <c r="B470" s="367">
        <v>463</v>
      </c>
    </row>
    <row r="471" spans="2:2" x14ac:dyDescent="0.15">
      <c r="B471" s="367">
        <v>464</v>
      </c>
    </row>
    <row r="472" spans="2:2" x14ac:dyDescent="0.15">
      <c r="B472" s="367">
        <v>465</v>
      </c>
    </row>
    <row r="473" spans="2:2" x14ac:dyDescent="0.15">
      <c r="B473" s="367">
        <v>466</v>
      </c>
    </row>
    <row r="474" spans="2:2" x14ac:dyDescent="0.15">
      <c r="B474" s="367">
        <v>467</v>
      </c>
    </row>
    <row r="475" spans="2:2" x14ac:dyDescent="0.15">
      <c r="B475" s="367">
        <v>468</v>
      </c>
    </row>
    <row r="476" spans="2:2" x14ac:dyDescent="0.15">
      <c r="B476" s="367">
        <v>469</v>
      </c>
    </row>
    <row r="477" spans="2:2" x14ac:dyDescent="0.15">
      <c r="B477" s="367">
        <v>470</v>
      </c>
    </row>
    <row r="478" spans="2:2" x14ac:dyDescent="0.15">
      <c r="B478" s="367">
        <v>471</v>
      </c>
    </row>
    <row r="479" spans="2:2" x14ac:dyDescent="0.15">
      <c r="B479" s="367">
        <v>472</v>
      </c>
    </row>
    <row r="480" spans="2:2" x14ac:dyDescent="0.15">
      <c r="B480" s="367">
        <v>473</v>
      </c>
    </row>
    <row r="481" spans="2:2" x14ac:dyDescent="0.15">
      <c r="B481" s="367">
        <v>474</v>
      </c>
    </row>
    <row r="482" spans="2:2" x14ac:dyDescent="0.15">
      <c r="B482" s="367">
        <v>475</v>
      </c>
    </row>
    <row r="483" spans="2:2" x14ac:dyDescent="0.15">
      <c r="B483" s="367">
        <v>476</v>
      </c>
    </row>
    <row r="484" spans="2:2" x14ac:dyDescent="0.15">
      <c r="B484" s="367">
        <v>477</v>
      </c>
    </row>
    <row r="485" spans="2:2" x14ac:dyDescent="0.15">
      <c r="B485" s="367">
        <v>478</v>
      </c>
    </row>
    <row r="486" spans="2:2" x14ac:dyDescent="0.15">
      <c r="B486" s="367">
        <v>479</v>
      </c>
    </row>
    <row r="487" spans="2:2" x14ac:dyDescent="0.15">
      <c r="B487" s="367">
        <v>480</v>
      </c>
    </row>
    <row r="488" spans="2:2" x14ac:dyDescent="0.15">
      <c r="B488" s="367">
        <v>481</v>
      </c>
    </row>
    <row r="489" spans="2:2" x14ac:dyDescent="0.15">
      <c r="B489" s="367">
        <v>482</v>
      </c>
    </row>
    <row r="490" spans="2:2" x14ac:dyDescent="0.15">
      <c r="B490" s="367">
        <v>483</v>
      </c>
    </row>
    <row r="491" spans="2:2" x14ac:dyDescent="0.15">
      <c r="B491" s="367">
        <v>484</v>
      </c>
    </row>
    <row r="492" spans="2:2" x14ac:dyDescent="0.15">
      <c r="B492" s="367">
        <v>485</v>
      </c>
    </row>
    <row r="493" spans="2:2" x14ac:dyDescent="0.15">
      <c r="B493" s="367">
        <v>486</v>
      </c>
    </row>
    <row r="494" spans="2:2" x14ac:dyDescent="0.15">
      <c r="B494" s="367">
        <v>487</v>
      </c>
    </row>
    <row r="495" spans="2:2" x14ac:dyDescent="0.15">
      <c r="B495" s="367">
        <v>488</v>
      </c>
    </row>
    <row r="496" spans="2:2" x14ac:dyDescent="0.15">
      <c r="B496" s="367">
        <v>489</v>
      </c>
    </row>
    <row r="497" spans="2:2" x14ac:dyDescent="0.15">
      <c r="B497" s="367">
        <v>490</v>
      </c>
    </row>
    <row r="498" spans="2:2" x14ac:dyDescent="0.15">
      <c r="B498" s="367">
        <v>491</v>
      </c>
    </row>
    <row r="499" spans="2:2" x14ac:dyDescent="0.15">
      <c r="B499" s="367">
        <v>492</v>
      </c>
    </row>
    <row r="500" spans="2:2" x14ac:dyDescent="0.15">
      <c r="B500" s="367">
        <v>493</v>
      </c>
    </row>
    <row r="501" spans="2:2" x14ac:dyDescent="0.15">
      <c r="B501" s="367">
        <v>494</v>
      </c>
    </row>
    <row r="502" spans="2:2" x14ac:dyDescent="0.15">
      <c r="B502" s="367">
        <v>495</v>
      </c>
    </row>
    <row r="503" spans="2:2" x14ac:dyDescent="0.15">
      <c r="B503" s="367">
        <v>496</v>
      </c>
    </row>
    <row r="504" spans="2:2" x14ac:dyDescent="0.15">
      <c r="B504" s="367">
        <v>497</v>
      </c>
    </row>
    <row r="505" spans="2:2" x14ac:dyDescent="0.15">
      <c r="B505" s="367">
        <v>498</v>
      </c>
    </row>
    <row r="506" spans="2:2" x14ac:dyDescent="0.15">
      <c r="B506" s="367">
        <v>499</v>
      </c>
    </row>
    <row r="507" spans="2:2" x14ac:dyDescent="0.15">
      <c r="B507" s="367">
        <v>500</v>
      </c>
    </row>
    <row r="508" spans="2:2" x14ac:dyDescent="0.15">
      <c r="B508" s="367">
        <v>501</v>
      </c>
    </row>
    <row r="509" spans="2:2" x14ac:dyDescent="0.15">
      <c r="B509" s="367">
        <v>502</v>
      </c>
    </row>
    <row r="510" spans="2:2" x14ac:dyDescent="0.15">
      <c r="B510" s="367">
        <v>503</v>
      </c>
    </row>
    <row r="511" spans="2:2" x14ac:dyDescent="0.15">
      <c r="B511" s="367">
        <v>504</v>
      </c>
    </row>
    <row r="512" spans="2:2" x14ac:dyDescent="0.15">
      <c r="B512" s="367">
        <v>505</v>
      </c>
    </row>
    <row r="513" spans="2:2" x14ac:dyDescent="0.15">
      <c r="B513" s="367">
        <v>506</v>
      </c>
    </row>
    <row r="514" spans="2:2" x14ac:dyDescent="0.15">
      <c r="B514" s="367">
        <v>507</v>
      </c>
    </row>
    <row r="515" spans="2:2" x14ac:dyDescent="0.15">
      <c r="B515" s="367">
        <v>508</v>
      </c>
    </row>
    <row r="516" spans="2:2" x14ac:dyDescent="0.15">
      <c r="B516" s="367">
        <v>509</v>
      </c>
    </row>
    <row r="517" spans="2:2" x14ac:dyDescent="0.15">
      <c r="B517" s="367">
        <v>510</v>
      </c>
    </row>
    <row r="518" spans="2:2" x14ac:dyDescent="0.15">
      <c r="B518" s="367">
        <v>511</v>
      </c>
    </row>
    <row r="519" spans="2:2" x14ac:dyDescent="0.15">
      <c r="B519" s="367">
        <v>512</v>
      </c>
    </row>
    <row r="520" spans="2:2" x14ac:dyDescent="0.15">
      <c r="B520" s="367">
        <v>513</v>
      </c>
    </row>
    <row r="521" spans="2:2" x14ac:dyDescent="0.15">
      <c r="B521" s="367">
        <v>514</v>
      </c>
    </row>
    <row r="522" spans="2:2" x14ac:dyDescent="0.15">
      <c r="B522" s="367">
        <v>515</v>
      </c>
    </row>
    <row r="523" spans="2:2" x14ac:dyDescent="0.15">
      <c r="B523" s="367">
        <v>516</v>
      </c>
    </row>
    <row r="524" spans="2:2" x14ac:dyDescent="0.15">
      <c r="B524" s="367">
        <v>517</v>
      </c>
    </row>
    <row r="525" spans="2:2" x14ac:dyDescent="0.15">
      <c r="B525" s="367">
        <v>518</v>
      </c>
    </row>
    <row r="526" spans="2:2" x14ac:dyDescent="0.15">
      <c r="B526" s="367">
        <v>519</v>
      </c>
    </row>
    <row r="527" spans="2:2" x14ac:dyDescent="0.15">
      <c r="B527" s="367">
        <v>520</v>
      </c>
    </row>
    <row r="528" spans="2:2" x14ac:dyDescent="0.15">
      <c r="B528" s="367">
        <v>521</v>
      </c>
    </row>
    <row r="529" spans="2:2" x14ac:dyDescent="0.15">
      <c r="B529" s="367">
        <v>522</v>
      </c>
    </row>
    <row r="530" spans="2:2" x14ac:dyDescent="0.15">
      <c r="B530" s="367">
        <v>523</v>
      </c>
    </row>
    <row r="531" spans="2:2" x14ac:dyDescent="0.15">
      <c r="B531" s="367">
        <v>524</v>
      </c>
    </row>
    <row r="532" spans="2:2" x14ac:dyDescent="0.15">
      <c r="B532" s="367">
        <v>525</v>
      </c>
    </row>
    <row r="533" spans="2:2" x14ac:dyDescent="0.15">
      <c r="B533" s="367">
        <v>526</v>
      </c>
    </row>
    <row r="534" spans="2:2" x14ac:dyDescent="0.15">
      <c r="B534" s="367">
        <v>527</v>
      </c>
    </row>
    <row r="535" spans="2:2" x14ac:dyDescent="0.15">
      <c r="B535" s="367">
        <v>528</v>
      </c>
    </row>
    <row r="536" spans="2:2" x14ac:dyDescent="0.15">
      <c r="B536" s="367">
        <v>529</v>
      </c>
    </row>
    <row r="537" spans="2:2" x14ac:dyDescent="0.15">
      <c r="B537" s="367">
        <v>530</v>
      </c>
    </row>
    <row r="538" spans="2:2" x14ac:dyDescent="0.15">
      <c r="B538" s="367">
        <v>531</v>
      </c>
    </row>
    <row r="539" spans="2:2" x14ac:dyDescent="0.15">
      <c r="B539" s="367">
        <v>532</v>
      </c>
    </row>
    <row r="540" spans="2:2" x14ac:dyDescent="0.15">
      <c r="B540" s="367">
        <v>533</v>
      </c>
    </row>
    <row r="541" spans="2:2" x14ac:dyDescent="0.15">
      <c r="B541" s="367">
        <v>534</v>
      </c>
    </row>
    <row r="542" spans="2:2" x14ac:dyDescent="0.15">
      <c r="B542" s="367">
        <v>535</v>
      </c>
    </row>
    <row r="543" spans="2:2" x14ac:dyDescent="0.15">
      <c r="B543" s="367">
        <v>536</v>
      </c>
    </row>
    <row r="544" spans="2:2" x14ac:dyDescent="0.15">
      <c r="B544" s="367">
        <v>537</v>
      </c>
    </row>
    <row r="545" spans="2:2" x14ac:dyDescent="0.15">
      <c r="B545" s="367">
        <v>538</v>
      </c>
    </row>
    <row r="546" spans="2:2" x14ac:dyDescent="0.15">
      <c r="B546" s="367">
        <v>539</v>
      </c>
    </row>
    <row r="547" spans="2:2" x14ac:dyDescent="0.15">
      <c r="B547" s="367">
        <v>540</v>
      </c>
    </row>
    <row r="548" spans="2:2" x14ac:dyDescent="0.15">
      <c r="B548" s="367">
        <v>541</v>
      </c>
    </row>
    <row r="549" spans="2:2" x14ac:dyDescent="0.15">
      <c r="B549" s="367">
        <v>542</v>
      </c>
    </row>
    <row r="550" spans="2:2" x14ac:dyDescent="0.15">
      <c r="B550" s="367">
        <v>543</v>
      </c>
    </row>
    <row r="551" spans="2:2" x14ac:dyDescent="0.15">
      <c r="B551" s="367">
        <v>544</v>
      </c>
    </row>
    <row r="552" spans="2:2" x14ac:dyDescent="0.15">
      <c r="B552" s="367">
        <v>545</v>
      </c>
    </row>
    <row r="553" spans="2:2" x14ac:dyDescent="0.15">
      <c r="B553" s="367">
        <v>546</v>
      </c>
    </row>
    <row r="554" spans="2:2" x14ac:dyDescent="0.15">
      <c r="B554" s="367">
        <v>547</v>
      </c>
    </row>
    <row r="555" spans="2:2" x14ac:dyDescent="0.15">
      <c r="B555" s="367">
        <v>548</v>
      </c>
    </row>
    <row r="556" spans="2:2" x14ac:dyDescent="0.15">
      <c r="B556" s="367">
        <v>549</v>
      </c>
    </row>
    <row r="557" spans="2:2" x14ac:dyDescent="0.15">
      <c r="B557" s="367">
        <v>550</v>
      </c>
    </row>
    <row r="558" spans="2:2" x14ac:dyDescent="0.15">
      <c r="B558" s="367">
        <v>551</v>
      </c>
    </row>
    <row r="559" spans="2:2" x14ac:dyDescent="0.15">
      <c r="B559" s="367">
        <v>552</v>
      </c>
    </row>
    <row r="560" spans="2:2" x14ac:dyDescent="0.15">
      <c r="B560" s="367">
        <v>553</v>
      </c>
    </row>
    <row r="561" spans="2:2" x14ac:dyDescent="0.15">
      <c r="B561" s="367">
        <v>554</v>
      </c>
    </row>
    <row r="562" spans="2:2" x14ac:dyDescent="0.15">
      <c r="B562" s="367">
        <v>555</v>
      </c>
    </row>
    <row r="563" spans="2:2" x14ac:dyDescent="0.15">
      <c r="B563" s="367">
        <v>556</v>
      </c>
    </row>
    <row r="564" spans="2:2" x14ac:dyDescent="0.15">
      <c r="B564" s="367">
        <v>557</v>
      </c>
    </row>
    <row r="565" spans="2:2" x14ac:dyDescent="0.15">
      <c r="B565" s="367">
        <v>558</v>
      </c>
    </row>
    <row r="566" spans="2:2" x14ac:dyDescent="0.15">
      <c r="B566" s="367">
        <v>559</v>
      </c>
    </row>
    <row r="567" spans="2:2" x14ac:dyDescent="0.15">
      <c r="B567" s="367">
        <v>560</v>
      </c>
    </row>
    <row r="568" spans="2:2" x14ac:dyDescent="0.15">
      <c r="B568" s="367">
        <v>561</v>
      </c>
    </row>
    <row r="569" spans="2:2" x14ac:dyDescent="0.15">
      <c r="B569" s="367">
        <v>562</v>
      </c>
    </row>
    <row r="570" spans="2:2" x14ac:dyDescent="0.15">
      <c r="B570" s="367">
        <v>563</v>
      </c>
    </row>
    <row r="571" spans="2:2" x14ac:dyDescent="0.15">
      <c r="B571" s="367">
        <v>564</v>
      </c>
    </row>
    <row r="572" spans="2:2" x14ac:dyDescent="0.15">
      <c r="B572" s="367">
        <v>565</v>
      </c>
    </row>
    <row r="573" spans="2:2" x14ac:dyDescent="0.15">
      <c r="B573" s="367">
        <v>566</v>
      </c>
    </row>
    <row r="574" spans="2:2" x14ac:dyDescent="0.15">
      <c r="B574" s="367">
        <v>567</v>
      </c>
    </row>
    <row r="575" spans="2:2" x14ac:dyDescent="0.15">
      <c r="B575" s="367">
        <v>568</v>
      </c>
    </row>
    <row r="576" spans="2:2" x14ac:dyDescent="0.15">
      <c r="B576" s="367">
        <v>569</v>
      </c>
    </row>
    <row r="577" spans="2:2" x14ac:dyDescent="0.15">
      <c r="B577" s="367">
        <v>570</v>
      </c>
    </row>
    <row r="578" spans="2:2" x14ac:dyDescent="0.15">
      <c r="B578" s="367">
        <v>571</v>
      </c>
    </row>
    <row r="579" spans="2:2" x14ac:dyDescent="0.15">
      <c r="B579" s="367">
        <v>572</v>
      </c>
    </row>
    <row r="580" spans="2:2" x14ac:dyDescent="0.15">
      <c r="B580" s="367">
        <v>573</v>
      </c>
    </row>
    <row r="581" spans="2:2" x14ac:dyDescent="0.15">
      <c r="B581" s="367">
        <v>574</v>
      </c>
    </row>
    <row r="582" spans="2:2" x14ac:dyDescent="0.15">
      <c r="B582" s="367">
        <v>575</v>
      </c>
    </row>
    <row r="583" spans="2:2" x14ac:dyDescent="0.15">
      <c r="B583" s="367">
        <v>576</v>
      </c>
    </row>
    <row r="584" spans="2:2" x14ac:dyDescent="0.15">
      <c r="B584" s="367">
        <v>577</v>
      </c>
    </row>
    <row r="585" spans="2:2" x14ac:dyDescent="0.15">
      <c r="B585" s="367">
        <v>578</v>
      </c>
    </row>
    <row r="586" spans="2:2" x14ac:dyDescent="0.15">
      <c r="B586" s="367">
        <v>579</v>
      </c>
    </row>
    <row r="587" spans="2:2" x14ac:dyDescent="0.15">
      <c r="B587" s="367">
        <v>580</v>
      </c>
    </row>
    <row r="588" spans="2:2" x14ac:dyDescent="0.15">
      <c r="B588" s="367">
        <v>581</v>
      </c>
    </row>
    <row r="589" spans="2:2" x14ac:dyDescent="0.15">
      <c r="B589" s="367">
        <v>582</v>
      </c>
    </row>
    <row r="590" spans="2:2" x14ac:dyDescent="0.15">
      <c r="B590" s="367">
        <v>583</v>
      </c>
    </row>
    <row r="591" spans="2:2" x14ac:dyDescent="0.15">
      <c r="B591" s="367">
        <v>584</v>
      </c>
    </row>
    <row r="592" spans="2:2" x14ac:dyDescent="0.15">
      <c r="B592" s="367">
        <v>585</v>
      </c>
    </row>
    <row r="593" spans="2:2" x14ac:dyDescent="0.15">
      <c r="B593" s="367">
        <v>586</v>
      </c>
    </row>
    <row r="594" spans="2:2" x14ac:dyDescent="0.15">
      <c r="B594" s="367">
        <v>587</v>
      </c>
    </row>
    <row r="595" spans="2:2" x14ac:dyDescent="0.15">
      <c r="B595" s="367">
        <v>588</v>
      </c>
    </row>
    <row r="596" spans="2:2" x14ac:dyDescent="0.15">
      <c r="B596" s="367">
        <v>589</v>
      </c>
    </row>
    <row r="597" spans="2:2" x14ac:dyDescent="0.15">
      <c r="B597" s="367">
        <v>590</v>
      </c>
    </row>
    <row r="598" spans="2:2" x14ac:dyDescent="0.15">
      <c r="B598" s="367">
        <v>591</v>
      </c>
    </row>
    <row r="599" spans="2:2" x14ac:dyDescent="0.15">
      <c r="B599" s="367">
        <v>592</v>
      </c>
    </row>
    <row r="600" spans="2:2" x14ac:dyDescent="0.15">
      <c r="B600" s="367">
        <v>593</v>
      </c>
    </row>
    <row r="601" spans="2:2" x14ac:dyDescent="0.15">
      <c r="B601" s="367">
        <v>594</v>
      </c>
    </row>
    <row r="602" spans="2:2" x14ac:dyDescent="0.15">
      <c r="B602" s="367">
        <v>595</v>
      </c>
    </row>
    <row r="603" spans="2:2" x14ac:dyDescent="0.15">
      <c r="B603" s="367">
        <v>596</v>
      </c>
    </row>
    <row r="604" spans="2:2" x14ac:dyDescent="0.15">
      <c r="B604" s="367">
        <v>597</v>
      </c>
    </row>
    <row r="605" spans="2:2" x14ac:dyDescent="0.15">
      <c r="B605" s="367">
        <v>598</v>
      </c>
    </row>
    <row r="606" spans="2:2" x14ac:dyDescent="0.15">
      <c r="B606" s="367">
        <v>599</v>
      </c>
    </row>
    <row r="607" spans="2:2" x14ac:dyDescent="0.15">
      <c r="B607" s="367">
        <v>600</v>
      </c>
    </row>
    <row r="608" spans="2:2" x14ac:dyDescent="0.15">
      <c r="B608" s="367">
        <v>601</v>
      </c>
    </row>
    <row r="609" spans="2:2" x14ac:dyDescent="0.15">
      <c r="B609" s="367">
        <v>602</v>
      </c>
    </row>
    <row r="610" spans="2:2" x14ac:dyDescent="0.15">
      <c r="B610" s="367">
        <v>603</v>
      </c>
    </row>
    <row r="611" spans="2:2" x14ac:dyDescent="0.15">
      <c r="B611" s="367">
        <v>604</v>
      </c>
    </row>
    <row r="612" spans="2:2" x14ac:dyDescent="0.15">
      <c r="B612" s="367">
        <v>605</v>
      </c>
    </row>
    <row r="613" spans="2:2" x14ac:dyDescent="0.15">
      <c r="B613" s="367">
        <v>606</v>
      </c>
    </row>
    <row r="614" spans="2:2" x14ac:dyDescent="0.15">
      <c r="B614" s="367">
        <v>607</v>
      </c>
    </row>
    <row r="615" spans="2:2" x14ac:dyDescent="0.15">
      <c r="B615" s="367">
        <v>608</v>
      </c>
    </row>
    <row r="616" spans="2:2" x14ac:dyDescent="0.15">
      <c r="B616" s="367">
        <v>609</v>
      </c>
    </row>
    <row r="617" spans="2:2" x14ac:dyDescent="0.15">
      <c r="B617" s="367">
        <v>610</v>
      </c>
    </row>
    <row r="618" spans="2:2" x14ac:dyDescent="0.15">
      <c r="B618" s="367">
        <v>611</v>
      </c>
    </row>
    <row r="619" spans="2:2" x14ac:dyDescent="0.15">
      <c r="B619" s="367">
        <v>612</v>
      </c>
    </row>
    <row r="620" spans="2:2" x14ac:dyDescent="0.15">
      <c r="B620" s="367">
        <v>613</v>
      </c>
    </row>
    <row r="621" spans="2:2" x14ac:dyDescent="0.15">
      <c r="B621" s="367">
        <v>614</v>
      </c>
    </row>
    <row r="622" spans="2:2" x14ac:dyDescent="0.15">
      <c r="B622" s="367">
        <v>615</v>
      </c>
    </row>
    <row r="623" spans="2:2" x14ac:dyDescent="0.15">
      <c r="B623" s="367">
        <v>616</v>
      </c>
    </row>
    <row r="624" spans="2:2" x14ac:dyDescent="0.15">
      <c r="B624" s="367">
        <v>617</v>
      </c>
    </row>
    <row r="625" spans="2:2" x14ac:dyDescent="0.15">
      <c r="B625" s="367">
        <v>618</v>
      </c>
    </row>
    <row r="626" spans="2:2" x14ac:dyDescent="0.15">
      <c r="B626" s="367">
        <v>619</v>
      </c>
    </row>
    <row r="627" spans="2:2" x14ac:dyDescent="0.15">
      <c r="B627" s="367">
        <v>620</v>
      </c>
    </row>
    <row r="628" spans="2:2" x14ac:dyDescent="0.15">
      <c r="B628" s="367">
        <v>621</v>
      </c>
    </row>
    <row r="629" spans="2:2" x14ac:dyDescent="0.15">
      <c r="B629" s="367">
        <v>622</v>
      </c>
    </row>
    <row r="630" spans="2:2" x14ac:dyDescent="0.15">
      <c r="B630" s="367">
        <v>623</v>
      </c>
    </row>
    <row r="631" spans="2:2" x14ac:dyDescent="0.15">
      <c r="B631" s="367">
        <v>624</v>
      </c>
    </row>
    <row r="632" spans="2:2" x14ac:dyDescent="0.15">
      <c r="B632" s="367">
        <v>625</v>
      </c>
    </row>
    <row r="633" spans="2:2" x14ac:dyDescent="0.15">
      <c r="B633" s="367">
        <v>626</v>
      </c>
    </row>
    <row r="634" spans="2:2" x14ac:dyDescent="0.15">
      <c r="B634" s="367">
        <v>627</v>
      </c>
    </row>
    <row r="635" spans="2:2" x14ac:dyDescent="0.15">
      <c r="B635" s="367">
        <v>628</v>
      </c>
    </row>
    <row r="636" spans="2:2" x14ac:dyDescent="0.15">
      <c r="B636" s="367">
        <v>629</v>
      </c>
    </row>
    <row r="637" spans="2:2" x14ac:dyDescent="0.15">
      <c r="B637" s="367">
        <v>630</v>
      </c>
    </row>
    <row r="638" spans="2:2" x14ac:dyDescent="0.15">
      <c r="B638" s="367">
        <v>631</v>
      </c>
    </row>
    <row r="639" spans="2:2" x14ac:dyDescent="0.15">
      <c r="B639" s="367">
        <v>632</v>
      </c>
    </row>
    <row r="640" spans="2:2" x14ac:dyDescent="0.15">
      <c r="B640" s="367">
        <v>633</v>
      </c>
    </row>
    <row r="641" spans="2:2" x14ac:dyDescent="0.15">
      <c r="B641" s="367">
        <v>634</v>
      </c>
    </row>
    <row r="642" spans="2:2" x14ac:dyDescent="0.15">
      <c r="B642" s="367">
        <v>635</v>
      </c>
    </row>
    <row r="643" spans="2:2" x14ac:dyDescent="0.15">
      <c r="B643" s="367">
        <v>636</v>
      </c>
    </row>
    <row r="644" spans="2:2" x14ac:dyDescent="0.15">
      <c r="B644" s="367">
        <v>637</v>
      </c>
    </row>
    <row r="645" spans="2:2" x14ac:dyDescent="0.15">
      <c r="B645" s="367">
        <v>638</v>
      </c>
    </row>
    <row r="646" spans="2:2" x14ac:dyDescent="0.15">
      <c r="B646" s="367">
        <v>639</v>
      </c>
    </row>
    <row r="647" spans="2:2" x14ac:dyDescent="0.15">
      <c r="B647" s="367">
        <v>640</v>
      </c>
    </row>
    <row r="648" spans="2:2" x14ac:dyDescent="0.15">
      <c r="B648" s="367">
        <v>641</v>
      </c>
    </row>
    <row r="649" spans="2:2" x14ac:dyDescent="0.15">
      <c r="B649" s="367">
        <v>642</v>
      </c>
    </row>
    <row r="650" spans="2:2" x14ac:dyDescent="0.15">
      <c r="B650" s="367">
        <v>643</v>
      </c>
    </row>
    <row r="651" spans="2:2" x14ac:dyDescent="0.15">
      <c r="B651" s="367">
        <v>644</v>
      </c>
    </row>
    <row r="652" spans="2:2" x14ac:dyDescent="0.15">
      <c r="B652" s="367">
        <v>645</v>
      </c>
    </row>
    <row r="653" spans="2:2" x14ac:dyDescent="0.15">
      <c r="B653" s="367">
        <v>646</v>
      </c>
    </row>
    <row r="654" spans="2:2" x14ac:dyDescent="0.15">
      <c r="B654" s="367">
        <v>647</v>
      </c>
    </row>
    <row r="655" spans="2:2" x14ac:dyDescent="0.15">
      <c r="B655" s="367">
        <v>648</v>
      </c>
    </row>
    <row r="656" spans="2:2" x14ac:dyDescent="0.15">
      <c r="B656" s="367">
        <v>649</v>
      </c>
    </row>
    <row r="657" spans="2:2" x14ac:dyDescent="0.15">
      <c r="B657" s="367">
        <v>650</v>
      </c>
    </row>
    <row r="658" spans="2:2" x14ac:dyDescent="0.15">
      <c r="B658" s="367">
        <v>651</v>
      </c>
    </row>
    <row r="659" spans="2:2" x14ac:dyDescent="0.15">
      <c r="B659" s="367">
        <v>652</v>
      </c>
    </row>
    <row r="660" spans="2:2" x14ac:dyDescent="0.15">
      <c r="B660" s="367">
        <v>653</v>
      </c>
    </row>
    <row r="661" spans="2:2" x14ac:dyDescent="0.15">
      <c r="B661" s="367">
        <v>654</v>
      </c>
    </row>
    <row r="662" spans="2:2" x14ac:dyDescent="0.15">
      <c r="B662" s="367">
        <v>655</v>
      </c>
    </row>
    <row r="663" spans="2:2" x14ac:dyDescent="0.15">
      <c r="B663" s="367">
        <v>656</v>
      </c>
    </row>
    <row r="664" spans="2:2" x14ac:dyDescent="0.15">
      <c r="B664" s="367">
        <v>657</v>
      </c>
    </row>
    <row r="665" spans="2:2" x14ac:dyDescent="0.15">
      <c r="B665" s="367">
        <v>658</v>
      </c>
    </row>
    <row r="666" spans="2:2" x14ac:dyDescent="0.15">
      <c r="B666" s="367">
        <v>659</v>
      </c>
    </row>
    <row r="667" spans="2:2" x14ac:dyDescent="0.15">
      <c r="B667" s="367">
        <v>660</v>
      </c>
    </row>
    <row r="668" spans="2:2" x14ac:dyDescent="0.15">
      <c r="B668" s="367">
        <v>661</v>
      </c>
    </row>
    <row r="669" spans="2:2" x14ac:dyDescent="0.15">
      <c r="B669" s="367">
        <v>662</v>
      </c>
    </row>
    <row r="670" spans="2:2" x14ac:dyDescent="0.15">
      <c r="B670" s="367">
        <v>663</v>
      </c>
    </row>
    <row r="671" spans="2:2" x14ac:dyDescent="0.15">
      <c r="B671" s="367">
        <v>664</v>
      </c>
    </row>
    <row r="672" spans="2:2" x14ac:dyDescent="0.15">
      <c r="B672" s="367">
        <v>665</v>
      </c>
    </row>
    <row r="673" spans="2:2" x14ac:dyDescent="0.15">
      <c r="B673" s="367">
        <v>666</v>
      </c>
    </row>
    <row r="674" spans="2:2" x14ac:dyDescent="0.15">
      <c r="B674" s="367">
        <v>667</v>
      </c>
    </row>
    <row r="675" spans="2:2" x14ac:dyDescent="0.15">
      <c r="B675" s="367">
        <v>668</v>
      </c>
    </row>
    <row r="676" spans="2:2" x14ac:dyDescent="0.15">
      <c r="B676" s="367">
        <v>669</v>
      </c>
    </row>
    <row r="677" spans="2:2" x14ac:dyDescent="0.15">
      <c r="B677" s="367">
        <v>670</v>
      </c>
    </row>
    <row r="678" spans="2:2" x14ac:dyDescent="0.15">
      <c r="B678" s="367">
        <v>671</v>
      </c>
    </row>
    <row r="679" spans="2:2" x14ac:dyDescent="0.15">
      <c r="B679" s="367">
        <v>672</v>
      </c>
    </row>
    <row r="680" spans="2:2" x14ac:dyDescent="0.15">
      <c r="B680" s="367">
        <v>673</v>
      </c>
    </row>
    <row r="681" spans="2:2" x14ac:dyDescent="0.15">
      <c r="B681" s="367">
        <v>674</v>
      </c>
    </row>
    <row r="682" spans="2:2" x14ac:dyDescent="0.15">
      <c r="B682" s="367">
        <v>675</v>
      </c>
    </row>
    <row r="683" spans="2:2" x14ac:dyDescent="0.15">
      <c r="B683" s="367">
        <v>676</v>
      </c>
    </row>
    <row r="684" spans="2:2" x14ac:dyDescent="0.15">
      <c r="B684" s="367">
        <v>677</v>
      </c>
    </row>
    <row r="685" spans="2:2" x14ac:dyDescent="0.15">
      <c r="B685" s="367">
        <v>678</v>
      </c>
    </row>
    <row r="686" spans="2:2" x14ac:dyDescent="0.15">
      <c r="B686" s="367">
        <v>679</v>
      </c>
    </row>
    <row r="687" spans="2:2" x14ac:dyDescent="0.15">
      <c r="B687" s="367">
        <v>680</v>
      </c>
    </row>
    <row r="688" spans="2:2" x14ac:dyDescent="0.15">
      <c r="B688" s="367">
        <v>681</v>
      </c>
    </row>
    <row r="689" spans="2:2" x14ac:dyDescent="0.15">
      <c r="B689" s="367">
        <v>682</v>
      </c>
    </row>
    <row r="690" spans="2:2" x14ac:dyDescent="0.15">
      <c r="B690" s="367">
        <v>683</v>
      </c>
    </row>
    <row r="691" spans="2:2" x14ac:dyDescent="0.15">
      <c r="B691" s="367">
        <v>684</v>
      </c>
    </row>
    <row r="692" spans="2:2" x14ac:dyDescent="0.15">
      <c r="B692" s="367">
        <v>685</v>
      </c>
    </row>
    <row r="693" spans="2:2" x14ac:dyDescent="0.15">
      <c r="B693" s="367">
        <v>686</v>
      </c>
    </row>
    <row r="694" spans="2:2" x14ac:dyDescent="0.15">
      <c r="B694" s="367">
        <v>687</v>
      </c>
    </row>
    <row r="695" spans="2:2" x14ac:dyDescent="0.15">
      <c r="B695" s="367">
        <v>688</v>
      </c>
    </row>
    <row r="696" spans="2:2" x14ac:dyDescent="0.15">
      <c r="B696" s="367">
        <v>689</v>
      </c>
    </row>
    <row r="697" spans="2:2" x14ac:dyDescent="0.15">
      <c r="B697" s="367">
        <v>690</v>
      </c>
    </row>
    <row r="698" spans="2:2" x14ac:dyDescent="0.15">
      <c r="B698" s="367">
        <v>691</v>
      </c>
    </row>
    <row r="699" spans="2:2" x14ac:dyDescent="0.15">
      <c r="B699" s="367">
        <v>692</v>
      </c>
    </row>
    <row r="700" spans="2:2" x14ac:dyDescent="0.15">
      <c r="B700" s="367">
        <v>693</v>
      </c>
    </row>
    <row r="701" spans="2:2" x14ac:dyDescent="0.15">
      <c r="B701" s="367">
        <v>694</v>
      </c>
    </row>
    <row r="702" spans="2:2" x14ac:dyDescent="0.15">
      <c r="B702" s="367">
        <v>695</v>
      </c>
    </row>
    <row r="703" spans="2:2" x14ac:dyDescent="0.15">
      <c r="B703" s="367">
        <v>696</v>
      </c>
    </row>
    <row r="704" spans="2:2" x14ac:dyDescent="0.15">
      <c r="B704" s="367">
        <v>697</v>
      </c>
    </row>
    <row r="705" spans="2:2" x14ac:dyDescent="0.15">
      <c r="B705" s="367">
        <v>698</v>
      </c>
    </row>
    <row r="706" spans="2:2" x14ac:dyDescent="0.15">
      <c r="B706" s="367">
        <v>699</v>
      </c>
    </row>
    <row r="707" spans="2:2" x14ac:dyDescent="0.15">
      <c r="B707" s="367">
        <v>700</v>
      </c>
    </row>
    <row r="708" spans="2:2" x14ac:dyDescent="0.15">
      <c r="B708" s="367">
        <v>701</v>
      </c>
    </row>
    <row r="709" spans="2:2" x14ac:dyDescent="0.15">
      <c r="B709" s="367">
        <v>702</v>
      </c>
    </row>
    <row r="710" spans="2:2" x14ac:dyDescent="0.15">
      <c r="B710" s="367">
        <v>703</v>
      </c>
    </row>
    <row r="711" spans="2:2" x14ac:dyDescent="0.15">
      <c r="B711" s="367">
        <v>704</v>
      </c>
    </row>
    <row r="712" spans="2:2" x14ac:dyDescent="0.15">
      <c r="B712" s="367">
        <v>705</v>
      </c>
    </row>
    <row r="713" spans="2:2" x14ac:dyDescent="0.15">
      <c r="B713" s="367">
        <v>706</v>
      </c>
    </row>
    <row r="714" spans="2:2" x14ac:dyDescent="0.15">
      <c r="B714" s="367">
        <v>707</v>
      </c>
    </row>
    <row r="715" spans="2:2" x14ac:dyDescent="0.15">
      <c r="B715" s="367">
        <v>708</v>
      </c>
    </row>
    <row r="716" spans="2:2" x14ac:dyDescent="0.15">
      <c r="B716" s="367">
        <v>709</v>
      </c>
    </row>
    <row r="717" spans="2:2" x14ac:dyDescent="0.15">
      <c r="B717" s="367">
        <v>710</v>
      </c>
    </row>
    <row r="718" spans="2:2" x14ac:dyDescent="0.15">
      <c r="B718" s="367">
        <v>711</v>
      </c>
    </row>
    <row r="719" spans="2:2" x14ac:dyDescent="0.15">
      <c r="B719" s="367">
        <v>712</v>
      </c>
    </row>
    <row r="720" spans="2:2" x14ac:dyDescent="0.15">
      <c r="B720" s="367">
        <v>713</v>
      </c>
    </row>
    <row r="721" spans="2:2" x14ac:dyDescent="0.15">
      <c r="B721" s="367">
        <v>714</v>
      </c>
    </row>
    <row r="722" spans="2:2" x14ac:dyDescent="0.15">
      <c r="B722" s="367">
        <v>715</v>
      </c>
    </row>
    <row r="723" spans="2:2" x14ac:dyDescent="0.15">
      <c r="B723" s="367">
        <v>716</v>
      </c>
    </row>
    <row r="724" spans="2:2" x14ac:dyDescent="0.15">
      <c r="B724" s="367">
        <v>717</v>
      </c>
    </row>
    <row r="725" spans="2:2" x14ac:dyDescent="0.15">
      <c r="B725" s="367">
        <v>718</v>
      </c>
    </row>
    <row r="726" spans="2:2" x14ac:dyDescent="0.15">
      <c r="B726" s="367">
        <v>719</v>
      </c>
    </row>
    <row r="727" spans="2:2" x14ac:dyDescent="0.15">
      <c r="B727" s="367">
        <v>720</v>
      </c>
    </row>
    <row r="728" spans="2:2" x14ac:dyDescent="0.15">
      <c r="B728" s="367">
        <v>721</v>
      </c>
    </row>
    <row r="729" spans="2:2" x14ac:dyDescent="0.15">
      <c r="B729" s="367">
        <v>722</v>
      </c>
    </row>
    <row r="730" spans="2:2" x14ac:dyDescent="0.15">
      <c r="B730" s="367">
        <v>723</v>
      </c>
    </row>
    <row r="731" spans="2:2" x14ac:dyDescent="0.15">
      <c r="B731" s="367">
        <v>724</v>
      </c>
    </row>
    <row r="732" spans="2:2" x14ac:dyDescent="0.15">
      <c r="B732" s="367">
        <v>725</v>
      </c>
    </row>
    <row r="733" spans="2:2" x14ac:dyDescent="0.15">
      <c r="B733" s="367">
        <v>726</v>
      </c>
    </row>
    <row r="734" spans="2:2" x14ac:dyDescent="0.15">
      <c r="B734" s="367">
        <v>727</v>
      </c>
    </row>
    <row r="735" spans="2:2" x14ac:dyDescent="0.15">
      <c r="B735" s="367">
        <v>728</v>
      </c>
    </row>
    <row r="736" spans="2:2" x14ac:dyDescent="0.15">
      <c r="B736" s="367">
        <v>729</v>
      </c>
    </row>
    <row r="737" spans="2:2" x14ac:dyDescent="0.15">
      <c r="B737" s="367">
        <v>730</v>
      </c>
    </row>
    <row r="738" spans="2:2" x14ac:dyDescent="0.15">
      <c r="B738" s="367">
        <v>731</v>
      </c>
    </row>
    <row r="739" spans="2:2" x14ac:dyDescent="0.15">
      <c r="B739" s="367">
        <v>732</v>
      </c>
    </row>
    <row r="740" spans="2:2" x14ac:dyDescent="0.15">
      <c r="B740" s="367">
        <v>733</v>
      </c>
    </row>
    <row r="741" spans="2:2" x14ac:dyDescent="0.15">
      <c r="B741" s="367">
        <v>734</v>
      </c>
    </row>
    <row r="742" spans="2:2" x14ac:dyDescent="0.15">
      <c r="B742" s="367">
        <v>735</v>
      </c>
    </row>
    <row r="743" spans="2:2" x14ac:dyDescent="0.15">
      <c r="B743" s="367">
        <v>736</v>
      </c>
    </row>
    <row r="744" spans="2:2" x14ac:dyDescent="0.15">
      <c r="B744" s="367">
        <v>737</v>
      </c>
    </row>
    <row r="745" spans="2:2" x14ac:dyDescent="0.15">
      <c r="B745" s="367">
        <v>738</v>
      </c>
    </row>
    <row r="746" spans="2:2" x14ac:dyDescent="0.15">
      <c r="B746" s="367">
        <v>739</v>
      </c>
    </row>
    <row r="747" spans="2:2" x14ac:dyDescent="0.15">
      <c r="B747" s="367">
        <v>740</v>
      </c>
    </row>
    <row r="748" spans="2:2" x14ac:dyDescent="0.15">
      <c r="B748" s="367">
        <v>741</v>
      </c>
    </row>
    <row r="749" spans="2:2" x14ac:dyDescent="0.15">
      <c r="B749" s="367">
        <v>742</v>
      </c>
    </row>
    <row r="750" spans="2:2" x14ac:dyDescent="0.15">
      <c r="B750" s="367">
        <v>743</v>
      </c>
    </row>
    <row r="751" spans="2:2" x14ac:dyDescent="0.15">
      <c r="B751" s="367">
        <v>744</v>
      </c>
    </row>
    <row r="752" spans="2:2" x14ac:dyDescent="0.15">
      <c r="B752" s="367">
        <v>745</v>
      </c>
    </row>
    <row r="753" spans="2:2" x14ac:dyDescent="0.15">
      <c r="B753" s="367">
        <v>746</v>
      </c>
    </row>
    <row r="754" spans="2:2" x14ac:dyDescent="0.15">
      <c r="B754" s="367">
        <v>747</v>
      </c>
    </row>
    <row r="755" spans="2:2" x14ac:dyDescent="0.15">
      <c r="B755" s="367">
        <v>748</v>
      </c>
    </row>
    <row r="756" spans="2:2" x14ac:dyDescent="0.15">
      <c r="B756" s="367">
        <v>749</v>
      </c>
    </row>
    <row r="757" spans="2:2" x14ac:dyDescent="0.15">
      <c r="B757" s="367">
        <v>750</v>
      </c>
    </row>
    <row r="758" spans="2:2" x14ac:dyDescent="0.15">
      <c r="B758" s="367">
        <v>751</v>
      </c>
    </row>
    <row r="759" spans="2:2" x14ac:dyDescent="0.15">
      <c r="B759" s="367">
        <v>752</v>
      </c>
    </row>
    <row r="760" spans="2:2" x14ac:dyDescent="0.15">
      <c r="B760" s="367">
        <v>753</v>
      </c>
    </row>
    <row r="761" spans="2:2" x14ac:dyDescent="0.15">
      <c r="B761" s="367">
        <v>754</v>
      </c>
    </row>
    <row r="762" spans="2:2" x14ac:dyDescent="0.15">
      <c r="B762" s="367">
        <v>755</v>
      </c>
    </row>
    <row r="763" spans="2:2" x14ac:dyDescent="0.15">
      <c r="B763" s="367">
        <v>756</v>
      </c>
    </row>
    <row r="764" spans="2:2" x14ac:dyDescent="0.15">
      <c r="B764" s="367">
        <v>757</v>
      </c>
    </row>
    <row r="765" spans="2:2" x14ac:dyDescent="0.15">
      <c r="B765" s="367">
        <v>758</v>
      </c>
    </row>
    <row r="766" spans="2:2" x14ac:dyDescent="0.15">
      <c r="B766" s="367">
        <v>759</v>
      </c>
    </row>
    <row r="767" spans="2:2" x14ac:dyDescent="0.15">
      <c r="B767" s="367">
        <v>760</v>
      </c>
    </row>
    <row r="768" spans="2:2" x14ac:dyDescent="0.15">
      <c r="B768" s="367">
        <v>761</v>
      </c>
    </row>
    <row r="769" spans="2:2" x14ac:dyDescent="0.15">
      <c r="B769" s="367">
        <v>762</v>
      </c>
    </row>
    <row r="770" spans="2:2" x14ac:dyDescent="0.15">
      <c r="B770" s="367">
        <v>763</v>
      </c>
    </row>
    <row r="771" spans="2:2" x14ac:dyDescent="0.15">
      <c r="B771" s="367">
        <v>764</v>
      </c>
    </row>
    <row r="772" spans="2:2" x14ac:dyDescent="0.15">
      <c r="B772" s="367">
        <v>765</v>
      </c>
    </row>
    <row r="773" spans="2:2" x14ac:dyDescent="0.15">
      <c r="B773" s="367">
        <v>766</v>
      </c>
    </row>
    <row r="774" spans="2:2" x14ac:dyDescent="0.15">
      <c r="B774" s="367">
        <v>767</v>
      </c>
    </row>
    <row r="775" spans="2:2" x14ac:dyDescent="0.15">
      <c r="B775" s="367">
        <v>768</v>
      </c>
    </row>
    <row r="776" spans="2:2" x14ac:dyDescent="0.15">
      <c r="B776" s="367">
        <v>769</v>
      </c>
    </row>
    <row r="777" spans="2:2" x14ac:dyDescent="0.15">
      <c r="B777" s="367">
        <v>770</v>
      </c>
    </row>
    <row r="778" spans="2:2" x14ac:dyDescent="0.15">
      <c r="B778" s="367">
        <v>771</v>
      </c>
    </row>
    <row r="779" spans="2:2" x14ac:dyDescent="0.15">
      <c r="B779" s="367">
        <v>772</v>
      </c>
    </row>
    <row r="780" spans="2:2" x14ac:dyDescent="0.15">
      <c r="B780" s="367">
        <v>773</v>
      </c>
    </row>
    <row r="781" spans="2:2" x14ac:dyDescent="0.15">
      <c r="B781" s="367">
        <v>774</v>
      </c>
    </row>
    <row r="782" spans="2:2" x14ac:dyDescent="0.15">
      <c r="B782" s="367">
        <v>775</v>
      </c>
    </row>
    <row r="783" spans="2:2" x14ac:dyDescent="0.15">
      <c r="B783" s="367">
        <v>776</v>
      </c>
    </row>
    <row r="784" spans="2:2" x14ac:dyDescent="0.15">
      <c r="B784" s="367">
        <v>777</v>
      </c>
    </row>
    <row r="785" spans="2:2" x14ac:dyDescent="0.15">
      <c r="B785" s="367">
        <v>778</v>
      </c>
    </row>
    <row r="786" spans="2:2" x14ac:dyDescent="0.15">
      <c r="B786" s="367">
        <v>779</v>
      </c>
    </row>
    <row r="787" spans="2:2" x14ac:dyDescent="0.15">
      <c r="B787" s="367">
        <v>780</v>
      </c>
    </row>
    <row r="788" spans="2:2" x14ac:dyDescent="0.15">
      <c r="B788" s="367">
        <v>781</v>
      </c>
    </row>
    <row r="789" spans="2:2" x14ac:dyDescent="0.15">
      <c r="B789" s="367">
        <v>782</v>
      </c>
    </row>
    <row r="790" spans="2:2" x14ac:dyDescent="0.15">
      <c r="B790" s="367">
        <v>783</v>
      </c>
    </row>
    <row r="791" spans="2:2" x14ac:dyDescent="0.15">
      <c r="B791" s="367">
        <v>784</v>
      </c>
    </row>
    <row r="792" spans="2:2" x14ac:dyDescent="0.15">
      <c r="B792" s="367">
        <v>785</v>
      </c>
    </row>
    <row r="793" spans="2:2" x14ac:dyDescent="0.15">
      <c r="B793" s="367">
        <v>786</v>
      </c>
    </row>
    <row r="794" spans="2:2" x14ac:dyDescent="0.15">
      <c r="B794" s="367">
        <v>787</v>
      </c>
    </row>
    <row r="795" spans="2:2" x14ac:dyDescent="0.15">
      <c r="B795" s="367">
        <v>788</v>
      </c>
    </row>
    <row r="796" spans="2:2" x14ac:dyDescent="0.15">
      <c r="B796" s="367">
        <v>789</v>
      </c>
    </row>
    <row r="797" spans="2:2" x14ac:dyDescent="0.15">
      <c r="B797" s="367">
        <v>790</v>
      </c>
    </row>
    <row r="798" spans="2:2" x14ac:dyDescent="0.15">
      <c r="B798" s="367">
        <v>791</v>
      </c>
    </row>
    <row r="799" spans="2:2" x14ac:dyDescent="0.15">
      <c r="B799" s="367">
        <v>792</v>
      </c>
    </row>
    <row r="800" spans="2:2" x14ac:dyDescent="0.15">
      <c r="B800" s="367">
        <v>793</v>
      </c>
    </row>
    <row r="801" spans="2:2" x14ac:dyDescent="0.15">
      <c r="B801" s="367">
        <v>794</v>
      </c>
    </row>
    <row r="802" spans="2:2" x14ac:dyDescent="0.15">
      <c r="B802" s="367">
        <v>795</v>
      </c>
    </row>
    <row r="803" spans="2:2" x14ac:dyDescent="0.15">
      <c r="B803" s="367">
        <v>796</v>
      </c>
    </row>
    <row r="804" spans="2:2" x14ac:dyDescent="0.15">
      <c r="B804" s="367">
        <v>797</v>
      </c>
    </row>
    <row r="805" spans="2:2" x14ac:dyDescent="0.15">
      <c r="B805" s="367">
        <v>798</v>
      </c>
    </row>
    <row r="806" spans="2:2" x14ac:dyDescent="0.15">
      <c r="B806" s="367">
        <v>799</v>
      </c>
    </row>
    <row r="807" spans="2:2" x14ac:dyDescent="0.15">
      <c r="B807" s="367">
        <v>800</v>
      </c>
    </row>
    <row r="808" spans="2:2" x14ac:dyDescent="0.15">
      <c r="B808" s="367">
        <v>801</v>
      </c>
    </row>
    <row r="809" spans="2:2" x14ac:dyDescent="0.15">
      <c r="B809" s="367">
        <v>802</v>
      </c>
    </row>
    <row r="810" spans="2:2" x14ac:dyDescent="0.15">
      <c r="B810" s="367">
        <v>803</v>
      </c>
    </row>
    <row r="811" spans="2:2" x14ac:dyDescent="0.15">
      <c r="B811" s="367">
        <v>804</v>
      </c>
    </row>
    <row r="812" spans="2:2" x14ac:dyDescent="0.15">
      <c r="B812" s="367">
        <v>805</v>
      </c>
    </row>
    <row r="813" spans="2:2" x14ac:dyDescent="0.15">
      <c r="B813" s="367">
        <v>806</v>
      </c>
    </row>
    <row r="814" spans="2:2" x14ac:dyDescent="0.15">
      <c r="B814" s="367">
        <v>807</v>
      </c>
    </row>
    <row r="815" spans="2:2" x14ac:dyDescent="0.15">
      <c r="B815" s="367">
        <v>808</v>
      </c>
    </row>
    <row r="816" spans="2:2" x14ac:dyDescent="0.15">
      <c r="B816" s="367">
        <v>809</v>
      </c>
    </row>
    <row r="817" spans="2:2" x14ac:dyDescent="0.15">
      <c r="B817" s="367">
        <v>810</v>
      </c>
    </row>
    <row r="818" spans="2:2" x14ac:dyDescent="0.15">
      <c r="B818" s="367">
        <v>811</v>
      </c>
    </row>
    <row r="819" spans="2:2" x14ac:dyDescent="0.15">
      <c r="B819" s="367">
        <v>812</v>
      </c>
    </row>
    <row r="820" spans="2:2" x14ac:dyDescent="0.15">
      <c r="B820" s="367">
        <v>813</v>
      </c>
    </row>
    <row r="821" spans="2:2" x14ac:dyDescent="0.15">
      <c r="B821" s="367">
        <v>814</v>
      </c>
    </row>
    <row r="822" spans="2:2" x14ac:dyDescent="0.15">
      <c r="B822" s="367">
        <v>815</v>
      </c>
    </row>
    <row r="823" spans="2:2" x14ac:dyDescent="0.15">
      <c r="B823" s="367">
        <v>816</v>
      </c>
    </row>
    <row r="824" spans="2:2" x14ac:dyDescent="0.15">
      <c r="B824" s="367">
        <v>817</v>
      </c>
    </row>
    <row r="825" spans="2:2" x14ac:dyDescent="0.15">
      <c r="B825" s="367">
        <v>818</v>
      </c>
    </row>
    <row r="826" spans="2:2" x14ac:dyDescent="0.15">
      <c r="B826" s="367">
        <v>819</v>
      </c>
    </row>
    <row r="827" spans="2:2" x14ac:dyDescent="0.15">
      <c r="B827" s="367">
        <v>820</v>
      </c>
    </row>
    <row r="828" spans="2:2" x14ac:dyDescent="0.15">
      <c r="B828" s="367">
        <v>821</v>
      </c>
    </row>
    <row r="829" spans="2:2" x14ac:dyDescent="0.15">
      <c r="B829" s="367">
        <v>822</v>
      </c>
    </row>
    <row r="830" spans="2:2" x14ac:dyDescent="0.15">
      <c r="B830" s="367">
        <v>823</v>
      </c>
    </row>
    <row r="831" spans="2:2" x14ac:dyDescent="0.15">
      <c r="B831" s="367">
        <v>824</v>
      </c>
    </row>
    <row r="832" spans="2:2" x14ac:dyDescent="0.15">
      <c r="B832" s="367">
        <v>825</v>
      </c>
    </row>
    <row r="833" spans="2:2" x14ac:dyDescent="0.15">
      <c r="B833" s="367">
        <v>826</v>
      </c>
    </row>
    <row r="834" spans="2:2" x14ac:dyDescent="0.15">
      <c r="B834" s="367">
        <v>827</v>
      </c>
    </row>
    <row r="835" spans="2:2" x14ac:dyDescent="0.15">
      <c r="B835" s="367">
        <v>828</v>
      </c>
    </row>
    <row r="836" spans="2:2" x14ac:dyDescent="0.15">
      <c r="B836" s="367">
        <v>829</v>
      </c>
    </row>
    <row r="837" spans="2:2" x14ac:dyDescent="0.15">
      <c r="B837" s="367">
        <v>830</v>
      </c>
    </row>
    <row r="838" spans="2:2" x14ac:dyDescent="0.15">
      <c r="B838" s="367">
        <v>831</v>
      </c>
    </row>
    <row r="839" spans="2:2" x14ac:dyDescent="0.15">
      <c r="B839" s="367">
        <v>832</v>
      </c>
    </row>
    <row r="840" spans="2:2" x14ac:dyDescent="0.15">
      <c r="B840" s="367">
        <v>833</v>
      </c>
    </row>
    <row r="841" spans="2:2" x14ac:dyDescent="0.15">
      <c r="B841" s="367">
        <v>834</v>
      </c>
    </row>
    <row r="842" spans="2:2" x14ac:dyDescent="0.15">
      <c r="B842" s="367">
        <v>835</v>
      </c>
    </row>
    <row r="843" spans="2:2" x14ac:dyDescent="0.15">
      <c r="B843" s="367">
        <v>836</v>
      </c>
    </row>
    <row r="844" spans="2:2" x14ac:dyDescent="0.15">
      <c r="B844" s="367">
        <v>837</v>
      </c>
    </row>
    <row r="845" spans="2:2" x14ac:dyDescent="0.15">
      <c r="B845" s="367">
        <v>838</v>
      </c>
    </row>
    <row r="846" spans="2:2" x14ac:dyDescent="0.15">
      <c r="B846" s="367">
        <v>839</v>
      </c>
    </row>
    <row r="847" spans="2:2" x14ac:dyDescent="0.15">
      <c r="B847" s="367">
        <v>840</v>
      </c>
    </row>
    <row r="848" spans="2:2" x14ac:dyDescent="0.15">
      <c r="B848" s="367">
        <v>841</v>
      </c>
    </row>
    <row r="849" spans="2:2" x14ac:dyDescent="0.15">
      <c r="B849" s="367">
        <v>842</v>
      </c>
    </row>
    <row r="850" spans="2:2" x14ac:dyDescent="0.15">
      <c r="B850" s="367">
        <v>843</v>
      </c>
    </row>
    <row r="851" spans="2:2" x14ac:dyDescent="0.15">
      <c r="B851" s="367">
        <v>844</v>
      </c>
    </row>
    <row r="852" spans="2:2" x14ac:dyDescent="0.15">
      <c r="B852" s="367">
        <v>845</v>
      </c>
    </row>
    <row r="853" spans="2:2" x14ac:dyDescent="0.15">
      <c r="B853" s="367">
        <v>846</v>
      </c>
    </row>
    <row r="854" spans="2:2" x14ac:dyDescent="0.15">
      <c r="B854" s="367">
        <v>847</v>
      </c>
    </row>
    <row r="855" spans="2:2" x14ac:dyDescent="0.15">
      <c r="B855" s="367">
        <v>848</v>
      </c>
    </row>
    <row r="856" spans="2:2" x14ac:dyDescent="0.15">
      <c r="B856" s="367">
        <v>849</v>
      </c>
    </row>
    <row r="857" spans="2:2" x14ac:dyDescent="0.15">
      <c r="B857" s="367">
        <v>850</v>
      </c>
    </row>
    <row r="858" spans="2:2" x14ac:dyDescent="0.15">
      <c r="B858" s="367">
        <v>851</v>
      </c>
    </row>
    <row r="859" spans="2:2" x14ac:dyDescent="0.15">
      <c r="B859" s="367">
        <v>852</v>
      </c>
    </row>
    <row r="860" spans="2:2" x14ac:dyDescent="0.15">
      <c r="B860" s="367">
        <v>853</v>
      </c>
    </row>
    <row r="861" spans="2:2" x14ac:dyDescent="0.15">
      <c r="B861" s="367">
        <v>854</v>
      </c>
    </row>
    <row r="862" spans="2:2" x14ac:dyDescent="0.15">
      <c r="B862" s="367">
        <v>855</v>
      </c>
    </row>
    <row r="863" spans="2:2" x14ac:dyDescent="0.15">
      <c r="B863" s="367">
        <v>856</v>
      </c>
    </row>
    <row r="864" spans="2:2" x14ac:dyDescent="0.15">
      <c r="B864" s="367">
        <v>857</v>
      </c>
    </row>
    <row r="865" spans="2:2" x14ac:dyDescent="0.15">
      <c r="B865" s="367">
        <v>858</v>
      </c>
    </row>
    <row r="866" spans="2:2" x14ac:dyDescent="0.15">
      <c r="B866" s="367">
        <v>859</v>
      </c>
    </row>
    <row r="867" spans="2:2" x14ac:dyDescent="0.15">
      <c r="B867" s="367">
        <v>860</v>
      </c>
    </row>
    <row r="868" spans="2:2" x14ac:dyDescent="0.15">
      <c r="B868" s="367">
        <v>861</v>
      </c>
    </row>
    <row r="869" spans="2:2" x14ac:dyDescent="0.15">
      <c r="B869" s="367">
        <v>862</v>
      </c>
    </row>
    <row r="870" spans="2:2" x14ac:dyDescent="0.15">
      <c r="B870" s="367">
        <v>863</v>
      </c>
    </row>
    <row r="871" spans="2:2" x14ac:dyDescent="0.15">
      <c r="B871" s="367">
        <v>864</v>
      </c>
    </row>
    <row r="872" spans="2:2" x14ac:dyDescent="0.15">
      <c r="B872" s="367">
        <v>865</v>
      </c>
    </row>
    <row r="873" spans="2:2" x14ac:dyDescent="0.15">
      <c r="B873" s="367">
        <v>866</v>
      </c>
    </row>
    <row r="874" spans="2:2" x14ac:dyDescent="0.15">
      <c r="B874" s="367">
        <v>867</v>
      </c>
    </row>
    <row r="875" spans="2:2" x14ac:dyDescent="0.15">
      <c r="B875" s="367">
        <v>868</v>
      </c>
    </row>
    <row r="876" spans="2:2" x14ac:dyDescent="0.15">
      <c r="B876" s="367">
        <v>869</v>
      </c>
    </row>
    <row r="877" spans="2:2" x14ac:dyDescent="0.15">
      <c r="B877" s="367">
        <v>870</v>
      </c>
    </row>
    <row r="878" spans="2:2" x14ac:dyDescent="0.15">
      <c r="B878" s="367">
        <v>871</v>
      </c>
    </row>
    <row r="879" spans="2:2" x14ac:dyDescent="0.15">
      <c r="B879" s="367">
        <v>872</v>
      </c>
    </row>
    <row r="880" spans="2:2" x14ac:dyDescent="0.15">
      <c r="B880" s="367">
        <v>873</v>
      </c>
    </row>
    <row r="881" spans="2:2" x14ac:dyDescent="0.15">
      <c r="B881" s="367">
        <v>874</v>
      </c>
    </row>
    <row r="882" spans="2:2" x14ac:dyDescent="0.15">
      <c r="B882" s="367">
        <v>875</v>
      </c>
    </row>
    <row r="883" spans="2:2" x14ac:dyDescent="0.15">
      <c r="B883" s="367">
        <v>876</v>
      </c>
    </row>
    <row r="884" spans="2:2" x14ac:dyDescent="0.15">
      <c r="B884" s="367">
        <v>877</v>
      </c>
    </row>
    <row r="885" spans="2:2" x14ac:dyDescent="0.15">
      <c r="B885" s="367">
        <v>878</v>
      </c>
    </row>
    <row r="886" spans="2:2" x14ac:dyDescent="0.15">
      <c r="B886" s="367">
        <v>879</v>
      </c>
    </row>
    <row r="887" spans="2:2" x14ac:dyDescent="0.15">
      <c r="B887" s="367">
        <v>880</v>
      </c>
    </row>
    <row r="888" spans="2:2" x14ac:dyDescent="0.15">
      <c r="B888" s="367">
        <v>881</v>
      </c>
    </row>
    <row r="889" spans="2:2" x14ac:dyDescent="0.15">
      <c r="B889" s="367">
        <v>882</v>
      </c>
    </row>
    <row r="890" spans="2:2" x14ac:dyDescent="0.15">
      <c r="B890" s="367">
        <v>883</v>
      </c>
    </row>
    <row r="891" spans="2:2" x14ac:dyDescent="0.15">
      <c r="B891" s="367">
        <v>884</v>
      </c>
    </row>
    <row r="892" spans="2:2" x14ac:dyDescent="0.15">
      <c r="B892" s="367">
        <v>885</v>
      </c>
    </row>
    <row r="893" spans="2:2" x14ac:dyDescent="0.15">
      <c r="B893" s="367">
        <v>886</v>
      </c>
    </row>
    <row r="894" spans="2:2" x14ac:dyDescent="0.15">
      <c r="B894" s="367">
        <v>887</v>
      </c>
    </row>
    <row r="895" spans="2:2" x14ac:dyDescent="0.15">
      <c r="B895" s="367">
        <v>888</v>
      </c>
    </row>
    <row r="896" spans="2:2" x14ac:dyDescent="0.15">
      <c r="B896" s="367">
        <v>889</v>
      </c>
    </row>
    <row r="897" spans="2:2" x14ac:dyDescent="0.15">
      <c r="B897" s="367">
        <v>890</v>
      </c>
    </row>
    <row r="898" spans="2:2" x14ac:dyDescent="0.15">
      <c r="B898" s="367">
        <v>891</v>
      </c>
    </row>
    <row r="899" spans="2:2" x14ac:dyDescent="0.15">
      <c r="B899" s="367">
        <v>892</v>
      </c>
    </row>
    <row r="900" spans="2:2" x14ac:dyDescent="0.15">
      <c r="B900" s="367">
        <v>893</v>
      </c>
    </row>
    <row r="901" spans="2:2" x14ac:dyDescent="0.15">
      <c r="B901" s="367">
        <v>894</v>
      </c>
    </row>
    <row r="902" spans="2:2" x14ac:dyDescent="0.15">
      <c r="B902" s="367">
        <v>895</v>
      </c>
    </row>
    <row r="903" spans="2:2" x14ac:dyDescent="0.15">
      <c r="B903" s="367">
        <v>896</v>
      </c>
    </row>
    <row r="904" spans="2:2" x14ac:dyDescent="0.15">
      <c r="B904" s="367">
        <v>897</v>
      </c>
    </row>
    <row r="905" spans="2:2" x14ac:dyDescent="0.15">
      <c r="B905" s="367">
        <v>898</v>
      </c>
    </row>
    <row r="906" spans="2:2" x14ac:dyDescent="0.15">
      <c r="B906" s="367">
        <v>899</v>
      </c>
    </row>
    <row r="907" spans="2:2" x14ac:dyDescent="0.15">
      <c r="B907" s="367">
        <v>900</v>
      </c>
    </row>
    <row r="908" spans="2:2" x14ac:dyDescent="0.15">
      <c r="B908" s="367">
        <v>901</v>
      </c>
    </row>
    <row r="909" spans="2:2" x14ac:dyDescent="0.15">
      <c r="B909" s="367">
        <v>902</v>
      </c>
    </row>
    <row r="910" spans="2:2" x14ac:dyDescent="0.15">
      <c r="B910" s="367">
        <v>903</v>
      </c>
    </row>
    <row r="911" spans="2:2" x14ac:dyDescent="0.15">
      <c r="B911" s="367">
        <v>904</v>
      </c>
    </row>
    <row r="912" spans="2:2" x14ac:dyDescent="0.15">
      <c r="B912" s="367">
        <v>905</v>
      </c>
    </row>
    <row r="913" spans="2:2" x14ac:dyDescent="0.15">
      <c r="B913" s="367">
        <v>906</v>
      </c>
    </row>
    <row r="914" spans="2:2" x14ac:dyDescent="0.15">
      <c r="B914" s="367">
        <v>907</v>
      </c>
    </row>
    <row r="915" spans="2:2" x14ac:dyDescent="0.15">
      <c r="B915" s="367">
        <v>908</v>
      </c>
    </row>
    <row r="916" spans="2:2" x14ac:dyDescent="0.15">
      <c r="B916" s="367">
        <v>909</v>
      </c>
    </row>
    <row r="917" spans="2:2" x14ac:dyDescent="0.15">
      <c r="B917" s="367">
        <v>910</v>
      </c>
    </row>
    <row r="918" spans="2:2" x14ac:dyDescent="0.15">
      <c r="B918" s="367">
        <v>911</v>
      </c>
    </row>
    <row r="919" spans="2:2" x14ac:dyDescent="0.15">
      <c r="B919" s="367">
        <v>912</v>
      </c>
    </row>
    <row r="920" spans="2:2" x14ac:dyDescent="0.15">
      <c r="B920" s="367">
        <v>913</v>
      </c>
    </row>
    <row r="921" spans="2:2" x14ac:dyDescent="0.15">
      <c r="B921" s="367">
        <v>914</v>
      </c>
    </row>
    <row r="922" spans="2:2" x14ac:dyDescent="0.15">
      <c r="B922" s="367">
        <v>915</v>
      </c>
    </row>
    <row r="923" spans="2:2" x14ac:dyDescent="0.15">
      <c r="B923" s="367">
        <v>916</v>
      </c>
    </row>
    <row r="924" spans="2:2" x14ac:dyDescent="0.15">
      <c r="B924" s="367">
        <v>917</v>
      </c>
    </row>
    <row r="925" spans="2:2" x14ac:dyDescent="0.15">
      <c r="B925" s="367">
        <v>918</v>
      </c>
    </row>
    <row r="926" spans="2:2" x14ac:dyDescent="0.15">
      <c r="B926" s="367">
        <v>919</v>
      </c>
    </row>
    <row r="927" spans="2:2" x14ac:dyDescent="0.15">
      <c r="B927" s="367">
        <v>920</v>
      </c>
    </row>
    <row r="928" spans="2:2" x14ac:dyDescent="0.15">
      <c r="B928" s="367">
        <v>921</v>
      </c>
    </row>
    <row r="929" spans="2:2" x14ac:dyDescent="0.15">
      <c r="B929" s="367">
        <v>922</v>
      </c>
    </row>
    <row r="930" spans="2:2" x14ac:dyDescent="0.15">
      <c r="B930" s="367">
        <v>923</v>
      </c>
    </row>
    <row r="931" spans="2:2" x14ac:dyDescent="0.15">
      <c r="B931" s="367">
        <v>924</v>
      </c>
    </row>
    <row r="932" spans="2:2" x14ac:dyDescent="0.15">
      <c r="B932" s="367">
        <v>925</v>
      </c>
    </row>
    <row r="933" spans="2:2" x14ac:dyDescent="0.15">
      <c r="B933" s="367">
        <v>926</v>
      </c>
    </row>
    <row r="934" spans="2:2" x14ac:dyDescent="0.15">
      <c r="B934" s="367">
        <v>927</v>
      </c>
    </row>
    <row r="935" spans="2:2" x14ac:dyDescent="0.15">
      <c r="B935" s="367">
        <v>928</v>
      </c>
    </row>
    <row r="936" spans="2:2" x14ac:dyDescent="0.15">
      <c r="B936" s="367">
        <v>929</v>
      </c>
    </row>
    <row r="937" spans="2:2" x14ac:dyDescent="0.15">
      <c r="B937" s="367">
        <v>930</v>
      </c>
    </row>
    <row r="938" spans="2:2" x14ac:dyDescent="0.15">
      <c r="B938" s="367">
        <v>931</v>
      </c>
    </row>
    <row r="939" spans="2:2" x14ac:dyDescent="0.15">
      <c r="B939" s="367">
        <v>932</v>
      </c>
    </row>
    <row r="940" spans="2:2" x14ac:dyDescent="0.15">
      <c r="B940" s="367">
        <v>933</v>
      </c>
    </row>
    <row r="941" spans="2:2" x14ac:dyDescent="0.15">
      <c r="B941" s="367">
        <v>934</v>
      </c>
    </row>
    <row r="942" spans="2:2" x14ac:dyDescent="0.15">
      <c r="B942" s="367">
        <v>935</v>
      </c>
    </row>
    <row r="943" spans="2:2" x14ac:dyDescent="0.15">
      <c r="B943" s="367">
        <v>936</v>
      </c>
    </row>
    <row r="944" spans="2:2" x14ac:dyDescent="0.15">
      <c r="B944" s="367">
        <v>937</v>
      </c>
    </row>
    <row r="945" spans="2:2" x14ac:dyDescent="0.15">
      <c r="B945" s="367">
        <v>938</v>
      </c>
    </row>
    <row r="946" spans="2:2" x14ac:dyDescent="0.15">
      <c r="B946" s="367">
        <v>939</v>
      </c>
    </row>
    <row r="947" spans="2:2" x14ac:dyDescent="0.15">
      <c r="B947" s="367">
        <v>940</v>
      </c>
    </row>
    <row r="948" spans="2:2" x14ac:dyDescent="0.15">
      <c r="B948" s="367">
        <v>941</v>
      </c>
    </row>
    <row r="949" spans="2:2" x14ac:dyDescent="0.15">
      <c r="B949" s="367">
        <v>942</v>
      </c>
    </row>
    <row r="950" spans="2:2" x14ac:dyDescent="0.15">
      <c r="B950" s="367">
        <v>943</v>
      </c>
    </row>
    <row r="951" spans="2:2" x14ac:dyDescent="0.15">
      <c r="B951" s="367">
        <v>944</v>
      </c>
    </row>
    <row r="952" spans="2:2" x14ac:dyDescent="0.15">
      <c r="B952" s="367">
        <v>945</v>
      </c>
    </row>
    <row r="953" spans="2:2" x14ac:dyDescent="0.15">
      <c r="B953" s="367">
        <v>946</v>
      </c>
    </row>
    <row r="954" spans="2:2" x14ac:dyDescent="0.15">
      <c r="B954" s="367">
        <v>947</v>
      </c>
    </row>
    <row r="955" spans="2:2" x14ac:dyDescent="0.15">
      <c r="B955" s="367">
        <v>948</v>
      </c>
    </row>
    <row r="956" spans="2:2" x14ac:dyDescent="0.15">
      <c r="B956" s="367">
        <v>949</v>
      </c>
    </row>
    <row r="957" spans="2:2" x14ac:dyDescent="0.15">
      <c r="B957" s="367">
        <v>950</v>
      </c>
    </row>
    <row r="958" spans="2:2" x14ac:dyDescent="0.15">
      <c r="B958" s="367">
        <v>951</v>
      </c>
    </row>
    <row r="959" spans="2:2" x14ac:dyDescent="0.15">
      <c r="B959" s="367">
        <v>952</v>
      </c>
    </row>
    <row r="960" spans="2:2" x14ac:dyDescent="0.15">
      <c r="B960" s="367">
        <v>953</v>
      </c>
    </row>
    <row r="961" spans="2:2" x14ac:dyDescent="0.15">
      <c r="B961" s="367">
        <v>954</v>
      </c>
    </row>
    <row r="962" spans="2:2" x14ac:dyDescent="0.15">
      <c r="B962" s="367">
        <v>955</v>
      </c>
    </row>
    <row r="963" spans="2:2" x14ac:dyDescent="0.15">
      <c r="B963" s="367">
        <v>956</v>
      </c>
    </row>
    <row r="964" spans="2:2" x14ac:dyDescent="0.15">
      <c r="B964" s="367">
        <v>957</v>
      </c>
    </row>
    <row r="965" spans="2:2" x14ac:dyDescent="0.15">
      <c r="B965" s="367">
        <v>958</v>
      </c>
    </row>
    <row r="966" spans="2:2" x14ac:dyDescent="0.15">
      <c r="B966" s="367">
        <v>959</v>
      </c>
    </row>
    <row r="967" spans="2:2" x14ac:dyDescent="0.15">
      <c r="B967" s="367">
        <v>960</v>
      </c>
    </row>
    <row r="968" spans="2:2" x14ac:dyDescent="0.15">
      <c r="B968" s="367">
        <v>961</v>
      </c>
    </row>
    <row r="969" spans="2:2" x14ac:dyDescent="0.15">
      <c r="B969" s="367">
        <v>962</v>
      </c>
    </row>
    <row r="970" spans="2:2" x14ac:dyDescent="0.15">
      <c r="B970" s="367">
        <v>963</v>
      </c>
    </row>
    <row r="971" spans="2:2" x14ac:dyDescent="0.15">
      <c r="B971" s="367">
        <v>964</v>
      </c>
    </row>
    <row r="972" spans="2:2" x14ac:dyDescent="0.15">
      <c r="B972" s="367">
        <v>965</v>
      </c>
    </row>
    <row r="973" spans="2:2" x14ac:dyDescent="0.15">
      <c r="B973" s="367">
        <v>966</v>
      </c>
    </row>
    <row r="974" spans="2:2" x14ac:dyDescent="0.15">
      <c r="B974" s="367">
        <v>967</v>
      </c>
    </row>
    <row r="975" spans="2:2" x14ac:dyDescent="0.15">
      <c r="B975" s="367">
        <v>968</v>
      </c>
    </row>
    <row r="976" spans="2:2" x14ac:dyDescent="0.15">
      <c r="B976" s="367">
        <v>969</v>
      </c>
    </row>
    <row r="977" spans="2:2" x14ac:dyDescent="0.15">
      <c r="B977" s="367">
        <v>970</v>
      </c>
    </row>
    <row r="978" spans="2:2" x14ac:dyDescent="0.15">
      <c r="B978" s="367">
        <v>971</v>
      </c>
    </row>
    <row r="979" spans="2:2" x14ac:dyDescent="0.15">
      <c r="B979" s="367">
        <v>972</v>
      </c>
    </row>
    <row r="980" spans="2:2" x14ac:dyDescent="0.15">
      <c r="B980" s="367">
        <v>973</v>
      </c>
    </row>
    <row r="981" spans="2:2" x14ac:dyDescent="0.15">
      <c r="B981" s="367">
        <v>974</v>
      </c>
    </row>
    <row r="982" spans="2:2" x14ac:dyDescent="0.15">
      <c r="B982" s="367">
        <v>975</v>
      </c>
    </row>
    <row r="983" spans="2:2" x14ac:dyDescent="0.15">
      <c r="B983" s="367">
        <v>976</v>
      </c>
    </row>
    <row r="984" spans="2:2" x14ac:dyDescent="0.15">
      <c r="B984" s="367">
        <v>977</v>
      </c>
    </row>
    <row r="985" spans="2:2" x14ac:dyDescent="0.15">
      <c r="B985" s="367">
        <v>978</v>
      </c>
    </row>
    <row r="986" spans="2:2" x14ac:dyDescent="0.15">
      <c r="B986" s="367">
        <v>979</v>
      </c>
    </row>
    <row r="987" spans="2:2" x14ac:dyDescent="0.15">
      <c r="B987" s="367">
        <v>980</v>
      </c>
    </row>
    <row r="988" spans="2:2" x14ac:dyDescent="0.15">
      <c r="B988" s="367">
        <v>981</v>
      </c>
    </row>
    <row r="989" spans="2:2" x14ac:dyDescent="0.15">
      <c r="B989" s="367">
        <v>982</v>
      </c>
    </row>
    <row r="990" spans="2:2" x14ac:dyDescent="0.15">
      <c r="B990" s="367">
        <v>983</v>
      </c>
    </row>
    <row r="991" spans="2:2" x14ac:dyDescent="0.15">
      <c r="B991" s="367">
        <v>984</v>
      </c>
    </row>
    <row r="992" spans="2:2" x14ac:dyDescent="0.15">
      <c r="B992" s="367">
        <v>985</v>
      </c>
    </row>
    <row r="993" spans="2:2" x14ac:dyDescent="0.15">
      <c r="B993" s="367">
        <v>986</v>
      </c>
    </row>
    <row r="994" spans="2:2" x14ac:dyDescent="0.15">
      <c r="B994" s="367">
        <v>987</v>
      </c>
    </row>
    <row r="995" spans="2:2" x14ac:dyDescent="0.15">
      <c r="B995" s="367">
        <v>988</v>
      </c>
    </row>
    <row r="996" spans="2:2" x14ac:dyDescent="0.15">
      <c r="B996" s="367">
        <v>989</v>
      </c>
    </row>
    <row r="997" spans="2:2" x14ac:dyDescent="0.15">
      <c r="B997" s="367">
        <v>990</v>
      </c>
    </row>
    <row r="998" spans="2:2" x14ac:dyDescent="0.15">
      <c r="B998" s="367">
        <v>991</v>
      </c>
    </row>
    <row r="999" spans="2:2" x14ac:dyDescent="0.15">
      <c r="B999" s="367">
        <v>992</v>
      </c>
    </row>
    <row r="1000" spans="2:2" x14ac:dyDescent="0.15">
      <c r="B1000" s="367">
        <v>993</v>
      </c>
    </row>
    <row r="1001" spans="2:2" x14ac:dyDescent="0.15">
      <c r="B1001" s="367">
        <v>994</v>
      </c>
    </row>
    <row r="1002" spans="2:2" x14ac:dyDescent="0.15">
      <c r="B1002" s="367">
        <v>995</v>
      </c>
    </row>
    <row r="1003" spans="2:2" x14ac:dyDescent="0.15">
      <c r="B1003" s="367">
        <v>996</v>
      </c>
    </row>
    <row r="1004" spans="2:2" x14ac:dyDescent="0.15">
      <c r="B1004" s="367">
        <v>997</v>
      </c>
    </row>
    <row r="1005" spans="2:2" x14ac:dyDescent="0.15">
      <c r="B1005" s="367">
        <v>998</v>
      </c>
    </row>
    <row r="1006" spans="2:2" x14ac:dyDescent="0.15">
      <c r="B1006" s="367">
        <v>999</v>
      </c>
    </row>
    <row r="1007" spans="2:2" x14ac:dyDescent="0.15">
      <c r="B1007" s="367">
        <v>1000</v>
      </c>
    </row>
  </sheetData>
  <mergeCells count="3">
    <mergeCell ref="C5:D5"/>
    <mergeCell ref="E5:F5"/>
    <mergeCell ref="G5:H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0F0E4-788F-47B0-BF31-FDD81C26053A}">
  <dimension ref="A3:AP53"/>
  <sheetViews>
    <sheetView topLeftCell="X1" workbookViewId="0">
      <selection activeCell="AE13" sqref="AE13"/>
    </sheetView>
  </sheetViews>
  <sheetFormatPr baseColWidth="10" defaultColWidth="8.83203125" defaultRowHeight="15" x14ac:dyDescent="0.2"/>
  <cols>
    <col min="1" max="1" width="27.1640625" customWidth="1"/>
    <col min="2" max="2" width="12.1640625" customWidth="1"/>
    <col min="3" max="3" width="13.1640625" customWidth="1"/>
    <col min="4" max="4" width="14.1640625" customWidth="1"/>
    <col min="5" max="5" width="12.5" customWidth="1"/>
    <col min="6" max="6" width="5.5" customWidth="1"/>
    <col min="7" max="7" width="16.83203125" customWidth="1"/>
    <col min="8" max="8" width="12" customWidth="1"/>
    <col min="9" max="9" width="10.5" customWidth="1"/>
    <col min="10" max="10" width="10.83203125" customWidth="1"/>
    <col min="11" max="11" width="11.83203125" customWidth="1"/>
    <col min="12" max="12" width="5.5" customWidth="1"/>
    <col min="13" max="13" width="22.1640625" customWidth="1"/>
    <col min="14" max="14" width="48" customWidth="1"/>
    <col min="15" max="15" width="9.1640625" customWidth="1"/>
    <col min="16" max="16" width="24.5" customWidth="1"/>
    <col min="19" max="19" width="15.83203125" customWidth="1"/>
    <col min="20" max="20" width="10.1640625" customWidth="1"/>
    <col min="21" max="21" width="1.5" customWidth="1"/>
    <col min="22" max="22" width="10.1640625" customWidth="1"/>
    <col min="23" max="23" width="9" customWidth="1"/>
    <col min="24" max="24" width="11.83203125" customWidth="1"/>
    <col min="25" max="25" width="11.5" customWidth="1"/>
    <col min="26" max="26" width="1.83203125" customWidth="1"/>
    <col min="27" max="30" width="11.5" customWidth="1"/>
    <col min="31" max="31" width="42.6640625" customWidth="1"/>
    <col min="32" max="32" width="1.83203125" customWidth="1"/>
    <col min="33" max="33" width="11.5" customWidth="1"/>
    <col min="35" max="35" width="1.6640625" customWidth="1"/>
    <col min="36" max="36" width="16.5" customWidth="1"/>
    <col min="37" max="37" width="2.1640625" customWidth="1"/>
    <col min="38" max="38" width="9.5" customWidth="1"/>
  </cols>
  <sheetData>
    <row r="3" spans="1:42" ht="18" customHeight="1" x14ac:dyDescent="0.2">
      <c r="M3" s="182" t="s">
        <v>556</v>
      </c>
      <c r="N3" s="121"/>
      <c r="O3" s="121"/>
      <c r="P3" s="122"/>
    </row>
    <row r="4" spans="1:42" ht="18.75" customHeight="1" x14ac:dyDescent="0.2">
      <c r="A4" s="182" t="s">
        <v>530</v>
      </c>
      <c r="B4" s="121"/>
      <c r="C4" s="121"/>
      <c r="D4" s="121"/>
      <c r="E4" s="122"/>
      <c r="G4" s="182" t="s">
        <v>816</v>
      </c>
      <c r="H4" s="121"/>
      <c r="I4" s="121"/>
      <c r="J4" s="121"/>
      <c r="K4" s="122"/>
      <c r="M4" s="229" t="s">
        <v>551</v>
      </c>
      <c r="N4" s="256" t="s">
        <v>552</v>
      </c>
      <c r="O4" s="256" t="s">
        <v>553</v>
      </c>
      <c r="P4" s="230" t="s">
        <v>554</v>
      </c>
      <c r="S4" s="154" t="s">
        <v>657</v>
      </c>
      <c r="T4" s="162"/>
      <c r="V4" s="578" t="s">
        <v>587</v>
      </c>
      <c r="W4" s="580"/>
      <c r="X4" s="580"/>
      <c r="Y4" s="580"/>
      <c r="Z4" s="163"/>
      <c r="AA4" s="581" t="s">
        <v>588</v>
      </c>
      <c r="AB4" s="581"/>
      <c r="AC4" s="581"/>
      <c r="AD4" s="581"/>
      <c r="AE4" s="581"/>
      <c r="AG4" s="578" t="s">
        <v>590</v>
      </c>
      <c r="AH4" s="579"/>
      <c r="AJ4" s="337" t="s">
        <v>386</v>
      </c>
      <c r="AK4" s="163"/>
      <c r="AL4" s="578" t="s">
        <v>1093</v>
      </c>
      <c r="AM4" s="580"/>
      <c r="AN4" s="580"/>
      <c r="AO4" s="580"/>
      <c r="AP4" s="579"/>
    </row>
    <row r="5" spans="1:42" ht="48" x14ac:dyDescent="0.2">
      <c r="A5" s="228" t="s">
        <v>515</v>
      </c>
      <c r="B5" s="145" t="s">
        <v>516</v>
      </c>
      <c r="C5" s="145" t="s">
        <v>517</v>
      </c>
      <c r="D5" s="145" t="s">
        <v>518</v>
      </c>
      <c r="E5" s="147" t="s">
        <v>559</v>
      </c>
      <c r="G5" s="138" t="s">
        <v>515</v>
      </c>
      <c r="H5" s="135" t="s">
        <v>557</v>
      </c>
      <c r="I5" s="135" t="s">
        <v>529</v>
      </c>
      <c r="J5" s="135" t="s">
        <v>531</v>
      </c>
      <c r="K5" s="136" t="s">
        <v>558</v>
      </c>
      <c r="M5" s="130"/>
      <c r="N5" s="256" t="s">
        <v>533</v>
      </c>
      <c r="P5" s="124"/>
      <c r="S5" s="146" t="s">
        <v>20</v>
      </c>
      <c r="T5" s="147" t="s">
        <v>569</v>
      </c>
      <c r="U5" s="145"/>
      <c r="V5" s="146" t="s">
        <v>579</v>
      </c>
      <c r="W5" s="145" t="s">
        <v>348</v>
      </c>
      <c r="X5" s="145" t="s">
        <v>580</v>
      </c>
      <c r="Y5" s="147" t="s">
        <v>581</v>
      </c>
      <c r="Z5" s="145"/>
      <c r="AA5" s="145" t="s">
        <v>582</v>
      </c>
      <c r="AB5" s="145" t="s">
        <v>583</v>
      </c>
      <c r="AC5" s="132" t="s">
        <v>584</v>
      </c>
      <c r="AD5" s="132" t="s">
        <v>585</v>
      </c>
      <c r="AE5" s="132" t="s">
        <v>586</v>
      </c>
      <c r="AF5" s="80"/>
      <c r="AG5" s="153" t="s">
        <v>589</v>
      </c>
      <c r="AH5" s="149" t="s">
        <v>385</v>
      </c>
      <c r="AJ5" s="338" t="s">
        <v>1092</v>
      </c>
      <c r="AL5" s="123" t="s">
        <v>1098</v>
      </c>
      <c r="AM5" t="s">
        <v>1094</v>
      </c>
      <c r="AN5" t="s">
        <v>1095</v>
      </c>
      <c r="AO5" t="s">
        <v>1096</v>
      </c>
      <c r="AP5" s="124" t="s">
        <v>1097</v>
      </c>
    </row>
    <row r="6" spans="1:42" x14ac:dyDescent="0.2">
      <c r="A6" s="125" t="s">
        <v>519</v>
      </c>
      <c r="B6" s="75" t="s">
        <v>520</v>
      </c>
      <c r="C6" s="75">
        <v>28</v>
      </c>
      <c r="D6" s="75">
        <v>0.72</v>
      </c>
      <c r="E6" s="126">
        <f>D6/C6</f>
        <v>2.5714285714285714E-2</v>
      </c>
      <c r="G6" s="134" t="s">
        <v>519</v>
      </c>
      <c r="H6" s="3" t="s">
        <v>524</v>
      </c>
      <c r="I6" s="3" t="s">
        <v>524</v>
      </c>
      <c r="J6" s="3" t="s">
        <v>520</v>
      </c>
      <c r="K6" s="181">
        <f>E6</f>
        <v>2.5714285714285714E-2</v>
      </c>
      <c r="M6" s="131" t="s">
        <v>534</v>
      </c>
      <c r="N6" s="80" t="s">
        <v>535</v>
      </c>
      <c r="O6" s="257">
        <v>752</v>
      </c>
      <c r="P6" s="148">
        <v>7048</v>
      </c>
      <c r="S6" s="134" t="s">
        <v>570</v>
      </c>
      <c r="T6" s="151" t="s">
        <v>571</v>
      </c>
      <c r="U6" s="75"/>
      <c r="V6" s="150">
        <v>1640</v>
      </c>
      <c r="W6" s="142">
        <v>5564</v>
      </c>
      <c r="X6" s="142">
        <v>15203</v>
      </c>
      <c r="Y6" s="148">
        <v>1168</v>
      </c>
      <c r="Z6" s="142"/>
      <c r="AA6" s="142">
        <v>18522</v>
      </c>
      <c r="AB6" s="142">
        <v>6576</v>
      </c>
      <c r="AC6" s="142">
        <v>943</v>
      </c>
      <c r="AD6" s="142">
        <v>5104</v>
      </c>
      <c r="AE6" s="142">
        <v>1415</v>
      </c>
      <c r="AF6" s="142"/>
      <c r="AG6" s="150">
        <v>176</v>
      </c>
      <c r="AH6" s="148">
        <v>1955</v>
      </c>
      <c r="AJ6" s="335">
        <v>731</v>
      </c>
      <c r="AL6" s="150">
        <v>2625</v>
      </c>
      <c r="AP6" s="124"/>
    </row>
    <row r="7" spans="1:42" x14ac:dyDescent="0.2">
      <c r="A7" s="125" t="s">
        <v>341</v>
      </c>
      <c r="B7" s="75" t="s">
        <v>520</v>
      </c>
      <c r="C7" s="75">
        <v>28</v>
      </c>
      <c r="D7" s="75">
        <v>1.1100000000000001</v>
      </c>
      <c r="E7" s="126">
        <f>D7/C7</f>
        <v>3.9642857142857146E-2</v>
      </c>
      <c r="G7" s="134" t="s">
        <v>561</v>
      </c>
      <c r="H7" s="3" t="s">
        <v>525</v>
      </c>
      <c r="I7" s="166">
        <f>E7*4</f>
        <v>0.15857142857142859</v>
      </c>
      <c r="J7" s="3" t="s">
        <v>520</v>
      </c>
      <c r="K7" s="181">
        <f>E7</f>
        <v>3.9642857142857146E-2</v>
      </c>
      <c r="M7" s="131" t="s">
        <v>536</v>
      </c>
      <c r="N7" s="80" t="s">
        <v>537</v>
      </c>
      <c r="O7" s="257">
        <v>1335</v>
      </c>
      <c r="P7" s="148">
        <v>5088</v>
      </c>
      <c r="S7" s="123" t="s">
        <v>572</v>
      </c>
      <c r="T7" s="152">
        <v>1.6E-2</v>
      </c>
      <c r="U7" s="144"/>
      <c r="V7" s="150">
        <f>V6*(1+T7)</f>
        <v>1666.24</v>
      </c>
      <c r="W7" s="142">
        <f>W6*(1+T7)</f>
        <v>5653.0240000000003</v>
      </c>
      <c r="X7" s="142">
        <f>X6*(1+T7)</f>
        <v>15446.248</v>
      </c>
      <c r="Y7" s="148">
        <f t="shared" ref="Y7:Y13" si="0">Y6*(1+T7)</f>
        <v>1186.6880000000001</v>
      </c>
      <c r="Z7" s="142"/>
      <c r="AA7" s="142">
        <f t="shared" ref="AA7:AA13" si="1">AA6*(1+T7)</f>
        <v>18818.351999999999</v>
      </c>
      <c r="AB7" s="143">
        <f t="shared" ref="AB7:AB13" si="2">AB6*(1+T7)</f>
        <v>6681.2160000000003</v>
      </c>
      <c r="AC7" s="143">
        <f t="shared" ref="AC7:AC13" si="3">AC6*(1+T7)</f>
        <v>958.08799999999997</v>
      </c>
      <c r="AD7" s="143">
        <f t="shared" ref="AD7:AD13" si="4">AD6*(1+T7)</f>
        <v>5185.6639999999998</v>
      </c>
      <c r="AE7" s="143">
        <f t="shared" ref="AE7:AE13" si="5">AE6*(1+T7)</f>
        <v>1437.64</v>
      </c>
      <c r="AF7" s="143"/>
      <c r="AG7" s="150">
        <f t="shared" ref="AG7:AG13" si="6">AG6*(1+T7)</f>
        <v>178.816</v>
      </c>
      <c r="AH7" s="148">
        <f t="shared" ref="AH7:AH13" si="7">AH6*(1+T7)</f>
        <v>1986.28</v>
      </c>
      <c r="AJ7" s="335">
        <f>AJ6*(1+T7)</f>
        <v>742.69600000000003</v>
      </c>
      <c r="AL7" s="150">
        <f>AL6*(1+T7)</f>
        <v>2667</v>
      </c>
      <c r="AP7" s="124"/>
    </row>
    <row r="8" spans="1:42" x14ac:dyDescent="0.2">
      <c r="A8" s="125" t="s">
        <v>342</v>
      </c>
      <c r="B8" s="75" t="s">
        <v>521</v>
      </c>
      <c r="C8" s="75">
        <v>28</v>
      </c>
      <c r="D8" s="75">
        <v>30.95</v>
      </c>
      <c r="E8" s="126">
        <f>D8/C8</f>
        <v>1.1053571428571429</v>
      </c>
      <c r="G8" s="134" t="s">
        <v>562</v>
      </c>
      <c r="H8" s="3" t="s">
        <v>526</v>
      </c>
      <c r="I8" s="166">
        <f>E7*8</f>
        <v>0.31714285714285717</v>
      </c>
      <c r="J8" s="3" t="s">
        <v>520</v>
      </c>
      <c r="K8" s="181">
        <f>E7</f>
        <v>3.9642857142857146E-2</v>
      </c>
      <c r="M8" s="131" t="s">
        <v>538</v>
      </c>
      <c r="N8" s="80" t="s">
        <v>539</v>
      </c>
      <c r="O8" s="257">
        <v>3165</v>
      </c>
      <c r="P8" s="148">
        <v>3883</v>
      </c>
      <c r="S8" s="123" t="s">
        <v>573</v>
      </c>
      <c r="T8" s="152">
        <v>2.1399999999999999E-2</v>
      </c>
      <c r="U8" s="144"/>
      <c r="V8" s="150">
        <f t="shared" ref="V8:V13" si="8">V7*(1+T8)</f>
        <v>1701.8975360000002</v>
      </c>
      <c r="W8" s="142">
        <f t="shared" ref="W8:W13" si="9">W7*(1+T8)</f>
        <v>5773.9987136000009</v>
      </c>
      <c r="X8" s="142">
        <f t="shared" ref="X8:X13" si="10">X7*(1+T8)</f>
        <v>15776.797707200001</v>
      </c>
      <c r="Y8" s="148">
        <f t="shared" si="0"/>
        <v>1212.0831232000003</v>
      </c>
      <c r="Z8" s="142"/>
      <c r="AA8" s="142">
        <f t="shared" si="1"/>
        <v>19221.064732800001</v>
      </c>
      <c r="AB8" s="143">
        <f t="shared" si="2"/>
        <v>6824.1940224000009</v>
      </c>
      <c r="AC8" s="143">
        <f t="shared" si="3"/>
        <v>978.59108320000007</v>
      </c>
      <c r="AD8" s="143">
        <f t="shared" si="4"/>
        <v>5296.6372096000005</v>
      </c>
      <c r="AE8" s="143">
        <f t="shared" si="5"/>
        <v>1468.4054960000003</v>
      </c>
      <c r="AF8" s="143"/>
      <c r="AG8" s="150">
        <f t="shared" si="6"/>
        <v>182.64266240000001</v>
      </c>
      <c r="AH8" s="148">
        <f t="shared" si="7"/>
        <v>2028.7863920000002</v>
      </c>
      <c r="AJ8" s="335">
        <f t="shared" ref="AJ8:AJ13" si="11">AJ7*(1+T8)</f>
        <v>758.5896944000001</v>
      </c>
      <c r="AL8" s="150">
        <f t="shared" ref="AL8:AL13" si="12">AL7*(1+T8)</f>
        <v>2724.0738000000001</v>
      </c>
      <c r="AP8" s="124"/>
    </row>
    <row r="9" spans="1:42" x14ac:dyDescent="0.2">
      <c r="A9" s="125" t="s">
        <v>666</v>
      </c>
      <c r="B9" s="75" t="s">
        <v>522</v>
      </c>
      <c r="C9" s="75">
        <v>28</v>
      </c>
      <c r="D9" s="75">
        <v>4.09</v>
      </c>
      <c r="E9" s="126">
        <f>D9/C9</f>
        <v>0.14607142857142857</v>
      </c>
      <c r="G9" s="134" t="s">
        <v>563</v>
      </c>
      <c r="H9" s="3" t="s">
        <v>527</v>
      </c>
      <c r="I9" s="166">
        <f>E9*10</f>
        <v>1.4607142857142859</v>
      </c>
      <c r="J9" s="166" t="s">
        <v>521</v>
      </c>
      <c r="K9" s="181">
        <f>E8</f>
        <v>1.1053571428571429</v>
      </c>
      <c r="M9" s="131" t="s">
        <v>540</v>
      </c>
      <c r="N9" s="80" t="s">
        <v>541</v>
      </c>
      <c r="O9" s="257">
        <v>3061</v>
      </c>
      <c r="P9" s="148">
        <v>3297</v>
      </c>
      <c r="S9" s="123" t="s">
        <v>574</v>
      </c>
      <c r="T9" s="152">
        <v>2.4899999999999999E-2</v>
      </c>
      <c r="U9" s="144"/>
      <c r="V9" s="150">
        <f t="shared" si="8"/>
        <v>1744.2747846464001</v>
      </c>
      <c r="W9" s="142">
        <f t="shared" si="9"/>
        <v>5917.77128156864</v>
      </c>
      <c r="X9" s="142">
        <f t="shared" si="10"/>
        <v>16169.63997010928</v>
      </c>
      <c r="Y9" s="148">
        <f t="shared" si="0"/>
        <v>1242.2639929676802</v>
      </c>
      <c r="Z9" s="142"/>
      <c r="AA9" s="142">
        <f t="shared" si="1"/>
        <v>19699.66924464672</v>
      </c>
      <c r="AB9" s="143">
        <f t="shared" si="2"/>
        <v>6994.11645355776</v>
      </c>
      <c r="AC9" s="143">
        <f t="shared" si="3"/>
        <v>1002.9580011716801</v>
      </c>
      <c r="AD9" s="143">
        <f t="shared" si="4"/>
        <v>5428.5234761190404</v>
      </c>
      <c r="AE9" s="143">
        <f t="shared" si="5"/>
        <v>1504.9687928504002</v>
      </c>
      <c r="AF9" s="143"/>
      <c r="AG9" s="150">
        <f t="shared" si="6"/>
        <v>187.19046469375999</v>
      </c>
      <c r="AH9" s="148">
        <f t="shared" si="7"/>
        <v>2079.3031731608003</v>
      </c>
      <c r="AJ9" s="335">
        <f t="shared" si="11"/>
        <v>777.47857779056005</v>
      </c>
      <c r="AL9" s="150">
        <f t="shared" si="12"/>
        <v>2791.9032376199998</v>
      </c>
      <c r="AP9" s="124"/>
    </row>
    <row r="10" spans="1:42" x14ac:dyDescent="0.2">
      <c r="A10" s="125" t="s">
        <v>343</v>
      </c>
      <c r="B10" s="75" t="s">
        <v>523</v>
      </c>
      <c r="C10" s="75">
        <v>56</v>
      </c>
      <c r="D10" s="75">
        <v>54.6</v>
      </c>
      <c r="E10" s="126">
        <f>D10/C10</f>
        <v>0.97499999999999998</v>
      </c>
      <c r="G10" s="134" t="s">
        <v>564</v>
      </c>
      <c r="H10" s="3" t="s">
        <v>527</v>
      </c>
      <c r="I10" s="166">
        <f>E9*10</f>
        <v>1.4607142857142859</v>
      </c>
      <c r="J10" s="166" t="s">
        <v>522</v>
      </c>
      <c r="K10" s="175">
        <v>0.15</v>
      </c>
      <c r="M10" s="131" t="s">
        <v>542</v>
      </c>
      <c r="N10" s="80" t="s">
        <v>543</v>
      </c>
      <c r="O10" s="257">
        <v>1307</v>
      </c>
      <c r="P10" s="148">
        <v>6825</v>
      </c>
      <c r="S10" s="123" t="s">
        <v>575</v>
      </c>
      <c r="T10" s="152">
        <v>2.5700000000000001E-2</v>
      </c>
      <c r="U10" s="144"/>
      <c r="V10" s="150">
        <f t="shared" si="8"/>
        <v>1789.1026466118128</v>
      </c>
      <c r="W10" s="142">
        <f t="shared" si="9"/>
        <v>6069.8580035049545</v>
      </c>
      <c r="X10" s="142">
        <f t="shared" si="10"/>
        <v>16585.199717341089</v>
      </c>
      <c r="Y10" s="148">
        <f t="shared" si="0"/>
        <v>1274.1901775869496</v>
      </c>
      <c r="Z10" s="142"/>
      <c r="AA10" s="142">
        <f t="shared" si="1"/>
        <v>20205.950744234142</v>
      </c>
      <c r="AB10" s="143">
        <f t="shared" si="2"/>
        <v>7173.8652464141951</v>
      </c>
      <c r="AC10" s="143">
        <f t="shared" si="3"/>
        <v>1028.7340218017923</v>
      </c>
      <c r="AD10" s="143">
        <f t="shared" si="4"/>
        <v>5568.0365294553003</v>
      </c>
      <c r="AE10" s="143">
        <f t="shared" si="5"/>
        <v>1543.6464908266555</v>
      </c>
      <c r="AF10" s="143"/>
      <c r="AG10" s="150">
        <f t="shared" si="6"/>
        <v>192.00125963638965</v>
      </c>
      <c r="AH10" s="148">
        <f t="shared" si="7"/>
        <v>2132.7412647110327</v>
      </c>
      <c r="AJ10" s="335">
        <f t="shared" si="11"/>
        <v>797.45977723977751</v>
      </c>
      <c r="AL10" s="150">
        <f t="shared" si="12"/>
        <v>2863.655150826834</v>
      </c>
      <c r="AP10" s="124"/>
    </row>
    <row r="11" spans="1:42" x14ac:dyDescent="0.2">
      <c r="A11" s="129" t="s">
        <v>532</v>
      </c>
      <c r="B11" s="127"/>
      <c r="C11" s="127"/>
      <c r="D11" s="127"/>
      <c r="E11" s="128"/>
      <c r="G11" s="134" t="s">
        <v>343</v>
      </c>
      <c r="H11" s="3" t="s">
        <v>528</v>
      </c>
      <c r="I11" s="166">
        <f>E10*2</f>
        <v>1.95</v>
      </c>
      <c r="J11" s="166" t="s">
        <v>528</v>
      </c>
      <c r="K11" s="181">
        <f>E10*2</f>
        <v>1.95</v>
      </c>
      <c r="M11" s="131" t="s">
        <v>544</v>
      </c>
      <c r="N11" s="80" t="s">
        <v>545</v>
      </c>
      <c r="O11" s="257">
        <v>2802</v>
      </c>
      <c r="P11" s="148">
        <v>4406</v>
      </c>
      <c r="S11" s="123" t="s">
        <v>576</v>
      </c>
      <c r="T11" s="152">
        <v>7.0300000000000001E-2</v>
      </c>
      <c r="U11" s="144"/>
      <c r="V11" s="150">
        <f t="shared" si="8"/>
        <v>1914.8765626686234</v>
      </c>
      <c r="W11" s="142">
        <f t="shared" si="9"/>
        <v>6496.5690211513529</v>
      </c>
      <c r="X11" s="142">
        <f t="shared" si="10"/>
        <v>17751.139257470168</v>
      </c>
      <c r="Y11" s="148">
        <f t="shared" si="0"/>
        <v>1363.7657470713123</v>
      </c>
      <c r="Z11" s="142"/>
      <c r="AA11" s="142">
        <f t="shared" si="1"/>
        <v>21626.429081553804</v>
      </c>
      <c r="AB11" s="143">
        <f t="shared" si="2"/>
        <v>7678.1879732371135</v>
      </c>
      <c r="AC11" s="143">
        <f t="shared" si="3"/>
        <v>1101.0540235344583</v>
      </c>
      <c r="AD11" s="143">
        <f t="shared" si="4"/>
        <v>5959.4694974760077</v>
      </c>
      <c r="AE11" s="143">
        <f t="shared" si="5"/>
        <v>1652.1648391317694</v>
      </c>
      <c r="AF11" s="143"/>
      <c r="AG11" s="150">
        <f t="shared" si="6"/>
        <v>205.49894818882785</v>
      </c>
      <c r="AH11" s="148">
        <f t="shared" si="7"/>
        <v>2282.6729756202185</v>
      </c>
      <c r="AJ11" s="335">
        <f t="shared" si="11"/>
        <v>853.52119957973389</v>
      </c>
      <c r="AL11" s="150">
        <f t="shared" si="12"/>
        <v>3064.9701079299602</v>
      </c>
      <c r="AP11" s="124"/>
    </row>
    <row r="12" spans="1:42" x14ac:dyDescent="0.2">
      <c r="A12" s="3"/>
      <c r="G12" s="129" t="s">
        <v>560</v>
      </c>
      <c r="H12" s="127"/>
      <c r="I12" s="127"/>
      <c r="J12" s="127"/>
      <c r="K12" s="128"/>
      <c r="M12" s="131" t="s">
        <v>546</v>
      </c>
      <c r="N12" s="80" t="s">
        <v>547</v>
      </c>
      <c r="O12" s="257">
        <v>9037</v>
      </c>
      <c r="P12" s="148">
        <v>3454</v>
      </c>
      <c r="S12" s="123" t="s">
        <v>577</v>
      </c>
      <c r="T12" s="152">
        <v>2.9000000000000001E-2</v>
      </c>
      <c r="U12" s="144"/>
      <c r="V12" s="150">
        <f t="shared" si="8"/>
        <v>1970.4079829860132</v>
      </c>
      <c r="W12" s="142">
        <f t="shared" si="9"/>
        <v>6684.9695227647417</v>
      </c>
      <c r="X12" s="142">
        <f t="shared" si="10"/>
        <v>18265.922295936802</v>
      </c>
      <c r="Y12" s="148">
        <f t="shared" si="0"/>
        <v>1403.3149537363802</v>
      </c>
      <c r="Z12" s="142"/>
      <c r="AA12" s="142">
        <f t="shared" si="1"/>
        <v>22253.595524918863</v>
      </c>
      <c r="AB12" s="143">
        <f t="shared" si="2"/>
        <v>7900.8554244609895</v>
      </c>
      <c r="AC12" s="143">
        <f t="shared" si="3"/>
        <v>1132.9845902169575</v>
      </c>
      <c r="AD12" s="143">
        <f t="shared" si="4"/>
        <v>6132.2941129028113</v>
      </c>
      <c r="AE12" s="143">
        <f t="shared" si="5"/>
        <v>1700.0776194665907</v>
      </c>
      <c r="AF12" s="143"/>
      <c r="AG12" s="150">
        <f t="shared" si="6"/>
        <v>211.45841768630385</v>
      </c>
      <c r="AH12" s="148">
        <f t="shared" si="7"/>
        <v>2348.8704919132047</v>
      </c>
      <c r="AJ12" s="335">
        <f t="shared" si="11"/>
        <v>878.27331436754605</v>
      </c>
      <c r="AL12" s="150">
        <f t="shared" si="12"/>
        <v>3153.8542410599289</v>
      </c>
      <c r="AP12" s="124"/>
    </row>
    <row r="13" spans="1:42" x14ac:dyDescent="0.2">
      <c r="A13" s="3"/>
      <c r="M13" s="131" t="s">
        <v>548</v>
      </c>
      <c r="N13" s="80" t="s">
        <v>549</v>
      </c>
      <c r="O13" s="257">
        <v>10510</v>
      </c>
      <c r="P13" s="148">
        <v>2940</v>
      </c>
      <c r="S13" s="155" t="s">
        <v>578</v>
      </c>
      <c r="T13" s="156">
        <v>1.7000000000000001E-2</v>
      </c>
      <c r="U13" s="144"/>
      <c r="V13" s="158">
        <f t="shared" si="8"/>
        <v>2003.9049186967752</v>
      </c>
      <c r="W13" s="161">
        <f t="shared" si="9"/>
        <v>6798.6140046517412</v>
      </c>
      <c r="X13" s="161">
        <f t="shared" si="10"/>
        <v>18576.442974967726</v>
      </c>
      <c r="Y13" s="161">
        <f t="shared" si="0"/>
        <v>1427.1713079498984</v>
      </c>
      <c r="Z13" s="142"/>
      <c r="AA13" s="160">
        <f t="shared" si="1"/>
        <v>22631.90664884248</v>
      </c>
      <c r="AB13" s="157">
        <f t="shared" si="2"/>
        <v>8035.1699666768254</v>
      </c>
      <c r="AC13" s="157">
        <f t="shared" si="3"/>
        <v>1152.2453282506456</v>
      </c>
      <c r="AD13" s="157">
        <f t="shared" si="4"/>
        <v>6236.5431128221589</v>
      </c>
      <c r="AE13" s="157">
        <f t="shared" si="5"/>
        <v>1728.9789389975226</v>
      </c>
      <c r="AF13" s="143"/>
      <c r="AG13" s="158">
        <f t="shared" si="6"/>
        <v>215.05321078697099</v>
      </c>
      <c r="AH13" s="159">
        <f t="shared" si="7"/>
        <v>2388.8012902757291</v>
      </c>
      <c r="AJ13" s="336">
        <f t="shared" si="11"/>
        <v>893.20396071179425</v>
      </c>
      <c r="AL13" s="334">
        <f t="shared" si="12"/>
        <v>3207.4697631579475</v>
      </c>
      <c r="AM13" s="339">
        <f>AL13+(AL13*0.1)</f>
        <v>3528.2167394737421</v>
      </c>
      <c r="AN13" s="339">
        <f>AL13+(AL13*0.2)</f>
        <v>3848.9637157895368</v>
      </c>
      <c r="AO13" s="339">
        <f>AL13+(AL13*0.3)</f>
        <v>4169.7106921053319</v>
      </c>
      <c r="AP13" s="340">
        <f>AL13+(AL13*0.4)</f>
        <v>4490.4576684211261</v>
      </c>
    </row>
    <row r="14" spans="1:42" x14ac:dyDescent="0.2">
      <c r="A14" s="231" t="s">
        <v>565</v>
      </c>
      <c r="B14" s="234">
        <f>K6</f>
        <v>2.5714285714285714E-2</v>
      </c>
      <c r="M14" s="125"/>
      <c r="N14" s="80" t="s">
        <v>550</v>
      </c>
      <c r="O14" s="132"/>
      <c r="P14" s="133"/>
      <c r="S14" s="139" t="s">
        <v>568</v>
      </c>
      <c r="T14" s="3"/>
      <c r="U14" s="3"/>
    </row>
    <row r="15" spans="1:42" x14ac:dyDescent="0.2">
      <c r="A15" s="222" t="s">
        <v>663</v>
      </c>
      <c r="B15" s="181">
        <f>K7</f>
        <v>3.9642857142857146E-2</v>
      </c>
      <c r="M15" s="123" t="s">
        <v>534</v>
      </c>
      <c r="N15" s="80" t="s">
        <v>535</v>
      </c>
      <c r="O15" s="257">
        <v>292</v>
      </c>
      <c r="P15" s="148">
        <v>2933.8742736397257</v>
      </c>
    </row>
    <row r="16" spans="1:42" x14ac:dyDescent="0.2">
      <c r="A16" s="222" t="s">
        <v>664</v>
      </c>
      <c r="B16" s="181">
        <f>K9</f>
        <v>1.1053571428571429</v>
      </c>
      <c r="M16" s="123" t="s">
        <v>536</v>
      </c>
      <c r="N16" s="80" t="s">
        <v>537</v>
      </c>
      <c r="O16" s="257">
        <v>476</v>
      </c>
      <c r="P16" s="148">
        <v>2191.3802092895176</v>
      </c>
      <c r="S16" s="139" t="s">
        <v>591</v>
      </c>
    </row>
    <row r="17" spans="1:16" x14ac:dyDescent="0.2">
      <c r="A17" s="222" t="s">
        <v>665</v>
      </c>
      <c r="B17" s="181">
        <f>K10</f>
        <v>0.15</v>
      </c>
      <c r="M17" s="123" t="s">
        <v>538</v>
      </c>
      <c r="N17" s="80" t="s">
        <v>539</v>
      </c>
      <c r="O17" s="257">
        <v>1579</v>
      </c>
      <c r="P17" s="148">
        <v>1928.9462653288742</v>
      </c>
    </row>
    <row r="18" spans="1:16" x14ac:dyDescent="0.2">
      <c r="A18" s="222" t="s">
        <v>566</v>
      </c>
      <c r="B18" s="181">
        <f>K11</f>
        <v>1.95</v>
      </c>
      <c r="M18" s="123" t="s">
        <v>540</v>
      </c>
      <c r="N18" s="80" t="s">
        <v>541</v>
      </c>
      <c r="O18" s="257">
        <v>2236</v>
      </c>
      <c r="P18" s="148">
        <v>1847.4497354497353</v>
      </c>
    </row>
    <row r="19" spans="1:16" x14ac:dyDescent="0.2">
      <c r="A19" s="232" t="s">
        <v>667</v>
      </c>
      <c r="B19" s="181">
        <f>I7</f>
        <v>0.15857142857142859</v>
      </c>
      <c r="M19" s="123" t="s">
        <v>542</v>
      </c>
      <c r="N19" s="80" t="s">
        <v>543</v>
      </c>
      <c r="O19" s="257">
        <v>427</v>
      </c>
      <c r="P19" s="148">
        <v>2506.63272780545</v>
      </c>
    </row>
    <row r="20" spans="1:16" x14ac:dyDescent="0.2">
      <c r="A20" s="232" t="s">
        <v>673</v>
      </c>
      <c r="B20" s="181">
        <f>I8</f>
        <v>0.31714285714285717</v>
      </c>
      <c r="M20" s="123" t="s">
        <v>544</v>
      </c>
      <c r="N20" s="80" t="s">
        <v>545</v>
      </c>
      <c r="O20" s="257">
        <v>1127</v>
      </c>
      <c r="P20" s="148">
        <v>1889.6609132619619</v>
      </c>
    </row>
    <row r="21" spans="1:16" x14ac:dyDescent="0.2">
      <c r="A21" s="232" t="s">
        <v>668</v>
      </c>
      <c r="B21" s="181">
        <f>I9</f>
        <v>1.4607142857142859</v>
      </c>
      <c r="M21" s="123" t="s">
        <v>546</v>
      </c>
      <c r="N21" s="80" t="s">
        <v>547</v>
      </c>
      <c r="O21" s="257">
        <v>5137</v>
      </c>
      <c r="P21" s="148">
        <v>1783.3203617429433</v>
      </c>
    </row>
    <row r="22" spans="1:16" x14ac:dyDescent="0.2">
      <c r="A22" s="233" t="s">
        <v>669</v>
      </c>
      <c r="B22" s="235">
        <f>I11</f>
        <v>1.95</v>
      </c>
      <c r="M22" s="123" t="s">
        <v>548</v>
      </c>
      <c r="N22" s="80" t="s">
        <v>549</v>
      </c>
      <c r="O22" s="257">
        <v>8843</v>
      </c>
      <c r="P22" s="148">
        <v>1646.7692307692307</v>
      </c>
    </row>
    <row r="23" spans="1:16" x14ac:dyDescent="0.2">
      <c r="A23" s="125"/>
      <c r="B23" s="79"/>
      <c r="M23" s="123"/>
      <c r="O23" s="257">
        <f>SUM(O6:O22)</f>
        <v>52086</v>
      </c>
      <c r="P23" s="258">
        <v>3125.091522845476</v>
      </c>
    </row>
    <row r="24" spans="1:16" ht="14.25" customHeight="1" x14ac:dyDescent="0.2">
      <c r="A24" s="125"/>
      <c r="B24" s="79"/>
      <c r="M24" s="141" t="s">
        <v>555</v>
      </c>
      <c r="N24" s="127"/>
      <c r="O24" s="127"/>
      <c r="P24" s="128"/>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3"/>
    </row>
    <row r="42" spans="1:1" x14ac:dyDescent="0.2">
      <c r="A42" s="3"/>
    </row>
    <row r="43" spans="1:1" x14ac:dyDescent="0.2">
      <c r="A43" s="3"/>
    </row>
    <row r="44" spans="1:1" x14ac:dyDescent="0.2">
      <c r="A44" s="3"/>
    </row>
    <row r="45" spans="1:1" x14ac:dyDescent="0.2">
      <c r="A45" s="3"/>
    </row>
    <row r="46" spans="1:1" x14ac:dyDescent="0.2">
      <c r="A46" s="3"/>
    </row>
    <row r="47" spans="1:1" x14ac:dyDescent="0.2">
      <c r="A47" s="3"/>
    </row>
    <row r="48" spans="1:1" x14ac:dyDescent="0.2">
      <c r="A48" s="3"/>
    </row>
    <row r="49" spans="1:1" x14ac:dyDescent="0.2">
      <c r="A49" s="3"/>
    </row>
    <row r="50" spans="1:1" x14ac:dyDescent="0.2">
      <c r="A50" s="3"/>
    </row>
    <row r="51" spans="1:1" x14ac:dyDescent="0.2">
      <c r="A51" s="3"/>
    </row>
    <row r="52" spans="1:1" x14ac:dyDescent="0.2">
      <c r="A52" s="3"/>
    </row>
    <row r="53" spans="1:1" x14ac:dyDescent="0.2">
      <c r="A53" s="3"/>
    </row>
  </sheetData>
  <mergeCells count="4">
    <mergeCell ref="AG4:AH4"/>
    <mergeCell ref="V4:Y4"/>
    <mergeCell ref="AA4:AE4"/>
    <mergeCell ref="AL4:AP4"/>
  </mergeCells>
  <phoneticPr fontId="4" type="noConversion"/>
  <hyperlinks>
    <hyperlink ref="S14" r:id="rId1" display="https://kar.kent.ac.uk/105685/1/The unit costs of health and social care_Final3.pdf" xr:uid="{29F33559-30D2-427F-B5C2-23BB16344AF8}"/>
    <hyperlink ref="S16" r:id="rId2" display="https://www.england.nhs.uk/wp-content/uploads/2023/03/23-25NHSPS-amended_Annex-D-Prices-and-cost-adjustments_2024-25.pdf" xr:uid="{713E63D2-805B-472B-A200-442F4C24AED6}"/>
  </hyperlinks>
  <pageMargins left="0.7" right="0.7" top="0.75" bottom="0.75" header="0.3" footer="0.3"/>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386F2-FA43-44E4-A35D-254A1FF3328E}">
  <dimension ref="A1:K37"/>
  <sheetViews>
    <sheetView workbookViewId="0">
      <selection activeCell="G6" sqref="G6"/>
    </sheetView>
  </sheetViews>
  <sheetFormatPr baseColWidth="10" defaultColWidth="8.83203125" defaultRowHeight="15" x14ac:dyDescent="0.2"/>
  <cols>
    <col min="1" max="1" width="46.83203125" style="103" customWidth="1"/>
    <col min="2" max="2" width="36.83203125" style="103" customWidth="1"/>
    <col min="3" max="3" width="25.1640625" style="3" customWidth="1"/>
    <col min="4" max="4" width="16.5" customWidth="1"/>
    <col min="5" max="5" width="19.5" customWidth="1"/>
    <col min="6" max="6" width="16.5" customWidth="1"/>
    <col min="7" max="7" width="13.5" customWidth="1"/>
    <col min="8" max="8" width="15.5" customWidth="1"/>
  </cols>
  <sheetData>
    <row r="1" spans="1:11" x14ac:dyDescent="0.2">
      <c r="A1" s="254" t="s">
        <v>795</v>
      </c>
      <c r="B1" s="255" t="s">
        <v>755</v>
      </c>
    </row>
    <row r="2" spans="1:11" x14ac:dyDescent="0.2">
      <c r="A2" s="103" t="s">
        <v>759</v>
      </c>
      <c r="B2" s="103" t="s">
        <v>756</v>
      </c>
    </row>
    <row r="3" spans="1:11" x14ac:dyDescent="0.2">
      <c r="A3" s="103" t="s">
        <v>760</v>
      </c>
      <c r="B3" s="253">
        <v>4.2999999999999997E-2</v>
      </c>
    </row>
    <row r="4" spans="1:11" x14ac:dyDescent="0.2">
      <c r="A4" s="103" t="s">
        <v>771</v>
      </c>
      <c r="B4" s="103">
        <v>0</v>
      </c>
      <c r="E4" s="252"/>
      <c r="F4" s="121" t="s">
        <v>753</v>
      </c>
      <c r="G4" s="121"/>
      <c r="H4" s="121"/>
      <c r="I4" s="121"/>
      <c r="J4" s="121"/>
      <c r="K4" s="122"/>
    </row>
    <row r="5" spans="1:11" x14ac:dyDescent="0.2">
      <c r="A5" s="103" t="s">
        <v>761</v>
      </c>
      <c r="B5" s="253">
        <v>1.12E-2</v>
      </c>
      <c r="E5" s="123" t="s">
        <v>752</v>
      </c>
      <c r="F5" s="250" t="s">
        <v>747</v>
      </c>
      <c r="G5" s="250" t="s">
        <v>368</v>
      </c>
      <c r="H5" s="250" t="s">
        <v>748</v>
      </c>
      <c r="I5" s="250" t="s">
        <v>349</v>
      </c>
      <c r="J5" s="250" t="s">
        <v>749</v>
      </c>
      <c r="K5" s="250" t="s">
        <v>750</v>
      </c>
    </row>
    <row r="6" spans="1:11" x14ac:dyDescent="0.2">
      <c r="A6" s="103" t="s">
        <v>772</v>
      </c>
      <c r="B6" s="253">
        <v>0</v>
      </c>
      <c r="E6" s="251" t="s">
        <v>747</v>
      </c>
      <c r="F6" s="217" t="s">
        <v>751</v>
      </c>
      <c r="G6" s="217">
        <v>4.2999999999999997E-2</v>
      </c>
      <c r="H6">
        <v>0</v>
      </c>
      <c r="I6" s="217">
        <v>1.12E-2</v>
      </c>
      <c r="J6">
        <v>0</v>
      </c>
      <c r="K6" s="124"/>
    </row>
    <row r="7" spans="1:11" x14ac:dyDescent="0.2">
      <c r="A7" s="103" t="s">
        <v>762</v>
      </c>
      <c r="B7" s="103" t="s">
        <v>757</v>
      </c>
      <c r="E7" s="251" t="s">
        <v>368</v>
      </c>
      <c r="F7">
        <v>0</v>
      </c>
      <c r="G7">
        <v>0</v>
      </c>
      <c r="H7" t="s">
        <v>754</v>
      </c>
      <c r="I7">
        <v>0</v>
      </c>
      <c r="J7">
        <v>0</v>
      </c>
      <c r="K7" s="124"/>
    </row>
    <row r="8" spans="1:11" x14ac:dyDescent="0.2">
      <c r="A8" s="103" t="s">
        <v>773</v>
      </c>
      <c r="B8" s="103">
        <v>0</v>
      </c>
      <c r="E8" s="251" t="s">
        <v>748</v>
      </c>
      <c r="F8">
        <v>0</v>
      </c>
      <c r="G8">
        <v>0</v>
      </c>
      <c r="H8" t="s">
        <v>754</v>
      </c>
      <c r="I8">
        <v>0</v>
      </c>
      <c r="J8">
        <v>0</v>
      </c>
      <c r="K8" s="124"/>
    </row>
    <row r="9" spans="1:11" x14ac:dyDescent="0.2">
      <c r="A9" s="103" t="s">
        <v>774</v>
      </c>
      <c r="B9" s="103">
        <v>0</v>
      </c>
      <c r="C9" s="144"/>
      <c r="E9" s="251" t="s">
        <v>349</v>
      </c>
      <c r="F9">
        <v>0</v>
      </c>
      <c r="G9">
        <v>0</v>
      </c>
      <c r="H9">
        <v>0</v>
      </c>
      <c r="I9">
        <v>0</v>
      </c>
      <c r="J9" t="s">
        <v>754</v>
      </c>
      <c r="K9" s="124"/>
    </row>
    <row r="10" spans="1:11" x14ac:dyDescent="0.2">
      <c r="A10" s="103" t="s">
        <v>763</v>
      </c>
      <c r="B10" s="103" t="s">
        <v>758</v>
      </c>
      <c r="E10" s="251" t="s">
        <v>749</v>
      </c>
      <c r="F10">
        <v>0</v>
      </c>
      <c r="G10">
        <v>0</v>
      </c>
      <c r="H10">
        <v>0</v>
      </c>
      <c r="I10">
        <v>0</v>
      </c>
      <c r="J10" t="s">
        <v>754</v>
      </c>
      <c r="K10" s="124"/>
    </row>
    <row r="11" spans="1:11" x14ac:dyDescent="0.2">
      <c r="A11" s="103" t="s">
        <v>775</v>
      </c>
      <c r="B11" s="103">
        <v>0</v>
      </c>
      <c r="C11" s="144"/>
      <c r="E11" s="251" t="s">
        <v>750</v>
      </c>
      <c r="F11" s="127">
        <v>0</v>
      </c>
      <c r="G11" s="127">
        <v>0</v>
      </c>
      <c r="H11" s="127">
        <v>0</v>
      </c>
      <c r="I11" s="127">
        <v>0</v>
      </c>
      <c r="J11" s="127">
        <v>0</v>
      </c>
      <c r="K11" s="128">
        <v>1</v>
      </c>
    </row>
    <row r="12" spans="1:11" x14ac:dyDescent="0.2">
      <c r="A12" s="103" t="s">
        <v>776</v>
      </c>
      <c r="B12" s="103">
        <v>0</v>
      </c>
    </row>
    <row r="13" spans="1:11" x14ac:dyDescent="0.2">
      <c r="A13" s="103" t="s">
        <v>764</v>
      </c>
      <c r="B13" s="103" t="s">
        <v>757</v>
      </c>
    </row>
    <row r="14" spans="1:11" x14ac:dyDescent="0.2">
      <c r="A14" s="103" t="s">
        <v>777</v>
      </c>
      <c r="B14" s="103">
        <v>0</v>
      </c>
    </row>
    <row r="15" spans="1:11" x14ac:dyDescent="0.2">
      <c r="A15" s="103" t="s">
        <v>778</v>
      </c>
      <c r="B15" s="103">
        <v>0</v>
      </c>
    </row>
    <row r="16" spans="1:11" x14ac:dyDescent="0.2">
      <c r="A16" s="103" t="s">
        <v>765</v>
      </c>
      <c r="B16" s="103" t="s">
        <v>758</v>
      </c>
    </row>
    <row r="17" spans="1:2" x14ac:dyDescent="0.2">
      <c r="A17" s="103" t="s">
        <v>779</v>
      </c>
      <c r="B17" s="103">
        <v>0</v>
      </c>
    </row>
    <row r="18" spans="1:2" x14ac:dyDescent="0.2">
      <c r="A18" s="103" t="s">
        <v>780</v>
      </c>
      <c r="B18" s="103">
        <v>0</v>
      </c>
    </row>
    <row r="19" spans="1:2" x14ac:dyDescent="0.2">
      <c r="A19" s="103" t="s">
        <v>766</v>
      </c>
      <c r="B19" s="103" t="s">
        <v>757</v>
      </c>
    </row>
    <row r="20" spans="1:2" x14ac:dyDescent="0.2">
      <c r="A20" s="103" t="s">
        <v>781</v>
      </c>
      <c r="B20" s="103">
        <v>0</v>
      </c>
    </row>
    <row r="21" spans="1:2" x14ac:dyDescent="0.2">
      <c r="A21" s="103" t="s">
        <v>782</v>
      </c>
      <c r="B21" s="103">
        <v>0</v>
      </c>
    </row>
    <row r="22" spans="1:2" x14ac:dyDescent="0.2">
      <c r="A22" s="103" t="s">
        <v>783</v>
      </c>
      <c r="B22" s="103">
        <v>0</v>
      </c>
    </row>
    <row r="23" spans="1:2" x14ac:dyDescent="0.2">
      <c r="A23" s="103" t="s">
        <v>784</v>
      </c>
      <c r="B23" s="103">
        <v>0</v>
      </c>
    </row>
    <row r="24" spans="1:2" x14ac:dyDescent="0.2">
      <c r="A24" s="103" t="s">
        <v>767</v>
      </c>
      <c r="B24" s="103" t="s">
        <v>758</v>
      </c>
    </row>
    <row r="25" spans="1:2" x14ac:dyDescent="0.2">
      <c r="A25" s="103" t="s">
        <v>768</v>
      </c>
      <c r="B25" s="103" t="s">
        <v>757</v>
      </c>
    </row>
    <row r="26" spans="1:2" x14ac:dyDescent="0.2">
      <c r="A26" s="103" t="s">
        <v>785</v>
      </c>
      <c r="B26" s="103">
        <v>0</v>
      </c>
    </row>
    <row r="27" spans="1:2" x14ac:dyDescent="0.2">
      <c r="A27" s="103" t="s">
        <v>786</v>
      </c>
      <c r="B27" s="103">
        <v>0</v>
      </c>
    </row>
    <row r="28" spans="1:2" x14ac:dyDescent="0.2">
      <c r="A28" s="103" t="s">
        <v>787</v>
      </c>
      <c r="B28" s="103">
        <v>0</v>
      </c>
    </row>
    <row r="29" spans="1:2" x14ac:dyDescent="0.2">
      <c r="A29" s="103" t="s">
        <v>788</v>
      </c>
      <c r="B29" s="103">
        <v>0</v>
      </c>
    </row>
    <row r="30" spans="1:2" x14ac:dyDescent="0.2">
      <c r="A30" s="103" t="s">
        <v>789</v>
      </c>
      <c r="B30" s="103">
        <v>0</v>
      </c>
    </row>
    <row r="31" spans="1:2" x14ac:dyDescent="0.2">
      <c r="A31" s="103" t="s">
        <v>769</v>
      </c>
      <c r="B31" s="103" t="s">
        <v>757</v>
      </c>
    </row>
    <row r="32" spans="1:2" x14ac:dyDescent="0.2">
      <c r="A32" s="103" t="s">
        <v>790</v>
      </c>
      <c r="B32" s="103">
        <v>0</v>
      </c>
    </row>
    <row r="33" spans="1:2" x14ac:dyDescent="0.2">
      <c r="A33" s="103" t="s">
        <v>791</v>
      </c>
      <c r="B33" s="103">
        <v>0</v>
      </c>
    </row>
    <row r="34" spans="1:2" x14ac:dyDescent="0.2">
      <c r="A34" s="103" t="s">
        <v>792</v>
      </c>
      <c r="B34" s="103">
        <v>0</v>
      </c>
    </row>
    <row r="35" spans="1:2" x14ac:dyDescent="0.2">
      <c r="A35" s="103" t="s">
        <v>793</v>
      </c>
      <c r="B35" s="103">
        <v>0</v>
      </c>
    </row>
    <row r="36" spans="1:2" x14ac:dyDescent="0.2">
      <c r="A36" s="103" t="s">
        <v>794</v>
      </c>
      <c r="B36" s="103">
        <v>0</v>
      </c>
    </row>
    <row r="37" spans="1:2" x14ac:dyDescent="0.2">
      <c r="A37" s="103" t="s">
        <v>770</v>
      </c>
      <c r="B37" s="10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D349-0BEE-4269-B6E1-1E8D474BE817}">
  <sheetPr codeName="Sheet1"/>
  <dimension ref="A3:AF56"/>
  <sheetViews>
    <sheetView zoomScaleNormal="55" workbookViewId="0">
      <pane xSplit="5" topLeftCell="F1" activePane="topRight" state="frozen"/>
      <selection pane="topRight" activeCell="J13" sqref="J13"/>
    </sheetView>
  </sheetViews>
  <sheetFormatPr baseColWidth="10" defaultColWidth="8.83203125" defaultRowHeight="15" x14ac:dyDescent="0.2"/>
  <cols>
    <col min="1" max="1" width="15.1640625" style="3" customWidth="1"/>
    <col min="2" max="2" width="11.1640625" style="3" customWidth="1"/>
    <col min="3" max="3" width="10.6640625" style="3" customWidth="1"/>
    <col min="4" max="5" width="10" customWidth="1"/>
    <col min="6" max="6" width="2.1640625" customWidth="1"/>
    <col min="7" max="7" width="12.1640625" customWidth="1"/>
    <col min="8" max="8" width="19.83203125" customWidth="1"/>
    <col min="9" max="9" width="19" customWidth="1"/>
    <col min="10" max="10" width="14.5" customWidth="1"/>
    <col min="11" max="11" width="2.5" customWidth="1"/>
    <col min="12" max="12" width="13" customWidth="1"/>
    <col min="13" max="13" width="16.1640625" customWidth="1"/>
    <col min="14" max="14" width="13.1640625" customWidth="1"/>
    <col min="15" max="15" width="12.5" customWidth="1"/>
    <col min="16" max="16" width="2.5" customWidth="1"/>
    <col min="17" max="17" width="11" customWidth="1"/>
    <col min="18" max="18" width="15.5" customWidth="1"/>
    <col min="19" max="19" width="13.1640625" customWidth="1"/>
    <col min="20" max="20" width="14.83203125" customWidth="1"/>
    <col min="21" max="21" width="2.83203125" customWidth="1"/>
    <col min="22" max="22" width="10.1640625" customWidth="1"/>
    <col min="23" max="23" width="15" customWidth="1"/>
    <col min="24" max="24" width="13.5" customWidth="1"/>
    <col min="25" max="25" width="13.83203125" customWidth="1"/>
    <col min="26" max="26" width="4.1640625" customWidth="1"/>
    <col min="27" max="27" width="11.33203125" customWidth="1"/>
    <col min="28" max="28" width="12.83203125" customWidth="1"/>
    <col min="29" max="29" width="13.1640625" customWidth="1"/>
    <col min="30" max="30" width="14" customWidth="1"/>
  </cols>
  <sheetData>
    <row r="3" spans="1:32" x14ac:dyDescent="0.2">
      <c r="A3" s="240" t="s">
        <v>481</v>
      </c>
      <c r="B3" s="212" t="s">
        <v>468</v>
      </c>
      <c r="C3" s="212" t="s">
        <v>355</v>
      </c>
      <c r="D3" s="212" t="s">
        <v>356</v>
      </c>
      <c r="E3" s="213" t="s">
        <v>377</v>
      </c>
      <c r="F3" s="3"/>
      <c r="G3" s="3"/>
    </row>
    <row r="4" spans="1:32" x14ac:dyDescent="0.2">
      <c r="A4" s="123" t="s">
        <v>482</v>
      </c>
      <c r="B4" s="3">
        <v>2</v>
      </c>
      <c r="C4" s="3">
        <v>1.99</v>
      </c>
      <c r="D4" s="3">
        <v>2.0099999999999998</v>
      </c>
      <c r="E4" s="241">
        <f>(D4-C4)/(1.96*2)</f>
        <v>5.1020408163264782E-3</v>
      </c>
      <c r="F4" s="3"/>
    </row>
    <row r="5" spans="1:32" x14ac:dyDescent="0.2">
      <c r="A5" s="123" t="s">
        <v>483</v>
      </c>
      <c r="B5" s="3">
        <v>4.5</v>
      </c>
      <c r="C5" s="3">
        <v>4.43</v>
      </c>
      <c r="D5" s="3">
        <v>4.57</v>
      </c>
      <c r="E5" s="241">
        <f>(D5-C5)/(1.96*2)</f>
        <v>3.5714285714285858E-2</v>
      </c>
      <c r="F5" s="3"/>
    </row>
    <row r="6" spans="1:32" x14ac:dyDescent="0.2">
      <c r="A6" s="123" t="s">
        <v>484</v>
      </c>
      <c r="B6" s="3">
        <v>3</v>
      </c>
      <c r="C6" s="3">
        <v>2.95</v>
      </c>
      <c r="D6" s="3">
        <v>3.05</v>
      </c>
      <c r="E6" s="241">
        <f>(D6-C6)/(1.96*2)</f>
        <v>2.5510204081632563E-2</v>
      </c>
      <c r="F6" s="3"/>
    </row>
    <row r="7" spans="1:32" x14ac:dyDescent="0.2">
      <c r="A7" s="176" t="s">
        <v>485</v>
      </c>
      <c r="B7" s="3">
        <v>4.7300000000000004</v>
      </c>
      <c r="C7" s="3">
        <v>4.34</v>
      </c>
      <c r="D7" s="3">
        <v>5.15</v>
      </c>
      <c r="E7" s="241">
        <f>(D7-C7)/(1.96*2)</f>
        <v>0.20663265306122461</v>
      </c>
      <c r="F7" s="3"/>
    </row>
    <row r="8" spans="1:32" x14ac:dyDescent="0.2">
      <c r="A8" s="176" t="s">
        <v>486</v>
      </c>
      <c r="B8" s="3">
        <v>2.3199999999999998</v>
      </c>
      <c r="C8" s="3">
        <v>2.17</v>
      </c>
      <c r="D8" s="3">
        <v>2.4900000000000002</v>
      </c>
      <c r="E8" s="241">
        <f>(D8-C8)/(1.96*2)</f>
        <v>8.1632653061224567E-2</v>
      </c>
      <c r="F8" s="3"/>
    </row>
    <row r="9" spans="1:32" x14ac:dyDescent="0.2">
      <c r="A9" s="242" t="s">
        <v>487</v>
      </c>
      <c r="B9" s="184">
        <v>0.75</v>
      </c>
      <c r="C9" s="184"/>
      <c r="D9" s="127"/>
      <c r="E9" s="128"/>
    </row>
    <row r="11" spans="1:32" s="113" customFormat="1" ht="26.5" customHeight="1" x14ac:dyDescent="0.15">
      <c r="A11" s="582" t="s">
        <v>497</v>
      </c>
      <c r="B11" s="582"/>
      <c r="C11" s="112"/>
      <c r="D11" s="112"/>
      <c r="E11" s="238"/>
      <c r="F11" s="238"/>
      <c r="G11" s="582" t="s">
        <v>683</v>
      </c>
      <c r="H11" s="582"/>
      <c r="I11" s="104"/>
      <c r="J11" s="104"/>
      <c r="K11" s="104"/>
      <c r="L11" s="582" t="s">
        <v>682</v>
      </c>
      <c r="M11" s="582"/>
      <c r="N11" s="238"/>
      <c r="O11" s="238"/>
      <c r="P11" s="238"/>
      <c r="Q11" s="582" t="s">
        <v>681</v>
      </c>
      <c r="R11" s="582"/>
      <c r="S11" s="238"/>
      <c r="T11" s="238"/>
      <c r="U11" s="238"/>
      <c r="V11" s="582" t="s">
        <v>680</v>
      </c>
      <c r="W11" s="582"/>
      <c r="AA11" s="582" t="s">
        <v>679</v>
      </c>
      <c r="AB11" s="582"/>
    </row>
    <row r="12" spans="1:32" ht="27" x14ac:dyDescent="0.2">
      <c r="A12" s="105" t="s">
        <v>488</v>
      </c>
      <c r="B12" s="105" t="s">
        <v>491</v>
      </c>
      <c r="C12" s="105" t="s">
        <v>492</v>
      </c>
      <c r="D12" s="105" t="s">
        <v>493</v>
      </c>
      <c r="E12" s="104"/>
      <c r="F12" s="104"/>
      <c r="G12" s="362" t="s">
        <v>674</v>
      </c>
      <c r="H12" s="362" t="s">
        <v>494</v>
      </c>
      <c r="I12" s="362" t="s">
        <v>495</v>
      </c>
      <c r="J12" s="362" t="s">
        <v>496</v>
      </c>
      <c r="K12" s="104"/>
      <c r="L12" s="243" t="s">
        <v>674</v>
      </c>
      <c r="M12" s="244" t="s">
        <v>676</v>
      </c>
      <c r="N12" s="244" t="s">
        <v>677</v>
      </c>
      <c r="O12" s="244" t="s">
        <v>678</v>
      </c>
      <c r="P12" s="104"/>
      <c r="Q12" s="114" t="s">
        <v>675</v>
      </c>
      <c r="R12" s="108" t="s">
        <v>676</v>
      </c>
      <c r="S12" s="108" t="s">
        <v>677</v>
      </c>
      <c r="T12" s="108" t="s">
        <v>678</v>
      </c>
      <c r="U12" s="104"/>
      <c r="V12" s="245" t="s">
        <v>674</v>
      </c>
      <c r="W12" s="109" t="s">
        <v>676</v>
      </c>
      <c r="X12" s="109" t="s">
        <v>677</v>
      </c>
      <c r="Y12" s="109" t="s">
        <v>678</v>
      </c>
      <c r="Z12" s="104"/>
      <c r="AA12" s="247" t="s">
        <v>674</v>
      </c>
      <c r="AB12" s="111" t="s">
        <v>676</v>
      </c>
      <c r="AC12" s="111" t="s">
        <v>677</v>
      </c>
      <c r="AD12" s="111" t="s">
        <v>678</v>
      </c>
    </row>
    <row r="13" spans="1:32" x14ac:dyDescent="0.2">
      <c r="A13" s="106">
        <v>63</v>
      </c>
      <c r="B13" s="107">
        <v>1.0363000000000001E-2</v>
      </c>
      <c r="C13" s="106">
        <v>70</v>
      </c>
      <c r="D13" s="107">
        <v>1.298E-2</v>
      </c>
      <c r="E13" s="239"/>
      <c r="F13" s="239"/>
      <c r="G13" s="106">
        <v>63</v>
      </c>
      <c r="H13" s="116">
        <f t="shared" ref="H13:H52" si="0">MIN(B13*smr_noevent,1)</f>
        <v>2.0726000000000001E-2</v>
      </c>
      <c r="I13" s="116">
        <f t="shared" ref="I13:I52" si="1">MIN(D13*smr_noevent, 1)</f>
        <v>2.596E-2</v>
      </c>
      <c r="J13" s="116">
        <f t="shared" ref="J13:J52" si="2">(H13*male_proportion_STEMI)+(I13*(1-male_proportion_STEMI))</f>
        <v>2.2034500000000002E-2</v>
      </c>
      <c r="K13" s="225"/>
      <c r="L13" s="106">
        <v>63</v>
      </c>
      <c r="M13" s="243">
        <f t="shared" ref="M13:M52" si="3">MIN(B13*smr_rinfar, 1)</f>
        <v>4.6633500000000001E-2</v>
      </c>
      <c r="N13" s="243">
        <f t="shared" ref="N13:N52" si="4">MIN(D13*smr_rinfar,1)</f>
        <v>5.8410000000000004E-2</v>
      </c>
      <c r="O13" s="243">
        <f t="shared" ref="O13:O52" si="5">MIN((M13*male_proportion_STEMI)+(N13*(1 - male_proportion_STEMI)), 1)</f>
        <v>4.9577625E-2</v>
      </c>
      <c r="P13" s="225"/>
      <c r="Q13" s="106">
        <v>63</v>
      </c>
      <c r="R13" s="115">
        <f t="shared" ref="R13:R52" si="6">MIN(B13*smr_post_rinfar,1)</f>
        <v>3.1089000000000002E-2</v>
      </c>
      <c r="S13" s="115">
        <f t="shared" ref="S13:S52" si="7">MIN(D13*smr_post_rinfar, 1)</f>
        <v>3.8940000000000002E-2</v>
      </c>
      <c r="T13" s="115">
        <f t="shared" ref="T13:T52" si="8">(R13*male_proportion_STEMI)+(S13*(1-male_proportion_STEMI))</f>
        <v>3.3051750000000005E-2</v>
      </c>
      <c r="U13" s="225"/>
      <c r="V13" s="106">
        <v>63</v>
      </c>
      <c r="W13" s="246">
        <f t="shared" ref="W13:W52" si="9">MIN(B13*smr_stk, 1)</f>
        <v>4.901699000000001E-2</v>
      </c>
      <c r="X13" s="246">
        <f t="shared" ref="X13:X52" si="10">MIN(D13*smr_stk, 1)</f>
        <v>6.139540000000001E-2</v>
      </c>
      <c r="Y13" s="246">
        <f t="shared" ref="Y13:Y52" si="11">(W13*male_proportion_STEMI)+(X13*(1-male_proportion_STEMI))</f>
        <v>5.2111592500000012E-2</v>
      </c>
      <c r="Z13" s="225"/>
      <c r="AA13" s="106">
        <v>63</v>
      </c>
      <c r="AB13" s="248">
        <f t="shared" ref="AB13:AB52" si="12">MIN(B13*smr_post_stk, 1)</f>
        <v>2.404216E-2</v>
      </c>
      <c r="AC13" s="248">
        <f t="shared" ref="AC13:AC52" si="13">MIN(D13*smr_post_stk, 1)</f>
        <v>3.0113599999999997E-2</v>
      </c>
      <c r="AD13" s="248">
        <f t="shared" ref="AD13:AD52" si="14">(AB13*male_proportion_STEMI)+(AC13*(1-male_proportion_STEMI))</f>
        <v>2.5560019999999996E-2</v>
      </c>
      <c r="AE13" s="110"/>
      <c r="AF13" s="110"/>
    </row>
    <row r="14" spans="1:32" x14ac:dyDescent="0.2">
      <c r="A14" s="106">
        <v>64</v>
      </c>
      <c r="B14" s="107">
        <v>1.1379999999999999E-2</v>
      </c>
      <c r="C14" s="106">
        <v>71</v>
      </c>
      <c r="D14" s="107">
        <v>1.3979999999999999E-2</v>
      </c>
      <c r="E14" s="239"/>
      <c r="F14" s="239"/>
      <c r="G14" s="106">
        <v>64</v>
      </c>
      <c r="H14" s="116">
        <f t="shared" si="0"/>
        <v>2.2759999999999999E-2</v>
      </c>
      <c r="I14" s="116">
        <f t="shared" si="1"/>
        <v>2.7959999999999999E-2</v>
      </c>
      <c r="J14" s="116">
        <f t="shared" si="2"/>
        <v>2.4059999999999998E-2</v>
      </c>
      <c r="K14" s="225"/>
      <c r="L14" s="106">
        <v>64</v>
      </c>
      <c r="M14" s="243">
        <f t="shared" si="3"/>
        <v>5.1209999999999999E-2</v>
      </c>
      <c r="N14" s="243">
        <f t="shared" si="4"/>
        <v>6.2909999999999994E-2</v>
      </c>
      <c r="O14" s="243">
        <f t="shared" si="5"/>
        <v>5.4134999999999996E-2</v>
      </c>
      <c r="P14" s="225"/>
      <c r="Q14" s="106">
        <v>64</v>
      </c>
      <c r="R14" s="115">
        <f t="shared" si="6"/>
        <v>3.4139999999999997E-2</v>
      </c>
      <c r="S14" s="115">
        <f t="shared" si="7"/>
        <v>4.1939999999999998E-2</v>
      </c>
      <c r="T14" s="115">
        <f t="shared" si="8"/>
        <v>3.6089999999999997E-2</v>
      </c>
      <c r="U14" s="225"/>
      <c r="V14" s="106">
        <v>64</v>
      </c>
      <c r="W14" s="246">
        <f t="shared" si="9"/>
        <v>5.3827400000000004E-2</v>
      </c>
      <c r="X14" s="246">
        <f t="shared" si="10"/>
        <v>6.6125400000000001E-2</v>
      </c>
      <c r="Y14" s="246">
        <f t="shared" si="11"/>
        <v>5.6901900000000005E-2</v>
      </c>
      <c r="Z14" s="225"/>
      <c r="AA14" s="106">
        <v>64</v>
      </c>
      <c r="AB14" s="248">
        <f t="shared" si="12"/>
        <v>2.6401599999999997E-2</v>
      </c>
      <c r="AC14" s="248">
        <f t="shared" si="13"/>
        <v>3.2433599999999993E-2</v>
      </c>
      <c r="AD14" s="248">
        <f t="shared" si="14"/>
        <v>2.7909599999999996E-2</v>
      </c>
      <c r="AE14" s="110"/>
      <c r="AF14" s="110"/>
    </row>
    <row r="15" spans="1:32" x14ac:dyDescent="0.2">
      <c r="A15" s="106">
        <v>65</v>
      </c>
      <c r="B15" s="107">
        <v>1.2389000000000001E-2</v>
      </c>
      <c r="C15" s="106">
        <v>72</v>
      </c>
      <c r="D15" s="107">
        <v>1.5350000000000001E-2</v>
      </c>
      <c r="E15" s="239"/>
      <c r="F15" s="239"/>
      <c r="G15" s="106">
        <v>65</v>
      </c>
      <c r="H15" s="116">
        <f t="shared" si="0"/>
        <v>2.4778000000000001E-2</v>
      </c>
      <c r="I15" s="116">
        <f t="shared" si="1"/>
        <v>3.0700000000000002E-2</v>
      </c>
      <c r="J15" s="116">
        <f t="shared" si="2"/>
        <v>2.6258500000000004E-2</v>
      </c>
      <c r="K15" s="225"/>
      <c r="L15" s="106">
        <v>65</v>
      </c>
      <c r="M15" s="243">
        <f t="shared" si="3"/>
        <v>5.5750500000000001E-2</v>
      </c>
      <c r="N15" s="243">
        <f t="shared" si="4"/>
        <v>6.9074999999999998E-2</v>
      </c>
      <c r="O15" s="243">
        <f t="shared" si="5"/>
        <v>5.9081624999999999E-2</v>
      </c>
      <c r="P15" s="225"/>
      <c r="Q15" s="106">
        <v>65</v>
      </c>
      <c r="R15" s="115">
        <f t="shared" si="6"/>
        <v>3.7167000000000006E-2</v>
      </c>
      <c r="S15" s="115">
        <f t="shared" si="7"/>
        <v>4.6050000000000001E-2</v>
      </c>
      <c r="T15" s="115">
        <f t="shared" si="8"/>
        <v>3.9387750000000006E-2</v>
      </c>
      <c r="U15" s="225"/>
      <c r="V15" s="106">
        <v>65</v>
      </c>
      <c r="W15" s="246">
        <f t="shared" si="9"/>
        <v>5.8599970000000008E-2</v>
      </c>
      <c r="X15" s="246">
        <f t="shared" si="10"/>
        <v>7.2605500000000017E-2</v>
      </c>
      <c r="Y15" s="246">
        <f t="shared" si="11"/>
        <v>6.2101352500000012E-2</v>
      </c>
      <c r="Z15" s="225"/>
      <c r="AA15" s="106">
        <v>65</v>
      </c>
      <c r="AB15" s="248">
        <f t="shared" si="12"/>
        <v>2.8742480000000001E-2</v>
      </c>
      <c r="AC15" s="248">
        <f t="shared" si="13"/>
        <v>3.5611999999999998E-2</v>
      </c>
      <c r="AD15" s="248">
        <f t="shared" si="14"/>
        <v>3.0459859999999998E-2</v>
      </c>
      <c r="AE15" s="110"/>
      <c r="AF15" s="110"/>
    </row>
    <row r="16" spans="1:32" x14ac:dyDescent="0.2">
      <c r="A16" s="106">
        <v>66</v>
      </c>
      <c r="B16" s="107">
        <v>1.3665999999999999E-2</v>
      </c>
      <c r="C16" s="106">
        <v>73</v>
      </c>
      <c r="D16" s="107">
        <v>1.6933E-2</v>
      </c>
      <c r="E16" s="239"/>
      <c r="F16" s="239"/>
      <c r="G16" s="106">
        <v>66</v>
      </c>
      <c r="H16" s="116">
        <f t="shared" si="0"/>
        <v>2.7331999999999999E-2</v>
      </c>
      <c r="I16" s="116">
        <f t="shared" si="1"/>
        <v>3.3866E-2</v>
      </c>
      <c r="J16" s="116">
        <f t="shared" si="2"/>
        <v>2.8965499999999998E-2</v>
      </c>
      <c r="K16" s="225"/>
      <c r="L16" s="106">
        <v>66</v>
      </c>
      <c r="M16" s="243">
        <f t="shared" si="3"/>
        <v>6.1496999999999996E-2</v>
      </c>
      <c r="N16" s="243">
        <f t="shared" si="4"/>
        <v>7.6198500000000002E-2</v>
      </c>
      <c r="O16" s="243">
        <f t="shared" si="5"/>
        <v>6.5172375000000005E-2</v>
      </c>
      <c r="P16" s="225"/>
      <c r="Q16" s="106">
        <v>66</v>
      </c>
      <c r="R16" s="115">
        <f t="shared" si="6"/>
        <v>4.0998E-2</v>
      </c>
      <c r="S16" s="115">
        <f t="shared" si="7"/>
        <v>5.0798999999999997E-2</v>
      </c>
      <c r="T16" s="115">
        <f t="shared" si="8"/>
        <v>4.3448249999999994E-2</v>
      </c>
      <c r="U16" s="225"/>
      <c r="V16" s="106">
        <v>66</v>
      </c>
      <c r="W16" s="246">
        <f t="shared" si="9"/>
        <v>6.4640180000000005E-2</v>
      </c>
      <c r="X16" s="246">
        <f t="shared" si="10"/>
        <v>8.0093090000000006E-2</v>
      </c>
      <c r="Y16" s="246">
        <f t="shared" si="11"/>
        <v>6.8503407500000002E-2</v>
      </c>
      <c r="Z16" s="225"/>
      <c r="AA16" s="106">
        <v>66</v>
      </c>
      <c r="AB16" s="248">
        <f t="shared" si="12"/>
        <v>3.1705119999999996E-2</v>
      </c>
      <c r="AC16" s="248">
        <f t="shared" si="13"/>
        <v>3.9284559999999996E-2</v>
      </c>
      <c r="AD16" s="248">
        <f t="shared" si="14"/>
        <v>3.3599979999999995E-2</v>
      </c>
      <c r="AE16" s="110"/>
      <c r="AF16" s="110"/>
    </row>
    <row r="17" spans="1:32" x14ac:dyDescent="0.2">
      <c r="A17" s="106">
        <v>67</v>
      </c>
      <c r="B17" s="107">
        <v>1.5075E-2</v>
      </c>
      <c r="C17" s="106">
        <v>74</v>
      </c>
      <c r="D17" s="107">
        <v>1.8619E-2</v>
      </c>
      <c r="E17" s="239"/>
      <c r="F17" s="239"/>
      <c r="G17" s="106">
        <v>67</v>
      </c>
      <c r="H17" s="116">
        <f t="shared" si="0"/>
        <v>3.015E-2</v>
      </c>
      <c r="I17" s="116">
        <f t="shared" si="1"/>
        <v>3.7238E-2</v>
      </c>
      <c r="J17" s="116">
        <f t="shared" si="2"/>
        <v>3.1921999999999999E-2</v>
      </c>
      <c r="K17" s="225"/>
      <c r="L17" s="106">
        <v>67</v>
      </c>
      <c r="M17" s="243">
        <f t="shared" si="3"/>
        <v>6.7837499999999995E-2</v>
      </c>
      <c r="N17" s="243">
        <f t="shared" si="4"/>
        <v>8.3785499999999999E-2</v>
      </c>
      <c r="O17" s="243">
        <f t="shared" si="5"/>
        <v>7.1824499999999999E-2</v>
      </c>
      <c r="P17" s="225"/>
      <c r="Q17" s="106">
        <v>67</v>
      </c>
      <c r="R17" s="115">
        <f t="shared" si="6"/>
        <v>4.5225000000000001E-2</v>
      </c>
      <c r="S17" s="115">
        <f t="shared" si="7"/>
        <v>5.5857000000000004E-2</v>
      </c>
      <c r="T17" s="115">
        <f t="shared" si="8"/>
        <v>4.7882999999999995E-2</v>
      </c>
      <c r="U17" s="225"/>
      <c r="V17" s="106">
        <v>67</v>
      </c>
      <c r="W17" s="246">
        <f t="shared" si="9"/>
        <v>7.130475E-2</v>
      </c>
      <c r="X17" s="246">
        <f t="shared" si="10"/>
        <v>8.8067870000000006E-2</v>
      </c>
      <c r="Y17" s="246">
        <f t="shared" si="11"/>
        <v>7.5495530000000005E-2</v>
      </c>
      <c r="Z17" s="225"/>
      <c r="AA17" s="106">
        <v>67</v>
      </c>
      <c r="AB17" s="248">
        <f t="shared" si="12"/>
        <v>3.4973999999999998E-2</v>
      </c>
      <c r="AC17" s="248">
        <f t="shared" si="13"/>
        <v>4.3196079999999998E-2</v>
      </c>
      <c r="AD17" s="248">
        <f t="shared" si="14"/>
        <v>3.7029519999999996E-2</v>
      </c>
      <c r="AE17" s="110"/>
      <c r="AF17" s="110"/>
    </row>
    <row r="18" spans="1:32" x14ac:dyDescent="0.2">
      <c r="A18" s="106">
        <v>68</v>
      </c>
      <c r="B18" s="107">
        <v>1.6594000000000001E-2</v>
      </c>
      <c r="C18" s="106">
        <v>75</v>
      </c>
      <c r="D18" s="107">
        <v>2.1062999999999998E-2</v>
      </c>
      <c r="E18" s="239"/>
      <c r="F18" s="239"/>
      <c r="G18" s="106">
        <v>68</v>
      </c>
      <c r="H18" s="116">
        <f t="shared" si="0"/>
        <v>3.3188000000000002E-2</v>
      </c>
      <c r="I18" s="116">
        <f t="shared" si="1"/>
        <v>4.2125999999999997E-2</v>
      </c>
      <c r="J18" s="116">
        <f t="shared" si="2"/>
        <v>3.5422500000000003E-2</v>
      </c>
      <c r="K18" s="225"/>
      <c r="L18" s="106">
        <v>68</v>
      </c>
      <c r="M18" s="243">
        <f t="shared" si="3"/>
        <v>7.4673000000000003E-2</v>
      </c>
      <c r="N18" s="243">
        <f t="shared" si="4"/>
        <v>9.4783499999999993E-2</v>
      </c>
      <c r="O18" s="243">
        <f t="shared" si="5"/>
        <v>7.9700624999999997E-2</v>
      </c>
      <c r="P18" s="225"/>
      <c r="Q18" s="106">
        <v>68</v>
      </c>
      <c r="R18" s="115">
        <f t="shared" si="6"/>
        <v>4.9782000000000007E-2</v>
      </c>
      <c r="S18" s="115">
        <f t="shared" si="7"/>
        <v>6.3188999999999995E-2</v>
      </c>
      <c r="T18" s="115">
        <f t="shared" si="8"/>
        <v>5.3133750000000007E-2</v>
      </c>
      <c r="U18" s="225"/>
      <c r="V18" s="106">
        <v>68</v>
      </c>
      <c r="W18" s="246">
        <f t="shared" si="9"/>
        <v>7.848962000000001E-2</v>
      </c>
      <c r="X18" s="246">
        <f t="shared" si="10"/>
        <v>9.962799E-2</v>
      </c>
      <c r="Y18" s="246">
        <f t="shared" si="11"/>
        <v>8.37742125E-2</v>
      </c>
      <c r="Z18" s="225"/>
      <c r="AA18" s="106">
        <v>68</v>
      </c>
      <c r="AB18" s="248">
        <f t="shared" si="12"/>
        <v>3.8498079999999997E-2</v>
      </c>
      <c r="AC18" s="248">
        <f t="shared" si="13"/>
        <v>4.8866159999999992E-2</v>
      </c>
      <c r="AD18" s="248">
        <f t="shared" si="14"/>
        <v>4.1090099999999997E-2</v>
      </c>
      <c r="AE18" s="110"/>
      <c r="AF18" s="110"/>
    </row>
    <row r="19" spans="1:32" x14ac:dyDescent="0.2">
      <c r="A19" s="106">
        <v>69</v>
      </c>
      <c r="B19" s="107">
        <v>1.7954000000000001E-2</v>
      </c>
      <c r="C19" s="106">
        <v>76</v>
      </c>
      <c r="D19" s="107">
        <v>2.3411000000000001E-2</v>
      </c>
      <c r="E19" s="239"/>
      <c r="F19" s="239"/>
      <c r="G19" s="106">
        <v>69</v>
      </c>
      <c r="H19" s="116">
        <f t="shared" si="0"/>
        <v>3.5908000000000002E-2</v>
      </c>
      <c r="I19" s="116">
        <f t="shared" si="1"/>
        <v>4.6822000000000003E-2</v>
      </c>
      <c r="J19" s="116">
        <f t="shared" si="2"/>
        <v>3.8636500000000004E-2</v>
      </c>
      <c r="K19" s="225"/>
      <c r="L19" s="106">
        <v>69</v>
      </c>
      <c r="M19" s="243">
        <f t="shared" si="3"/>
        <v>8.0793000000000004E-2</v>
      </c>
      <c r="N19" s="243">
        <f t="shared" si="4"/>
        <v>0.10534950000000001</v>
      </c>
      <c r="O19" s="243">
        <f t="shared" si="5"/>
        <v>8.6932124999999999E-2</v>
      </c>
      <c r="P19" s="225"/>
      <c r="Q19" s="106">
        <v>69</v>
      </c>
      <c r="R19" s="115">
        <f t="shared" si="6"/>
        <v>5.3862000000000007E-2</v>
      </c>
      <c r="S19" s="115">
        <f t="shared" si="7"/>
        <v>7.0233000000000004E-2</v>
      </c>
      <c r="T19" s="115">
        <f t="shared" si="8"/>
        <v>5.7954749999999999E-2</v>
      </c>
      <c r="U19" s="225"/>
      <c r="V19" s="106">
        <v>69</v>
      </c>
      <c r="W19" s="246">
        <f t="shared" si="9"/>
        <v>8.4922420000000012E-2</v>
      </c>
      <c r="X19" s="246">
        <f t="shared" si="10"/>
        <v>0.11073403000000001</v>
      </c>
      <c r="Y19" s="246">
        <f t="shared" si="11"/>
        <v>9.1375322500000022E-2</v>
      </c>
      <c r="Z19" s="225"/>
      <c r="AA19" s="106">
        <v>69</v>
      </c>
      <c r="AB19" s="248">
        <f t="shared" si="12"/>
        <v>4.1653280000000001E-2</v>
      </c>
      <c r="AC19" s="248">
        <f t="shared" si="13"/>
        <v>5.4313519999999997E-2</v>
      </c>
      <c r="AD19" s="248">
        <f t="shared" si="14"/>
        <v>4.4818339999999998E-2</v>
      </c>
      <c r="AE19" s="110"/>
      <c r="AF19" s="110"/>
    </row>
    <row r="20" spans="1:32" x14ac:dyDescent="0.2">
      <c r="A20" s="106">
        <v>70</v>
      </c>
      <c r="B20" s="107">
        <v>1.9639E-2</v>
      </c>
      <c r="C20" s="106">
        <v>77</v>
      </c>
      <c r="D20" s="107">
        <v>2.6863999999999999E-2</v>
      </c>
      <c r="E20" s="239"/>
      <c r="F20" s="239"/>
      <c r="G20" s="106">
        <v>70</v>
      </c>
      <c r="H20" s="116">
        <f t="shared" si="0"/>
        <v>3.9278E-2</v>
      </c>
      <c r="I20" s="116">
        <f t="shared" si="1"/>
        <v>5.3727999999999998E-2</v>
      </c>
      <c r="J20" s="116">
        <f t="shared" si="2"/>
        <v>4.2890499999999998E-2</v>
      </c>
      <c r="K20" s="225"/>
      <c r="L20" s="106">
        <v>70</v>
      </c>
      <c r="M20" s="243">
        <f t="shared" si="3"/>
        <v>8.8375499999999996E-2</v>
      </c>
      <c r="N20" s="243">
        <f t="shared" si="4"/>
        <v>0.120888</v>
      </c>
      <c r="O20" s="243">
        <f t="shared" si="5"/>
        <v>9.6503624999999996E-2</v>
      </c>
      <c r="P20" s="225"/>
      <c r="Q20" s="106">
        <v>70</v>
      </c>
      <c r="R20" s="115">
        <f t="shared" si="6"/>
        <v>5.8916999999999997E-2</v>
      </c>
      <c r="S20" s="115">
        <f t="shared" si="7"/>
        <v>8.0591999999999997E-2</v>
      </c>
      <c r="T20" s="115">
        <f t="shared" si="8"/>
        <v>6.4335749999999997E-2</v>
      </c>
      <c r="U20" s="225"/>
      <c r="V20" s="106">
        <v>70</v>
      </c>
      <c r="W20" s="246">
        <f t="shared" si="9"/>
        <v>9.2892470000000005E-2</v>
      </c>
      <c r="X20" s="246">
        <f t="shared" si="10"/>
        <v>0.12706671999999999</v>
      </c>
      <c r="Y20" s="246">
        <f t="shared" si="11"/>
        <v>0.1014360325</v>
      </c>
      <c r="Z20" s="225"/>
      <c r="AA20" s="106">
        <v>70</v>
      </c>
      <c r="AB20" s="248">
        <f t="shared" si="12"/>
        <v>4.5562479999999995E-2</v>
      </c>
      <c r="AC20" s="248">
        <f t="shared" si="13"/>
        <v>6.2324479999999995E-2</v>
      </c>
      <c r="AD20" s="248">
        <f t="shared" si="14"/>
        <v>4.9752979999999995E-2</v>
      </c>
      <c r="AE20" s="110"/>
      <c r="AF20" s="110"/>
    </row>
    <row r="21" spans="1:32" x14ac:dyDescent="0.2">
      <c r="A21" s="106">
        <v>71</v>
      </c>
      <c r="B21" s="107">
        <v>2.1509E-2</v>
      </c>
      <c r="C21" s="106">
        <v>78</v>
      </c>
      <c r="D21" s="107">
        <v>3.0072999999999999E-2</v>
      </c>
      <c r="E21" s="239"/>
      <c r="F21" s="239"/>
      <c r="G21" s="106">
        <v>71</v>
      </c>
      <c r="H21" s="116">
        <f t="shared" si="0"/>
        <v>4.3018000000000001E-2</v>
      </c>
      <c r="I21" s="116">
        <f t="shared" si="1"/>
        <v>6.0145999999999998E-2</v>
      </c>
      <c r="J21" s="116">
        <f t="shared" si="2"/>
        <v>4.7300000000000002E-2</v>
      </c>
      <c r="K21" s="225"/>
      <c r="L21" s="106">
        <v>71</v>
      </c>
      <c r="M21" s="243">
        <f t="shared" si="3"/>
        <v>9.6790500000000002E-2</v>
      </c>
      <c r="N21" s="243">
        <f t="shared" si="4"/>
        <v>0.13532849999999999</v>
      </c>
      <c r="O21" s="243">
        <f t="shared" si="5"/>
        <v>0.10642499999999999</v>
      </c>
      <c r="P21" s="225"/>
      <c r="Q21" s="106">
        <v>71</v>
      </c>
      <c r="R21" s="115">
        <f t="shared" si="6"/>
        <v>6.4527000000000001E-2</v>
      </c>
      <c r="S21" s="115">
        <f t="shared" si="7"/>
        <v>9.0218999999999994E-2</v>
      </c>
      <c r="T21" s="115">
        <f t="shared" si="8"/>
        <v>7.0949999999999999E-2</v>
      </c>
      <c r="U21" s="225"/>
      <c r="V21" s="106">
        <v>71</v>
      </c>
      <c r="W21" s="246">
        <f t="shared" si="9"/>
        <v>0.10173757000000001</v>
      </c>
      <c r="X21" s="246">
        <f t="shared" si="10"/>
        <v>0.14224529</v>
      </c>
      <c r="Y21" s="246">
        <f t="shared" si="11"/>
        <v>0.11186450000000001</v>
      </c>
      <c r="Z21" s="225"/>
      <c r="AA21" s="106">
        <v>71</v>
      </c>
      <c r="AB21" s="248">
        <f t="shared" si="12"/>
        <v>4.9900879999999995E-2</v>
      </c>
      <c r="AC21" s="248">
        <f t="shared" si="13"/>
        <v>6.9769359999999989E-2</v>
      </c>
      <c r="AD21" s="248">
        <f t="shared" si="14"/>
        <v>5.4868E-2</v>
      </c>
      <c r="AE21" s="110"/>
      <c r="AF21" s="110"/>
    </row>
    <row r="22" spans="1:32" x14ac:dyDescent="0.2">
      <c r="A22" s="106">
        <v>72</v>
      </c>
      <c r="B22" s="107">
        <v>2.3699000000000001E-2</v>
      </c>
      <c r="C22" s="106">
        <v>79</v>
      </c>
      <c r="D22" s="107">
        <v>3.3678E-2</v>
      </c>
      <c r="E22" s="239"/>
      <c r="F22" s="239"/>
      <c r="G22" s="106">
        <v>72</v>
      </c>
      <c r="H22" s="116">
        <f t="shared" si="0"/>
        <v>4.7398000000000003E-2</v>
      </c>
      <c r="I22" s="116">
        <f t="shared" si="1"/>
        <v>6.7355999999999999E-2</v>
      </c>
      <c r="J22" s="116">
        <f t="shared" si="2"/>
        <v>5.2387500000000004E-2</v>
      </c>
      <c r="K22" s="225"/>
      <c r="L22" s="106">
        <v>72</v>
      </c>
      <c r="M22" s="243">
        <f t="shared" si="3"/>
        <v>0.1066455</v>
      </c>
      <c r="N22" s="243">
        <f t="shared" si="4"/>
        <v>0.15155099999999999</v>
      </c>
      <c r="O22" s="243">
        <f t="shared" si="5"/>
        <v>0.117871875</v>
      </c>
      <c r="P22" s="225"/>
      <c r="Q22" s="106">
        <v>72</v>
      </c>
      <c r="R22" s="115">
        <f t="shared" si="6"/>
        <v>7.1097000000000007E-2</v>
      </c>
      <c r="S22" s="115">
        <f t="shared" si="7"/>
        <v>0.101034</v>
      </c>
      <c r="T22" s="115">
        <f t="shared" si="8"/>
        <v>7.8581250000000005E-2</v>
      </c>
      <c r="U22" s="225"/>
      <c r="V22" s="106">
        <v>72</v>
      </c>
      <c r="W22" s="246">
        <f t="shared" si="9"/>
        <v>0.11209627000000001</v>
      </c>
      <c r="X22" s="246">
        <f t="shared" si="10"/>
        <v>0.15929694000000003</v>
      </c>
      <c r="Y22" s="246">
        <f t="shared" si="11"/>
        <v>0.12389643750000001</v>
      </c>
      <c r="Z22" s="225"/>
      <c r="AA22" s="106">
        <v>72</v>
      </c>
      <c r="AB22" s="248">
        <f t="shared" si="12"/>
        <v>5.4981679999999998E-2</v>
      </c>
      <c r="AC22" s="248">
        <f t="shared" si="13"/>
        <v>7.8132959999999987E-2</v>
      </c>
      <c r="AD22" s="248">
        <f t="shared" si="14"/>
        <v>6.076949999999999E-2</v>
      </c>
      <c r="AE22" s="110"/>
      <c r="AF22" s="110"/>
    </row>
    <row r="23" spans="1:32" x14ac:dyDescent="0.2">
      <c r="A23" s="106">
        <v>73</v>
      </c>
      <c r="B23" s="107">
        <v>2.5409999999999999E-2</v>
      </c>
      <c r="C23" s="106">
        <v>80</v>
      </c>
      <c r="D23" s="107">
        <v>3.9002000000000002E-2</v>
      </c>
      <c r="E23" s="239"/>
      <c r="F23" s="239"/>
      <c r="G23" s="106">
        <v>73</v>
      </c>
      <c r="H23" s="116">
        <f t="shared" si="0"/>
        <v>5.0819999999999997E-2</v>
      </c>
      <c r="I23" s="116">
        <f t="shared" si="1"/>
        <v>7.8004000000000004E-2</v>
      </c>
      <c r="J23" s="116">
        <f t="shared" si="2"/>
        <v>5.7616000000000001E-2</v>
      </c>
      <c r="K23" s="225"/>
      <c r="L23" s="106">
        <v>73</v>
      </c>
      <c r="M23" s="243">
        <f t="shared" si="3"/>
        <v>0.11434499999999999</v>
      </c>
      <c r="N23" s="243">
        <f t="shared" si="4"/>
        <v>0.175509</v>
      </c>
      <c r="O23" s="243">
        <f t="shared" si="5"/>
        <v>0.129636</v>
      </c>
      <c r="P23" s="225"/>
      <c r="Q23" s="106">
        <v>73</v>
      </c>
      <c r="R23" s="115">
        <f t="shared" si="6"/>
        <v>7.6229999999999992E-2</v>
      </c>
      <c r="S23" s="115">
        <f t="shared" si="7"/>
        <v>0.117006</v>
      </c>
      <c r="T23" s="115">
        <f t="shared" si="8"/>
        <v>8.6424000000000001E-2</v>
      </c>
      <c r="U23" s="225"/>
      <c r="V23" s="106">
        <v>73</v>
      </c>
      <c r="W23" s="246">
        <f t="shared" si="9"/>
        <v>0.1201893</v>
      </c>
      <c r="X23" s="246">
        <f t="shared" si="10"/>
        <v>0.18447946000000004</v>
      </c>
      <c r="Y23" s="246">
        <f t="shared" si="11"/>
        <v>0.13626184000000002</v>
      </c>
      <c r="Z23" s="225"/>
      <c r="AA23" s="106">
        <v>73</v>
      </c>
      <c r="AB23" s="248">
        <f t="shared" si="12"/>
        <v>5.8951199999999995E-2</v>
      </c>
      <c r="AC23" s="248">
        <f t="shared" si="13"/>
        <v>9.0484640000000005E-2</v>
      </c>
      <c r="AD23" s="248">
        <f t="shared" si="14"/>
        <v>6.6834560000000001E-2</v>
      </c>
      <c r="AE23" s="110"/>
      <c r="AF23" s="110"/>
    </row>
    <row r="24" spans="1:32" x14ac:dyDescent="0.2">
      <c r="A24" s="106">
        <v>74</v>
      </c>
      <c r="B24" s="107">
        <v>2.7562E-2</v>
      </c>
      <c r="C24" s="106">
        <v>81</v>
      </c>
      <c r="D24" s="107">
        <v>4.4073000000000001E-2</v>
      </c>
      <c r="E24" s="239"/>
      <c r="F24" s="239"/>
      <c r="G24" s="106">
        <v>74</v>
      </c>
      <c r="H24" s="116">
        <f t="shared" si="0"/>
        <v>5.5123999999999999E-2</v>
      </c>
      <c r="I24" s="116">
        <f t="shared" si="1"/>
        <v>8.8146000000000002E-2</v>
      </c>
      <c r="J24" s="116">
        <f t="shared" si="2"/>
        <v>6.3379500000000005E-2</v>
      </c>
      <c r="K24" s="225"/>
      <c r="L24" s="106">
        <v>74</v>
      </c>
      <c r="M24" s="243">
        <f t="shared" si="3"/>
        <v>0.124029</v>
      </c>
      <c r="N24" s="243">
        <f t="shared" si="4"/>
        <v>0.19832850000000002</v>
      </c>
      <c r="O24" s="243">
        <f t="shared" si="5"/>
        <v>0.14260387499999999</v>
      </c>
      <c r="P24" s="225"/>
      <c r="Q24" s="106">
        <v>74</v>
      </c>
      <c r="R24" s="115">
        <f t="shared" si="6"/>
        <v>8.2685999999999996E-2</v>
      </c>
      <c r="S24" s="115">
        <f t="shared" si="7"/>
        <v>0.132219</v>
      </c>
      <c r="T24" s="115">
        <f t="shared" si="8"/>
        <v>9.5069249999999994E-2</v>
      </c>
      <c r="U24" s="225"/>
      <c r="V24" s="106">
        <v>74</v>
      </c>
      <c r="W24" s="246">
        <f t="shared" si="9"/>
        <v>0.13036826000000001</v>
      </c>
      <c r="X24" s="246">
        <f t="shared" si="10"/>
        <v>0.20846529000000003</v>
      </c>
      <c r="Y24" s="246">
        <f t="shared" si="11"/>
        <v>0.14989251750000002</v>
      </c>
      <c r="Z24" s="225"/>
      <c r="AA24" s="106">
        <v>74</v>
      </c>
      <c r="AB24" s="248">
        <f t="shared" si="12"/>
        <v>6.3943840000000002E-2</v>
      </c>
      <c r="AC24" s="248">
        <f t="shared" si="13"/>
        <v>0.10224936</v>
      </c>
      <c r="AD24" s="248">
        <f t="shared" si="14"/>
        <v>7.3520219999999997E-2</v>
      </c>
      <c r="AE24" s="110"/>
      <c r="AF24" s="110"/>
    </row>
    <row r="25" spans="1:32" x14ac:dyDescent="0.2">
      <c r="A25" s="106">
        <v>75</v>
      </c>
      <c r="B25" s="107">
        <v>3.0558999999999999E-2</v>
      </c>
      <c r="C25" s="106">
        <v>82</v>
      </c>
      <c r="D25" s="107">
        <v>4.9797000000000001E-2</v>
      </c>
      <c r="E25" s="239"/>
      <c r="F25" s="239"/>
      <c r="G25" s="106">
        <v>75</v>
      </c>
      <c r="H25" s="116">
        <f t="shared" si="0"/>
        <v>6.1117999999999999E-2</v>
      </c>
      <c r="I25" s="116">
        <f t="shared" si="1"/>
        <v>9.9594000000000002E-2</v>
      </c>
      <c r="J25" s="116">
        <f t="shared" si="2"/>
        <v>7.0736999999999994E-2</v>
      </c>
      <c r="K25" s="225"/>
      <c r="L25" s="106">
        <v>75</v>
      </c>
      <c r="M25" s="243">
        <f t="shared" si="3"/>
        <v>0.13751549999999998</v>
      </c>
      <c r="N25" s="243">
        <f t="shared" si="4"/>
        <v>0.22408649999999999</v>
      </c>
      <c r="O25" s="243">
        <f t="shared" si="5"/>
        <v>0.15915824999999997</v>
      </c>
      <c r="P25" s="225"/>
      <c r="Q25" s="106">
        <v>75</v>
      </c>
      <c r="R25" s="115">
        <f t="shared" si="6"/>
        <v>9.1676999999999995E-2</v>
      </c>
      <c r="S25" s="115">
        <f t="shared" si="7"/>
        <v>0.149391</v>
      </c>
      <c r="T25" s="115">
        <f t="shared" si="8"/>
        <v>0.10610549999999999</v>
      </c>
      <c r="U25" s="225"/>
      <c r="V25" s="106">
        <v>75</v>
      </c>
      <c r="W25" s="246">
        <f t="shared" si="9"/>
        <v>0.14454407</v>
      </c>
      <c r="X25" s="246">
        <f t="shared" si="10"/>
        <v>0.23553981000000002</v>
      </c>
      <c r="Y25" s="246">
        <f t="shared" si="11"/>
        <v>0.16729300499999999</v>
      </c>
      <c r="Z25" s="225"/>
      <c r="AA25" s="106">
        <v>75</v>
      </c>
      <c r="AB25" s="248">
        <f t="shared" si="12"/>
        <v>7.0896879999999995E-2</v>
      </c>
      <c r="AC25" s="248">
        <f t="shared" si="13"/>
        <v>0.11552904</v>
      </c>
      <c r="AD25" s="248">
        <f t="shared" si="14"/>
        <v>8.2054920000000003E-2</v>
      </c>
      <c r="AE25" s="110"/>
      <c r="AF25" s="110"/>
    </row>
    <row r="26" spans="1:32" x14ac:dyDescent="0.2">
      <c r="A26" s="106">
        <v>76</v>
      </c>
      <c r="B26" s="107">
        <v>3.4411999999999998E-2</v>
      </c>
      <c r="C26" s="106">
        <v>83</v>
      </c>
      <c r="D26" s="107">
        <v>5.5957E-2</v>
      </c>
      <c r="E26" s="239"/>
      <c r="F26" s="239"/>
      <c r="G26" s="106">
        <v>76</v>
      </c>
      <c r="H26" s="116">
        <f t="shared" si="0"/>
        <v>6.8823999999999996E-2</v>
      </c>
      <c r="I26" s="116">
        <f t="shared" si="1"/>
        <v>0.111914</v>
      </c>
      <c r="J26" s="116">
        <f t="shared" si="2"/>
        <v>7.9596500000000001E-2</v>
      </c>
      <c r="K26" s="225"/>
      <c r="L26" s="106">
        <v>76</v>
      </c>
      <c r="M26" s="243">
        <f t="shared" si="3"/>
        <v>0.15485399999999999</v>
      </c>
      <c r="N26" s="243">
        <f t="shared" si="4"/>
        <v>0.25180649999999999</v>
      </c>
      <c r="O26" s="243">
        <f t="shared" si="5"/>
        <v>0.17909212499999999</v>
      </c>
      <c r="P26" s="225"/>
      <c r="Q26" s="106">
        <v>76</v>
      </c>
      <c r="R26" s="115">
        <f t="shared" si="6"/>
        <v>0.10323599999999999</v>
      </c>
      <c r="S26" s="115">
        <f t="shared" si="7"/>
        <v>0.16787099999999999</v>
      </c>
      <c r="T26" s="115">
        <f t="shared" si="8"/>
        <v>0.11939474999999999</v>
      </c>
      <c r="U26" s="225"/>
      <c r="V26" s="106">
        <v>76</v>
      </c>
      <c r="W26" s="246">
        <f t="shared" si="9"/>
        <v>0.16276876000000001</v>
      </c>
      <c r="X26" s="246">
        <f t="shared" si="10"/>
        <v>0.26467661000000003</v>
      </c>
      <c r="Y26" s="246">
        <f t="shared" si="11"/>
        <v>0.18824572250000002</v>
      </c>
      <c r="Z26" s="225"/>
      <c r="AA26" s="106">
        <v>76</v>
      </c>
      <c r="AB26" s="248">
        <f t="shared" si="12"/>
        <v>7.9835839999999991E-2</v>
      </c>
      <c r="AC26" s="248">
        <f t="shared" si="13"/>
        <v>0.12982024</v>
      </c>
      <c r="AD26" s="248">
        <f t="shared" si="14"/>
        <v>9.2331940000000001E-2</v>
      </c>
      <c r="AE26" s="110"/>
      <c r="AF26" s="110"/>
    </row>
    <row r="27" spans="1:32" x14ac:dyDescent="0.2">
      <c r="A27" s="106">
        <v>77</v>
      </c>
      <c r="B27" s="107">
        <v>3.8379000000000003E-2</v>
      </c>
      <c r="C27" s="106">
        <v>84</v>
      </c>
      <c r="D27" s="107">
        <v>6.3022999999999996E-2</v>
      </c>
      <c r="E27" s="239"/>
      <c r="F27" s="239"/>
      <c r="G27" s="106">
        <v>77</v>
      </c>
      <c r="H27" s="116">
        <f t="shared" si="0"/>
        <v>7.6758000000000007E-2</v>
      </c>
      <c r="I27" s="116">
        <f t="shared" si="1"/>
        <v>0.12604599999999999</v>
      </c>
      <c r="J27" s="116">
        <f t="shared" si="2"/>
        <v>8.9080000000000006E-2</v>
      </c>
      <c r="K27" s="225"/>
      <c r="L27" s="106">
        <v>77</v>
      </c>
      <c r="M27" s="243">
        <f t="shared" si="3"/>
        <v>0.17270550000000001</v>
      </c>
      <c r="N27" s="243">
        <f t="shared" si="4"/>
        <v>0.28360350000000001</v>
      </c>
      <c r="O27" s="243">
        <f t="shared" si="5"/>
        <v>0.20043000000000002</v>
      </c>
      <c r="P27" s="225"/>
      <c r="Q27" s="106">
        <v>77</v>
      </c>
      <c r="R27" s="115">
        <f t="shared" si="6"/>
        <v>0.11513700000000002</v>
      </c>
      <c r="S27" s="115">
        <f t="shared" si="7"/>
        <v>0.18906899999999999</v>
      </c>
      <c r="T27" s="115">
        <f t="shared" si="8"/>
        <v>0.13362000000000002</v>
      </c>
      <c r="U27" s="225"/>
      <c r="V27" s="106">
        <v>77</v>
      </c>
      <c r="W27" s="246">
        <f t="shared" si="9"/>
        <v>0.18153267000000003</v>
      </c>
      <c r="X27" s="246">
        <f t="shared" si="10"/>
        <v>0.29809879</v>
      </c>
      <c r="Y27" s="246">
        <f t="shared" si="11"/>
        <v>0.21067420000000003</v>
      </c>
      <c r="Z27" s="225"/>
      <c r="AA27" s="106">
        <v>77</v>
      </c>
      <c r="AB27" s="248">
        <f t="shared" si="12"/>
        <v>8.9039279999999998E-2</v>
      </c>
      <c r="AC27" s="248">
        <f t="shared" si="13"/>
        <v>0.14621335999999999</v>
      </c>
      <c r="AD27" s="248">
        <f t="shared" si="14"/>
        <v>0.1033328</v>
      </c>
      <c r="AE27" s="110"/>
      <c r="AF27" s="110"/>
    </row>
    <row r="28" spans="1:32" x14ac:dyDescent="0.2">
      <c r="A28" s="106">
        <v>78</v>
      </c>
      <c r="B28" s="107">
        <v>4.3246E-2</v>
      </c>
      <c r="C28" s="106">
        <v>85</v>
      </c>
      <c r="D28" s="107">
        <v>7.1139999999999995E-2</v>
      </c>
      <c r="E28" s="239"/>
      <c r="F28" s="239"/>
      <c r="G28" s="106">
        <v>78</v>
      </c>
      <c r="H28" s="116">
        <f t="shared" si="0"/>
        <v>8.6491999999999999E-2</v>
      </c>
      <c r="I28" s="116">
        <f t="shared" si="1"/>
        <v>0.14227999999999999</v>
      </c>
      <c r="J28" s="116">
        <f t="shared" si="2"/>
        <v>0.100439</v>
      </c>
      <c r="K28" s="225"/>
      <c r="L28" s="106">
        <v>78</v>
      </c>
      <c r="M28" s="243">
        <f t="shared" si="3"/>
        <v>0.194607</v>
      </c>
      <c r="N28" s="243">
        <f t="shared" si="4"/>
        <v>0.32012999999999997</v>
      </c>
      <c r="O28" s="243">
        <f t="shared" si="5"/>
        <v>0.22598774999999999</v>
      </c>
      <c r="P28" s="225"/>
      <c r="Q28" s="106">
        <v>78</v>
      </c>
      <c r="R28" s="115">
        <f t="shared" si="6"/>
        <v>0.12973799999999999</v>
      </c>
      <c r="S28" s="115">
        <f t="shared" si="7"/>
        <v>0.21342</v>
      </c>
      <c r="T28" s="115">
        <f t="shared" si="8"/>
        <v>0.15065849999999997</v>
      </c>
      <c r="U28" s="225"/>
      <c r="V28" s="106">
        <v>78</v>
      </c>
      <c r="W28" s="246">
        <f t="shared" si="9"/>
        <v>0.20455358000000001</v>
      </c>
      <c r="X28" s="246">
        <f t="shared" si="10"/>
        <v>0.33649220000000002</v>
      </c>
      <c r="Y28" s="246">
        <f t="shared" si="11"/>
        <v>0.23753823500000001</v>
      </c>
      <c r="Z28" s="225"/>
      <c r="AA28" s="106">
        <v>78</v>
      </c>
      <c r="AB28" s="248">
        <f t="shared" si="12"/>
        <v>0.10033072</v>
      </c>
      <c r="AC28" s="248">
        <f t="shared" si="13"/>
        <v>0.16504479999999996</v>
      </c>
      <c r="AD28" s="248">
        <f t="shared" si="14"/>
        <v>0.11650923999999999</v>
      </c>
      <c r="AE28" s="110"/>
      <c r="AF28" s="110"/>
    </row>
    <row r="29" spans="1:32" x14ac:dyDescent="0.2">
      <c r="A29" s="106">
        <v>79</v>
      </c>
      <c r="B29" s="107">
        <v>4.7924000000000001E-2</v>
      </c>
      <c r="C29" s="106">
        <v>86</v>
      </c>
      <c r="D29" s="107">
        <v>8.1536999999999998E-2</v>
      </c>
      <c r="E29" s="239"/>
      <c r="F29" s="239"/>
      <c r="G29" s="106">
        <v>79</v>
      </c>
      <c r="H29" s="116">
        <f t="shared" si="0"/>
        <v>9.5848000000000003E-2</v>
      </c>
      <c r="I29" s="116">
        <f t="shared" si="1"/>
        <v>0.163074</v>
      </c>
      <c r="J29" s="116">
        <f t="shared" si="2"/>
        <v>0.1126545</v>
      </c>
      <c r="K29" s="225"/>
      <c r="L29" s="106">
        <v>79</v>
      </c>
      <c r="M29" s="243">
        <f t="shared" si="3"/>
        <v>0.21565800000000002</v>
      </c>
      <c r="N29" s="243">
        <f t="shared" si="4"/>
        <v>0.36691649999999998</v>
      </c>
      <c r="O29" s="243">
        <f t="shared" si="5"/>
        <v>0.25347262500000001</v>
      </c>
      <c r="P29" s="225"/>
      <c r="Q29" s="106">
        <v>79</v>
      </c>
      <c r="R29" s="115">
        <f t="shared" si="6"/>
        <v>0.14377200000000001</v>
      </c>
      <c r="S29" s="115">
        <f t="shared" si="7"/>
        <v>0.244611</v>
      </c>
      <c r="T29" s="115">
        <f t="shared" si="8"/>
        <v>0.16898175000000001</v>
      </c>
      <c r="U29" s="225"/>
      <c r="V29" s="106">
        <v>79</v>
      </c>
      <c r="W29" s="246">
        <f t="shared" si="9"/>
        <v>0.22668052000000002</v>
      </c>
      <c r="X29" s="246">
        <f t="shared" si="10"/>
        <v>0.38567001000000001</v>
      </c>
      <c r="Y29" s="246">
        <f t="shared" si="11"/>
        <v>0.26642789249999999</v>
      </c>
      <c r="Z29" s="225"/>
      <c r="AA29" s="106">
        <v>79</v>
      </c>
      <c r="AB29" s="248">
        <f t="shared" si="12"/>
        <v>0.11118367999999999</v>
      </c>
      <c r="AC29" s="248">
        <f t="shared" si="13"/>
        <v>0.18916583999999997</v>
      </c>
      <c r="AD29" s="248">
        <f t="shared" si="14"/>
        <v>0.13067921999999998</v>
      </c>
      <c r="AE29" s="110"/>
      <c r="AF29" s="110"/>
    </row>
    <row r="30" spans="1:32" x14ac:dyDescent="0.2">
      <c r="A30" s="106">
        <v>80</v>
      </c>
      <c r="B30" s="107">
        <v>5.4809999999999998E-2</v>
      </c>
      <c r="C30" s="106">
        <v>87</v>
      </c>
      <c r="D30" s="107">
        <v>9.1619999999999993E-2</v>
      </c>
      <c r="E30" s="239"/>
      <c r="F30" s="239"/>
      <c r="G30" s="106">
        <v>80</v>
      </c>
      <c r="H30" s="116">
        <f t="shared" si="0"/>
        <v>0.10962</v>
      </c>
      <c r="I30" s="116">
        <f t="shared" si="1"/>
        <v>0.18323999999999999</v>
      </c>
      <c r="J30" s="116">
        <f t="shared" si="2"/>
        <v>0.128025</v>
      </c>
      <c r="K30" s="225"/>
      <c r="L30" s="106">
        <v>80</v>
      </c>
      <c r="M30" s="243">
        <f t="shared" si="3"/>
        <v>0.246645</v>
      </c>
      <c r="N30" s="243">
        <f t="shared" si="4"/>
        <v>0.41228999999999999</v>
      </c>
      <c r="O30" s="243">
        <f t="shared" si="5"/>
        <v>0.28805625000000001</v>
      </c>
      <c r="P30" s="225"/>
      <c r="Q30" s="106">
        <v>80</v>
      </c>
      <c r="R30" s="115">
        <f t="shared" si="6"/>
        <v>0.16442999999999999</v>
      </c>
      <c r="S30" s="115">
        <f t="shared" si="7"/>
        <v>0.27485999999999999</v>
      </c>
      <c r="T30" s="115">
        <f t="shared" si="8"/>
        <v>0.1920375</v>
      </c>
      <c r="U30" s="225"/>
      <c r="V30" s="106">
        <v>80</v>
      </c>
      <c r="W30" s="246">
        <f t="shared" si="9"/>
        <v>0.25925130000000002</v>
      </c>
      <c r="X30" s="246">
        <f t="shared" si="10"/>
        <v>0.43336259999999999</v>
      </c>
      <c r="Y30" s="246">
        <f t="shared" si="11"/>
        <v>0.30277912499999998</v>
      </c>
      <c r="Z30" s="225"/>
      <c r="AA30" s="106">
        <v>80</v>
      </c>
      <c r="AB30" s="248">
        <f t="shared" si="12"/>
        <v>0.12715919999999997</v>
      </c>
      <c r="AC30" s="248">
        <f t="shared" si="13"/>
        <v>0.21255839999999998</v>
      </c>
      <c r="AD30" s="248">
        <f t="shared" si="14"/>
        <v>0.14850899999999997</v>
      </c>
      <c r="AE30" s="110"/>
      <c r="AF30" s="110"/>
    </row>
    <row r="31" spans="1:32" x14ac:dyDescent="0.2">
      <c r="A31" s="106">
        <v>81</v>
      </c>
      <c r="B31" s="107">
        <v>6.0928999999999997E-2</v>
      </c>
      <c r="C31" s="106">
        <v>88</v>
      </c>
      <c r="D31" s="107">
        <v>0.105934</v>
      </c>
      <c r="E31" s="239"/>
      <c r="F31" s="239"/>
      <c r="G31" s="106">
        <v>81</v>
      </c>
      <c r="H31" s="116">
        <f t="shared" si="0"/>
        <v>0.12185799999999999</v>
      </c>
      <c r="I31" s="116">
        <f t="shared" si="1"/>
        <v>0.211868</v>
      </c>
      <c r="J31" s="116">
        <f t="shared" si="2"/>
        <v>0.1443605</v>
      </c>
      <c r="K31" s="225"/>
      <c r="L31" s="106">
        <v>81</v>
      </c>
      <c r="M31" s="243">
        <f t="shared" si="3"/>
        <v>0.27418049999999999</v>
      </c>
      <c r="N31" s="243">
        <f t="shared" si="4"/>
        <v>0.47670299999999999</v>
      </c>
      <c r="O31" s="243">
        <f t="shared" si="5"/>
        <v>0.32481112499999998</v>
      </c>
      <c r="P31" s="225"/>
      <c r="Q31" s="106">
        <v>81</v>
      </c>
      <c r="R31" s="115">
        <f t="shared" si="6"/>
        <v>0.18278699999999998</v>
      </c>
      <c r="S31" s="115">
        <f t="shared" si="7"/>
        <v>0.31780200000000003</v>
      </c>
      <c r="T31" s="115">
        <f t="shared" si="8"/>
        <v>0.21654074999999998</v>
      </c>
      <c r="U31" s="225"/>
      <c r="V31" s="106">
        <v>81</v>
      </c>
      <c r="W31" s="246">
        <f t="shared" si="9"/>
        <v>0.28819417000000003</v>
      </c>
      <c r="X31" s="246">
        <f t="shared" si="10"/>
        <v>0.50106782000000005</v>
      </c>
      <c r="Y31" s="246">
        <f t="shared" si="11"/>
        <v>0.34141258250000006</v>
      </c>
      <c r="Z31" s="225"/>
      <c r="AA31" s="106">
        <v>81</v>
      </c>
      <c r="AB31" s="248">
        <f t="shared" si="12"/>
        <v>0.14135527999999997</v>
      </c>
      <c r="AC31" s="248">
        <f t="shared" si="13"/>
        <v>0.24576687999999999</v>
      </c>
      <c r="AD31" s="248">
        <f t="shared" si="14"/>
        <v>0.16745817999999998</v>
      </c>
      <c r="AE31" s="110"/>
      <c r="AF31" s="110"/>
    </row>
    <row r="32" spans="1:32" x14ac:dyDescent="0.2">
      <c r="A32" s="106">
        <v>82</v>
      </c>
      <c r="B32" s="107">
        <v>6.9091E-2</v>
      </c>
      <c r="C32" s="106">
        <v>89</v>
      </c>
      <c r="D32" s="107">
        <v>0.11817800000000001</v>
      </c>
      <c r="E32" s="239"/>
      <c r="F32" s="239"/>
      <c r="G32" s="106">
        <v>82</v>
      </c>
      <c r="H32" s="116">
        <f t="shared" si="0"/>
        <v>0.138182</v>
      </c>
      <c r="I32" s="116">
        <f t="shared" si="1"/>
        <v>0.23635600000000001</v>
      </c>
      <c r="J32" s="116">
        <f t="shared" si="2"/>
        <v>0.1627255</v>
      </c>
      <c r="K32" s="225"/>
      <c r="L32" s="106">
        <v>82</v>
      </c>
      <c r="M32" s="243">
        <f t="shared" si="3"/>
        <v>0.31090950000000001</v>
      </c>
      <c r="N32" s="243">
        <f t="shared" si="4"/>
        <v>0.53180099999999997</v>
      </c>
      <c r="O32" s="243">
        <f t="shared" si="5"/>
        <v>0.36613237500000001</v>
      </c>
      <c r="P32" s="225"/>
      <c r="Q32" s="106">
        <v>82</v>
      </c>
      <c r="R32" s="115">
        <f t="shared" si="6"/>
        <v>0.20727299999999999</v>
      </c>
      <c r="S32" s="115">
        <f t="shared" si="7"/>
        <v>0.35453400000000002</v>
      </c>
      <c r="T32" s="115">
        <f t="shared" si="8"/>
        <v>0.24408824999999998</v>
      </c>
      <c r="U32" s="225"/>
      <c r="V32" s="106">
        <v>82</v>
      </c>
      <c r="W32" s="246">
        <f t="shared" si="9"/>
        <v>0.32680043000000003</v>
      </c>
      <c r="X32" s="246">
        <f t="shared" si="10"/>
        <v>0.55898194000000012</v>
      </c>
      <c r="Y32" s="246">
        <f t="shared" si="11"/>
        <v>0.38484580750000008</v>
      </c>
      <c r="Z32" s="225"/>
      <c r="AA32" s="106">
        <v>82</v>
      </c>
      <c r="AB32" s="248">
        <f t="shared" si="12"/>
        <v>0.16029111999999998</v>
      </c>
      <c r="AC32" s="248">
        <f t="shared" si="13"/>
        <v>0.27417295999999997</v>
      </c>
      <c r="AD32" s="248">
        <f t="shared" si="14"/>
        <v>0.18876157999999998</v>
      </c>
      <c r="AE32" s="110"/>
      <c r="AF32" s="110"/>
    </row>
    <row r="33" spans="1:32" x14ac:dyDescent="0.2">
      <c r="A33" s="106">
        <v>83</v>
      </c>
      <c r="B33" s="107">
        <v>7.5578000000000006E-2</v>
      </c>
      <c r="C33" s="106">
        <v>90</v>
      </c>
      <c r="D33" s="107">
        <v>0.134099</v>
      </c>
      <c r="E33" s="239"/>
      <c r="F33" s="239"/>
      <c r="G33" s="106">
        <v>83</v>
      </c>
      <c r="H33" s="116">
        <f t="shared" si="0"/>
        <v>0.15115600000000001</v>
      </c>
      <c r="I33" s="116">
        <f t="shared" si="1"/>
        <v>0.26819799999999999</v>
      </c>
      <c r="J33" s="116">
        <f t="shared" si="2"/>
        <v>0.18041650000000001</v>
      </c>
      <c r="K33" s="225"/>
      <c r="L33" s="106">
        <v>83</v>
      </c>
      <c r="M33" s="243">
        <f t="shared" si="3"/>
        <v>0.34010100000000004</v>
      </c>
      <c r="N33" s="243">
        <f t="shared" si="4"/>
        <v>0.60344549999999997</v>
      </c>
      <c r="O33" s="243">
        <f t="shared" si="5"/>
        <v>0.40593712500000001</v>
      </c>
      <c r="P33" s="225"/>
      <c r="Q33" s="106">
        <v>83</v>
      </c>
      <c r="R33" s="115">
        <f t="shared" si="6"/>
        <v>0.22673400000000002</v>
      </c>
      <c r="S33" s="115">
        <f t="shared" si="7"/>
        <v>0.40229700000000002</v>
      </c>
      <c r="T33" s="115">
        <f t="shared" si="8"/>
        <v>0.27062475000000003</v>
      </c>
      <c r="U33" s="225"/>
      <c r="V33" s="106">
        <v>83</v>
      </c>
      <c r="W33" s="246">
        <f t="shared" si="9"/>
        <v>0.35748394000000006</v>
      </c>
      <c r="X33" s="246">
        <f t="shared" si="10"/>
        <v>0.63428826999999999</v>
      </c>
      <c r="Y33" s="246">
        <f t="shared" si="11"/>
        <v>0.42668502250000007</v>
      </c>
      <c r="Z33" s="225"/>
      <c r="AA33" s="106">
        <v>83</v>
      </c>
      <c r="AB33" s="248">
        <f t="shared" si="12"/>
        <v>0.17534095999999999</v>
      </c>
      <c r="AC33" s="248">
        <f t="shared" si="13"/>
        <v>0.31110967999999994</v>
      </c>
      <c r="AD33" s="248">
        <f t="shared" si="14"/>
        <v>0.20928313999999998</v>
      </c>
      <c r="AE33" s="110"/>
      <c r="AF33" s="110"/>
    </row>
    <row r="34" spans="1:32" x14ac:dyDescent="0.2">
      <c r="A34" s="106">
        <v>84</v>
      </c>
      <c r="B34" s="107">
        <v>8.4871000000000002E-2</v>
      </c>
      <c r="C34" s="106">
        <v>91</v>
      </c>
      <c r="D34" s="107">
        <v>0.15221799999999999</v>
      </c>
      <c r="E34" s="239"/>
      <c r="F34" s="239"/>
      <c r="G34" s="106">
        <v>84</v>
      </c>
      <c r="H34" s="116">
        <f t="shared" si="0"/>
        <v>0.169742</v>
      </c>
      <c r="I34" s="116">
        <f t="shared" si="1"/>
        <v>0.30443599999999998</v>
      </c>
      <c r="J34" s="116">
        <f t="shared" si="2"/>
        <v>0.20341549999999997</v>
      </c>
      <c r="K34" s="225"/>
      <c r="L34" s="106">
        <v>84</v>
      </c>
      <c r="M34" s="243">
        <f t="shared" si="3"/>
        <v>0.38191950000000002</v>
      </c>
      <c r="N34" s="243">
        <f t="shared" si="4"/>
        <v>0.68498099999999995</v>
      </c>
      <c r="O34" s="243">
        <f t="shared" si="5"/>
        <v>0.45768487499999999</v>
      </c>
      <c r="P34" s="225"/>
      <c r="Q34" s="106">
        <v>84</v>
      </c>
      <c r="R34" s="115">
        <f t="shared" si="6"/>
        <v>0.25461299999999998</v>
      </c>
      <c r="S34" s="115">
        <f t="shared" si="7"/>
        <v>0.456654</v>
      </c>
      <c r="T34" s="115">
        <f t="shared" si="8"/>
        <v>0.30512324999999996</v>
      </c>
      <c r="U34" s="225"/>
      <c r="V34" s="106">
        <v>84</v>
      </c>
      <c r="W34" s="246">
        <f t="shared" si="9"/>
        <v>0.40143983000000005</v>
      </c>
      <c r="X34" s="246">
        <f t="shared" si="10"/>
        <v>0.71999113999999997</v>
      </c>
      <c r="Y34" s="246">
        <f t="shared" si="11"/>
        <v>0.48107765749999998</v>
      </c>
      <c r="Z34" s="225"/>
      <c r="AA34" s="106">
        <v>84</v>
      </c>
      <c r="AB34" s="248">
        <f t="shared" si="12"/>
        <v>0.19690072</v>
      </c>
      <c r="AC34" s="248">
        <f t="shared" si="13"/>
        <v>0.35314575999999998</v>
      </c>
      <c r="AD34" s="248">
        <f t="shared" si="14"/>
        <v>0.23596197999999999</v>
      </c>
      <c r="AE34" s="110"/>
      <c r="AF34" s="110"/>
    </row>
    <row r="35" spans="1:32" x14ac:dyDescent="0.2">
      <c r="A35" s="106">
        <v>85</v>
      </c>
      <c r="B35" s="107">
        <v>9.4935000000000005E-2</v>
      </c>
      <c r="C35" s="106">
        <v>92</v>
      </c>
      <c r="D35" s="107">
        <v>0.17122799999999999</v>
      </c>
      <c r="E35" s="239"/>
      <c r="F35" s="239"/>
      <c r="G35" s="106">
        <v>85</v>
      </c>
      <c r="H35" s="116">
        <f t="shared" si="0"/>
        <v>0.18987000000000001</v>
      </c>
      <c r="I35" s="116">
        <f t="shared" si="1"/>
        <v>0.34245599999999998</v>
      </c>
      <c r="J35" s="116">
        <f t="shared" si="2"/>
        <v>0.22801650000000001</v>
      </c>
      <c r="K35" s="225"/>
      <c r="L35" s="106">
        <v>85</v>
      </c>
      <c r="M35" s="243">
        <f t="shared" si="3"/>
        <v>0.42720750000000002</v>
      </c>
      <c r="N35" s="243">
        <f t="shared" si="4"/>
        <v>0.77052599999999993</v>
      </c>
      <c r="O35" s="243">
        <f t="shared" si="5"/>
        <v>0.51303712499999998</v>
      </c>
      <c r="P35" s="225"/>
      <c r="Q35" s="106">
        <v>85</v>
      </c>
      <c r="R35" s="115">
        <f t="shared" si="6"/>
        <v>0.28480500000000003</v>
      </c>
      <c r="S35" s="115">
        <f t="shared" si="7"/>
        <v>0.51368400000000003</v>
      </c>
      <c r="T35" s="115">
        <f t="shared" si="8"/>
        <v>0.34202475000000004</v>
      </c>
      <c r="U35" s="225"/>
      <c r="V35" s="106">
        <v>85</v>
      </c>
      <c r="W35" s="246">
        <f t="shared" si="9"/>
        <v>0.44904255000000004</v>
      </c>
      <c r="X35" s="246">
        <f t="shared" si="10"/>
        <v>0.80990844000000006</v>
      </c>
      <c r="Y35" s="246">
        <f t="shared" si="11"/>
        <v>0.53925902250000002</v>
      </c>
      <c r="Z35" s="225"/>
      <c r="AA35" s="106">
        <v>85</v>
      </c>
      <c r="AB35" s="248">
        <f t="shared" si="12"/>
        <v>0.22024920000000001</v>
      </c>
      <c r="AC35" s="248">
        <f t="shared" si="13"/>
        <v>0.39724895999999993</v>
      </c>
      <c r="AD35" s="248">
        <f t="shared" si="14"/>
        <v>0.26449913999999997</v>
      </c>
      <c r="AE35" s="110"/>
      <c r="AF35" s="110"/>
    </row>
    <row r="36" spans="1:32" x14ac:dyDescent="0.2">
      <c r="A36" s="106">
        <v>86</v>
      </c>
      <c r="B36" s="107">
        <v>0.106503</v>
      </c>
      <c r="C36" s="106">
        <v>93</v>
      </c>
      <c r="D36" s="107">
        <v>0.19035099999999999</v>
      </c>
      <c r="E36" s="239"/>
      <c r="F36" s="239"/>
      <c r="G36" s="106">
        <v>86</v>
      </c>
      <c r="H36" s="116">
        <f t="shared" si="0"/>
        <v>0.213006</v>
      </c>
      <c r="I36" s="116">
        <f t="shared" si="1"/>
        <v>0.38070199999999998</v>
      </c>
      <c r="J36" s="116">
        <f t="shared" si="2"/>
        <v>0.25492999999999999</v>
      </c>
      <c r="K36" s="225"/>
      <c r="L36" s="106">
        <v>86</v>
      </c>
      <c r="M36" s="243">
        <f t="shared" si="3"/>
        <v>0.47926350000000001</v>
      </c>
      <c r="N36" s="243">
        <f t="shared" si="4"/>
        <v>0.85657949999999994</v>
      </c>
      <c r="O36" s="243">
        <f t="shared" si="5"/>
        <v>0.57359249999999995</v>
      </c>
      <c r="P36" s="225"/>
      <c r="Q36" s="106">
        <v>86</v>
      </c>
      <c r="R36" s="115">
        <f t="shared" si="6"/>
        <v>0.31950899999999999</v>
      </c>
      <c r="S36" s="115">
        <f t="shared" si="7"/>
        <v>0.57105300000000003</v>
      </c>
      <c r="T36" s="115">
        <f t="shared" si="8"/>
        <v>0.38239499999999998</v>
      </c>
      <c r="U36" s="225"/>
      <c r="V36" s="106">
        <v>86</v>
      </c>
      <c r="W36" s="246">
        <f t="shared" si="9"/>
        <v>0.50375919000000002</v>
      </c>
      <c r="X36" s="246">
        <f t="shared" si="10"/>
        <v>0.90036023000000009</v>
      </c>
      <c r="Y36" s="246">
        <f t="shared" si="11"/>
        <v>0.60290945000000007</v>
      </c>
      <c r="Z36" s="225"/>
      <c r="AA36" s="106">
        <v>86</v>
      </c>
      <c r="AB36" s="248">
        <f t="shared" si="12"/>
        <v>0.24708695999999999</v>
      </c>
      <c r="AC36" s="248">
        <f t="shared" si="13"/>
        <v>0.44161431999999995</v>
      </c>
      <c r="AD36" s="248">
        <f t="shared" si="14"/>
        <v>0.2957188</v>
      </c>
      <c r="AE36" s="110"/>
      <c r="AF36" s="110"/>
    </row>
    <row r="37" spans="1:32" x14ac:dyDescent="0.2">
      <c r="A37" s="106">
        <v>87</v>
      </c>
      <c r="B37" s="107">
        <v>0.12002400000000001</v>
      </c>
      <c r="C37" s="106">
        <v>94</v>
      </c>
      <c r="D37" s="107">
        <v>0.210095</v>
      </c>
      <c r="E37" s="239"/>
      <c r="F37" s="239"/>
      <c r="G37" s="106">
        <v>87</v>
      </c>
      <c r="H37" s="116">
        <f t="shared" si="0"/>
        <v>0.24004800000000001</v>
      </c>
      <c r="I37" s="116">
        <f t="shared" si="1"/>
        <v>0.42019000000000001</v>
      </c>
      <c r="J37" s="116">
        <f t="shared" si="2"/>
        <v>0.28508349999999999</v>
      </c>
      <c r="K37" s="225"/>
      <c r="L37" s="106">
        <v>87</v>
      </c>
      <c r="M37" s="243">
        <f t="shared" si="3"/>
        <v>0.54010800000000003</v>
      </c>
      <c r="N37" s="243">
        <f t="shared" si="4"/>
        <v>0.94542749999999998</v>
      </c>
      <c r="O37" s="243">
        <f t="shared" si="5"/>
        <v>0.64143787500000005</v>
      </c>
      <c r="P37" s="225"/>
      <c r="Q37" s="106">
        <v>87</v>
      </c>
      <c r="R37" s="115">
        <f t="shared" si="6"/>
        <v>0.360072</v>
      </c>
      <c r="S37" s="115">
        <f t="shared" si="7"/>
        <v>0.63028499999999998</v>
      </c>
      <c r="T37" s="115">
        <f t="shared" si="8"/>
        <v>0.42762525000000001</v>
      </c>
      <c r="U37" s="225"/>
      <c r="V37" s="106">
        <v>87</v>
      </c>
      <c r="W37" s="246">
        <f t="shared" si="9"/>
        <v>0.56771352000000008</v>
      </c>
      <c r="X37" s="246">
        <f t="shared" si="10"/>
        <v>0.99374935000000009</v>
      </c>
      <c r="Y37" s="246">
        <f t="shared" si="11"/>
        <v>0.67422247750000008</v>
      </c>
      <c r="Z37" s="225"/>
      <c r="AA37" s="106">
        <v>87</v>
      </c>
      <c r="AB37" s="248">
        <f t="shared" si="12"/>
        <v>0.27845567999999998</v>
      </c>
      <c r="AC37" s="248">
        <f t="shared" si="13"/>
        <v>0.48742039999999998</v>
      </c>
      <c r="AD37" s="248">
        <f t="shared" si="14"/>
        <v>0.33069685999999998</v>
      </c>
      <c r="AE37" s="110"/>
      <c r="AF37" s="110"/>
    </row>
    <row r="38" spans="1:32" x14ac:dyDescent="0.2">
      <c r="A38" s="106">
        <v>88</v>
      </c>
      <c r="B38" s="107">
        <v>0.13526099999999999</v>
      </c>
      <c r="C38" s="106">
        <v>95</v>
      </c>
      <c r="D38" s="107">
        <v>0.230103</v>
      </c>
      <c r="E38" s="239"/>
      <c r="F38" s="239"/>
      <c r="G38" s="106">
        <v>88</v>
      </c>
      <c r="H38" s="116">
        <f t="shared" si="0"/>
        <v>0.27052199999999998</v>
      </c>
      <c r="I38" s="116">
        <f t="shared" si="1"/>
        <v>0.460206</v>
      </c>
      <c r="J38" s="116">
        <f t="shared" si="2"/>
        <v>0.31794299999999998</v>
      </c>
      <c r="K38" s="225"/>
      <c r="L38" s="106">
        <v>88</v>
      </c>
      <c r="M38" s="243">
        <f t="shared" si="3"/>
        <v>0.60867450000000001</v>
      </c>
      <c r="N38" s="243">
        <f t="shared" si="4"/>
        <v>1</v>
      </c>
      <c r="O38" s="243">
        <f t="shared" si="5"/>
        <v>0.70650587499999995</v>
      </c>
      <c r="P38" s="225"/>
      <c r="Q38" s="106">
        <v>88</v>
      </c>
      <c r="R38" s="115">
        <f t="shared" si="6"/>
        <v>0.405783</v>
      </c>
      <c r="S38" s="115">
        <f t="shared" si="7"/>
        <v>0.69030900000000006</v>
      </c>
      <c r="T38" s="115">
        <f t="shared" si="8"/>
        <v>0.47691450000000002</v>
      </c>
      <c r="U38" s="225"/>
      <c r="V38" s="106">
        <v>88</v>
      </c>
      <c r="W38" s="246">
        <f t="shared" si="9"/>
        <v>0.63978453000000002</v>
      </c>
      <c r="X38" s="246">
        <f t="shared" si="10"/>
        <v>1</v>
      </c>
      <c r="Y38" s="246">
        <f t="shared" si="11"/>
        <v>0.72983839750000001</v>
      </c>
      <c r="Z38" s="225"/>
      <c r="AA38" s="106">
        <v>88</v>
      </c>
      <c r="AB38" s="248">
        <f t="shared" si="12"/>
        <v>0.31380551999999995</v>
      </c>
      <c r="AC38" s="248">
        <f t="shared" si="13"/>
        <v>0.53383895999999997</v>
      </c>
      <c r="AD38" s="248">
        <f t="shared" si="14"/>
        <v>0.36881387999999993</v>
      </c>
      <c r="AE38" s="110"/>
      <c r="AF38" s="110"/>
    </row>
    <row r="39" spans="1:32" x14ac:dyDescent="0.2">
      <c r="A39" s="106">
        <v>89</v>
      </c>
      <c r="B39" s="107">
        <v>0.150561</v>
      </c>
      <c r="C39" s="106">
        <v>96</v>
      </c>
      <c r="D39" s="107">
        <v>0.251247</v>
      </c>
      <c r="E39" s="239"/>
      <c r="F39" s="239"/>
      <c r="G39" s="106">
        <v>89</v>
      </c>
      <c r="H39" s="116">
        <f t="shared" si="0"/>
        <v>0.301122</v>
      </c>
      <c r="I39" s="116">
        <f t="shared" si="1"/>
        <v>0.502494</v>
      </c>
      <c r="J39" s="116">
        <f t="shared" si="2"/>
        <v>0.35146500000000003</v>
      </c>
      <c r="K39" s="225"/>
      <c r="L39" s="106">
        <v>89</v>
      </c>
      <c r="M39" s="243">
        <f t="shared" si="3"/>
        <v>0.67752449999999997</v>
      </c>
      <c r="N39" s="243">
        <f t="shared" si="4"/>
        <v>1</v>
      </c>
      <c r="O39" s="243">
        <f t="shared" si="5"/>
        <v>0.75814337499999995</v>
      </c>
      <c r="P39" s="225"/>
      <c r="Q39" s="106">
        <v>89</v>
      </c>
      <c r="R39" s="115">
        <f t="shared" si="6"/>
        <v>0.451683</v>
      </c>
      <c r="S39" s="115">
        <f t="shared" si="7"/>
        <v>0.75374099999999999</v>
      </c>
      <c r="T39" s="115">
        <f t="shared" si="8"/>
        <v>0.52719749999999999</v>
      </c>
      <c r="U39" s="225"/>
      <c r="V39" s="106">
        <v>89</v>
      </c>
      <c r="W39" s="246">
        <f t="shared" si="9"/>
        <v>0.71215353000000003</v>
      </c>
      <c r="X39" s="246">
        <f t="shared" si="10"/>
        <v>1</v>
      </c>
      <c r="Y39" s="246">
        <f t="shared" si="11"/>
        <v>0.7841151475</v>
      </c>
      <c r="Z39" s="225"/>
      <c r="AA39" s="106">
        <v>89</v>
      </c>
      <c r="AB39" s="248">
        <f t="shared" si="12"/>
        <v>0.34930151999999998</v>
      </c>
      <c r="AC39" s="248">
        <f t="shared" si="13"/>
        <v>0.58289303999999997</v>
      </c>
      <c r="AD39" s="248">
        <f t="shared" si="14"/>
        <v>0.40769939999999993</v>
      </c>
      <c r="AE39" s="110"/>
      <c r="AF39" s="110"/>
    </row>
    <row r="40" spans="1:32" x14ac:dyDescent="0.2">
      <c r="A40" s="106">
        <v>90</v>
      </c>
      <c r="B40" s="107">
        <v>0.17042299999999999</v>
      </c>
      <c r="C40" s="106">
        <v>97</v>
      </c>
      <c r="D40" s="107">
        <v>0.278312</v>
      </c>
      <c r="E40" s="239"/>
      <c r="F40" s="239"/>
      <c r="G40" s="106">
        <v>90</v>
      </c>
      <c r="H40" s="116">
        <f t="shared" si="0"/>
        <v>0.34084599999999998</v>
      </c>
      <c r="I40" s="116">
        <f t="shared" si="1"/>
        <v>0.55662400000000001</v>
      </c>
      <c r="J40" s="116">
        <f t="shared" si="2"/>
        <v>0.39479049999999999</v>
      </c>
      <c r="K40" s="225"/>
      <c r="L40" s="106">
        <v>90</v>
      </c>
      <c r="M40" s="243">
        <f t="shared" si="3"/>
        <v>0.76690349999999996</v>
      </c>
      <c r="N40" s="243">
        <f t="shared" si="4"/>
        <v>1</v>
      </c>
      <c r="O40" s="243">
        <f t="shared" si="5"/>
        <v>0.82517762500000003</v>
      </c>
      <c r="P40" s="225"/>
      <c r="Q40" s="106">
        <v>90</v>
      </c>
      <c r="R40" s="115">
        <f t="shared" si="6"/>
        <v>0.51126899999999997</v>
      </c>
      <c r="S40" s="115">
        <f t="shared" si="7"/>
        <v>0.83493600000000001</v>
      </c>
      <c r="T40" s="115">
        <f t="shared" si="8"/>
        <v>0.59218574999999996</v>
      </c>
      <c r="U40" s="225"/>
      <c r="V40" s="106">
        <v>90</v>
      </c>
      <c r="W40" s="246">
        <f t="shared" si="9"/>
        <v>0.80610079000000001</v>
      </c>
      <c r="X40" s="246">
        <f t="shared" si="10"/>
        <v>1</v>
      </c>
      <c r="Y40" s="246">
        <f t="shared" si="11"/>
        <v>0.85457559250000004</v>
      </c>
      <c r="Z40" s="225"/>
      <c r="AA40" s="106">
        <v>90</v>
      </c>
      <c r="AB40" s="248">
        <f t="shared" si="12"/>
        <v>0.39538135999999996</v>
      </c>
      <c r="AC40" s="248">
        <f t="shared" si="13"/>
        <v>0.64568384000000001</v>
      </c>
      <c r="AD40" s="248">
        <f t="shared" si="14"/>
        <v>0.45795697999999996</v>
      </c>
      <c r="AE40" s="110"/>
      <c r="AF40" s="110"/>
    </row>
    <row r="41" spans="1:32" x14ac:dyDescent="0.2">
      <c r="A41" s="106">
        <v>91</v>
      </c>
      <c r="B41" s="107">
        <v>0.18754000000000001</v>
      </c>
      <c r="C41" s="106">
        <v>98</v>
      </c>
      <c r="D41" s="107">
        <v>0.304062</v>
      </c>
      <c r="E41" s="239"/>
      <c r="F41" s="239"/>
      <c r="G41" s="106">
        <v>91</v>
      </c>
      <c r="H41" s="116">
        <f t="shared" si="0"/>
        <v>0.37508000000000002</v>
      </c>
      <c r="I41" s="116">
        <f t="shared" si="1"/>
        <v>0.608124</v>
      </c>
      <c r="J41" s="116">
        <f t="shared" si="2"/>
        <v>0.43334099999999998</v>
      </c>
      <c r="K41" s="225"/>
      <c r="L41" s="106">
        <v>91</v>
      </c>
      <c r="M41" s="243">
        <f t="shared" si="3"/>
        <v>0.84393000000000007</v>
      </c>
      <c r="N41" s="243">
        <f t="shared" si="4"/>
        <v>1</v>
      </c>
      <c r="O41" s="243">
        <f t="shared" si="5"/>
        <v>0.8829475</v>
      </c>
      <c r="P41" s="225"/>
      <c r="Q41" s="106">
        <v>91</v>
      </c>
      <c r="R41" s="115">
        <f t="shared" si="6"/>
        <v>0.56262000000000001</v>
      </c>
      <c r="S41" s="115">
        <f t="shared" si="7"/>
        <v>0.91218599999999994</v>
      </c>
      <c r="T41" s="115">
        <f t="shared" si="8"/>
        <v>0.65001149999999996</v>
      </c>
      <c r="U41" s="225"/>
      <c r="V41" s="106">
        <v>91</v>
      </c>
      <c r="W41" s="246">
        <f t="shared" si="9"/>
        <v>0.88706420000000019</v>
      </c>
      <c r="X41" s="246">
        <f t="shared" si="10"/>
        <v>1</v>
      </c>
      <c r="Y41" s="246">
        <f t="shared" si="11"/>
        <v>0.91529815000000014</v>
      </c>
      <c r="Z41" s="225"/>
      <c r="AA41" s="106">
        <v>91</v>
      </c>
      <c r="AB41" s="248">
        <f t="shared" si="12"/>
        <v>0.4350928</v>
      </c>
      <c r="AC41" s="248">
        <f t="shared" si="13"/>
        <v>0.70542383999999991</v>
      </c>
      <c r="AD41" s="248">
        <f t="shared" si="14"/>
        <v>0.50267555999999991</v>
      </c>
      <c r="AE41" s="110"/>
      <c r="AF41" s="110"/>
    </row>
    <row r="42" spans="1:32" x14ac:dyDescent="0.2">
      <c r="A42" s="106">
        <v>92</v>
      </c>
      <c r="B42" s="107">
        <v>0.20976600000000001</v>
      </c>
      <c r="C42" s="106">
        <v>99</v>
      </c>
      <c r="D42" s="107">
        <v>0.32394400000000001</v>
      </c>
      <c r="E42" s="239"/>
      <c r="F42" s="239"/>
      <c r="G42" s="106">
        <v>92</v>
      </c>
      <c r="H42" s="116">
        <f t="shared" si="0"/>
        <v>0.41953200000000002</v>
      </c>
      <c r="I42" s="116">
        <f t="shared" si="1"/>
        <v>0.64788800000000002</v>
      </c>
      <c r="J42" s="116">
        <f t="shared" si="2"/>
        <v>0.47662100000000002</v>
      </c>
      <c r="K42" s="225"/>
      <c r="L42" s="106">
        <v>92</v>
      </c>
      <c r="M42" s="243">
        <f t="shared" si="3"/>
        <v>0.94394700000000009</v>
      </c>
      <c r="N42" s="243">
        <f t="shared" si="4"/>
        <v>1</v>
      </c>
      <c r="O42" s="243">
        <f t="shared" si="5"/>
        <v>0.95796025000000007</v>
      </c>
      <c r="P42" s="225"/>
      <c r="Q42" s="106">
        <v>92</v>
      </c>
      <c r="R42" s="115">
        <f t="shared" si="6"/>
        <v>0.62929800000000002</v>
      </c>
      <c r="S42" s="115">
        <f t="shared" si="7"/>
        <v>0.97183200000000003</v>
      </c>
      <c r="T42" s="115">
        <f t="shared" si="8"/>
        <v>0.71493150000000005</v>
      </c>
      <c r="U42" s="225"/>
      <c r="V42" s="106">
        <v>92</v>
      </c>
      <c r="W42" s="246">
        <f t="shared" si="9"/>
        <v>0.99219318000000012</v>
      </c>
      <c r="X42" s="246">
        <f t="shared" si="10"/>
        <v>1</v>
      </c>
      <c r="Y42" s="246">
        <f t="shared" si="11"/>
        <v>0.99414488500000009</v>
      </c>
      <c r="Z42" s="225"/>
      <c r="AA42" s="106">
        <v>92</v>
      </c>
      <c r="AB42" s="248">
        <f t="shared" si="12"/>
        <v>0.48665712</v>
      </c>
      <c r="AC42" s="248">
        <f t="shared" si="13"/>
        <v>0.75155008000000001</v>
      </c>
      <c r="AD42" s="248">
        <f t="shared" si="14"/>
        <v>0.55288035999999996</v>
      </c>
      <c r="AE42" s="110"/>
      <c r="AF42" s="110"/>
    </row>
    <row r="43" spans="1:32" x14ac:dyDescent="0.2">
      <c r="A43" s="106">
        <v>93</v>
      </c>
      <c r="B43" s="107">
        <v>0.22975899999999999</v>
      </c>
      <c r="C43" s="106">
        <v>100</v>
      </c>
      <c r="D43" s="82">
        <v>0.35231099999999999</v>
      </c>
      <c r="G43" s="106">
        <v>93</v>
      </c>
      <c r="H43" s="116">
        <f t="shared" si="0"/>
        <v>0.45951799999999998</v>
      </c>
      <c r="I43" s="116">
        <f t="shared" si="1"/>
        <v>0.70462199999999997</v>
      </c>
      <c r="J43" s="116">
        <f t="shared" si="2"/>
        <v>0.52079399999999998</v>
      </c>
      <c r="K43" s="225"/>
      <c r="L43" s="106">
        <v>93</v>
      </c>
      <c r="M43" s="243">
        <f t="shared" si="3"/>
        <v>1</v>
      </c>
      <c r="N43" s="243">
        <f t="shared" si="4"/>
        <v>1</v>
      </c>
      <c r="O43" s="243">
        <f t="shared" si="5"/>
        <v>1</v>
      </c>
      <c r="P43" s="225"/>
      <c r="Q43" s="106">
        <v>93</v>
      </c>
      <c r="R43" s="115">
        <f t="shared" si="6"/>
        <v>0.68927699999999992</v>
      </c>
      <c r="S43" s="115">
        <f t="shared" si="7"/>
        <v>1</v>
      </c>
      <c r="T43" s="115">
        <f t="shared" si="8"/>
        <v>0.76695774999999999</v>
      </c>
      <c r="U43" s="225"/>
      <c r="V43" s="106">
        <v>93</v>
      </c>
      <c r="W43" s="246">
        <f t="shared" si="9"/>
        <v>1</v>
      </c>
      <c r="X43" s="246">
        <f t="shared" si="10"/>
        <v>1</v>
      </c>
      <c r="Y43" s="246">
        <f t="shared" si="11"/>
        <v>1</v>
      </c>
      <c r="Z43" s="225"/>
      <c r="AA43" s="106">
        <v>93</v>
      </c>
      <c r="AB43" s="248">
        <f t="shared" si="12"/>
        <v>0.53304087999999994</v>
      </c>
      <c r="AC43" s="248">
        <f t="shared" si="13"/>
        <v>0.81736151999999995</v>
      </c>
      <c r="AD43" s="248">
        <f t="shared" si="14"/>
        <v>0.60412103999999989</v>
      </c>
      <c r="AE43" s="110"/>
      <c r="AF43" s="110"/>
    </row>
    <row r="44" spans="1:32" x14ac:dyDescent="0.2">
      <c r="A44" s="106">
        <v>94</v>
      </c>
      <c r="B44" s="107">
        <v>0.25412299999999999</v>
      </c>
      <c r="C44" s="106">
        <v>101</v>
      </c>
      <c r="D44" s="82">
        <v>0.35231099999999999</v>
      </c>
      <c r="G44" s="106">
        <v>94</v>
      </c>
      <c r="H44" s="116">
        <f t="shared" si="0"/>
        <v>0.50824599999999998</v>
      </c>
      <c r="I44" s="116">
        <f t="shared" si="1"/>
        <v>0.70462199999999997</v>
      </c>
      <c r="J44" s="116">
        <f t="shared" si="2"/>
        <v>0.55733999999999995</v>
      </c>
      <c r="K44" s="225"/>
      <c r="L44" s="106">
        <v>94</v>
      </c>
      <c r="M44" s="243">
        <f t="shared" si="3"/>
        <v>1</v>
      </c>
      <c r="N44" s="243">
        <f t="shared" si="4"/>
        <v>1</v>
      </c>
      <c r="O44" s="243">
        <f t="shared" si="5"/>
        <v>1</v>
      </c>
      <c r="P44" s="225"/>
      <c r="Q44" s="106">
        <v>94</v>
      </c>
      <c r="R44" s="115">
        <f t="shared" si="6"/>
        <v>0.76236899999999996</v>
      </c>
      <c r="S44" s="115">
        <f t="shared" si="7"/>
        <v>1</v>
      </c>
      <c r="T44" s="115">
        <f t="shared" si="8"/>
        <v>0.82177674999999994</v>
      </c>
      <c r="U44" s="225"/>
      <c r="V44" s="106">
        <v>94</v>
      </c>
      <c r="W44" s="246">
        <f t="shared" si="9"/>
        <v>1</v>
      </c>
      <c r="X44" s="246">
        <f t="shared" si="10"/>
        <v>1</v>
      </c>
      <c r="Y44" s="246">
        <f t="shared" si="11"/>
        <v>1</v>
      </c>
      <c r="Z44" s="225"/>
      <c r="AA44" s="106">
        <v>94</v>
      </c>
      <c r="AB44" s="248">
        <f t="shared" si="12"/>
        <v>0.58956535999999993</v>
      </c>
      <c r="AC44" s="248">
        <f t="shared" si="13"/>
        <v>0.81736151999999995</v>
      </c>
      <c r="AD44" s="248">
        <f t="shared" si="14"/>
        <v>0.64651439999999993</v>
      </c>
      <c r="AE44" s="110"/>
      <c r="AF44" s="110"/>
    </row>
    <row r="45" spans="1:32" x14ac:dyDescent="0.2">
      <c r="A45" s="106">
        <v>95</v>
      </c>
      <c r="B45" s="107">
        <v>0.27496500000000001</v>
      </c>
      <c r="C45" s="106">
        <v>102</v>
      </c>
      <c r="D45" s="82">
        <v>0.35231099999999999</v>
      </c>
      <c r="G45" s="106">
        <v>95</v>
      </c>
      <c r="H45" s="116">
        <f t="shared" si="0"/>
        <v>0.54993000000000003</v>
      </c>
      <c r="I45" s="116">
        <f t="shared" si="1"/>
        <v>0.70462199999999997</v>
      </c>
      <c r="J45" s="116">
        <f t="shared" si="2"/>
        <v>0.58860299999999999</v>
      </c>
      <c r="K45" s="225"/>
      <c r="L45" s="106">
        <v>95</v>
      </c>
      <c r="M45" s="243">
        <f t="shared" si="3"/>
        <v>1</v>
      </c>
      <c r="N45" s="243">
        <f t="shared" si="4"/>
        <v>1</v>
      </c>
      <c r="O45" s="243">
        <f t="shared" si="5"/>
        <v>1</v>
      </c>
      <c r="P45" s="225"/>
      <c r="Q45" s="106">
        <v>95</v>
      </c>
      <c r="R45" s="115">
        <f t="shared" si="6"/>
        <v>0.82489500000000004</v>
      </c>
      <c r="S45" s="115">
        <f t="shared" si="7"/>
        <v>1</v>
      </c>
      <c r="T45" s="115">
        <f t="shared" si="8"/>
        <v>0.86867125000000001</v>
      </c>
      <c r="U45" s="225"/>
      <c r="V45" s="106">
        <v>95</v>
      </c>
      <c r="W45" s="246">
        <f t="shared" si="9"/>
        <v>1</v>
      </c>
      <c r="X45" s="246">
        <f t="shared" si="10"/>
        <v>1</v>
      </c>
      <c r="Y45" s="246">
        <f t="shared" si="11"/>
        <v>1</v>
      </c>
      <c r="Z45" s="225"/>
      <c r="AA45" s="106">
        <v>95</v>
      </c>
      <c r="AB45" s="248">
        <f t="shared" si="12"/>
        <v>0.63791880000000001</v>
      </c>
      <c r="AC45" s="248">
        <f t="shared" si="13"/>
        <v>0.81736151999999995</v>
      </c>
      <c r="AD45" s="248">
        <f t="shared" si="14"/>
        <v>0.68277947999999999</v>
      </c>
      <c r="AE45" s="110"/>
      <c r="AF45" s="110"/>
    </row>
    <row r="46" spans="1:32" x14ac:dyDescent="0.2">
      <c r="A46" s="106">
        <v>96</v>
      </c>
      <c r="B46" s="107">
        <v>0.29870200000000002</v>
      </c>
      <c r="C46" s="106">
        <v>103</v>
      </c>
      <c r="D46" s="82">
        <v>0.35231099999999999</v>
      </c>
      <c r="G46" s="106">
        <v>96</v>
      </c>
      <c r="H46" s="116">
        <f t="shared" si="0"/>
        <v>0.59740400000000005</v>
      </c>
      <c r="I46" s="116">
        <f t="shared" si="1"/>
        <v>0.70462199999999997</v>
      </c>
      <c r="J46" s="116">
        <f t="shared" si="2"/>
        <v>0.62420850000000005</v>
      </c>
      <c r="K46" s="225"/>
      <c r="L46" s="106">
        <v>96</v>
      </c>
      <c r="M46" s="243">
        <f t="shared" si="3"/>
        <v>1</v>
      </c>
      <c r="N46" s="243">
        <f t="shared" si="4"/>
        <v>1</v>
      </c>
      <c r="O46" s="243">
        <f t="shared" si="5"/>
        <v>1</v>
      </c>
      <c r="P46" s="225"/>
      <c r="Q46" s="106">
        <v>96</v>
      </c>
      <c r="R46" s="115">
        <f t="shared" si="6"/>
        <v>0.89610600000000007</v>
      </c>
      <c r="S46" s="115">
        <f t="shared" si="7"/>
        <v>1</v>
      </c>
      <c r="T46" s="115">
        <f t="shared" si="8"/>
        <v>0.92207950000000005</v>
      </c>
      <c r="U46" s="225"/>
      <c r="V46" s="106">
        <v>96</v>
      </c>
      <c r="W46" s="246">
        <f t="shared" si="9"/>
        <v>1</v>
      </c>
      <c r="X46" s="246">
        <f t="shared" si="10"/>
        <v>1</v>
      </c>
      <c r="Y46" s="246">
        <f t="shared" si="11"/>
        <v>1</v>
      </c>
      <c r="Z46" s="225"/>
      <c r="AA46" s="106">
        <v>96</v>
      </c>
      <c r="AB46" s="248">
        <f t="shared" si="12"/>
        <v>0.69298864000000004</v>
      </c>
      <c r="AC46" s="248">
        <f t="shared" si="13"/>
        <v>0.81736151999999995</v>
      </c>
      <c r="AD46" s="248">
        <f t="shared" si="14"/>
        <v>0.72408185999999997</v>
      </c>
      <c r="AE46" s="110"/>
      <c r="AF46" s="110"/>
    </row>
    <row r="47" spans="1:32" x14ac:dyDescent="0.2">
      <c r="A47" s="106">
        <v>97</v>
      </c>
      <c r="B47" s="107">
        <v>0.32780599999999999</v>
      </c>
      <c r="C47" s="106">
        <v>104</v>
      </c>
      <c r="D47" s="82">
        <v>0.35231099999999999</v>
      </c>
      <c r="G47" s="106">
        <v>97</v>
      </c>
      <c r="H47" s="116">
        <f t="shared" si="0"/>
        <v>0.65561199999999997</v>
      </c>
      <c r="I47" s="116">
        <f t="shared" si="1"/>
        <v>0.70462199999999997</v>
      </c>
      <c r="J47" s="116">
        <f t="shared" si="2"/>
        <v>0.66786449999999997</v>
      </c>
      <c r="K47" s="225"/>
      <c r="L47" s="106">
        <v>97</v>
      </c>
      <c r="M47" s="243">
        <f t="shared" si="3"/>
        <v>1</v>
      </c>
      <c r="N47" s="243">
        <f t="shared" si="4"/>
        <v>1</v>
      </c>
      <c r="O47" s="243">
        <f t="shared" si="5"/>
        <v>1</v>
      </c>
      <c r="P47" s="225"/>
      <c r="Q47" s="106">
        <v>97</v>
      </c>
      <c r="R47" s="115">
        <f t="shared" si="6"/>
        <v>0.9834179999999999</v>
      </c>
      <c r="S47" s="115">
        <f t="shared" si="7"/>
        <v>1</v>
      </c>
      <c r="T47" s="115">
        <f t="shared" si="8"/>
        <v>0.98756349999999993</v>
      </c>
      <c r="U47" s="225"/>
      <c r="V47" s="106">
        <v>97</v>
      </c>
      <c r="W47" s="246">
        <f t="shared" si="9"/>
        <v>1</v>
      </c>
      <c r="X47" s="246">
        <f t="shared" si="10"/>
        <v>1</v>
      </c>
      <c r="Y47" s="246">
        <f t="shared" si="11"/>
        <v>1</v>
      </c>
      <c r="Z47" s="225"/>
      <c r="AA47" s="106">
        <v>97</v>
      </c>
      <c r="AB47" s="248">
        <f t="shared" si="12"/>
        <v>0.76050991999999995</v>
      </c>
      <c r="AC47" s="248">
        <f t="shared" si="13"/>
        <v>0.81736151999999995</v>
      </c>
      <c r="AD47" s="248">
        <f t="shared" si="14"/>
        <v>0.77472281999999992</v>
      </c>
      <c r="AE47" s="110"/>
      <c r="AF47" s="110"/>
    </row>
    <row r="48" spans="1:32" x14ac:dyDescent="0.2">
      <c r="A48" s="106">
        <v>98</v>
      </c>
      <c r="B48" s="107">
        <v>0.337947</v>
      </c>
      <c r="C48" s="106">
        <v>105</v>
      </c>
      <c r="D48" s="82">
        <v>0.35231099999999999</v>
      </c>
      <c r="G48" s="106">
        <v>98</v>
      </c>
      <c r="H48" s="116">
        <f t="shared" si="0"/>
        <v>0.67589399999999999</v>
      </c>
      <c r="I48" s="116">
        <f t="shared" si="1"/>
        <v>0.70462199999999997</v>
      </c>
      <c r="J48" s="116">
        <f t="shared" si="2"/>
        <v>0.68307600000000002</v>
      </c>
      <c r="K48" s="225"/>
      <c r="L48" s="106">
        <v>98</v>
      </c>
      <c r="M48" s="243">
        <f t="shared" si="3"/>
        <v>1</v>
      </c>
      <c r="N48" s="243">
        <f t="shared" si="4"/>
        <v>1</v>
      </c>
      <c r="O48" s="243">
        <f t="shared" si="5"/>
        <v>1</v>
      </c>
      <c r="P48" s="225"/>
      <c r="Q48" s="106">
        <v>98</v>
      </c>
      <c r="R48" s="115">
        <f t="shared" si="6"/>
        <v>1</v>
      </c>
      <c r="S48" s="115">
        <f t="shared" si="7"/>
        <v>1</v>
      </c>
      <c r="T48" s="115">
        <f t="shared" si="8"/>
        <v>1</v>
      </c>
      <c r="U48" s="225"/>
      <c r="V48" s="106">
        <v>98</v>
      </c>
      <c r="W48" s="246">
        <f t="shared" si="9"/>
        <v>1</v>
      </c>
      <c r="X48" s="246">
        <f t="shared" si="10"/>
        <v>1</v>
      </c>
      <c r="Y48" s="246">
        <f t="shared" si="11"/>
        <v>1</v>
      </c>
      <c r="Z48" s="225"/>
      <c r="AA48" s="106">
        <v>98</v>
      </c>
      <c r="AB48" s="248">
        <f t="shared" si="12"/>
        <v>0.78403703999999996</v>
      </c>
      <c r="AC48" s="248">
        <f t="shared" si="13"/>
        <v>0.81736151999999995</v>
      </c>
      <c r="AD48" s="248">
        <f t="shared" si="14"/>
        <v>0.79236815999999999</v>
      </c>
      <c r="AE48" s="110"/>
      <c r="AF48" s="110"/>
    </row>
    <row r="49" spans="1:32" x14ac:dyDescent="0.2">
      <c r="A49" s="106">
        <v>99</v>
      </c>
      <c r="B49" s="107">
        <v>0.37825900000000001</v>
      </c>
      <c r="C49" s="106">
        <v>106</v>
      </c>
      <c r="D49" s="82">
        <v>0.35231099999999999</v>
      </c>
      <c r="G49" s="106">
        <v>99</v>
      </c>
      <c r="H49" s="116">
        <f t="shared" si="0"/>
        <v>0.75651800000000002</v>
      </c>
      <c r="I49" s="116">
        <f t="shared" si="1"/>
        <v>0.70462199999999997</v>
      </c>
      <c r="J49" s="116">
        <f t="shared" si="2"/>
        <v>0.74354400000000009</v>
      </c>
      <c r="K49" s="225"/>
      <c r="L49" s="106">
        <v>99</v>
      </c>
      <c r="M49" s="243">
        <f t="shared" si="3"/>
        <v>1</v>
      </c>
      <c r="N49" s="243">
        <f t="shared" si="4"/>
        <v>1</v>
      </c>
      <c r="O49" s="243">
        <f t="shared" si="5"/>
        <v>1</v>
      </c>
      <c r="P49" s="225"/>
      <c r="Q49" s="106">
        <v>99</v>
      </c>
      <c r="R49" s="115">
        <f t="shared" si="6"/>
        <v>1</v>
      </c>
      <c r="S49" s="115">
        <f t="shared" si="7"/>
        <v>1</v>
      </c>
      <c r="T49" s="115">
        <f t="shared" si="8"/>
        <v>1</v>
      </c>
      <c r="U49" s="225"/>
      <c r="V49" s="106">
        <v>99</v>
      </c>
      <c r="W49" s="246">
        <f t="shared" si="9"/>
        <v>1</v>
      </c>
      <c r="X49" s="246">
        <f t="shared" si="10"/>
        <v>1</v>
      </c>
      <c r="Y49" s="246">
        <f t="shared" si="11"/>
        <v>1</v>
      </c>
      <c r="Z49" s="225"/>
      <c r="AA49" s="106">
        <v>99</v>
      </c>
      <c r="AB49" s="248">
        <f t="shared" si="12"/>
        <v>0.87756087999999999</v>
      </c>
      <c r="AC49" s="248">
        <f t="shared" si="13"/>
        <v>0.81736151999999995</v>
      </c>
      <c r="AD49" s="248">
        <f t="shared" si="14"/>
        <v>0.86251104000000001</v>
      </c>
      <c r="AE49" s="110"/>
      <c r="AF49" s="110"/>
    </row>
    <row r="50" spans="1:32" x14ac:dyDescent="0.2">
      <c r="A50" s="106">
        <v>100</v>
      </c>
      <c r="B50" s="82">
        <v>0.40347499999999997</v>
      </c>
      <c r="C50" s="106">
        <v>107</v>
      </c>
      <c r="D50" s="82">
        <v>0.35231099999999999</v>
      </c>
      <c r="G50" s="106">
        <v>100</v>
      </c>
      <c r="H50" s="116">
        <f t="shared" si="0"/>
        <v>0.80694999999999995</v>
      </c>
      <c r="I50" s="116">
        <f t="shared" si="1"/>
        <v>0.70462199999999997</v>
      </c>
      <c r="J50" s="116">
        <f t="shared" si="2"/>
        <v>0.78136799999999995</v>
      </c>
      <c r="K50" s="225"/>
      <c r="L50" s="106">
        <v>100</v>
      </c>
      <c r="M50" s="243">
        <f t="shared" si="3"/>
        <v>1</v>
      </c>
      <c r="N50" s="243">
        <f t="shared" si="4"/>
        <v>1</v>
      </c>
      <c r="O50" s="243">
        <f t="shared" si="5"/>
        <v>1</v>
      </c>
      <c r="P50" s="225"/>
      <c r="Q50" s="106">
        <v>100</v>
      </c>
      <c r="R50" s="115">
        <f t="shared" si="6"/>
        <v>1</v>
      </c>
      <c r="S50" s="115">
        <f t="shared" si="7"/>
        <v>1</v>
      </c>
      <c r="T50" s="115">
        <f t="shared" si="8"/>
        <v>1</v>
      </c>
      <c r="U50" s="225"/>
      <c r="V50" s="106">
        <v>100</v>
      </c>
      <c r="W50" s="246">
        <f t="shared" si="9"/>
        <v>1</v>
      </c>
      <c r="X50" s="246">
        <f t="shared" si="10"/>
        <v>1</v>
      </c>
      <c r="Y50" s="246">
        <f t="shared" si="11"/>
        <v>1</v>
      </c>
      <c r="Z50" s="225"/>
      <c r="AA50" s="106">
        <v>100</v>
      </c>
      <c r="AB50" s="248">
        <f t="shared" si="12"/>
        <v>0.93606199999999984</v>
      </c>
      <c r="AC50" s="248">
        <f t="shared" si="13"/>
        <v>0.81736151999999995</v>
      </c>
      <c r="AD50" s="248">
        <f t="shared" si="14"/>
        <v>0.90638687999999989</v>
      </c>
    </row>
    <row r="51" spans="1:32" x14ac:dyDescent="0.2">
      <c r="A51" s="106">
        <v>101</v>
      </c>
      <c r="B51" s="82">
        <v>0.40347499999999997</v>
      </c>
      <c r="C51" s="106">
        <v>107</v>
      </c>
      <c r="D51" s="82">
        <v>0.35231099999999999</v>
      </c>
      <c r="G51" s="106">
        <v>101</v>
      </c>
      <c r="H51" s="116">
        <f t="shared" si="0"/>
        <v>0.80694999999999995</v>
      </c>
      <c r="I51" s="116">
        <f t="shared" si="1"/>
        <v>0.70462199999999997</v>
      </c>
      <c r="J51" s="116">
        <f t="shared" si="2"/>
        <v>0.78136799999999995</v>
      </c>
      <c r="K51" s="225"/>
      <c r="L51" s="106">
        <v>101</v>
      </c>
      <c r="M51" s="243">
        <f t="shared" si="3"/>
        <v>1</v>
      </c>
      <c r="N51" s="243">
        <f t="shared" si="4"/>
        <v>1</v>
      </c>
      <c r="O51" s="243">
        <f t="shared" si="5"/>
        <v>1</v>
      </c>
      <c r="P51" s="225"/>
      <c r="Q51" s="106">
        <v>101</v>
      </c>
      <c r="R51" s="115">
        <f t="shared" si="6"/>
        <v>1</v>
      </c>
      <c r="S51" s="115">
        <f t="shared" si="7"/>
        <v>1</v>
      </c>
      <c r="T51" s="115">
        <f t="shared" si="8"/>
        <v>1</v>
      </c>
      <c r="U51" s="225"/>
      <c r="V51" s="106">
        <v>101</v>
      </c>
      <c r="W51" s="246">
        <f t="shared" si="9"/>
        <v>1</v>
      </c>
      <c r="X51" s="246">
        <f t="shared" si="10"/>
        <v>1</v>
      </c>
      <c r="Y51" s="246">
        <f t="shared" si="11"/>
        <v>1</v>
      </c>
      <c r="Z51" s="225"/>
      <c r="AA51" s="106">
        <v>101</v>
      </c>
      <c r="AB51" s="248">
        <f t="shared" si="12"/>
        <v>0.93606199999999984</v>
      </c>
      <c r="AC51" s="248">
        <f t="shared" si="13"/>
        <v>0.81736151999999995</v>
      </c>
      <c r="AD51" s="248">
        <f t="shared" si="14"/>
        <v>0.90638687999999989</v>
      </c>
    </row>
    <row r="52" spans="1:32" x14ac:dyDescent="0.2">
      <c r="A52" s="106">
        <v>102</v>
      </c>
      <c r="B52" s="82">
        <v>0.40347499999999997</v>
      </c>
      <c r="C52" s="106">
        <v>107</v>
      </c>
      <c r="D52" s="82">
        <v>0.35231099999999999</v>
      </c>
      <c r="G52" s="106">
        <v>102</v>
      </c>
      <c r="H52" s="116">
        <f t="shared" si="0"/>
        <v>0.80694999999999995</v>
      </c>
      <c r="I52" s="116">
        <f t="shared" si="1"/>
        <v>0.70462199999999997</v>
      </c>
      <c r="J52" s="116">
        <f t="shared" si="2"/>
        <v>0.78136799999999995</v>
      </c>
      <c r="K52" s="225"/>
      <c r="L52" s="106">
        <v>102</v>
      </c>
      <c r="M52" s="243">
        <f t="shared" si="3"/>
        <v>1</v>
      </c>
      <c r="N52" s="243">
        <f t="shared" si="4"/>
        <v>1</v>
      </c>
      <c r="O52" s="243">
        <f t="shared" si="5"/>
        <v>1</v>
      </c>
      <c r="P52" s="225"/>
      <c r="Q52" s="106">
        <v>102</v>
      </c>
      <c r="R52" s="115">
        <f t="shared" si="6"/>
        <v>1</v>
      </c>
      <c r="S52" s="115">
        <f t="shared" si="7"/>
        <v>1</v>
      </c>
      <c r="T52" s="115">
        <f t="shared" si="8"/>
        <v>1</v>
      </c>
      <c r="U52" s="225"/>
      <c r="V52" s="106">
        <v>102</v>
      </c>
      <c r="W52" s="246">
        <f t="shared" si="9"/>
        <v>1</v>
      </c>
      <c r="X52" s="246">
        <f t="shared" si="10"/>
        <v>1</v>
      </c>
      <c r="Y52" s="246">
        <f t="shared" si="11"/>
        <v>1</v>
      </c>
      <c r="Z52" s="225"/>
      <c r="AA52" s="106">
        <v>102</v>
      </c>
      <c r="AB52" s="248">
        <f t="shared" si="12"/>
        <v>0.93606199999999984</v>
      </c>
      <c r="AC52" s="248">
        <f t="shared" si="13"/>
        <v>0.81736151999999995</v>
      </c>
      <c r="AD52" s="248">
        <f t="shared" si="14"/>
        <v>0.90638687999999989</v>
      </c>
    </row>
    <row r="53" spans="1:32" x14ac:dyDescent="0.2">
      <c r="B53" s="102"/>
    </row>
    <row r="54" spans="1:32" x14ac:dyDescent="0.2">
      <c r="B54" s="102"/>
    </row>
    <row r="55" spans="1:32" x14ac:dyDescent="0.2">
      <c r="B55" s="102"/>
    </row>
    <row r="56" spans="1:32" x14ac:dyDescent="0.2">
      <c r="B56" s="102"/>
    </row>
  </sheetData>
  <mergeCells count="6">
    <mergeCell ref="A11:B11"/>
    <mergeCell ref="V11:W11"/>
    <mergeCell ref="Q11:R11"/>
    <mergeCell ref="AA11:AB11"/>
    <mergeCell ref="L11:M11"/>
    <mergeCell ref="G11:H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CB3C-BA42-4625-9D6B-36E3388BAAAD}">
  <dimension ref="A2:AA51"/>
  <sheetViews>
    <sheetView topLeftCell="E1" zoomScale="130" zoomScaleNormal="130" workbookViewId="0">
      <selection activeCell="G13" sqref="G13"/>
    </sheetView>
  </sheetViews>
  <sheetFormatPr baseColWidth="10" defaultColWidth="8.83203125" defaultRowHeight="15" x14ac:dyDescent="0.2"/>
  <cols>
    <col min="1" max="1" width="18.83203125" customWidth="1"/>
    <col min="2" max="2" width="11.5" customWidth="1"/>
    <col min="3" max="3" width="3.5" customWidth="1"/>
    <col min="4" max="4" width="9.1640625" customWidth="1"/>
    <col min="5" max="5" width="12.5" customWidth="1"/>
    <col min="6" max="6" width="11.83203125" customWidth="1"/>
    <col min="8" max="8" width="3.6640625" customWidth="1"/>
    <col min="9" max="9" width="11.1640625" customWidth="1"/>
    <col min="10" max="10" width="9.83203125" customWidth="1"/>
    <col min="11" max="11" width="11.1640625" customWidth="1"/>
    <col min="12" max="12" width="12.5" customWidth="1"/>
    <col min="13" max="13" width="4.5" customWidth="1"/>
    <col min="14" max="14" width="11.5" style="3" customWidth="1"/>
    <col min="15" max="17" width="8.83203125" style="3"/>
    <col min="18" max="18" width="3.5" customWidth="1"/>
    <col min="19" max="19" width="8.5" style="3" customWidth="1"/>
    <col min="20" max="20" width="10.5" style="3" customWidth="1"/>
    <col min="21" max="21" width="10.83203125" style="3" customWidth="1"/>
    <col min="22" max="22" width="11.83203125" style="3" customWidth="1"/>
    <col min="23" max="23" width="5" style="3" customWidth="1"/>
    <col min="24" max="24" width="11.1640625" style="3" customWidth="1"/>
    <col min="25" max="25" width="10.5" style="3" customWidth="1"/>
    <col min="26" max="26" width="8.83203125" style="3"/>
    <col min="27" max="27" width="10.1640625" style="3" customWidth="1"/>
    <col min="2000" max="2000" width="2.5" customWidth="1"/>
  </cols>
  <sheetData>
    <row r="2" spans="1:27" x14ac:dyDescent="0.2"/>
    <row r="3" spans="1:27" x14ac:dyDescent="0.2">
      <c r="A3" s="47" t="s">
        <v>505</v>
      </c>
      <c r="B3" s="74">
        <v>0.84199999999999997</v>
      </c>
      <c r="C3" s="75"/>
    </row>
    <row r="4" spans="1:27" x14ac:dyDescent="0.2">
      <c r="A4" s="47" t="s">
        <v>501</v>
      </c>
      <c r="B4" s="74">
        <v>0.77900000000000003</v>
      </c>
      <c r="C4" s="75"/>
    </row>
    <row r="5" spans="1:27" x14ac:dyDescent="0.2">
      <c r="A5" s="47" t="s">
        <v>506</v>
      </c>
      <c r="B5" s="74">
        <v>0.82099999999999995</v>
      </c>
      <c r="C5" s="75"/>
    </row>
    <row r="6" spans="1:27" x14ac:dyDescent="0.2">
      <c r="A6" s="47" t="s">
        <v>507</v>
      </c>
      <c r="B6" s="74">
        <v>0.70299999999999996</v>
      </c>
      <c r="C6" s="75"/>
    </row>
    <row r="7" spans="1:27" x14ac:dyDescent="0.2">
      <c r="A7" s="47" t="s">
        <v>508</v>
      </c>
      <c r="B7" s="74">
        <v>0.70299999999999996</v>
      </c>
      <c r="C7" s="75"/>
    </row>
    <row r="8" spans="1:27" x14ac:dyDescent="0.2">
      <c r="A8" s="47" t="s">
        <v>487</v>
      </c>
      <c r="B8" s="74">
        <v>0.75</v>
      </c>
      <c r="C8" s="75"/>
      <c r="L8" s="120"/>
      <c r="M8" s="120"/>
    </row>
    <row r="9" spans="1:27" x14ac:dyDescent="0.2">
      <c r="B9" s="75"/>
      <c r="C9" s="75"/>
    </row>
    <row r="10" spans="1:27" x14ac:dyDescent="0.2">
      <c r="B10" s="75"/>
      <c r="C10" s="75"/>
    </row>
    <row r="11" spans="1:27" x14ac:dyDescent="0.2">
      <c r="D11" s="587" t="s">
        <v>498</v>
      </c>
      <c r="E11" s="587"/>
      <c r="F11" s="587"/>
      <c r="G11" s="587"/>
      <c r="H11" s="3"/>
      <c r="I11" s="583" t="s">
        <v>501</v>
      </c>
      <c r="J11" s="583"/>
      <c r="K11" s="583"/>
      <c r="L11" s="583"/>
      <c r="M11" s="3"/>
      <c r="N11" s="584" t="s">
        <v>504</v>
      </c>
      <c r="O11" s="584"/>
      <c r="P11" s="584"/>
      <c r="Q11" s="584"/>
      <c r="R11" s="3"/>
      <c r="S11" s="585" t="s">
        <v>503</v>
      </c>
      <c r="T11" s="585"/>
      <c r="U11" s="585"/>
      <c r="V11" s="585"/>
      <c r="X11" s="586" t="s">
        <v>684</v>
      </c>
      <c r="Y11" s="586"/>
      <c r="Z11" s="586"/>
      <c r="AA11" s="586"/>
    </row>
    <row r="12" spans="1:27" x14ac:dyDescent="0.2">
      <c r="A12" s="104" t="s">
        <v>488</v>
      </c>
      <c r="B12" s="104" t="s">
        <v>492</v>
      </c>
      <c r="C12" s="104"/>
      <c r="D12" s="259" t="s">
        <v>674</v>
      </c>
      <c r="E12" s="260" t="s">
        <v>329</v>
      </c>
      <c r="F12" s="260" t="s">
        <v>499</v>
      </c>
      <c r="G12" s="261" t="s">
        <v>502</v>
      </c>
      <c r="H12" s="3"/>
      <c r="I12" t="s">
        <v>674</v>
      </c>
      <c r="J12" s="3" t="s">
        <v>329</v>
      </c>
      <c r="K12" s="3" t="s">
        <v>499</v>
      </c>
      <c r="L12" s="3" t="s">
        <v>500</v>
      </c>
      <c r="M12" s="3"/>
      <c r="N12" s="3" t="s">
        <v>674</v>
      </c>
      <c r="O12" s="3" t="s">
        <v>329</v>
      </c>
      <c r="P12" s="3" t="s">
        <v>499</v>
      </c>
      <c r="Q12" s="3" t="s">
        <v>500</v>
      </c>
      <c r="R12" s="3"/>
      <c r="S12" s="3" t="s">
        <v>674</v>
      </c>
      <c r="T12" s="3" t="s">
        <v>329</v>
      </c>
      <c r="U12" s="3" t="s">
        <v>499</v>
      </c>
      <c r="V12" s="3" t="s">
        <v>500</v>
      </c>
      <c r="X12" s="3" t="s">
        <v>674</v>
      </c>
      <c r="Y12" s="3" t="s">
        <v>329</v>
      </c>
      <c r="Z12" s="3" t="s">
        <v>499</v>
      </c>
      <c r="AA12" s="3" t="s">
        <v>500</v>
      </c>
    </row>
    <row r="13" spans="1:27" x14ac:dyDescent="0.2">
      <c r="A13" s="106">
        <v>63</v>
      </c>
      <c r="B13" s="106">
        <v>70</v>
      </c>
      <c r="C13" s="3"/>
      <c r="D13" s="106">
        <v>63</v>
      </c>
      <c r="E13" s="262">
        <f>u_noevent*(0.9508566 + (0.0212126*1) - (0.0002587*A13)- (0.0000332*(A13^2)))</f>
        <v>0.69380825260000012</v>
      </c>
      <c r="F13" s="262">
        <f t="shared" ref="F13:F51" si="0">u_noevent*(0.9508566 + (0.0212126*0) - (0.0002587*B13)- (0.0000332*(B13^2)))</f>
        <v>0.64839691919999998</v>
      </c>
      <c r="G13" s="263">
        <f t="shared" ref="G13:G51" si="1">(E13*male_proportion_STEMI)+(F13*(1-male_proportion_STEMI))</f>
        <v>0.68245541925000008</v>
      </c>
      <c r="H13" s="164"/>
      <c r="I13" s="106">
        <v>63</v>
      </c>
      <c r="J13" s="117">
        <f>u_rinfar*(0.9508566 + (0.0212126*1) - (0.0002587*A13)- (0.0000332*(A13^2)))</f>
        <v>0.64189623370000015</v>
      </c>
      <c r="K13" s="117">
        <f>u_rinfar*(0.9508566 + (0.0212126*0) - (0.0002587*B13)- (0.0000332*(B13^2)))</f>
        <v>0.59988266040000005</v>
      </c>
      <c r="L13" s="117">
        <f>(J13*male_proportion_STEMI)+(K13*(1-male_proportion_STEMI))</f>
        <v>0.6313928403750001</v>
      </c>
      <c r="M13" s="164"/>
      <c r="N13" s="106">
        <v>63</v>
      </c>
      <c r="O13" s="77">
        <f t="shared" ref="O13:O51" si="2">u_post_rinfar*(0.9508566 + (0.0212126*1) - (0.0002587*A13)- (0.0000332*(A13^2)))</f>
        <v>0.67650424630000006</v>
      </c>
      <c r="P13" s="77">
        <f t="shared" ref="P13:P51" si="3">u_post_rinfar*(0.9508566 + (0.0212126*0) - (0.0002587*B13)- (0.0000332*(B13^2)))</f>
        <v>0.63222549959999996</v>
      </c>
      <c r="Q13" s="77">
        <f t="shared" ref="Q13:Q51" si="4">(O13*male_proportion_STEMI)+(P13*(1-male_proportion_STEMI))</f>
        <v>0.66543455962500009</v>
      </c>
      <c r="R13" s="164"/>
      <c r="S13" s="106">
        <v>63</v>
      </c>
      <c r="T13" s="118">
        <f t="shared" ref="T13:T51" si="5">u_stk*(0.9508566 + (0.0212126*1) - (0.0002587*A13)- (0.0000332*(A13^2)))</f>
        <v>0.57927221090000003</v>
      </c>
      <c r="U13" s="118">
        <f t="shared" ref="U13:U51" si="6">u_stk*(0.9508566 + (0.0212126*0) - (0.0002587*B13)- (0.0000332*(B13^2)))</f>
        <v>0.54135752279999994</v>
      </c>
      <c r="V13" s="118">
        <f t="shared" ref="V13:V51" si="7">(T13*male_proportion_STEMI)+(U13*(1-male_proportion_STEMI))</f>
        <v>0.56979353887499995</v>
      </c>
      <c r="W13" s="164"/>
      <c r="X13" s="106">
        <v>63</v>
      </c>
      <c r="Y13" s="119">
        <f t="shared" ref="Y13:Y51" si="8">u_post_stk*(0.9508566 + (0.0212126*1) - (0.0002587*A13)- (0.0000332*(A13^2)))</f>
        <v>0.57927221090000003</v>
      </c>
      <c r="Z13" s="119">
        <f t="shared" ref="Z13:Z51" si="9">u_post_stk*(0.9508566 + (0.0212126*0) - (0.0002587*B13)- (0.0000332*(B13^2)))</f>
        <v>0.54135752279999994</v>
      </c>
      <c r="AA13" s="119">
        <f t="shared" ref="AA13:AA51" si="10">(Y13*male_proportion_STEMI)+(Z13*(1-male_proportion_STEMI))</f>
        <v>0.56979353887499995</v>
      </c>
    </row>
    <row r="14" spans="1:27" x14ac:dyDescent="0.2">
      <c r="A14" s="106">
        <v>64</v>
      </c>
      <c r="B14" s="106">
        <v>71</v>
      </c>
      <c r="C14" s="3"/>
      <c r="D14" s="106">
        <v>64</v>
      </c>
      <c r="E14" s="262">
        <f t="shared" ref="E14:E51" si="11">u_noevent*(0.9508566 + (0.0212126*1) - (0.0002587*A14)- (0.0000332*(A14^2)))</f>
        <v>0.69004021840000007</v>
      </c>
      <c r="F14" s="262">
        <f t="shared" si="0"/>
        <v>0.64423752340000007</v>
      </c>
      <c r="G14" s="263">
        <f t="shared" si="1"/>
        <v>0.6785895446500001</v>
      </c>
      <c r="H14" s="164"/>
      <c r="I14" s="106">
        <v>64</v>
      </c>
      <c r="J14" s="117">
        <f t="shared" ref="J14:J51" si="12">u_rinfar*(0.9508566 + (0.0212126*1) - (0.0002587*A14)- (0.0000332*(A14^2)))</f>
        <v>0.63841013080000009</v>
      </c>
      <c r="K14" s="117">
        <f t="shared" ref="K14:K51" si="13">u_rinfar*(0.9508566 + (0.0212126*0) - (0.0002587*B14)- (0.0000332*(B14^2)))</f>
        <v>0.59603447830000011</v>
      </c>
      <c r="L14" s="117">
        <f t="shared" ref="L14:L51" si="14">(J14*male_proportion_STEMI)+(K14*(1-male_proportion_STEMI))</f>
        <v>0.62781621767500007</v>
      </c>
      <c r="M14" s="164"/>
      <c r="N14" s="106">
        <v>64</v>
      </c>
      <c r="O14" s="77">
        <f t="shared" si="2"/>
        <v>0.67283018920000004</v>
      </c>
      <c r="P14" s="77">
        <f t="shared" si="3"/>
        <v>0.62816984170000001</v>
      </c>
      <c r="Q14" s="77">
        <f t="shared" si="4"/>
        <v>0.66166510232500009</v>
      </c>
      <c r="R14" s="164"/>
      <c r="S14" s="106">
        <v>64</v>
      </c>
      <c r="T14" s="118">
        <f t="shared" si="5"/>
        <v>0.57612621559999999</v>
      </c>
      <c r="U14" s="118">
        <f t="shared" si="6"/>
        <v>0.53788477310000005</v>
      </c>
      <c r="V14" s="118">
        <f t="shared" si="7"/>
        <v>0.56656585497500001</v>
      </c>
      <c r="W14" s="164"/>
      <c r="X14" s="106">
        <v>64</v>
      </c>
      <c r="Y14" s="119">
        <f t="shared" si="8"/>
        <v>0.57612621559999999</v>
      </c>
      <c r="Z14" s="119">
        <f t="shared" si="9"/>
        <v>0.53788477310000005</v>
      </c>
      <c r="AA14" s="119">
        <f t="shared" si="10"/>
        <v>0.56656585497500001</v>
      </c>
    </row>
    <row r="15" spans="1:27" x14ac:dyDescent="0.2">
      <c r="A15" s="106">
        <v>65</v>
      </c>
      <c r="B15" s="106">
        <v>72</v>
      </c>
      <c r="C15" s="3"/>
      <c r="D15" s="106">
        <v>65</v>
      </c>
      <c r="E15" s="262">
        <f t="shared" si="11"/>
        <v>0.68621627540000008</v>
      </c>
      <c r="F15" s="262">
        <f t="shared" si="0"/>
        <v>0.64002221879999999</v>
      </c>
      <c r="G15" s="263">
        <f t="shared" si="1"/>
        <v>0.67466776125000005</v>
      </c>
      <c r="H15" s="164"/>
      <c r="I15" s="106">
        <v>65</v>
      </c>
      <c r="J15" s="117">
        <f t="shared" si="12"/>
        <v>0.63487230230000014</v>
      </c>
      <c r="K15" s="117">
        <f t="shared" si="13"/>
        <v>0.59213457060000008</v>
      </c>
      <c r="L15" s="117">
        <f t="shared" si="14"/>
        <v>0.62418786937500004</v>
      </c>
      <c r="M15" s="164"/>
      <c r="N15" s="106">
        <v>65</v>
      </c>
      <c r="O15" s="77">
        <f t="shared" si="2"/>
        <v>0.66910161769999998</v>
      </c>
      <c r="P15" s="77">
        <f t="shared" si="3"/>
        <v>0.62405966940000002</v>
      </c>
      <c r="Q15" s="77">
        <f t="shared" si="4"/>
        <v>0.65784113062500005</v>
      </c>
      <c r="R15" s="164"/>
      <c r="S15" s="106">
        <v>65</v>
      </c>
      <c r="T15" s="118">
        <f t="shared" si="5"/>
        <v>0.57293354110000005</v>
      </c>
      <c r="U15" s="118">
        <f t="shared" si="6"/>
        <v>0.53436534420000004</v>
      </c>
      <c r="V15" s="118">
        <f t="shared" si="7"/>
        <v>0.56329149187500005</v>
      </c>
      <c r="W15" s="164"/>
      <c r="X15" s="106">
        <v>65</v>
      </c>
      <c r="Y15" s="119">
        <f t="shared" si="8"/>
        <v>0.57293354110000005</v>
      </c>
      <c r="Z15" s="119">
        <f t="shared" si="9"/>
        <v>0.53436534420000004</v>
      </c>
      <c r="AA15" s="119">
        <f t="shared" si="10"/>
        <v>0.56329149187500005</v>
      </c>
    </row>
    <row r="16" spans="1:27" x14ac:dyDescent="0.2">
      <c r="A16" s="106">
        <v>66</v>
      </c>
      <c r="B16" s="106">
        <v>73</v>
      </c>
      <c r="C16" s="3"/>
      <c r="D16" s="106">
        <v>66</v>
      </c>
      <c r="E16" s="262">
        <f t="shared" si="11"/>
        <v>0.68233642360000002</v>
      </c>
      <c r="F16" s="262">
        <f t="shared" si="0"/>
        <v>0.63575100540000007</v>
      </c>
      <c r="G16" s="263">
        <f t="shared" si="1"/>
        <v>0.67069006905000006</v>
      </c>
      <c r="H16" s="164"/>
      <c r="I16" s="106">
        <v>66</v>
      </c>
      <c r="J16" s="117">
        <f t="shared" si="12"/>
        <v>0.63128274820000008</v>
      </c>
      <c r="K16" s="117">
        <f t="shared" si="13"/>
        <v>0.58818293730000015</v>
      </c>
      <c r="L16" s="117">
        <f t="shared" si="14"/>
        <v>0.62050779547500012</v>
      </c>
      <c r="M16" s="164"/>
      <c r="N16" s="106">
        <v>66</v>
      </c>
      <c r="O16" s="77">
        <f t="shared" si="2"/>
        <v>0.6653185318</v>
      </c>
      <c r="P16" s="77">
        <f t="shared" si="3"/>
        <v>0.6198949827000001</v>
      </c>
      <c r="Q16" s="77">
        <f t="shared" si="4"/>
        <v>0.65396264452499997</v>
      </c>
      <c r="R16" s="164"/>
      <c r="S16" s="106">
        <v>66</v>
      </c>
      <c r="T16" s="118">
        <f t="shared" si="5"/>
        <v>0.5696941874</v>
      </c>
      <c r="U16" s="118">
        <f t="shared" si="6"/>
        <v>0.53079923610000002</v>
      </c>
      <c r="V16" s="118">
        <f t="shared" si="7"/>
        <v>0.55997044957499997</v>
      </c>
      <c r="W16" s="164"/>
      <c r="X16" s="106">
        <v>66</v>
      </c>
      <c r="Y16" s="119">
        <f t="shared" si="8"/>
        <v>0.5696941874</v>
      </c>
      <c r="Z16" s="119">
        <f t="shared" si="9"/>
        <v>0.53079923610000002</v>
      </c>
      <c r="AA16" s="119">
        <f t="shared" si="10"/>
        <v>0.55997044957499997</v>
      </c>
    </row>
    <row r="17" spans="1:27" x14ac:dyDescent="0.2">
      <c r="A17" s="106">
        <v>67</v>
      </c>
      <c r="B17" s="106">
        <v>74</v>
      </c>
      <c r="C17" s="3"/>
      <c r="D17" s="106">
        <v>67</v>
      </c>
      <c r="E17" s="262">
        <f t="shared" si="11"/>
        <v>0.67840066300000001</v>
      </c>
      <c r="F17" s="262">
        <f t="shared" si="0"/>
        <v>0.63142388319999998</v>
      </c>
      <c r="G17" s="263">
        <f t="shared" si="1"/>
        <v>0.66665646805000001</v>
      </c>
      <c r="H17" s="164"/>
      <c r="I17" s="106">
        <v>67</v>
      </c>
      <c r="J17" s="117">
        <f t="shared" si="12"/>
        <v>0.62764146850000002</v>
      </c>
      <c r="K17" s="117">
        <f t="shared" si="13"/>
        <v>0.58417957840000012</v>
      </c>
      <c r="L17" s="117">
        <f t="shared" si="14"/>
        <v>0.6167759959750001</v>
      </c>
      <c r="M17" s="164"/>
      <c r="N17" s="106">
        <v>67</v>
      </c>
      <c r="O17" s="77">
        <f t="shared" si="2"/>
        <v>0.66148093149999998</v>
      </c>
      <c r="P17" s="77">
        <f t="shared" si="3"/>
        <v>0.61567578160000003</v>
      </c>
      <c r="Q17" s="77">
        <f t="shared" si="4"/>
        <v>0.65002964402499996</v>
      </c>
      <c r="R17" s="164"/>
      <c r="S17" s="106">
        <v>67</v>
      </c>
      <c r="T17" s="118">
        <f t="shared" si="5"/>
        <v>0.56640815450000004</v>
      </c>
      <c r="U17" s="118">
        <f t="shared" si="6"/>
        <v>0.52718644879999998</v>
      </c>
      <c r="V17" s="118">
        <f t="shared" si="7"/>
        <v>0.55660272807500011</v>
      </c>
      <c r="W17" s="164"/>
      <c r="X17" s="106">
        <v>67</v>
      </c>
      <c r="Y17" s="119">
        <f t="shared" si="8"/>
        <v>0.56640815450000004</v>
      </c>
      <c r="Z17" s="119">
        <f t="shared" si="9"/>
        <v>0.52718644879999998</v>
      </c>
      <c r="AA17" s="119">
        <f t="shared" si="10"/>
        <v>0.55660272807500011</v>
      </c>
    </row>
    <row r="18" spans="1:27" x14ac:dyDescent="0.2">
      <c r="A18" s="106">
        <v>68</v>
      </c>
      <c r="B18" s="106">
        <v>75</v>
      </c>
      <c r="C18" s="3"/>
      <c r="D18" s="106">
        <v>68</v>
      </c>
      <c r="E18" s="262">
        <f t="shared" si="11"/>
        <v>0.67440899359999995</v>
      </c>
      <c r="F18" s="262">
        <f t="shared" si="0"/>
        <v>0.62704085220000005</v>
      </c>
      <c r="G18" s="263">
        <f t="shared" si="1"/>
        <v>0.66256695824999989</v>
      </c>
      <c r="H18" s="164"/>
      <c r="I18" s="106">
        <v>68</v>
      </c>
      <c r="J18" s="117">
        <f t="shared" si="12"/>
        <v>0.62394846320000008</v>
      </c>
      <c r="K18" s="117">
        <f t="shared" si="13"/>
        <v>0.58012449390000009</v>
      </c>
      <c r="L18" s="117">
        <f t="shared" si="14"/>
        <v>0.61299247087500008</v>
      </c>
      <c r="M18" s="164"/>
      <c r="N18" s="106">
        <v>68</v>
      </c>
      <c r="O18" s="77">
        <f t="shared" si="2"/>
        <v>0.65758881680000003</v>
      </c>
      <c r="P18" s="77">
        <f t="shared" si="3"/>
        <v>0.61140206610000003</v>
      </c>
      <c r="Q18" s="77">
        <f t="shared" si="4"/>
        <v>0.64604212912500003</v>
      </c>
      <c r="R18" s="164"/>
      <c r="S18" s="106">
        <v>68</v>
      </c>
      <c r="T18" s="118">
        <f t="shared" si="5"/>
        <v>0.56307544239999996</v>
      </c>
      <c r="U18" s="118">
        <f t="shared" si="6"/>
        <v>0.52352698230000005</v>
      </c>
      <c r="V18" s="118">
        <f t="shared" si="7"/>
        <v>0.55318832737500001</v>
      </c>
      <c r="W18" s="164"/>
      <c r="X18" s="106">
        <v>68</v>
      </c>
      <c r="Y18" s="119">
        <f t="shared" si="8"/>
        <v>0.56307544239999996</v>
      </c>
      <c r="Z18" s="119">
        <f t="shared" si="9"/>
        <v>0.52352698230000005</v>
      </c>
      <c r="AA18" s="119">
        <f t="shared" si="10"/>
        <v>0.55318832737500001</v>
      </c>
    </row>
    <row r="19" spans="1:27" x14ac:dyDescent="0.2">
      <c r="A19" s="106">
        <v>69</v>
      </c>
      <c r="B19" s="106">
        <v>76</v>
      </c>
      <c r="C19" s="3"/>
      <c r="D19" s="106">
        <v>69</v>
      </c>
      <c r="E19" s="262">
        <f t="shared" si="11"/>
        <v>0.67036141540000005</v>
      </c>
      <c r="F19" s="262">
        <f t="shared" si="0"/>
        <v>0.62260191239999996</v>
      </c>
      <c r="G19" s="263">
        <f t="shared" si="1"/>
        <v>0.65842153965000005</v>
      </c>
      <c r="H19" s="164"/>
      <c r="I19" s="106">
        <v>69</v>
      </c>
      <c r="J19" s="117">
        <f t="shared" si="12"/>
        <v>0.62020373230000003</v>
      </c>
      <c r="K19" s="117">
        <f t="shared" si="13"/>
        <v>0.57601768379999996</v>
      </c>
      <c r="L19" s="117">
        <f t="shared" si="14"/>
        <v>0.60915722017499996</v>
      </c>
      <c r="M19" s="164"/>
      <c r="N19" s="106">
        <v>69</v>
      </c>
      <c r="O19" s="77">
        <f t="shared" si="2"/>
        <v>0.65364218770000004</v>
      </c>
      <c r="P19" s="77">
        <f t="shared" si="3"/>
        <v>0.60707383619999999</v>
      </c>
      <c r="Q19" s="77">
        <f t="shared" si="4"/>
        <v>0.64200009982500006</v>
      </c>
      <c r="R19" s="164"/>
      <c r="S19" s="106">
        <v>69</v>
      </c>
      <c r="T19" s="118">
        <f t="shared" si="5"/>
        <v>0.55969605109999998</v>
      </c>
      <c r="U19" s="118">
        <f t="shared" si="6"/>
        <v>0.5198208366</v>
      </c>
      <c r="V19" s="118">
        <f t="shared" si="7"/>
        <v>0.54972724747500001</v>
      </c>
      <c r="W19" s="164"/>
      <c r="X19" s="106">
        <v>69</v>
      </c>
      <c r="Y19" s="119">
        <f t="shared" si="8"/>
        <v>0.55969605109999998</v>
      </c>
      <c r="Z19" s="119">
        <f t="shared" si="9"/>
        <v>0.5198208366</v>
      </c>
      <c r="AA19" s="119">
        <f t="shared" si="10"/>
        <v>0.54972724747500001</v>
      </c>
    </row>
    <row r="20" spans="1:27" x14ac:dyDescent="0.2">
      <c r="A20" s="106">
        <v>70</v>
      </c>
      <c r="B20" s="106">
        <v>77</v>
      </c>
      <c r="C20" s="3"/>
      <c r="D20" s="106">
        <v>70</v>
      </c>
      <c r="E20" s="262">
        <f t="shared" si="11"/>
        <v>0.66625792840000009</v>
      </c>
      <c r="F20" s="262">
        <f t="shared" si="0"/>
        <v>0.61810706380000002</v>
      </c>
      <c r="G20" s="263">
        <f t="shared" si="1"/>
        <v>0.65422021225000004</v>
      </c>
      <c r="H20" s="164"/>
      <c r="I20" s="106">
        <v>70</v>
      </c>
      <c r="J20" s="117">
        <f t="shared" si="12"/>
        <v>0.6164072758000001</v>
      </c>
      <c r="K20" s="117">
        <f t="shared" si="13"/>
        <v>0.57185914810000005</v>
      </c>
      <c r="L20" s="117">
        <f t="shared" si="14"/>
        <v>0.60527024387500006</v>
      </c>
      <c r="M20" s="164"/>
      <c r="N20" s="106">
        <v>70</v>
      </c>
      <c r="O20" s="77">
        <f t="shared" si="2"/>
        <v>0.64964104420000002</v>
      </c>
      <c r="P20" s="77">
        <f t="shared" si="3"/>
        <v>0.60269109190000003</v>
      </c>
      <c r="Q20" s="77">
        <f t="shared" si="4"/>
        <v>0.63790355612500005</v>
      </c>
      <c r="R20" s="164"/>
      <c r="S20" s="106">
        <v>70</v>
      </c>
      <c r="T20" s="118">
        <f t="shared" si="5"/>
        <v>0.55626998059999999</v>
      </c>
      <c r="U20" s="118">
        <f t="shared" si="6"/>
        <v>0.51606801170000005</v>
      </c>
      <c r="V20" s="118">
        <f t="shared" si="7"/>
        <v>0.54621948837500001</v>
      </c>
      <c r="W20" s="164"/>
      <c r="X20" s="106">
        <v>70</v>
      </c>
      <c r="Y20" s="119">
        <f t="shared" si="8"/>
        <v>0.55626998059999999</v>
      </c>
      <c r="Z20" s="119">
        <f t="shared" si="9"/>
        <v>0.51606801170000005</v>
      </c>
      <c r="AA20" s="119">
        <f t="shared" si="10"/>
        <v>0.54621948837500001</v>
      </c>
    </row>
    <row r="21" spans="1:27" x14ac:dyDescent="0.2">
      <c r="A21" s="106">
        <v>71</v>
      </c>
      <c r="B21" s="106">
        <v>78</v>
      </c>
      <c r="C21" s="3"/>
      <c r="D21" s="106">
        <v>71</v>
      </c>
      <c r="E21" s="262">
        <f t="shared" si="11"/>
        <v>0.66209853260000007</v>
      </c>
      <c r="F21" s="262">
        <f t="shared" si="0"/>
        <v>0.61355630640000003</v>
      </c>
      <c r="G21" s="263">
        <f t="shared" si="1"/>
        <v>0.64996297605000009</v>
      </c>
      <c r="H21" s="164"/>
      <c r="I21" s="106">
        <v>71</v>
      </c>
      <c r="J21" s="117">
        <f t="shared" si="12"/>
        <v>0.61255909370000006</v>
      </c>
      <c r="K21" s="117">
        <f t="shared" si="13"/>
        <v>0.56764888680000003</v>
      </c>
      <c r="L21" s="117">
        <f t="shared" si="14"/>
        <v>0.60133154197500005</v>
      </c>
      <c r="M21" s="164"/>
      <c r="N21" s="106">
        <v>71</v>
      </c>
      <c r="O21" s="77">
        <f t="shared" si="2"/>
        <v>0.64558538630000006</v>
      </c>
      <c r="P21" s="77">
        <f t="shared" si="3"/>
        <v>0.59825383320000003</v>
      </c>
      <c r="Q21" s="77">
        <f t="shared" si="4"/>
        <v>0.633752498025</v>
      </c>
      <c r="R21" s="164"/>
      <c r="S21" s="106">
        <v>71</v>
      </c>
      <c r="T21" s="118">
        <f t="shared" si="5"/>
        <v>0.55279723089999999</v>
      </c>
      <c r="U21" s="118">
        <f t="shared" si="6"/>
        <v>0.51226850759999998</v>
      </c>
      <c r="V21" s="118">
        <f t="shared" si="7"/>
        <v>0.54266505007499999</v>
      </c>
      <c r="W21" s="164"/>
      <c r="X21" s="106">
        <v>71</v>
      </c>
      <c r="Y21" s="119">
        <f t="shared" si="8"/>
        <v>0.55279723089999999</v>
      </c>
      <c r="Z21" s="119">
        <f t="shared" si="9"/>
        <v>0.51226850759999998</v>
      </c>
      <c r="AA21" s="119">
        <f t="shared" si="10"/>
        <v>0.54266505007499999</v>
      </c>
    </row>
    <row r="22" spans="1:27" x14ac:dyDescent="0.2">
      <c r="A22" s="106">
        <v>72</v>
      </c>
      <c r="B22" s="106">
        <v>79</v>
      </c>
      <c r="C22" s="3"/>
      <c r="D22" s="106">
        <v>72</v>
      </c>
      <c r="E22" s="262">
        <f t="shared" si="11"/>
        <v>0.65788322799999999</v>
      </c>
      <c r="F22" s="262">
        <f t="shared" si="0"/>
        <v>0.60894964020000009</v>
      </c>
      <c r="G22" s="263">
        <f t="shared" si="1"/>
        <v>0.64564983105000007</v>
      </c>
      <c r="H22" s="164"/>
      <c r="I22" s="106">
        <v>72</v>
      </c>
      <c r="J22" s="117">
        <f t="shared" si="12"/>
        <v>0.60865918600000002</v>
      </c>
      <c r="K22" s="117">
        <f t="shared" si="13"/>
        <v>0.56338689990000013</v>
      </c>
      <c r="L22" s="117">
        <f t="shared" si="14"/>
        <v>0.59734111447500005</v>
      </c>
      <c r="M22" s="164"/>
      <c r="N22" s="106">
        <v>72</v>
      </c>
      <c r="O22" s="77">
        <f t="shared" si="2"/>
        <v>0.64147521399999996</v>
      </c>
      <c r="P22" s="77">
        <f t="shared" si="3"/>
        <v>0.59376206009999999</v>
      </c>
      <c r="Q22" s="77">
        <f t="shared" si="4"/>
        <v>0.62954692552499991</v>
      </c>
      <c r="R22" s="164"/>
      <c r="S22" s="106">
        <v>72</v>
      </c>
      <c r="T22" s="118">
        <f t="shared" si="5"/>
        <v>0.54927780199999998</v>
      </c>
      <c r="U22" s="118">
        <f t="shared" si="6"/>
        <v>0.50842232430000001</v>
      </c>
      <c r="V22" s="118">
        <f t="shared" si="7"/>
        <v>0.53906393257499996</v>
      </c>
      <c r="W22" s="164"/>
      <c r="X22" s="106">
        <v>72</v>
      </c>
      <c r="Y22" s="119">
        <f t="shared" si="8"/>
        <v>0.54927780199999998</v>
      </c>
      <c r="Z22" s="119">
        <f t="shared" si="9"/>
        <v>0.50842232430000001</v>
      </c>
      <c r="AA22" s="119">
        <f t="shared" si="10"/>
        <v>0.53906393257499996</v>
      </c>
    </row>
    <row r="23" spans="1:27" x14ac:dyDescent="0.2">
      <c r="A23" s="106">
        <v>73</v>
      </c>
      <c r="B23" s="106">
        <v>80</v>
      </c>
      <c r="C23" s="3"/>
      <c r="D23" s="106">
        <v>73</v>
      </c>
      <c r="E23" s="262">
        <f t="shared" si="11"/>
        <v>0.65361201460000007</v>
      </c>
      <c r="F23" s="262">
        <f t="shared" si="0"/>
        <v>0.60428706519999997</v>
      </c>
      <c r="G23" s="263">
        <f t="shared" si="1"/>
        <v>0.64128077724999999</v>
      </c>
      <c r="H23" s="164"/>
      <c r="I23" s="106">
        <v>73</v>
      </c>
      <c r="J23" s="117">
        <f t="shared" si="12"/>
        <v>0.60470755270000009</v>
      </c>
      <c r="K23" s="117">
        <f t="shared" si="13"/>
        <v>0.5590731874</v>
      </c>
      <c r="L23" s="117">
        <f t="shared" si="14"/>
        <v>0.59329896137500004</v>
      </c>
      <c r="M23" s="164"/>
      <c r="N23" s="106">
        <v>73</v>
      </c>
      <c r="O23" s="77">
        <f t="shared" si="2"/>
        <v>0.63731052730000004</v>
      </c>
      <c r="P23" s="77">
        <f t="shared" si="3"/>
        <v>0.58921577260000002</v>
      </c>
      <c r="Q23" s="77">
        <f t="shared" si="4"/>
        <v>0.62528683862500012</v>
      </c>
      <c r="R23" s="164"/>
      <c r="S23" s="106">
        <v>73</v>
      </c>
      <c r="T23" s="118">
        <f t="shared" si="5"/>
        <v>0.54571169389999996</v>
      </c>
      <c r="U23" s="118">
        <f t="shared" si="6"/>
        <v>0.50452946180000002</v>
      </c>
      <c r="V23" s="118">
        <f t="shared" si="7"/>
        <v>0.53541613587500003</v>
      </c>
      <c r="W23" s="164"/>
      <c r="X23" s="106">
        <v>73</v>
      </c>
      <c r="Y23" s="119">
        <f t="shared" si="8"/>
        <v>0.54571169389999996</v>
      </c>
      <c r="Z23" s="119">
        <f t="shared" si="9"/>
        <v>0.50452946180000002</v>
      </c>
      <c r="AA23" s="119">
        <f t="shared" si="10"/>
        <v>0.53541613587500003</v>
      </c>
    </row>
    <row r="24" spans="1:27" x14ac:dyDescent="0.2">
      <c r="A24" s="106">
        <v>74</v>
      </c>
      <c r="B24" s="106">
        <v>81</v>
      </c>
      <c r="C24" s="3"/>
      <c r="D24" s="106">
        <v>74</v>
      </c>
      <c r="E24" s="262">
        <f t="shared" si="11"/>
        <v>0.64928489239999998</v>
      </c>
      <c r="F24" s="262">
        <f t="shared" si="0"/>
        <v>0.59956858140000013</v>
      </c>
      <c r="G24" s="263">
        <f t="shared" si="1"/>
        <v>0.63685581465000007</v>
      </c>
      <c r="H24" s="164"/>
      <c r="I24" s="106">
        <v>74</v>
      </c>
      <c r="J24" s="117">
        <f t="shared" si="12"/>
        <v>0.60070419379999995</v>
      </c>
      <c r="K24" s="117">
        <f t="shared" si="13"/>
        <v>0.55470774930000011</v>
      </c>
      <c r="L24" s="117">
        <f t="shared" si="14"/>
        <v>0.58920508267499994</v>
      </c>
      <c r="M24" s="164"/>
      <c r="N24" s="106">
        <v>74</v>
      </c>
      <c r="O24" s="77">
        <f t="shared" si="2"/>
        <v>0.63309132619999997</v>
      </c>
      <c r="P24" s="77">
        <f t="shared" si="3"/>
        <v>0.58461497070000001</v>
      </c>
      <c r="Q24" s="77">
        <f t="shared" si="4"/>
        <v>0.62097223732499995</v>
      </c>
      <c r="R24" s="164"/>
      <c r="S24" s="106">
        <v>74</v>
      </c>
      <c r="T24" s="118">
        <f t="shared" si="5"/>
        <v>0.54209890659999993</v>
      </c>
      <c r="U24" s="118">
        <f t="shared" si="6"/>
        <v>0.50058992010000003</v>
      </c>
      <c r="V24" s="118">
        <f t="shared" si="7"/>
        <v>0.53172165997499998</v>
      </c>
      <c r="W24" s="164"/>
      <c r="X24" s="106">
        <v>74</v>
      </c>
      <c r="Y24" s="119">
        <f t="shared" si="8"/>
        <v>0.54209890659999993</v>
      </c>
      <c r="Z24" s="119">
        <f t="shared" si="9"/>
        <v>0.50058992010000003</v>
      </c>
      <c r="AA24" s="119">
        <f t="shared" si="10"/>
        <v>0.53172165997499998</v>
      </c>
    </row>
    <row r="25" spans="1:27" x14ac:dyDescent="0.2">
      <c r="A25" s="106">
        <v>75</v>
      </c>
      <c r="B25" s="106">
        <v>82</v>
      </c>
      <c r="C25" s="3"/>
      <c r="D25" s="106">
        <v>75</v>
      </c>
      <c r="E25" s="262">
        <f t="shared" si="11"/>
        <v>0.64490186140000005</v>
      </c>
      <c r="F25" s="262">
        <f t="shared" si="0"/>
        <v>0.59479418880000001</v>
      </c>
      <c r="G25" s="263">
        <f t="shared" si="1"/>
        <v>0.63237494324999999</v>
      </c>
      <c r="H25" s="164"/>
      <c r="I25" s="106">
        <v>75</v>
      </c>
      <c r="J25" s="117">
        <f t="shared" si="12"/>
        <v>0.59664910930000015</v>
      </c>
      <c r="K25" s="117">
        <f t="shared" si="13"/>
        <v>0.55029058559999999</v>
      </c>
      <c r="L25" s="117">
        <f t="shared" si="14"/>
        <v>0.58505947837500005</v>
      </c>
      <c r="M25" s="164"/>
      <c r="N25" s="106">
        <v>75</v>
      </c>
      <c r="O25" s="77">
        <f t="shared" si="2"/>
        <v>0.62881761070000008</v>
      </c>
      <c r="P25" s="77">
        <f t="shared" si="3"/>
        <v>0.57995965439999997</v>
      </c>
      <c r="Q25" s="77">
        <f t="shared" si="4"/>
        <v>0.61660312162500008</v>
      </c>
      <c r="R25" s="164"/>
      <c r="S25" s="106">
        <v>75</v>
      </c>
      <c r="T25" s="118">
        <f t="shared" si="5"/>
        <v>0.5384394401</v>
      </c>
      <c r="U25" s="118">
        <f t="shared" si="6"/>
        <v>0.49660369919999997</v>
      </c>
      <c r="V25" s="118">
        <f t="shared" si="7"/>
        <v>0.52798050487500003</v>
      </c>
      <c r="W25" s="164"/>
      <c r="X25" s="106">
        <v>75</v>
      </c>
      <c r="Y25" s="119">
        <f t="shared" si="8"/>
        <v>0.5384394401</v>
      </c>
      <c r="Z25" s="119">
        <f t="shared" si="9"/>
        <v>0.49660369919999997</v>
      </c>
      <c r="AA25" s="119">
        <f t="shared" si="10"/>
        <v>0.52798050487500003</v>
      </c>
    </row>
    <row r="26" spans="1:27" x14ac:dyDescent="0.2">
      <c r="A26" s="106">
        <v>76</v>
      </c>
      <c r="B26" s="106">
        <v>83</v>
      </c>
      <c r="C26" s="3"/>
      <c r="D26" s="106">
        <v>76</v>
      </c>
      <c r="E26" s="262">
        <f t="shared" si="11"/>
        <v>0.64046292159999996</v>
      </c>
      <c r="F26" s="262">
        <f t="shared" si="0"/>
        <v>0.58996388740000005</v>
      </c>
      <c r="G26" s="263">
        <f t="shared" si="1"/>
        <v>0.62783816304999995</v>
      </c>
      <c r="H26" s="164"/>
      <c r="I26" s="106">
        <v>76</v>
      </c>
      <c r="J26" s="117">
        <f t="shared" si="12"/>
        <v>0.59254229920000001</v>
      </c>
      <c r="K26" s="117">
        <f t="shared" si="13"/>
        <v>0.5458216963000001</v>
      </c>
      <c r="L26" s="117">
        <f t="shared" si="14"/>
        <v>0.58086214847500006</v>
      </c>
      <c r="M26" s="164"/>
      <c r="N26" s="106">
        <v>76</v>
      </c>
      <c r="O26" s="77">
        <f t="shared" si="2"/>
        <v>0.62448938079999994</v>
      </c>
      <c r="P26" s="77">
        <f t="shared" si="3"/>
        <v>0.5752498237</v>
      </c>
      <c r="Q26" s="77">
        <f t="shared" si="4"/>
        <v>0.61217949152499995</v>
      </c>
      <c r="R26" s="164"/>
      <c r="S26" s="106">
        <v>76</v>
      </c>
      <c r="T26" s="118">
        <f t="shared" si="5"/>
        <v>0.53473329439999995</v>
      </c>
      <c r="U26" s="118">
        <f t="shared" si="6"/>
        <v>0.49257079910000001</v>
      </c>
      <c r="V26" s="118">
        <f t="shared" si="7"/>
        <v>0.52419267057499996</v>
      </c>
      <c r="W26" s="164"/>
      <c r="X26" s="106">
        <v>76</v>
      </c>
      <c r="Y26" s="119">
        <f t="shared" si="8"/>
        <v>0.53473329439999995</v>
      </c>
      <c r="Z26" s="119">
        <f t="shared" si="9"/>
        <v>0.49257079910000001</v>
      </c>
      <c r="AA26" s="119">
        <f t="shared" si="10"/>
        <v>0.52419267057499996</v>
      </c>
    </row>
    <row r="27" spans="1:27" x14ac:dyDescent="0.2">
      <c r="A27" s="106">
        <v>77</v>
      </c>
      <c r="B27" s="106">
        <v>84</v>
      </c>
      <c r="C27" s="3"/>
      <c r="D27" s="106">
        <v>77</v>
      </c>
      <c r="E27" s="262">
        <f t="shared" si="11"/>
        <v>0.63596807300000002</v>
      </c>
      <c r="F27" s="262">
        <f t="shared" si="0"/>
        <v>0.58507767720000003</v>
      </c>
      <c r="G27" s="263">
        <f t="shared" si="1"/>
        <v>0.62324547405000008</v>
      </c>
      <c r="H27" s="164"/>
      <c r="I27" s="106">
        <v>77</v>
      </c>
      <c r="J27" s="117">
        <f t="shared" si="12"/>
        <v>0.5883837635000001</v>
      </c>
      <c r="K27" s="117">
        <f t="shared" si="13"/>
        <v>0.54130108139999999</v>
      </c>
      <c r="L27" s="117">
        <f t="shared" si="14"/>
        <v>0.57661309297500007</v>
      </c>
      <c r="M27" s="164"/>
      <c r="N27" s="106">
        <v>77</v>
      </c>
      <c r="O27" s="77">
        <f t="shared" si="2"/>
        <v>0.62010663650000009</v>
      </c>
      <c r="P27" s="77">
        <f t="shared" si="3"/>
        <v>0.57048547859999998</v>
      </c>
      <c r="Q27" s="77">
        <f t="shared" si="4"/>
        <v>0.60770134702500012</v>
      </c>
      <c r="R27" s="164"/>
      <c r="S27" s="106">
        <v>77</v>
      </c>
      <c r="T27" s="118">
        <f t="shared" si="5"/>
        <v>0.5309804695</v>
      </c>
      <c r="U27" s="118">
        <f t="shared" si="6"/>
        <v>0.48849121979999999</v>
      </c>
      <c r="V27" s="118">
        <f t="shared" si="7"/>
        <v>0.52035815707499999</v>
      </c>
      <c r="W27" s="164"/>
      <c r="X27" s="106">
        <v>77</v>
      </c>
      <c r="Y27" s="119">
        <f t="shared" si="8"/>
        <v>0.5309804695</v>
      </c>
      <c r="Z27" s="119">
        <f t="shared" si="9"/>
        <v>0.48849121979999999</v>
      </c>
      <c r="AA27" s="119">
        <f t="shared" si="10"/>
        <v>0.52035815707499999</v>
      </c>
    </row>
    <row r="28" spans="1:27" x14ac:dyDescent="0.2">
      <c r="A28" s="106">
        <v>78</v>
      </c>
      <c r="B28" s="106">
        <v>85</v>
      </c>
      <c r="C28" s="3"/>
      <c r="D28" s="106">
        <v>78</v>
      </c>
      <c r="E28" s="262">
        <f t="shared" si="11"/>
        <v>0.63141731560000003</v>
      </c>
      <c r="F28" s="262">
        <f t="shared" si="0"/>
        <v>0.58013555819999996</v>
      </c>
      <c r="G28" s="263">
        <f t="shared" si="1"/>
        <v>0.61859687625000004</v>
      </c>
      <c r="H28" s="164"/>
      <c r="I28" s="106">
        <v>78</v>
      </c>
      <c r="J28" s="117">
        <f t="shared" si="12"/>
        <v>0.58417350220000008</v>
      </c>
      <c r="K28" s="117">
        <f t="shared" si="13"/>
        <v>0.5367287409</v>
      </c>
      <c r="L28" s="117">
        <f t="shared" si="14"/>
        <v>0.57231231187500009</v>
      </c>
      <c r="M28" s="164"/>
      <c r="N28" s="106">
        <v>78</v>
      </c>
      <c r="O28" s="77">
        <f t="shared" si="2"/>
        <v>0.61566937779999997</v>
      </c>
      <c r="P28" s="77">
        <f t="shared" si="3"/>
        <v>0.56566661910000005</v>
      </c>
      <c r="Q28" s="77">
        <f t="shared" si="4"/>
        <v>0.60316868812500002</v>
      </c>
      <c r="R28" s="164"/>
      <c r="S28" s="106">
        <v>78</v>
      </c>
      <c r="T28" s="118">
        <f t="shared" si="5"/>
        <v>0.52718096540000003</v>
      </c>
      <c r="U28" s="118">
        <f t="shared" si="6"/>
        <v>0.48436496130000001</v>
      </c>
      <c r="V28" s="118">
        <f t="shared" si="7"/>
        <v>0.51647696437500001</v>
      </c>
      <c r="W28" s="164"/>
      <c r="X28" s="106">
        <v>78</v>
      </c>
      <c r="Y28" s="119">
        <f t="shared" si="8"/>
        <v>0.52718096540000003</v>
      </c>
      <c r="Z28" s="119">
        <f t="shared" si="9"/>
        <v>0.48436496130000001</v>
      </c>
      <c r="AA28" s="119">
        <f t="shared" si="10"/>
        <v>0.51647696437500001</v>
      </c>
    </row>
    <row r="29" spans="1:27" x14ac:dyDescent="0.2">
      <c r="A29" s="106">
        <v>79</v>
      </c>
      <c r="B29" s="106">
        <v>86</v>
      </c>
      <c r="C29" s="3"/>
      <c r="D29" s="106">
        <v>79</v>
      </c>
      <c r="E29" s="262">
        <f t="shared" si="11"/>
        <v>0.62681064940000009</v>
      </c>
      <c r="F29" s="262">
        <f t="shared" si="0"/>
        <v>0.57513753040000004</v>
      </c>
      <c r="G29" s="263">
        <f t="shared" si="1"/>
        <v>0.61389236965000005</v>
      </c>
      <c r="H29" s="164"/>
      <c r="I29" s="106">
        <v>79</v>
      </c>
      <c r="J29" s="117">
        <f t="shared" si="12"/>
        <v>0.57991151530000007</v>
      </c>
      <c r="K29" s="117">
        <f t="shared" si="13"/>
        <v>0.53210467480000001</v>
      </c>
      <c r="L29" s="117">
        <f t="shared" si="14"/>
        <v>0.56795980517500011</v>
      </c>
      <c r="M29" s="164"/>
      <c r="N29" s="106">
        <v>79</v>
      </c>
      <c r="O29" s="77">
        <f t="shared" si="2"/>
        <v>0.61117760470000004</v>
      </c>
      <c r="P29" s="77">
        <f t="shared" si="3"/>
        <v>0.56079324519999996</v>
      </c>
      <c r="Q29" s="77">
        <f t="shared" si="4"/>
        <v>0.59858151482499999</v>
      </c>
      <c r="R29" s="164"/>
      <c r="S29" s="106">
        <v>79</v>
      </c>
      <c r="T29" s="118">
        <f t="shared" si="5"/>
        <v>0.52333478210000006</v>
      </c>
      <c r="U29" s="118">
        <f t="shared" si="6"/>
        <v>0.48019202360000002</v>
      </c>
      <c r="V29" s="118">
        <f t="shared" si="7"/>
        <v>0.51254909247500002</v>
      </c>
      <c r="W29" s="164"/>
      <c r="X29" s="106">
        <v>79</v>
      </c>
      <c r="Y29" s="119">
        <f t="shared" si="8"/>
        <v>0.52333478210000006</v>
      </c>
      <c r="Z29" s="119">
        <f t="shared" si="9"/>
        <v>0.48019202360000002</v>
      </c>
      <c r="AA29" s="119">
        <f t="shared" si="10"/>
        <v>0.51254909247500002</v>
      </c>
    </row>
    <row r="30" spans="1:27" x14ac:dyDescent="0.2">
      <c r="A30" s="106">
        <v>80</v>
      </c>
      <c r="B30" s="106">
        <v>87</v>
      </c>
      <c r="C30" s="3"/>
      <c r="D30" s="106">
        <v>80</v>
      </c>
      <c r="E30" s="262">
        <f t="shared" si="11"/>
        <v>0.62214807439999997</v>
      </c>
      <c r="F30" s="262">
        <f t="shared" si="0"/>
        <v>0.57008359379999995</v>
      </c>
      <c r="G30" s="263">
        <f t="shared" si="1"/>
        <v>0.60913195425</v>
      </c>
      <c r="H30" s="164"/>
      <c r="I30" s="106">
        <v>80</v>
      </c>
      <c r="J30" s="117">
        <f t="shared" si="12"/>
        <v>0.57559780280000006</v>
      </c>
      <c r="K30" s="117">
        <f t="shared" si="13"/>
        <v>0.52742888310000002</v>
      </c>
      <c r="L30" s="117">
        <f t="shared" si="14"/>
        <v>0.56355557287500013</v>
      </c>
      <c r="M30" s="164"/>
      <c r="N30" s="106">
        <v>80</v>
      </c>
      <c r="O30" s="77">
        <f t="shared" si="2"/>
        <v>0.60663131719999996</v>
      </c>
      <c r="P30" s="77">
        <f t="shared" si="3"/>
        <v>0.55586535689999994</v>
      </c>
      <c r="Q30" s="77">
        <f t="shared" si="4"/>
        <v>0.59393982712499993</v>
      </c>
      <c r="R30" s="164"/>
      <c r="S30" s="106">
        <v>80</v>
      </c>
      <c r="T30" s="118">
        <f t="shared" si="5"/>
        <v>0.51944191959999997</v>
      </c>
      <c r="U30" s="118">
        <f t="shared" si="6"/>
        <v>0.47597240669999996</v>
      </c>
      <c r="V30" s="118">
        <f t="shared" si="7"/>
        <v>0.50857454137500002</v>
      </c>
      <c r="W30" s="164"/>
      <c r="X30" s="106">
        <v>80</v>
      </c>
      <c r="Y30" s="119">
        <f t="shared" si="8"/>
        <v>0.51944191959999997</v>
      </c>
      <c r="Z30" s="119">
        <f t="shared" si="9"/>
        <v>0.47597240669999996</v>
      </c>
      <c r="AA30" s="119">
        <f t="shared" si="10"/>
        <v>0.50857454137500002</v>
      </c>
    </row>
    <row r="31" spans="1:27" x14ac:dyDescent="0.2">
      <c r="A31" s="106">
        <v>81</v>
      </c>
      <c r="B31" s="106">
        <v>88</v>
      </c>
      <c r="C31" s="3"/>
      <c r="D31" s="106">
        <v>81</v>
      </c>
      <c r="E31" s="262">
        <f t="shared" si="11"/>
        <v>0.61742959060000002</v>
      </c>
      <c r="F31" s="262">
        <f t="shared" si="0"/>
        <v>0.56497374839999992</v>
      </c>
      <c r="G31" s="263">
        <f t="shared" si="1"/>
        <v>0.60431563005</v>
      </c>
      <c r="H31" s="164"/>
      <c r="I31" s="106">
        <v>81</v>
      </c>
      <c r="J31" s="117">
        <f t="shared" si="12"/>
        <v>0.57123236470000005</v>
      </c>
      <c r="K31" s="117">
        <f t="shared" si="13"/>
        <v>0.52270136580000004</v>
      </c>
      <c r="L31" s="117">
        <f t="shared" si="14"/>
        <v>0.55909961497500005</v>
      </c>
      <c r="M31" s="164"/>
      <c r="N31" s="106">
        <v>81</v>
      </c>
      <c r="O31" s="77">
        <f t="shared" si="2"/>
        <v>0.60203051529999996</v>
      </c>
      <c r="P31" s="77">
        <f t="shared" si="3"/>
        <v>0.5508829542</v>
      </c>
      <c r="Q31" s="77">
        <f t="shared" si="4"/>
        <v>0.58924362502499994</v>
      </c>
      <c r="R31" s="164"/>
      <c r="S31" s="106">
        <v>81</v>
      </c>
      <c r="T31" s="118">
        <f t="shared" si="5"/>
        <v>0.51550237789999998</v>
      </c>
      <c r="U31" s="118">
        <f t="shared" si="6"/>
        <v>0.47170611059999995</v>
      </c>
      <c r="V31" s="118">
        <f t="shared" si="7"/>
        <v>0.50455331107500001</v>
      </c>
      <c r="W31" s="164"/>
      <c r="X31" s="106">
        <v>81</v>
      </c>
      <c r="Y31" s="119">
        <f t="shared" si="8"/>
        <v>0.51550237789999998</v>
      </c>
      <c r="Z31" s="119">
        <f t="shared" si="9"/>
        <v>0.47170611059999995</v>
      </c>
      <c r="AA31" s="119">
        <f t="shared" si="10"/>
        <v>0.50455331107500001</v>
      </c>
    </row>
    <row r="32" spans="1:27" x14ac:dyDescent="0.2">
      <c r="A32" s="106">
        <v>82</v>
      </c>
      <c r="B32" s="106">
        <v>89</v>
      </c>
      <c r="C32" s="3"/>
      <c r="D32" s="106">
        <v>82</v>
      </c>
      <c r="E32" s="262">
        <f t="shared" si="11"/>
        <v>0.61265519800000001</v>
      </c>
      <c r="F32" s="262">
        <f t="shared" si="0"/>
        <v>0.55980799420000005</v>
      </c>
      <c r="G32" s="263">
        <f t="shared" si="1"/>
        <v>0.59944339704999994</v>
      </c>
      <c r="H32" s="164"/>
      <c r="I32" s="106">
        <v>82</v>
      </c>
      <c r="J32" s="117">
        <f t="shared" si="12"/>
        <v>0.56681520100000005</v>
      </c>
      <c r="K32" s="117">
        <f t="shared" si="13"/>
        <v>0.51792212290000006</v>
      </c>
      <c r="L32" s="117">
        <f t="shared" si="14"/>
        <v>0.55459193147500008</v>
      </c>
      <c r="M32" s="164"/>
      <c r="N32" s="106">
        <v>82</v>
      </c>
      <c r="O32" s="77">
        <f t="shared" si="2"/>
        <v>0.59737519900000002</v>
      </c>
      <c r="P32" s="77">
        <f t="shared" si="3"/>
        <v>0.54584603710000001</v>
      </c>
      <c r="Q32" s="77">
        <f t="shared" si="4"/>
        <v>0.58449290852500002</v>
      </c>
      <c r="R32" s="164"/>
      <c r="S32" s="106">
        <v>82</v>
      </c>
      <c r="T32" s="118">
        <f t="shared" si="5"/>
        <v>0.51151615699999997</v>
      </c>
      <c r="U32" s="118">
        <f t="shared" si="6"/>
        <v>0.46739313529999998</v>
      </c>
      <c r="V32" s="118">
        <f t="shared" si="7"/>
        <v>0.50048540157499999</v>
      </c>
      <c r="W32" s="164"/>
      <c r="X32" s="106">
        <v>82</v>
      </c>
      <c r="Y32" s="119">
        <f t="shared" si="8"/>
        <v>0.51151615699999997</v>
      </c>
      <c r="Z32" s="119">
        <f t="shared" si="9"/>
        <v>0.46739313529999998</v>
      </c>
      <c r="AA32" s="119">
        <f t="shared" si="10"/>
        <v>0.50048540157499999</v>
      </c>
    </row>
    <row r="33" spans="1:27" x14ac:dyDescent="0.2">
      <c r="A33" s="106">
        <v>83</v>
      </c>
      <c r="B33" s="106">
        <v>90</v>
      </c>
      <c r="C33" s="3"/>
      <c r="D33" s="106">
        <v>83</v>
      </c>
      <c r="E33" s="262">
        <f t="shared" si="11"/>
        <v>0.60782489660000005</v>
      </c>
      <c r="F33" s="262">
        <f t="shared" si="0"/>
        <v>0.5545863312</v>
      </c>
      <c r="G33" s="263">
        <f t="shared" si="1"/>
        <v>0.59451525525000004</v>
      </c>
      <c r="H33" s="164"/>
      <c r="I33" s="106">
        <v>83</v>
      </c>
      <c r="J33" s="117">
        <f t="shared" si="12"/>
        <v>0.56234631170000005</v>
      </c>
      <c r="K33" s="117">
        <f t="shared" si="13"/>
        <v>0.51309115440000008</v>
      </c>
      <c r="L33" s="117">
        <f t="shared" si="14"/>
        <v>0.550032522375</v>
      </c>
      <c r="M33" s="164"/>
      <c r="N33" s="106">
        <v>83</v>
      </c>
      <c r="O33" s="77">
        <f t="shared" si="2"/>
        <v>0.59266536830000005</v>
      </c>
      <c r="P33" s="77">
        <f t="shared" si="3"/>
        <v>0.54075460559999999</v>
      </c>
      <c r="Q33" s="77">
        <f t="shared" si="4"/>
        <v>0.57968767762500006</v>
      </c>
      <c r="R33" s="164"/>
      <c r="S33" s="106">
        <v>83</v>
      </c>
      <c r="T33" s="118">
        <f t="shared" si="5"/>
        <v>0.50748325690000007</v>
      </c>
      <c r="U33" s="118">
        <f t="shared" si="6"/>
        <v>0.46303348080000001</v>
      </c>
      <c r="V33" s="118">
        <f t="shared" si="7"/>
        <v>0.49637081287500007</v>
      </c>
      <c r="W33" s="164"/>
      <c r="X33" s="106">
        <v>83</v>
      </c>
      <c r="Y33" s="119">
        <f t="shared" si="8"/>
        <v>0.50748325690000007</v>
      </c>
      <c r="Z33" s="119">
        <f t="shared" si="9"/>
        <v>0.46303348080000001</v>
      </c>
      <c r="AA33" s="119">
        <f t="shared" si="10"/>
        <v>0.49637081287500007</v>
      </c>
    </row>
    <row r="34" spans="1:27" x14ac:dyDescent="0.2">
      <c r="A34" s="106">
        <v>84</v>
      </c>
      <c r="B34" s="106">
        <v>91</v>
      </c>
      <c r="C34" s="3"/>
      <c r="D34" s="106">
        <v>84</v>
      </c>
      <c r="E34" s="262">
        <f t="shared" si="11"/>
        <v>0.60293868640000003</v>
      </c>
      <c r="F34" s="262">
        <f t="shared" si="0"/>
        <v>0.54930875940000001</v>
      </c>
      <c r="G34" s="263">
        <f t="shared" si="1"/>
        <v>0.58953120465000008</v>
      </c>
      <c r="H34" s="164"/>
      <c r="I34" s="106">
        <v>84</v>
      </c>
      <c r="J34" s="117">
        <f t="shared" si="12"/>
        <v>0.55782569680000005</v>
      </c>
      <c r="K34" s="117">
        <f t="shared" si="13"/>
        <v>0.50820846030000011</v>
      </c>
      <c r="L34" s="117">
        <f t="shared" si="14"/>
        <v>0.54542138767500004</v>
      </c>
      <c r="M34" s="164"/>
      <c r="N34" s="106">
        <v>84</v>
      </c>
      <c r="O34" s="77">
        <f t="shared" si="2"/>
        <v>0.58790102320000004</v>
      </c>
      <c r="P34" s="77">
        <f t="shared" si="3"/>
        <v>0.53560865970000004</v>
      </c>
      <c r="Q34" s="77">
        <f t="shared" si="4"/>
        <v>0.57482793232500007</v>
      </c>
      <c r="R34" s="164"/>
      <c r="S34" s="106">
        <v>84</v>
      </c>
      <c r="T34" s="118">
        <f t="shared" si="5"/>
        <v>0.50340367760000004</v>
      </c>
      <c r="U34" s="118">
        <f t="shared" si="6"/>
        <v>0.45862714710000002</v>
      </c>
      <c r="V34" s="118">
        <f t="shared" si="7"/>
        <v>0.49220954497500002</v>
      </c>
      <c r="W34" s="164"/>
      <c r="X34" s="106">
        <v>84</v>
      </c>
      <c r="Y34" s="119">
        <f t="shared" si="8"/>
        <v>0.50340367760000004</v>
      </c>
      <c r="Z34" s="119">
        <f t="shared" si="9"/>
        <v>0.45862714710000002</v>
      </c>
      <c r="AA34" s="119">
        <f t="shared" si="10"/>
        <v>0.49220954497500002</v>
      </c>
    </row>
    <row r="35" spans="1:27" x14ac:dyDescent="0.2">
      <c r="A35" s="106">
        <v>85</v>
      </c>
      <c r="B35" s="106">
        <v>92</v>
      </c>
      <c r="C35" s="3"/>
      <c r="D35" s="106">
        <v>85</v>
      </c>
      <c r="E35" s="262">
        <f t="shared" si="11"/>
        <v>0.59799656740000007</v>
      </c>
      <c r="F35" s="262">
        <f t="shared" si="0"/>
        <v>0.54397527879999996</v>
      </c>
      <c r="G35" s="263">
        <f t="shared" si="1"/>
        <v>0.58449124525000007</v>
      </c>
      <c r="H35" s="164"/>
      <c r="I35" s="106">
        <v>85</v>
      </c>
      <c r="J35" s="117">
        <f t="shared" si="12"/>
        <v>0.55325335630000005</v>
      </c>
      <c r="K35" s="117">
        <f t="shared" si="13"/>
        <v>0.50327404059999992</v>
      </c>
      <c r="L35" s="117">
        <f t="shared" si="14"/>
        <v>0.54075852737500008</v>
      </c>
      <c r="M35" s="164"/>
      <c r="N35" s="106">
        <v>85</v>
      </c>
      <c r="O35" s="77">
        <f t="shared" si="2"/>
        <v>0.58308216369999999</v>
      </c>
      <c r="P35" s="77">
        <f t="shared" si="3"/>
        <v>0.53040819939999995</v>
      </c>
      <c r="Q35" s="77">
        <f t="shared" si="4"/>
        <v>0.56991367262500003</v>
      </c>
      <c r="R35" s="164"/>
      <c r="S35" s="106">
        <v>85</v>
      </c>
      <c r="T35" s="118">
        <f t="shared" si="5"/>
        <v>0.49927741910000001</v>
      </c>
      <c r="U35" s="118">
        <f t="shared" si="6"/>
        <v>0.45417413419999991</v>
      </c>
      <c r="V35" s="118">
        <f t="shared" si="7"/>
        <v>0.48800159787499997</v>
      </c>
      <c r="W35" s="164"/>
      <c r="X35" s="106">
        <v>85</v>
      </c>
      <c r="Y35" s="119">
        <f t="shared" si="8"/>
        <v>0.49927741910000001</v>
      </c>
      <c r="Z35" s="119">
        <f t="shared" si="9"/>
        <v>0.45417413419999991</v>
      </c>
      <c r="AA35" s="119">
        <f t="shared" si="10"/>
        <v>0.48800159787499997</v>
      </c>
    </row>
    <row r="36" spans="1:27" x14ac:dyDescent="0.2">
      <c r="A36" s="106">
        <v>86</v>
      </c>
      <c r="B36" s="106">
        <v>93</v>
      </c>
      <c r="C36" s="3"/>
      <c r="D36" s="106">
        <v>86</v>
      </c>
      <c r="E36" s="262">
        <f t="shared" si="11"/>
        <v>0.59299853960000004</v>
      </c>
      <c r="F36" s="262">
        <f t="shared" si="0"/>
        <v>0.53858588939999996</v>
      </c>
      <c r="G36" s="263">
        <f t="shared" si="1"/>
        <v>0.57939537704999999</v>
      </c>
      <c r="H36" s="164"/>
      <c r="I36" s="106">
        <v>86</v>
      </c>
      <c r="J36" s="117">
        <f t="shared" si="12"/>
        <v>0.54862929020000006</v>
      </c>
      <c r="K36" s="117">
        <f t="shared" si="13"/>
        <v>0.49828789530000001</v>
      </c>
      <c r="L36" s="117">
        <f t="shared" si="14"/>
        <v>0.53604394147500001</v>
      </c>
      <c r="M36" s="164"/>
      <c r="N36" s="106">
        <v>86</v>
      </c>
      <c r="O36" s="77">
        <f t="shared" si="2"/>
        <v>0.57820878980000001</v>
      </c>
      <c r="P36" s="77">
        <f t="shared" si="3"/>
        <v>0.52515322470000003</v>
      </c>
      <c r="Q36" s="77">
        <f t="shared" si="4"/>
        <v>0.56494489852499996</v>
      </c>
      <c r="R36" s="164"/>
      <c r="S36" s="106">
        <v>86</v>
      </c>
      <c r="T36" s="118">
        <f t="shared" si="5"/>
        <v>0.49510448140000002</v>
      </c>
      <c r="U36" s="118">
        <f t="shared" si="6"/>
        <v>0.44967444209999996</v>
      </c>
      <c r="V36" s="118">
        <f t="shared" si="7"/>
        <v>0.48374697157500002</v>
      </c>
      <c r="W36" s="164"/>
      <c r="X36" s="106">
        <v>86</v>
      </c>
      <c r="Y36" s="119">
        <f t="shared" si="8"/>
        <v>0.49510448140000002</v>
      </c>
      <c r="Z36" s="119">
        <f t="shared" si="9"/>
        <v>0.44967444209999996</v>
      </c>
      <c r="AA36" s="119">
        <f t="shared" si="10"/>
        <v>0.48374697157500002</v>
      </c>
    </row>
    <row r="37" spans="1:27" x14ac:dyDescent="0.2">
      <c r="A37" s="106">
        <v>87</v>
      </c>
      <c r="B37" s="106">
        <v>94</v>
      </c>
      <c r="C37" s="3"/>
      <c r="D37" s="106">
        <v>87</v>
      </c>
      <c r="E37" s="262">
        <f t="shared" si="11"/>
        <v>0.58794460300000007</v>
      </c>
      <c r="F37" s="262">
        <f t="shared" si="0"/>
        <v>0.53314059120000012</v>
      </c>
      <c r="G37" s="263">
        <f t="shared" si="1"/>
        <v>0.57424360005000008</v>
      </c>
      <c r="H37" s="164"/>
      <c r="I37" s="106">
        <v>87</v>
      </c>
      <c r="J37" s="117">
        <f t="shared" si="12"/>
        <v>0.54395349850000019</v>
      </c>
      <c r="K37" s="117">
        <f t="shared" si="13"/>
        <v>0.49325002440000015</v>
      </c>
      <c r="L37" s="117">
        <f t="shared" si="14"/>
        <v>0.53127762997500017</v>
      </c>
      <c r="M37" s="164"/>
      <c r="N37" s="106">
        <v>87</v>
      </c>
      <c r="O37" s="77">
        <f t="shared" si="2"/>
        <v>0.57328090150000011</v>
      </c>
      <c r="P37" s="77">
        <f t="shared" si="3"/>
        <v>0.51984373560000008</v>
      </c>
      <c r="Q37" s="77">
        <f t="shared" si="4"/>
        <v>0.55992161002500018</v>
      </c>
      <c r="R37" s="164"/>
      <c r="S37" s="106">
        <v>87</v>
      </c>
      <c r="T37" s="118">
        <f t="shared" si="5"/>
        <v>0.49088486450000007</v>
      </c>
      <c r="U37" s="118">
        <f t="shared" si="6"/>
        <v>0.44512807080000011</v>
      </c>
      <c r="V37" s="118">
        <f t="shared" si="7"/>
        <v>0.47944566607500005</v>
      </c>
      <c r="W37" s="164"/>
      <c r="X37" s="106">
        <v>87</v>
      </c>
      <c r="Y37" s="119">
        <f t="shared" si="8"/>
        <v>0.49088486450000007</v>
      </c>
      <c r="Z37" s="119">
        <f t="shared" si="9"/>
        <v>0.44512807080000011</v>
      </c>
      <c r="AA37" s="119">
        <f t="shared" si="10"/>
        <v>0.47944566607500005</v>
      </c>
    </row>
    <row r="38" spans="1:27" x14ac:dyDescent="0.2">
      <c r="A38" s="106">
        <v>88</v>
      </c>
      <c r="B38" s="106">
        <v>95</v>
      </c>
      <c r="C38" s="3"/>
      <c r="D38" s="106">
        <v>88</v>
      </c>
      <c r="E38" s="262">
        <f t="shared" si="11"/>
        <v>0.58283475760000003</v>
      </c>
      <c r="F38" s="262">
        <f t="shared" si="0"/>
        <v>0.52763938420000001</v>
      </c>
      <c r="G38" s="263">
        <f t="shared" si="1"/>
        <v>0.56903591425</v>
      </c>
      <c r="H38" s="164"/>
      <c r="I38" s="106">
        <v>88</v>
      </c>
      <c r="J38" s="117">
        <f t="shared" si="12"/>
        <v>0.53922598119999998</v>
      </c>
      <c r="K38" s="117">
        <f t="shared" si="13"/>
        <v>0.48816042790000003</v>
      </c>
      <c r="L38" s="117">
        <f t="shared" si="14"/>
        <v>0.52645959287499999</v>
      </c>
      <c r="M38" s="164"/>
      <c r="N38" s="106">
        <v>88</v>
      </c>
      <c r="O38" s="77">
        <f t="shared" si="2"/>
        <v>0.56829849879999994</v>
      </c>
      <c r="P38" s="77">
        <f t="shared" si="3"/>
        <v>0.51447973209999998</v>
      </c>
      <c r="Q38" s="77">
        <f t="shared" si="4"/>
        <v>0.55484380712499992</v>
      </c>
      <c r="R38" s="164"/>
      <c r="S38" s="106">
        <v>88</v>
      </c>
      <c r="T38" s="118">
        <f t="shared" si="5"/>
        <v>0.48661856839999995</v>
      </c>
      <c r="U38" s="118">
        <f t="shared" si="6"/>
        <v>0.44053502029999997</v>
      </c>
      <c r="V38" s="118">
        <f t="shared" si="7"/>
        <v>0.47509768137499997</v>
      </c>
      <c r="W38" s="164"/>
      <c r="X38" s="106">
        <v>88</v>
      </c>
      <c r="Y38" s="119">
        <f t="shared" si="8"/>
        <v>0.48661856839999995</v>
      </c>
      <c r="Z38" s="119">
        <f t="shared" si="9"/>
        <v>0.44053502029999997</v>
      </c>
      <c r="AA38" s="119">
        <f t="shared" si="10"/>
        <v>0.47509768137499997</v>
      </c>
    </row>
    <row r="39" spans="1:27" x14ac:dyDescent="0.2">
      <c r="A39" s="106">
        <v>89</v>
      </c>
      <c r="B39" s="106">
        <v>96</v>
      </c>
      <c r="C39" s="3"/>
      <c r="D39" s="106">
        <v>89</v>
      </c>
      <c r="E39" s="262">
        <f t="shared" si="11"/>
        <v>0.57766900340000005</v>
      </c>
      <c r="F39" s="262">
        <f t="shared" si="0"/>
        <v>0.52208226839999994</v>
      </c>
      <c r="G39" s="263">
        <f t="shared" si="1"/>
        <v>0.56377231964999996</v>
      </c>
      <c r="H39" s="164"/>
      <c r="I39" s="106">
        <v>89</v>
      </c>
      <c r="J39" s="117">
        <f t="shared" si="12"/>
        <v>0.53444673830000011</v>
      </c>
      <c r="K39" s="117">
        <f t="shared" si="13"/>
        <v>0.48301910580000001</v>
      </c>
      <c r="L39" s="117">
        <f t="shared" si="14"/>
        <v>0.52158983017500005</v>
      </c>
      <c r="M39" s="164"/>
      <c r="N39" s="106">
        <v>89</v>
      </c>
      <c r="O39" s="77">
        <f t="shared" si="2"/>
        <v>0.56326158170000007</v>
      </c>
      <c r="P39" s="77">
        <f t="shared" si="3"/>
        <v>0.50906121419999995</v>
      </c>
      <c r="Q39" s="77">
        <f t="shared" si="4"/>
        <v>0.54971148982500007</v>
      </c>
      <c r="R39" s="164"/>
      <c r="S39" s="106">
        <v>89</v>
      </c>
      <c r="T39" s="118">
        <f t="shared" si="5"/>
        <v>0.48230559309999999</v>
      </c>
      <c r="U39" s="118">
        <f t="shared" si="6"/>
        <v>0.43589529059999998</v>
      </c>
      <c r="V39" s="118">
        <f t="shared" si="7"/>
        <v>0.47070301747499999</v>
      </c>
      <c r="W39" s="164"/>
      <c r="X39" s="106">
        <v>89</v>
      </c>
      <c r="Y39" s="119">
        <f t="shared" si="8"/>
        <v>0.48230559309999999</v>
      </c>
      <c r="Z39" s="119">
        <f t="shared" si="9"/>
        <v>0.43589529059999998</v>
      </c>
      <c r="AA39" s="119">
        <f t="shared" si="10"/>
        <v>0.47070301747499999</v>
      </c>
    </row>
    <row r="40" spans="1:27" x14ac:dyDescent="0.2">
      <c r="A40" s="106">
        <v>90</v>
      </c>
      <c r="B40" s="106">
        <v>97</v>
      </c>
      <c r="C40" s="3"/>
      <c r="D40" s="106">
        <v>90</v>
      </c>
      <c r="E40" s="262">
        <f t="shared" si="11"/>
        <v>0.5724473404</v>
      </c>
      <c r="F40" s="262">
        <f t="shared" si="0"/>
        <v>0.51646924380000003</v>
      </c>
      <c r="G40" s="263">
        <f t="shared" si="1"/>
        <v>0.55845281624999998</v>
      </c>
      <c r="H40" s="164"/>
      <c r="I40" s="106">
        <v>90</v>
      </c>
      <c r="J40" s="117">
        <f t="shared" si="12"/>
        <v>0.52961576980000002</v>
      </c>
      <c r="K40" s="117">
        <f t="shared" si="13"/>
        <v>0.47782605810000006</v>
      </c>
      <c r="L40" s="117">
        <f t="shared" si="14"/>
        <v>0.5166683418750001</v>
      </c>
      <c r="M40" s="164"/>
      <c r="N40" s="106">
        <v>90</v>
      </c>
      <c r="O40" s="77">
        <f t="shared" si="2"/>
        <v>0.55817015019999994</v>
      </c>
      <c r="P40" s="77">
        <f t="shared" si="3"/>
        <v>0.5035881819000001</v>
      </c>
      <c r="Q40" s="77">
        <f t="shared" si="4"/>
        <v>0.54452465812499995</v>
      </c>
      <c r="R40" s="164"/>
      <c r="S40" s="106">
        <v>90</v>
      </c>
      <c r="T40" s="118">
        <f t="shared" si="5"/>
        <v>0.47794593859999995</v>
      </c>
      <c r="U40" s="118">
        <f t="shared" si="6"/>
        <v>0.43120888170000005</v>
      </c>
      <c r="V40" s="118">
        <f t="shared" si="7"/>
        <v>0.46626167437499999</v>
      </c>
      <c r="W40" s="164"/>
      <c r="X40" s="106">
        <v>90</v>
      </c>
      <c r="Y40" s="119">
        <f t="shared" si="8"/>
        <v>0.47794593859999995</v>
      </c>
      <c r="Z40" s="119">
        <f t="shared" si="9"/>
        <v>0.43120888170000005</v>
      </c>
      <c r="AA40" s="119">
        <f t="shared" si="10"/>
        <v>0.46626167437499999</v>
      </c>
    </row>
    <row r="41" spans="1:27" x14ac:dyDescent="0.2">
      <c r="A41" s="106">
        <v>91</v>
      </c>
      <c r="B41" s="106">
        <v>98</v>
      </c>
      <c r="C41" s="3"/>
      <c r="D41" s="106">
        <v>91</v>
      </c>
      <c r="E41" s="262">
        <f t="shared" si="11"/>
        <v>0.56716976860000001</v>
      </c>
      <c r="F41" s="262">
        <f t="shared" si="0"/>
        <v>0.51080031040000007</v>
      </c>
      <c r="G41" s="263">
        <f t="shared" si="1"/>
        <v>0.55307740405000005</v>
      </c>
      <c r="H41" s="164"/>
      <c r="I41" s="106">
        <v>91</v>
      </c>
      <c r="J41" s="117">
        <f t="shared" si="12"/>
        <v>0.52473307570000005</v>
      </c>
      <c r="K41" s="117">
        <f t="shared" si="13"/>
        <v>0.47258128480000017</v>
      </c>
      <c r="L41" s="117">
        <f t="shared" si="14"/>
        <v>0.51169512797500016</v>
      </c>
      <c r="M41" s="164"/>
      <c r="N41" s="106">
        <v>91</v>
      </c>
      <c r="O41" s="77">
        <f t="shared" si="2"/>
        <v>0.5530242043000001</v>
      </c>
      <c r="P41" s="77">
        <f t="shared" si="3"/>
        <v>0.4980606352000001</v>
      </c>
      <c r="Q41" s="77">
        <f t="shared" si="4"/>
        <v>0.53928331202500002</v>
      </c>
      <c r="R41" s="164"/>
      <c r="S41" s="106">
        <v>91</v>
      </c>
      <c r="T41" s="118">
        <f t="shared" si="5"/>
        <v>0.47353960490000002</v>
      </c>
      <c r="U41" s="118">
        <f t="shared" si="6"/>
        <v>0.4264757936000001</v>
      </c>
      <c r="V41" s="118">
        <f t="shared" si="7"/>
        <v>0.46177365207500004</v>
      </c>
      <c r="W41" s="164"/>
      <c r="X41" s="106">
        <v>91</v>
      </c>
      <c r="Y41" s="119">
        <f t="shared" si="8"/>
        <v>0.47353960490000002</v>
      </c>
      <c r="Z41" s="119">
        <f t="shared" si="9"/>
        <v>0.4264757936000001</v>
      </c>
      <c r="AA41" s="119">
        <f t="shared" si="10"/>
        <v>0.46177365207500004</v>
      </c>
    </row>
    <row r="42" spans="1:27" x14ac:dyDescent="0.2">
      <c r="A42" s="106">
        <v>92</v>
      </c>
      <c r="B42" s="106">
        <v>99</v>
      </c>
      <c r="C42" s="3"/>
      <c r="D42" s="106">
        <v>92</v>
      </c>
      <c r="E42" s="262">
        <f t="shared" si="11"/>
        <v>0.56183628800000007</v>
      </c>
      <c r="F42" s="262">
        <f t="shared" si="0"/>
        <v>0.50507546820000004</v>
      </c>
      <c r="G42" s="263">
        <f t="shared" si="1"/>
        <v>0.54764608305000007</v>
      </c>
      <c r="H42" s="164"/>
      <c r="I42" s="106">
        <v>92</v>
      </c>
      <c r="J42" s="117">
        <f t="shared" si="12"/>
        <v>0.51979865600000008</v>
      </c>
      <c r="K42" s="117">
        <f t="shared" si="13"/>
        <v>0.46728478590000011</v>
      </c>
      <c r="L42" s="117">
        <f t="shared" si="14"/>
        <v>0.50667018847500012</v>
      </c>
      <c r="M42" s="164"/>
      <c r="N42" s="106">
        <v>92</v>
      </c>
      <c r="O42" s="77">
        <f t="shared" si="2"/>
        <v>0.547823744</v>
      </c>
      <c r="P42" s="77">
        <f t="shared" si="3"/>
        <v>0.49247857410000007</v>
      </c>
      <c r="Q42" s="77">
        <f t="shared" si="4"/>
        <v>0.53398745152500005</v>
      </c>
      <c r="R42" s="164"/>
      <c r="S42" s="106">
        <v>92</v>
      </c>
      <c r="T42" s="118">
        <f t="shared" si="5"/>
        <v>0.46908659200000002</v>
      </c>
      <c r="U42" s="118">
        <f t="shared" si="6"/>
        <v>0.42169602630000003</v>
      </c>
      <c r="V42" s="118">
        <f t="shared" si="7"/>
        <v>0.45723895057500002</v>
      </c>
      <c r="W42" s="164"/>
      <c r="X42" s="106">
        <v>92</v>
      </c>
      <c r="Y42" s="119">
        <f t="shared" si="8"/>
        <v>0.46908659200000002</v>
      </c>
      <c r="Z42" s="119">
        <f t="shared" si="9"/>
        <v>0.42169602630000003</v>
      </c>
      <c r="AA42" s="119">
        <f t="shared" si="10"/>
        <v>0.45723895057500002</v>
      </c>
    </row>
    <row r="43" spans="1:27" x14ac:dyDescent="0.2">
      <c r="A43" s="106">
        <v>93</v>
      </c>
      <c r="B43" s="106">
        <v>100</v>
      </c>
      <c r="C43" s="3"/>
      <c r="D43" s="106">
        <v>93</v>
      </c>
      <c r="E43" s="262">
        <f t="shared" si="11"/>
        <v>0.55644689860000007</v>
      </c>
      <c r="F43" s="262">
        <f t="shared" si="0"/>
        <v>0.49929471720000013</v>
      </c>
      <c r="G43" s="263">
        <f t="shared" si="1"/>
        <v>0.54215885325000013</v>
      </c>
      <c r="H43" s="164"/>
      <c r="I43" s="106">
        <v>93</v>
      </c>
      <c r="J43" s="117">
        <f t="shared" si="12"/>
        <v>0.51481251070000011</v>
      </c>
      <c r="K43" s="117">
        <f t="shared" si="13"/>
        <v>0.46193656140000011</v>
      </c>
      <c r="L43" s="117">
        <f t="shared" si="14"/>
        <v>0.50159352337500007</v>
      </c>
      <c r="M43" s="164"/>
      <c r="N43" s="106">
        <v>93</v>
      </c>
      <c r="O43" s="77">
        <f t="shared" si="2"/>
        <v>0.54256876930000009</v>
      </c>
      <c r="P43" s="77">
        <f t="shared" si="3"/>
        <v>0.4868419986000001</v>
      </c>
      <c r="Q43" s="77">
        <f t="shared" si="4"/>
        <v>0.52863707662500015</v>
      </c>
      <c r="R43" s="164"/>
      <c r="S43" s="106">
        <v>93</v>
      </c>
      <c r="T43" s="118">
        <f t="shared" si="5"/>
        <v>0.46458689990000007</v>
      </c>
      <c r="U43" s="118">
        <f t="shared" si="6"/>
        <v>0.41686957980000006</v>
      </c>
      <c r="V43" s="118">
        <f t="shared" si="7"/>
        <v>0.45265756987500005</v>
      </c>
      <c r="W43" s="164"/>
      <c r="X43" s="106">
        <v>93</v>
      </c>
      <c r="Y43" s="119">
        <f t="shared" si="8"/>
        <v>0.46458689990000007</v>
      </c>
      <c r="Z43" s="119">
        <f t="shared" si="9"/>
        <v>0.41686957980000006</v>
      </c>
      <c r="AA43" s="119">
        <f t="shared" si="10"/>
        <v>0.45265756987500005</v>
      </c>
    </row>
    <row r="44" spans="1:27" x14ac:dyDescent="0.2">
      <c r="A44" s="106">
        <v>94</v>
      </c>
      <c r="B44" s="106">
        <v>101</v>
      </c>
      <c r="C44" s="3"/>
      <c r="D44" s="106">
        <v>94</v>
      </c>
      <c r="E44" s="262">
        <f t="shared" si="11"/>
        <v>0.55100160040000001</v>
      </c>
      <c r="F44" s="262">
        <f t="shared" si="0"/>
        <v>0.49345805740000004</v>
      </c>
      <c r="G44" s="263">
        <f t="shared" si="1"/>
        <v>0.53661571465000002</v>
      </c>
      <c r="H44" s="164"/>
      <c r="I44" s="106">
        <v>94</v>
      </c>
      <c r="J44" s="117">
        <f t="shared" si="12"/>
        <v>0.50977463980000004</v>
      </c>
      <c r="K44" s="117">
        <f t="shared" si="13"/>
        <v>0.45653661130000006</v>
      </c>
      <c r="L44" s="117">
        <f t="shared" si="14"/>
        <v>0.49646513267500003</v>
      </c>
      <c r="M44" s="164"/>
      <c r="N44" s="106">
        <v>94</v>
      </c>
      <c r="O44" s="77">
        <f t="shared" si="2"/>
        <v>0.53725928020000002</v>
      </c>
      <c r="P44" s="77">
        <f t="shared" si="3"/>
        <v>0.48115090869999999</v>
      </c>
      <c r="Q44" s="77">
        <f t="shared" si="4"/>
        <v>0.52323218732499999</v>
      </c>
      <c r="R44" s="164"/>
      <c r="S44" s="106">
        <v>94</v>
      </c>
      <c r="T44" s="118">
        <f t="shared" si="5"/>
        <v>0.46004052860000005</v>
      </c>
      <c r="U44" s="118">
        <f t="shared" si="6"/>
        <v>0.41199645410000002</v>
      </c>
      <c r="V44" s="118">
        <f t="shared" si="7"/>
        <v>0.44802950997500007</v>
      </c>
      <c r="W44" s="164"/>
      <c r="X44" s="106">
        <v>94</v>
      </c>
      <c r="Y44" s="119">
        <f t="shared" si="8"/>
        <v>0.46004052860000005</v>
      </c>
      <c r="Z44" s="119">
        <f t="shared" si="9"/>
        <v>0.41199645410000002</v>
      </c>
      <c r="AA44" s="119">
        <f t="shared" si="10"/>
        <v>0.44802950997500007</v>
      </c>
    </row>
    <row r="45" spans="1:27" x14ac:dyDescent="0.2">
      <c r="A45" s="106">
        <v>95</v>
      </c>
      <c r="B45" s="106">
        <v>102</v>
      </c>
      <c r="C45" s="3"/>
      <c r="D45" s="106">
        <v>95</v>
      </c>
      <c r="E45" s="262">
        <f t="shared" si="11"/>
        <v>0.54550039340000012</v>
      </c>
      <c r="F45" s="262">
        <f t="shared" si="0"/>
        <v>0.4875654888</v>
      </c>
      <c r="G45" s="263">
        <f t="shared" si="1"/>
        <v>0.53101666725000007</v>
      </c>
      <c r="H45" s="164"/>
      <c r="I45" s="106">
        <v>95</v>
      </c>
      <c r="J45" s="117">
        <f t="shared" si="12"/>
        <v>0.50468504330000008</v>
      </c>
      <c r="K45" s="117">
        <f t="shared" si="13"/>
        <v>0.45108493560000001</v>
      </c>
      <c r="L45" s="117">
        <f t="shared" si="14"/>
        <v>0.49128501637500005</v>
      </c>
      <c r="M45" s="164"/>
      <c r="N45" s="106">
        <v>95</v>
      </c>
      <c r="O45" s="77">
        <f t="shared" si="2"/>
        <v>0.53189527670000003</v>
      </c>
      <c r="P45" s="77">
        <f t="shared" si="3"/>
        <v>0.47540530440000001</v>
      </c>
      <c r="Q45" s="77">
        <f t="shared" si="4"/>
        <v>0.51777278362500001</v>
      </c>
      <c r="R45" s="164"/>
      <c r="S45" s="106">
        <v>95</v>
      </c>
      <c r="T45" s="118">
        <f t="shared" si="5"/>
        <v>0.45544747810000008</v>
      </c>
      <c r="U45" s="118">
        <f t="shared" si="6"/>
        <v>0.40707664919999997</v>
      </c>
      <c r="V45" s="118">
        <f t="shared" si="7"/>
        <v>0.44335477087500008</v>
      </c>
      <c r="W45" s="164"/>
      <c r="X45" s="106">
        <v>95</v>
      </c>
      <c r="Y45" s="119">
        <f t="shared" si="8"/>
        <v>0.45544747810000008</v>
      </c>
      <c r="Z45" s="119">
        <f t="shared" si="9"/>
        <v>0.40707664919999997</v>
      </c>
      <c r="AA45" s="119">
        <f t="shared" si="10"/>
        <v>0.44335477087500008</v>
      </c>
    </row>
    <row r="46" spans="1:27" x14ac:dyDescent="0.2">
      <c r="A46" s="106">
        <v>96</v>
      </c>
      <c r="B46" s="106">
        <v>103</v>
      </c>
      <c r="C46" s="3"/>
      <c r="D46" s="106">
        <v>96</v>
      </c>
      <c r="E46" s="262">
        <f t="shared" si="11"/>
        <v>0.53994327760000005</v>
      </c>
      <c r="F46" s="262">
        <f t="shared" si="0"/>
        <v>0.48161701140000007</v>
      </c>
      <c r="G46" s="263">
        <f t="shared" si="1"/>
        <v>0.52536171105000007</v>
      </c>
      <c r="H46" s="164"/>
      <c r="I46" s="106">
        <v>96</v>
      </c>
      <c r="J46" s="117">
        <f t="shared" si="12"/>
        <v>0.49954372120000012</v>
      </c>
      <c r="K46" s="117">
        <f t="shared" si="13"/>
        <v>0.44558153430000008</v>
      </c>
      <c r="L46" s="117">
        <f t="shared" si="14"/>
        <v>0.48605317447500007</v>
      </c>
      <c r="M46" s="164"/>
      <c r="N46" s="106">
        <v>96</v>
      </c>
      <c r="O46" s="77">
        <f t="shared" si="2"/>
        <v>0.52647675880000011</v>
      </c>
      <c r="P46" s="77">
        <f t="shared" si="3"/>
        <v>0.46960518570000004</v>
      </c>
      <c r="Q46" s="77">
        <f t="shared" si="4"/>
        <v>0.51225886552500011</v>
      </c>
      <c r="R46" s="164"/>
      <c r="S46" s="106">
        <v>96</v>
      </c>
      <c r="T46" s="118">
        <f t="shared" si="5"/>
        <v>0.45080774840000004</v>
      </c>
      <c r="U46" s="118">
        <f t="shared" si="6"/>
        <v>0.40211016510000003</v>
      </c>
      <c r="V46" s="118">
        <f t="shared" si="7"/>
        <v>0.43863335257500008</v>
      </c>
      <c r="W46" s="164"/>
      <c r="X46" s="106">
        <v>96</v>
      </c>
      <c r="Y46" s="119">
        <f t="shared" si="8"/>
        <v>0.45080774840000004</v>
      </c>
      <c r="Z46" s="119">
        <f t="shared" si="9"/>
        <v>0.40211016510000003</v>
      </c>
      <c r="AA46" s="119">
        <f t="shared" si="10"/>
        <v>0.43863335257500008</v>
      </c>
    </row>
    <row r="47" spans="1:27" x14ac:dyDescent="0.2">
      <c r="A47" s="106">
        <v>97</v>
      </c>
      <c r="B47" s="106">
        <v>104</v>
      </c>
      <c r="C47" s="3"/>
      <c r="D47" s="106">
        <v>97</v>
      </c>
      <c r="E47" s="262">
        <f t="shared" si="11"/>
        <v>0.53433025300000003</v>
      </c>
      <c r="F47" s="262">
        <f t="shared" si="0"/>
        <v>0.47561262520000003</v>
      </c>
      <c r="G47" s="263">
        <f t="shared" si="1"/>
        <v>0.51965084605</v>
      </c>
      <c r="H47" s="164"/>
      <c r="I47" s="106">
        <v>97</v>
      </c>
      <c r="J47" s="117">
        <f t="shared" si="12"/>
        <v>0.4943506735</v>
      </c>
      <c r="K47" s="117">
        <f t="shared" si="13"/>
        <v>0.44002640740000004</v>
      </c>
      <c r="L47" s="117">
        <f t="shared" si="14"/>
        <v>0.48076960697499999</v>
      </c>
      <c r="M47" s="164"/>
      <c r="N47" s="106">
        <v>97</v>
      </c>
      <c r="O47" s="77">
        <f t="shared" si="2"/>
        <v>0.52100372649999993</v>
      </c>
      <c r="P47" s="77">
        <f t="shared" si="3"/>
        <v>0.46375055260000003</v>
      </c>
      <c r="Q47" s="77">
        <f t="shared" si="4"/>
        <v>0.50669043302499994</v>
      </c>
      <c r="R47" s="164"/>
      <c r="S47" s="106">
        <v>97</v>
      </c>
      <c r="T47" s="118">
        <f t="shared" si="5"/>
        <v>0.44612133949999999</v>
      </c>
      <c r="U47" s="118">
        <f t="shared" si="6"/>
        <v>0.39709700180000002</v>
      </c>
      <c r="V47" s="118">
        <f t="shared" si="7"/>
        <v>0.43386525507500001</v>
      </c>
      <c r="W47" s="164"/>
      <c r="X47" s="106">
        <v>97</v>
      </c>
      <c r="Y47" s="119">
        <f t="shared" si="8"/>
        <v>0.44612133949999999</v>
      </c>
      <c r="Z47" s="119">
        <f t="shared" si="9"/>
        <v>0.39709700180000002</v>
      </c>
      <c r="AA47" s="119">
        <f t="shared" si="10"/>
        <v>0.43386525507500001</v>
      </c>
    </row>
    <row r="48" spans="1:27" x14ac:dyDescent="0.2">
      <c r="A48" s="106">
        <v>98</v>
      </c>
      <c r="B48" s="106">
        <v>105</v>
      </c>
      <c r="C48" s="3"/>
      <c r="D48" s="106">
        <v>98</v>
      </c>
      <c r="E48" s="262">
        <f t="shared" si="11"/>
        <v>0.52866131960000007</v>
      </c>
      <c r="F48" s="262">
        <f t="shared" si="0"/>
        <v>0.46955233020000003</v>
      </c>
      <c r="G48" s="263">
        <f t="shared" si="1"/>
        <v>0.5138840722500001</v>
      </c>
      <c r="H48" s="164"/>
      <c r="I48" s="106">
        <v>98</v>
      </c>
      <c r="J48" s="117">
        <f t="shared" si="12"/>
        <v>0.48910590020000005</v>
      </c>
      <c r="K48" s="117">
        <f t="shared" si="13"/>
        <v>0.43441955490000006</v>
      </c>
      <c r="L48" s="117">
        <f t="shared" si="14"/>
        <v>0.47543431387500007</v>
      </c>
      <c r="M48" s="164"/>
      <c r="N48" s="106">
        <v>98</v>
      </c>
      <c r="O48" s="77">
        <f t="shared" si="2"/>
        <v>0.51547617980000005</v>
      </c>
      <c r="P48" s="77">
        <f t="shared" si="3"/>
        <v>0.45784140510000004</v>
      </c>
      <c r="Q48" s="77">
        <f t="shared" si="4"/>
        <v>0.50106748612500007</v>
      </c>
      <c r="R48" s="164"/>
      <c r="S48" s="106">
        <v>98</v>
      </c>
      <c r="T48" s="118">
        <f t="shared" si="5"/>
        <v>0.44138825140000004</v>
      </c>
      <c r="U48" s="118">
        <f t="shared" si="6"/>
        <v>0.39203715930000005</v>
      </c>
      <c r="V48" s="118">
        <f t="shared" si="7"/>
        <v>0.42905047837500004</v>
      </c>
      <c r="W48" s="164"/>
      <c r="X48" s="106">
        <v>98</v>
      </c>
      <c r="Y48" s="119">
        <f t="shared" si="8"/>
        <v>0.44138825140000004</v>
      </c>
      <c r="Z48" s="119">
        <f t="shared" si="9"/>
        <v>0.39203715930000005</v>
      </c>
      <c r="AA48" s="119">
        <f t="shared" si="10"/>
        <v>0.42905047837500004</v>
      </c>
    </row>
    <row r="49" spans="1:27" x14ac:dyDescent="0.2">
      <c r="A49" s="106">
        <v>99</v>
      </c>
      <c r="B49" s="106">
        <v>106</v>
      </c>
      <c r="C49" s="3"/>
      <c r="D49" s="106">
        <v>99</v>
      </c>
      <c r="E49" s="262">
        <f t="shared" si="11"/>
        <v>0.52293647740000004</v>
      </c>
      <c r="F49" s="262">
        <f t="shared" si="0"/>
        <v>0.46343612640000004</v>
      </c>
      <c r="G49" s="263">
        <f t="shared" si="1"/>
        <v>0.50806138965000003</v>
      </c>
      <c r="H49" s="164"/>
      <c r="I49" s="106">
        <v>99</v>
      </c>
      <c r="J49" s="117">
        <f t="shared" si="12"/>
        <v>0.48380940130000005</v>
      </c>
      <c r="K49" s="117">
        <f t="shared" si="13"/>
        <v>0.42876097680000008</v>
      </c>
      <c r="L49" s="117">
        <f t="shared" si="14"/>
        <v>0.47004729517500005</v>
      </c>
      <c r="M49" s="164"/>
      <c r="N49" s="106">
        <v>99</v>
      </c>
      <c r="O49" s="77">
        <f t="shared" si="2"/>
        <v>0.50989411870000001</v>
      </c>
      <c r="P49" s="77">
        <f t="shared" si="3"/>
        <v>0.45187774320000007</v>
      </c>
      <c r="Q49" s="77">
        <f t="shared" si="4"/>
        <v>0.495390024825</v>
      </c>
      <c r="R49" s="164"/>
      <c r="S49" s="106">
        <v>99</v>
      </c>
      <c r="T49" s="118">
        <f t="shared" si="5"/>
        <v>0.43660848409999997</v>
      </c>
      <c r="U49" s="118">
        <f t="shared" si="6"/>
        <v>0.38693063760000002</v>
      </c>
      <c r="V49" s="118">
        <f t="shared" si="7"/>
        <v>0.42418902247500001</v>
      </c>
      <c r="W49" s="164"/>
      <c r="X49" s="106">
        <v>99</v>
      </c>
      <c r="Y49" s="119">
        <f t="shared" si="8"/>
        <v>0.43660848409999997</v>
      </c>
      <c r="Z49" s="119">
        <f t="shared" si="9"/>
        <v>0.38693063760000002</v>
      </c>
      <c r="AA49" s="119">
        <f t="shared" si="10"/>
        <v>0.42418902247500001</v>
      </c>
    </row>
    <row r="50" spans="1:27" x14ac:dyDescent="0.2">
      <c r="A50" s="106">
        <v>100</v>
      </c>
      <c r="B50" s="106">
        <v>107</v>
      </c>
      <c r="C50" s="3"/>
      <c r="D50" s="106">
        <v>100</v>
      </c>
      <c r="E50" s="262">
        <f t="shared" si="11"/>
        <v>0.51715572640000007</v>
      </c>
      <c r="F50" s="262">
        <f t="shared" si="0"/>
        <v>0.45726401379999998</v>
      </c>
      <c r="G50" s="263">
        <f t="shared" si="1"/>
        <v>0.50218279825000012</v>
      </c>
      <c r="H50" s="164"/>
      <c r="I50" s="106">
        <v>100</v>
      </c>
      <c r="J50" s="117">
        <f t="shared" si="12"/>
        <v>0.47846117680000005</v>
      </c>
      <c r="K50" s="117">
        <f t="shared" si="13"/>
        <v>0.4230506731</v>
      </c>
      <c r="L50" s="117">
        <f t="shared" si="14"/>
        <v>0.46460855087500008</v>
      </c>
      <c r="M50" s="164"/>
      <c r="N50" s="106">
        <v>100</v>
      </c>
      <c r="O50" s="77">
        <f t="shared" si="2"/>
        <v>0.50425754320000005</v>
      </c>
      <c r="P50" s="77">
        <f t="shared" si="3"/>
        <v>0.44585956689999995</v>
      </c>
      <c r="Q50" s="77">
        <f t="shared" si="4"/>
        <v>0.48965804912499999</v>
      </c>
      <c r="R50" s="164"/>
      <c r="S50" s="106">
        <v>100</v>
      </c>
      <c r="T50" s="118">
        <f t="shared" si="5"/>
        <v>0.4317820376</v>
      </c>
      <c r="U50" s="118">
        <f t="shared" si="6"/>
        <v>0.38177743669999997</v>
      </c>
      <c r="V50" s="118">
        <f t="shared" si="7"/>
        <v>0.41928088737499997</v>
      </c>
      <c r="W50" s="164"/>
      <c r="X50" s="106">
        <v>100</v>
      </c>
      <c r="Y50" s="119">
        <f t="shared" si="8"/>
        <v>0.4317820376</v>
      </c>
      <c r="Z50" s="119">
        <f t="shared" si="9"/>
        <v>0.38177743669999997</v>
      </c>
      <c r="AA50" s="119">
        <f t="shared" si="10"/>
        <v>0.41928088737499997</v>
      </c>
    </row>
    <row r="51" spans="1:27" x14ac:dyDescent="0.2">
      <c r="A51" s="106">
        <v>101</v>
      </c>
      <c r="B51" s="106">
        <v>108</v>
      </c>
      <c r="D51" s="106">
        <v>101</v>
      </c>
      <c r="E51" s="262">
        <f t="shared" si="11"/>
        <v>0.51131906660000004</v>
      </c>
      <c r="F51" s="262">
        <f t="shared" si="0"/>
        <v>0.45103599240000003</v>
      </c>
      <c r="G51" s="263">
        <f t="shared" si="1"/>
        <v>0.49624829805000004</v>
      </c>
      <c r="H51" s="164"/>
      <c r="I51" s="106">
        <v>101</v>
      </c>
      <c r="J51" s="117">
        <f t="shared" si="12"/>
        <v>0.47306122670000006</v>
      </c>
      <c r="K51" s="117">
        <f t="shared" si="13"/>
        <v>0.41728864380000003</v>
      </c>
      <c r="L51" s="117">
        <f t="shared" si="14"/>
        <v>0.45911808097500006</v>
      </c>
      <c r="M51" s="164"/>
      <c r="N51" s="106">
        <v>101</v>
      </c>
      <c r="O51" s="77">
        <f t="shared" si="2"/>
        <v>0.49856645330000005</v>
      </c>
      <c r="P51" s="77">
        <f t="shared" si="3"/>
        <v>0.43978687620000001</v>
      </c>
      <c r="Q51" s="77">
        <f t="shared" si="4"/>
        <v>0.48387155902500001</v>
      </c>
      <c r="R51" s="164"/>
      <c r="S51" s="106">
        <v>101</v>
      </c>
      <c r="T51" s="118">
        <f t="shared" si="5"/>
        <v>0.42690891190000002</v>
      </c>
      <c r="U51" s="118">
        <f t="shared" si="6"/>
        <v>0.37657755660000003</v>
      </c>
      <c r="V51" s="118">
        <f t="shared" si="7"/>
        <v>0.41432607307500002</v>
      </c>
      <c r="W51" s="164"/>
      <c r="X51" s="106">
        <v>101</v>
      </c>
      <c r="Y51" s="119">
        <f t="shared" si="8"/>
        <v>0.42690891190000002</v>
      </c>
      <c r="Z51" s="119">
        <f t="shared" si="9"/>
        <v>0.37657755660000003</v>
      </c>
      <c r="AA51" s="119">
        <f t="shared" si="10"/>
        <v>0.41432607307500002</v>
      </c>
    </row>
  </sheetData>
  <mergeCells count="5">
    <mergeCell ref="I11:L11"/>
    <mergeCell ref="N11:Q11"/>
    <mergeCell ref="S11:V11"/>
    <mergeCell ref="X11:AA11"/>
    <mergeCell ref="D11:G11"/>
  </mergeCells>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3C93D-0673-4365-B38A-35B91936356B}">
  <sheetPr codeName="Sheet7"/>
  <dimension ref="A1:H46"/>
  <sheetViews>
    <sheetView workbookViewId="0">
      <pane ySplit="1" topLeftCell="A2" activePane="bottomLeft" state="frozen"/>
      <selection pane="bottomLeft" activeCell="I2" sqref="I2"/>
    </sheetView>
  </sheetViews>
  <sheetFormatPr baseColWidth="10" defaultColWidth="8.83203125" defaultRowHeight="15" x14ac:dyDescent="0.2"/>
  <cols>
    <col min="1" max="1" width="48" customWidth="1"/>
    <col min="2" max="2" width="12.83203125" customWidth="1"/>
    <col min="3" max="3" width="10.5" customWidth="1"/>
    <col min="4" max="5" width="9.1640625" customWidth="1"/>
    <col min="6" max="6" width="12.1640625" customWidth="1"/>
    <col min="7" max="7" width="14.1640625" customWidth="1"/>
    <col min="8" max="8" width="21.83203125" customWidth="1"/>
    <col min="10" max="10" width="11.5" customWidth="1"/>
    <col min="13" max="13" width="15.5" customWidth="1"/>
  </cols>
  <sheetData>
    <row r="1" spans="1:8" ht="26.25" customHeight="1" x14ac:dyDescent="0.2">
      <c r="A1" s="65" t="s">
        <v>324</v>
      </c>
      <c r="B1" s="65" t="s">
        <v>325</v>
      </c>
      <c r="C1" s="67" t="s">
        <v>377</v>
      </c>
      <c r="D1" s="588" t="s">
        <v>326</v>
      </c>
      <c r="E1" s="588"/>
      <c r="F1" s="70" t="s">
        <v>458</v>
      </c>
      <c r="G1" s="65" t="s">
        <v>383</v>
      </c>
    </row>
    <row r="2" spans="1:8" ht="32" x14ac:dyDescent="0.2">
      <c r="A2" s="72" t="s">
        <v>327</v>
      </c>
      <c r="B2" s="66" t="s">
        <v>477</v>
      </c>
      <c r="C2" s="52"/>
      <c r="D2" s="52"/>
      <c r="E2" s="52"/>
      <c r="F2" s="52"/>
      <c r="G2" s="71" t="s">
        <v>345</v>
      </c>
    </row>
    <row r="3" spans="1:8" x14ac:dyDescent="0.2">
      <c r="A3" s="73" t="s">
        <v>479</v>
      </c>
      <c r="B3" s="101">
        <v>0.72</v>
      </c>
      <c r="C3" s="52"/>
      <c r="D3" s="52"/>
      <c r="E3" s="52"/>
      <c r="F3" s="52"/>
      <c r="G3" s="71" t="s">
        <v>480</v>
      </c>
    </row>
    <row r="4" spans="1:8" ht="16.5" customHeight="1" x14ac:dyDescent="0.2">
      <c r="A4" s="52" t="s">
        <v>337</v>
      </c>
      <c r="B4" s="180">
        <v>0.5005588376177551</v>
      </c>
      <c r="E4" s="52" t="s">
        <v>350</v>
      </c>
      <c r="F4" s="52"/>
      <c r="G4" t="s">
        <v>621</v>
      </c>
      <c r="H4" s="179" t="s">
        <v>618</v>
      </c>
    </row>
    <row r="5" spans="1:8" ht="14.25" customHeight="1" x14ac:dyDescent="0.2">
      <c r="A5" s="52" t="s">
        <v>338</v>
      </c>
      <c r="B5" s="180">
        <v>0.47421363563787322</v>
      </c>
      <c r="C5" s="52" t="s">
        <v>350</v>
      </c>
      <c r="D5" s="52" t="s">
        <v>350</v>
      </c>
      <c r="E5" s="52" t="s">
        <v>350</v>
      </c>
      <c r="F5" s="52"/>
      <c r="G5" t="s">
        <v>621</v>
      </c>
      <c r="H5" s="179" t="s">
        <v>619</v>
      </c>
    </row>
    <row r="6" spans="1:8" ht="14.5" customHeight="1" x14ac:dyDescent="0.2">
      <c r="A6" s="52" t="s">
        <v>339</v>
      </c>
      <c r="B6" s="180">
        <v>2.5227526744371707E-2</v>
      </c>
      <c r="C6" s="52" t="s">
        <v>350</v>
      </c>
      <c r="D6" s="52" t="s">
        <v>350</v>
      </c>
      <c r="E6" s="52" t="s">
        <v>350</v>
      </c>
      <c r="F6" s="52"/>
      <c r="G6" t="s">
        <v>621</v>
      </c>
      <c r="H6" s="179" t="s">
        <v>620</v>
      </c>
    </row>
    <row r="7" spans="1:8" ht="6" customHeight="1" x14ac:dyDescent="0.2">
      <c r="A7" s="52"/>
      <c r="B7" s="54"/>
      <c r="C7" s="52"/>
      <c r="D7" s="52"/>
      <c r="E7" s="52"/>
      <c r="F7" s="52"/>
      <c r="G7" s="71"/>
    </row>
    <row r="8" spans="1:8" x14ac:dyDescent="0.2">
      <c r="A8" s="52" t="s">
        <v>380</v>
      </c>
      <c r="B8" s="53">
        <f>2962/54518</f>
        <v>5.4330679775486994E-2</v>
      </c>
      <c r="C8" s="53"/>
      <c r="D8" s="53"/>
      <c r="E8" s="53"/>
      <c r="F8" s="53"/>
      <c r="G8" s="71" t="s">
        <v>328</v>
      </c>
    </row>
    <row r="9" spans="1:8" x14ac:dyDescent="0.2">
      <c r="A9" s="52" t="s">
        <v>381</v>
      </c>
      <c r="B9" s="53">
        <f>101/2392</f>
        <v>4.2224080267558528E-2</v>
      </c>
      <c r="C9" s="53"/>
      <c r="D9" s="53"/>
      <c r="E9" s="53"/>
      <c r="F9" s="53"/>
      <c r="G9" s="71" t="s">
        <v>467</v>
      </c>
    </row>
    <row r="10" spans="1:8" x14ac:dyDescent="0.2">
      <c r="A10" s="52" t="s">
        <v>382</v>
      </c>
      <c r="B10" s="53"/>
      <c r="C10" s="53"/>
      <c r="D10" s="53"/>
      <c r="E10" s="53"/>
      <c r="F10" s="53"/>
      <c r="G10" s="71" t="s">
        <v>384</v>
      </c>
    </row>
    <row r="11" spans="1:8" x14ac:dyDescent="0.2">
      <c r="A11" s="52" t="s">
        <v>396</v>
      </c>
      <c r="B11" s="53"/>
      <c r="C11" s="53"/>
      <c r="D11" s="53"/>
      <c r="E11" s="53"/>
      <c r="F11" s="53"/>
      <c r="G11" s="71"/>
    </row>
    <row r="12" spans="1:8" x14ac:dyDescent="0.2">
      <c r="A12" s="52" t="s">
        <v>397</v>
      </c>
      <c r="B12" s="53"/>
      <c r="C12" s="53"/>
      <c r="D12" s="53"/>
      <c r="E12" s="53"/>
      <c r="F12" s="53"/>
      <c r="G12" s="71"/>
    </row>
    <row r="13" spans="1:8" ht="6.75" customHeight="1" x14ac:dyDescent="0.2">
      <c r="A13" s="52"/>
      <c r="B13" s="54"/>
      <c r="C13" s="64"/>
      <c r="D13" s="64"/>
      <c r="E13" s="68"/>
      <c r="F13" s="68"/>
      <c r="G13" s="71"/>
    </row>
    <row r="14" spans="1:8" x14ac:dyDescent="0.2">
      <c r="A14" s="52" t="s">
        <v>374</v>
      </c>
      <c r="B14" s="53"/>
      <c r="C14" s="53"/>
      <c r="D14" s="51"/>
      <c r="E14" s="51"/>
      <c r="F14" s="51"/>
      <c r="G14" s="71" t="s">
        <v>366</v>
      </c>
    </row>
    <row r="15" spans="1:8" x14ac:dyDescent="0.2">
      <c r="A15" s="52" t="s">
        <v>375</v>
      </c>
      <c r="B15" s="53"/>
      <c r="C15" s="53"/>
      <c r="D15" s="51"/>
      <c r="E15" s="51"/>
      <c r="F15" s="51"/>
      <c r="G15" s="71" t="s">
        <v>388</v>
      </c>
    </row>
    <row r="16" spans="1:8" x14ac:dyDescent="0.2">
      <c r="A16" s="52" t="s">
        <v>376</v>
      </c>
      <c r="B16" s="53"/>
      <c r="C16" s="53"/>
      <c r="D16" s="51"/>
      <c r="E16" s="51"/>
      <c r="F16" s="51"/>
      <c r="G16" s="71" t="s">
        <v>389</v>
      </c>
    </row>
    <row r="17" spans="1:7" x14ac:dyDescent="0.2">
      <c r="A17" s="52" t="s">
        <v>398</v>
      </c>
      <c r="B17" s="53"/>
      <c r="C17" s="53"/>
      <c r="D17" s="51"/>
      <c r="E17" s="51"/>
      <c r="F17" s="51"/>
      <c r="G17" s="71" t="s">
        <v>390</v>
      </c>
    </row>
    <row r="18" spans="1:7" x14ac:dyDescent="0.2">
      <c r="A18" s="52" t="s">
        <v>399</v>
      </c>
      <c r="B18" s="53"/>
      <c r="C18" s="53"/>
      <c r="D18" s="51"/>
      <c r="E18" s="51"/>
      <c r="F18" s="51"/>
      <c r="G18" s="71" t="s">
        <v>391</v>
      </c>
    </row>
    <row r="19" spans="1:7" ht="6" customHeight="1" x14ac:dyDescent="0.2">
      <c r="A19" s="52"/>
      <c r="B19" s="52"/>
      <c r="C19" s="52"/>
      <c r="D19" s="52"/>
      <c r="E19" s="52"/>
      <c r="F19" s="52"/>
      <c r="G19" s="71"/>
    </row>
    <row r="20" spans="1:7" x14ac:dyDescent="0.2">
      <c r="A20" s="52" t="s">
        <v>371</v>
      </c>
      <c r="B20" s="53"/>
      <c r="C20" s="53"/>
      <c r="D20" s="51"/>
      <c r="E20" s="51"/>
      <c r="F20" s="51"/>
      <c r="G20" s="71" t="s">
        <v>391</v>
      </c>
    </row>
    <row r="21" spans="1:7" x14ac:dyDescent="0.2">
      <c r="A21" s="52" t="s">
        <v>372</v>
      </c>
      <c r="B21" s="53"/>
      <c r="C21" s="53"/>
      <c r="D21" s="51"/>
      <c r="E21" s="51"/>
      <c r="F21" s="51"/>
      <c r="G21" s="71" t="s">
        <v>392</v>
      </c>
    </row>
    <row r="22" spans="1:7" x14ac:dyDescent="0.2">
      <c r="A22" s="52" t="s">
        <v>373</v>
      </c>
      <c r="B22" s="53"/>
      <c r="C22" s="53"/>
      <c r="D22" s="51"/>
      <c r="E22" s="51"/>
      <c r="F22" s="51"/>
      <c r="G22" s="71" t="s">
        <v>393</v>
      </c>
    </row>
    <row r="23" spans="1:7" x14ac:dyDescent="0.2">
      <c r="A23" s="52" t="s">
        <v>400</v>
      </c>
      <c r="B23" s="53"/>
      <c r="C23" s="53"/>
      <c r="D23" s="51"/>
      <c r="E23" s="51"/>
      <c r="F23" s="51"/>
      <c r="G23" s="71" t="s">
        <v>394</v>
      </c>
    </row>
    <row r="24" spans="1:7" x14ac:dyDescent="0.2">
      <c r="A24" s="52" t="s">
        <v>401</v>
      </c>
      <c r="B24" s="53"/>
      <c r="C24" s="53"/>
      <c r="D24" s="51"/>
      <c r="E24" s="51"/>
      <c r="F24" s="51"/>
      <c r="G24" s="71" t="s">
        <v>395</v>
      </c>
    </row>
    <row r="25" spans="1:7" ht="7.5" customHeight="1" x14ac:dyDescent="0.2">
      <c r="A25" s="52"/>
      <c r="B25" s="52"/>
      <c r="C25" s="52"/>
      <c r="D25" s="52"/>
      <c r="E25" s="52"/>
      <c r="F25" s="52"/>
    </row>
    <row r="26" spans="1:7" x14ac:dyDescent="0.2">
      <c r="A26" s="52" t="s">
        <v>403</v>
      </c>
      <c r="B26" s="69"/>
      <c r="C26" s="52"/>
      <c r="D26" s="52"/>
      <c r="E26" s="52"/>
      <c r="F26" s="52"/>
      <c r="G26" t="s">
        <v>402</v>
      </c>
    </row>
    <row r="27" spans="1:7" x14ac:dyDescent="0.2">
      <c r="A27" s="52" t="s">
        <v>404</v>
      </c>
      <c r="B27" s="69"/>
      <c r="C27" s="52"/>
      <c r="D27" s="52"/>
      <c r="E27" s="52"/>
      <c r="F27" s="52"/>
      <c r="G27" t="s">
        <v>402</v>
      </c>
    </row>
    <row r="28" spans="1:7" ht="6" customHeight="1" x14ac:dyDescent="0.2">
      <c r="A28" s="52"/>
      <c r="B28" s="52"/>
      <c r="C28" s="52"/>
      <c r="D28" s="52"/>
      <c r="E28" s="52"/>
      <c r="F28" s="52"/>
    </row>
    <row r="29" spans="1:7" x14ac:dyDescent="0.2">
      <c r="A29" s="52" t="s">
        <v>405</v>
      </c>
      <c r="B29" s="53"/>
      <c r="C29" s="52"/>
      <c r="D29" s="52"/>
      <c r="E29" s="52"/>
      <c r="F29" s="52"/>
    </row>
    <row r="30" spans="1:7" x14ac:dyDescent="0.2">
      <c r="A30" s="52" t="s">
        <v>406</v>
      </c>
      <c r="B30" s="53"/>
      <c r="C30" s="52"/>
      <c r="D30" s="52"/>
      <c r="E30" s="52"/>
      <c r="F30" s="52"/>
    </row>
    <row r="31" spans="1:7" x14ac:dyDescent="0.2">
      <c r="A31" s="52" t="s">
        <v>407</v>
      </c>
      <c r="B31" s="53"/>
      <c r="C31" s="52"/>
      <c r="D31" s="52"/>
      <c r="E31" s="52"/>
      <c r="F31" s="52"/>
    </row>
    <row r="32" spans="1:7" x14ac:dyDescent="0.2">
      <c r="A32" s="52" t="s">
        <v>408</v>
      </c>
      <c r="B32" s="53"/>
      <c r="C32" s="53"/>
      <c r="D32" s="53"/>
      <c r="E32" s="53"/>
      <c r="F32" s="53"/>
      <c r="G32" s="71" t="s">
        <v>344</v>
      </c>
    </row>
    <row r="33" spans="1:7" x14ac:dyDescent="0.2">
      <c r="A33" s="52" t="s">
        <v>409</v>
      </c>
      <c r="B33" s="53"/>
      <c r="C33" s="53"/>
      <c r="D33" s="53"/>
      <c r="E33" s="53"/>
      <c r="F33" s="53"/>
      <c r="G33" s="71" t="s">
        <v>344</v>
      </c>
    </row>
    <row r="34" spans="1:7" ht="11.25" customHeight="1" x14ac:dyDescent="0.2">
      <c r="A34" s="52"/>
      <c r="B34" s="52"/>
      <c r="C34" s="52"/>
      <c r="D34" s="52"/>
      <c r="E34" s="52"/>
      <c r="F34" s="52"/>
    </row>
    <row r="35" spans="1:7" x14ac:dyDescent="0.2">
      <c r="A35" s="52" t="s">
        <v>452</v>
      </c>
      <c r="B35" s="51">
        <v>0.84199999999999997</v>
      </c>
      <c r="C35" s="51">
        <v>2E-3</v>
      </c>
      <c r="D35" s="64">
        <v>0.83807999999999905</v>
      </c>
      <c r="E35" s="64">
        <v>0.84592000000000001</v>
      </c>
      <c r="F35" s="64" t="s">
        <v>459</v>
      </c>
      <c r="G35" t="s">
        <v>457</v>
      </c>
    </row>
    <row r="36" spans="1:7" x14ac:dyDescent="0.2">
      <c r="A36" s="52" t="s">
        <v>453</v>
      </c>
      <c r="B36" s="51">
        <v>0.77900000000000003</v>
      </c>
      <c r="C36" s="51">
        <v>0.01</v>
      </c>
      <c r="D36" s="64">
        <v>0.75939999999999996</v>
      </c>
      <c r="E36" s="64">
        <v>0.79859999999999998</v>
      </c>
      <c r="F36" s="64" t="s">
        <v>459</v>
      </c>
      <c r="G36" t="s">
        <v>457</v>
      </c>
    </row>
    <row r="37" spans="1:7" x14ac:dyDescent="0.2">
      <c r="A37" s="52" t="s">
        <v>454</v>
      </c>
      <c r="B37" s="51">
        <v>0.82099999999999995</v>
      </c>
      <c r="C37" s="51">
        <v>3.7999999999999999E-2</v>
      </c>
      <c r="D37" s="64">
        <v>0.74651999999999996</v>
      </c>
      <c r="E37" s="64">
        <v>0.89547999999999905</v>
      </c>
      <c r="F37" s="64" t="s">
        <v>459</v>
      </c>
      <c r="G37" t="s">
        <v>457</v>
      </c>
    </row>
    <row r="38" spans="1:7" x14ac:dyDescent="0.2">
      <c r="A38" s="52" t="s">
        <v>455</v>
      </c>
      <c r="B38" s="51">
        <v>0.70299999999999996</v>
      </c>
      <c r="C38" s="51">
        <v>0.01</v>
      </c>
      <c r="D38" s="64">
        <v>0.68340000000000001</v>
      </c>
      <c r="E38" s="64">
        <v>0.72259999999999902</v>
      </c>
      <c r="F38" s="64" t="s">
        <v>459</v>
      </c>
      <c r="G38" t="s">
        <v>457</v>
      </c>
    </row>
    <row r="39" spans="1:7" x14ac:dyDescent="0.2">
      <c r="A39" s="52" t="s">
        <v>456</v>
      </c>
      <c r="B39" s="51">
        <v>0.70299999999999996</v>
      </c>
      <c r="C39" s="51">
        <v>3.7999999999999999E-2</v>
      </c>
      <c r="D39" s="64">
        <v>0.62851999999999997</v>
      </c>
      <c r="E39" s="64">
        <v>0.77747999999999995</v>
      </c>
      <c r="F39" s="64" t="s">
        <v>459</v>
      </c>
      <c r="G39" t="s">
        <v>457</v>
      </c>
    </row>
    <row r="40" spans="1:7" x14ac:dyDescent="0.2">
      <c r="A40" s="52"/>
      <c r="B40" s="52"/>
      <c r="C40" s="52"/>
      <c r="D40" s="52"/>
      <c r="E40" s="52"/>
      <c r="F40" s="52"/>
    </row>
    <row r="41" spans="1:7" x14ac:dyDescent="0.2">
      <c r="A41" s="52"/>
      <c r="B41" s="52"/>
      <c r="C41" s="52"/>
      <c r="D41" s="52"/>
      <c r="E41" s="52"/>
      <c r="F41" s="52"/>
    </row>
    <row r="42" spans="1:7" x14ac:dyDescent="0.2">
      <c r="A42" s="52"/>
      <c r="B42" s="52"/>
      <c r="C42" s="52"/>
      <c r="D42" s="52"/>
      <c r="E42" s="52"/>
      <c r="F42" s="52"/>
    </row>
    <row r="43" spans="1:7" x14ac:dyDescent="0.2">
      <c r="A43" s="52"/>
      <c r="B43" s="52"/>
      <c r="C43" s="52"/>
      <c r="D43" s="52"/>
      <c r="E43" s="52"/>
      <c r="F43" s="52"/>
    </row>
    <row r="44" spans="1:7" x14ac:dyDescent="0.2">
      <c r="A44" s="52"/>
      <c r="B44" s="52"/>
      <c r="C44" s="52"/>
      <c r="D44" s="52"/>
      <c r="E44" s="52"/>
      <c r="F44" s="52"/>
    </row>
    <row r="45" spans="1:7" x14ac:dyDescent="0.2">
      <c r="A45" s="52"/>
      <c r="B45" s="52"/>
      <c r="C45" s="52"/>
      <c r="D45" s="52"/>
      <c r="E45" s="52"/>
      <c r="F45" s="52"/>
    </row>
    <row r="46" spans="1:7" x14ac:dyDescent="0.2">
      <c r="A46" s="52"/>
      <c r="B46" s="52"/>
      <c r="C46" s="52"/>
      <c r="D46" s="52"/>
      <c r="E46" s="52"/>
      <c r="F46" s="52"/>
    </row>
  </sheetData>
  <mergeCells count="1">
    <mergeCell ref="D1:E1"/>
  </mergeCells>
  <phoneticPr fontId="4" type="noConversion"/>
  <hyperlinks>
    <hyperlink ref="H4" r:id="rId1" display="https://doi.org/10.1161/jaha.124.034414" xr:uid="{48D448B9-AE66-47A6-BE78-10248833A54A}"/>
    <hyperlink ref="H5:H6" r:id="rId2" display="https://doi.org/10.1161/jaha.124.034414" xr:uid="{663575C2-49D4-448C-81C7-8723C54A4564}"/>
  </hyperlink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F0CF-F9F3-4860-8E1D-8B64CEEB54E7}">
  <dimension ref="C3:R12"/>
  <sheetViews>
    <sheetView workbookViewId="0">
      <selection activeCell="I18" sqref="I18"/>
    </sheetView>
  </sheetViews>
  <sheetFormatPr baseColWidth="10" defaultColWidth="8.83203125" defaultRowHeight="15" x14ac:dyDescent="0.2"/>
  <sheetData>
    <row r="3" spans="3:18" ht="16" thickBot="1" x14ac:dyDescent="0.25"/>
    <row r="4" spans="3:18" x14ac:dyDescent="0.2">
      <c r="C4" s="589" t="s">
        <v>469</v>
      </c>
      <c r="D4" s="590"/>
      <c r="E4" s="590"/>
      <c r="F4" s="591"/>
      <c r="G4" s="56"/>
      <c r="H4" s="56"/>
      <c r="I4" s="56"/>
      <c r="J4" s="56"/>
      <c r="K4" s="56"/>
      <c r="L4" s="56"/>
      <c r="M4" s="56"/>
      <c r="N4" s="56"/>
      <c r="O4" s="56"/>
      <c r="P4" s="56"/>
      <c r="Q4" s="56"/>
      <c r="R4" s="57"/>
    </row>
    <row r="5" spans="3:18" x14ac:dyDescent="0.2">
      <c r="C5" s="58" t="s">
        <v>354</v>
      </c>
      <c r="D5" s="52" t="s">
        <v>464</v>
      </c>
      <c r="E5" s="52" t="s">
        <v>340</v>
      </c>
      <c r="F5" s="52" t="s">
        <v>465</v>
      </c>
      <c r="G5" s="52" t="s">
        <v>364</v>
      </c>
      <c r="H5" s="52" t="s">
        <v>355</v>
      </c>
      <c r="I5" s="52" t="s">
        <v>356</v>
      </c>
      <c r="J5" s="52" t="s">
        <v>365</v>
      </c>
      <c r="K5" s="52" t="s">
        <v>355</v>
      </c>
      <c r="L5" s="52" t="s">
        <v>356</v>
      </c>
      <c r="M5" s="52" t="s">
        <v>357</v>
      </c>
      <c r="N5" s="52" t="s">
        <v>355</v>
      </c>
      <c r="O5" s="52" t="s">
        <v>334</v>
      </c>
      <c r="P5" s="52" t="s">
        <v>358</v>
      </c>
      <c r="Q5" s="52" t="s">
        <v>355</v>
      </c>
      <c r="R5" s="59" t="s">
        <v>334</v>
      </c>
    </row>
    <row r="6" spans="3:18" x14ac:dyDescent="0.2">
      <c r="C6" s="58" t="s">
        <v>359</v>
      </c>
      <c r="D6" s="52">
        <v>1023</v>
      </c>
      <c r="E6" s="52">
        <v>406</v>
      </c>
      <c r="F6" s="52">
        <v>1158</v>
      </c>
      <c r="G6" s="52"/>
      <c r="H6" s="52"/>
      <c r="I6" s="52"/>
      <c r="J6" s="52"/>
      <c r="K6" s="52"/>
      <c r="L6" s="52"/>
      <c r="M6" s="52"/>
      <c r="N6" s="52"/>
      <c r="O6" s="52"/>
      <c r="P6" s="52"/>
      <c r="Q6" s="52"/>
      <c r="R6" s="59"/>
    </row>
    <row r="7" spans="3:18" x14ac:dyDescent="0.2">
      <c r="C7" s="58" t="s">
        <v>360</v>
      </c>
      <c r="D7" s="64">
        <f>22/D6</f>
        <v>2.1505376344086023E-2</v>
      </c>
      <c r="E7" s="64">
        <f>9/E6</f>
        <v>2.2167487684729065E-2</v>
      </c>
      <c r="F7" s="64">
        <f>39/F6</f>
        <v>3.367875647668394E-2</v>
      </c>
      <c r="G7" s="55">
        <v>1.26</v>
      </c>
      <c r="H7" s="52">
        <v>0.56000000000000005</v>
      </c>
      <c r="I7" s="52">
        <v>2.87</v>
      </c>
      <c r="J7" s="55">
        <v>1.99</v>
      </c>
      <c r="K7" s="52">
        <v>1.1100000000000001</v>
      </c>
      <c r="L7" s="52">
        <v>3.57</v>
      </c>
      <c r="M7" s="52">
        <f t="shared" ref="M7:M12" si="0">D7*G7</f>
        <v>2.709677419354839E-2</v>
      </c>
      <c r="N7" s="52">
        <f t="shared" ref="N7:N12" si="1">D7*H7</f>
        <v>1.2043010752688174E-2</v>
      </c>
      <c r="O7" s="52">
        <f t="shared" ref="O7:O12" si="2">D7*I7</f>
        <v>6.172043010752689E-2</v>
      </c>
      <c r="P7" s="52">
        <f t="shared" ref="P7:P12" si="3">D7*J7</f>
        <v>4.2795698924731188E-2</v>
      </c>
      <c r="Q7" s="52">
        <f t="shared" ref="Q7:Q12" si="4">D7*N7</f>
        <v>2.5898947855243384E-4</v>
      </c>
      <c r="R7" s="59">
        <f t="shared" ref="R7:R12" si="5">D7*O7</f>
        <v>1.3273210775812236E-3</v>
      </c>
    </row>
    <row r="8" spans="3:18" x14ac:dyDescent="0.2">
      <c r="C8" s="58" t="s">
        <v>361</v>
      </c>
      <c r="D8" s="64">
        <f>62/D6</f>
        <v>6.0606060606060608E-2</v>
      </c>
      <c r="E8" s="64">
        <f>39/E6</f>
        <v>9.6059113300492605E-2</v>
      </c>
      <c r="F8" s="64">
        <f>107/F6</f>
        <v>9.2400690846286701E-2</v>
      </c>
      <c r="G8" s="55">
        <v>1.9</v>
      </c>
      <c r="H8" s="52">
        <v>1.26</v>
      </c>
      <c r="I8" s="52">
        <v>2.88</v>
      </c>
      <c r="J8" s="55">
        <v>1.53</v>
      </c>
      <c r="K8" s="52">
        <v>1.0900000000000001</v>
      </c>
      <c r="L8" s="52">
        <v>2.15</v>
      </c>
      <c r="M8" s="52">
        <f t="shared" si="0"/>
        <v>0.11515151515151514</v>
      </c>
      <c r="N8" s="52">
        <f t="shared" si="1"/>
        <v>7.636363636363637E-2</v>
      </c>
      <c r="O8" s="52">
        <f t="shared" si="2"/>
        <v>0.17454545454545453</v>
      </c>
      <c r="P8" s="52">
        <f t="shared" si="3"/>
        <v>9.2727272727272728E-2</v>
      </c>
      <c r="Q8" s="52">
        <f t="shared" si="4"/>
        <v>4.6280991735537192E-3</v>
      </c>
      <c r="R8" s="59">
        <f t="shared" si="5"/>
        <v>1.0578512396694214E-2</v>
      </c>
    </row>
    <row r="9" spans="3:18" x14ac:dyDescent="0.2">
      <c r="C9" s="58" t="s">
        <v>362</v>
      </c>
      <c r="D9" s="64">
        <f>31/D6</f>
        <v>3.0303030303030304E-2</v>
      </c>
      <c r="E9" s="64">
        <f>7/E6</f>
        <v>1.7241379310344827E-2</v>
      </c>
      <c r="F9" s="64">
        <f>22/F6</f>
        <v>1.8998272884283247E-2</v>
      </c>
      <c r="G9" s="55">
        <v>1.3</v>
      </c>
      <c r="H9" s="52">
        <v>0.54</v>
      </c>
      <c r="I9" s="52">
        <v>3.17</v>
      </c>
      <c r="J9" s="55">
        <v>0.92</v>
      </c>
      <c r="K9" s="52">
        <v>0.51</v>
      </c>
      <c r="L9" s="52">
        <v>1.67</v>
      </c>
      <c r="M9" s="52">
        <f t="shared" si="0"/>
        <v>3.9393939393939398E-2</v>
      </c>
      <c r="N9" s="52">
        <f t="shared" si="1"/>
        <v>1.6363636363636365E-2</v>
      </c>
      <c r="O9" s="52">
        <f t="shared" si="2"/>
        <v>9.6060606060606055E-2</v>
      </c>
      <c r="P9" s="52">
        <f t="shared" si="3"/>
        <v>2.7878787878787881E-2</v>
      </c>
      <c r="Q9" s="52">
        <f t="shared" si="4"/>
        <v>4.9586776859504133E-4</v>
      </c>
      <c r="R9" s="59">
        <f t="shared" si="5"/>
        <v>2.9109274563820019E-3</v>
      </c>
    </row>
    <row r="10" spans="3:18" x14ac:dyDescent="0.2">
      <c r="C10" s="58" t="s">
        <v>363</v>
      </c>
      <c r="D10" s="64">
        <f>15/D6</f>
        <v>1.466275659824047E-2</v>
      </c>
      <c r="E10" s="64">
        <f>4/E6</f>
        <v>9.852216748768473E-3</v>
      </c>
      <c r="F10" s="64">
        <f>8/F6</f>
        <v>6.9084628670120895E-3</v>
      </c>
      <c r="G10" s="55">
        <v>1.48</v>
      </c>
      <c r="H10" s="52">
        <v>0.45</v>
      </c>
      <c r="I10" s="52">
        <v>4.87</v>
      </c>
      <c r="J10" s="55">
        <v>0.6</v>
      </c>
      <c r="K10" s="52">
        <v>0.24</v>
      </c>
      <c r="L10" s="52">
        <v>1.52</v>
      </c>
      <c r="M10" s="52">
        <f t="shared" si="0"/>
        <v>2.1700879765395895E-2</v>
      </c>
      <c r="N10" s="52">
        <f t="shared" si="1"/>
        <v>6.5982404692082114E-3</v>
      </c>
      <c r="O10" s="52">
        <f t="shared" si="2"/>
        <v>7.1407624633431088E-2</v>
      </c>
      <c r="P10" s="52">
        <f t="shared" si="3"/>
        <v>8.7976539589442824E-3</v>
      </c>
      <c r="Q10" s="52">
        <f t="shared" si="4"/>
        <v>9.6748393976660001E-5</v>
      </c>
      <c r="R10" s="59">
        <f t="shared" si="5"/>
        <v>1.0470326192585204E-3</v>
      </c>
    </row>
    <row r="11" spans="3:18" x14ac:dyDescent="0.2">
      <c r="C11" s="58" t="s">
        <v>348</v>
      </c>
      <c r="D11" s="64">
        <f>27/D6</f>
        <v>2.6392961876832845E-2</v>
      </c>
      <c r="E11" s="64">
        <f>12/E6</f>
        <v>2.9556650246305417E-2</v>
      </c>
      <c r="F11" s="64">
        <f>33/F6</f>
        <v>2.8497409326424871E-2</v>
      </c>
      <c r="G11" s="55">
        <v>1.2</v>
      </c>
      <c r="H11" s="52">
        <v>0.6</v>
      </c>
      <c r="I11" s="52">
        <v>2.42</v>
      </c>
      <c r="J11" s="55">
        <v>1.22</v>
      </c>
      <c r="K11" s="52">
        <v>0.69</v>
      </c>
      <c r="L11" s="52">
        <v>2.14</v>
      </c>
      <c r="M11" s="52">
        <f t="shared" si="0"/>
        <v>3.1671554252199412E-2</v>
      </c>
      <c r="N11" s="52">
        <f t="shared" si="1"/>
        <v>1.5835777126099706E-2</v>
      </c>
      <c r="O11" s="52">
        <f t="shared" si="2"/>
        <v>6.3870967741935486E-2</v>
      </c>
      <c r="P11" s="52">
        <f t="shared" si="3"/>
        <v>3.2199413489736067E-2</v>
      </c>
      <c r="Q11" s="52">
        <f t="shared" si="4"/>
        <v>4.1795306197917113E-4</v>
      </c>
      <c r="R11" s="59">
        <f t="shared" si="5"/>
        <v>1.6857440166493237E-3</v>
      </c>
    </row>
    <row r="12" spans="3:18" ht="16" thickBot="1" x14ac:dyDescent="0.25">
      <c r="C12" s="60" t="s">
        <v>349</v>
      </c>
      <c r="D12" s="64">
        <f>2/D6</f>
        <v>1.9550342130987292E-3</v>
      </c>
      <c r="E12" s="64">
        <f>1/E6</f>
        <v>2.4630541871921183E-3</v>
      </c>
      <c r="F12" s="64">
        <f>2/F6</f>
        <v>1.7271157167530224E-3</v>
      </c>
      <c r="G12" s="62">
        <v>0.71</v>
      </c>
      <c r="H12" s="61">
        <v>0.03</v>
      </c>
      <c r="I12" s="61">
        <v>16.21</v>
      </c>
      <c r="J12" s="62">
        <v>0.83</v>
      </c>
      <c r="K12" s="61">
        <v>0.06</v>
      </c>
      <c r="L12" s="61">
        <v>11.21</v>
      </c>
      <c r="M12" s="61">
        <f t="shared" si="0"/>
        <v>1.3880742913000978E-3</v>
      </c>
      <c r="N12" s="61">
        <f t="shared" si="1"/>
        <v>5.8651026392961877E-5</v>
      </c>
      <c r="O12" s="61">
        <f t="shared" si="2"/>
        <v>3.1691104594330402E-2</v>
      </c>
      <c r="P12" s="61">
        <f t="shared" si="3"/>
        <v>1.6226783968719453E-3</v>
      </c>
      <c r="Q12" s="61">
        <f t="shared" si="4"/>
        <v>1.1466476323159702E-7</v>
      </c>
      <c r="R12" s="63">
        <f t="shared" si="5"/>
        <v>6.1957193732806263E-5</v>
      </c>
    </row>
  </sheetData>
  <mergeCells count="1">
    <mergeCell ref="C4:F4"/>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9882D-F387-4F3A-9C49-D984EAA218E4}">
  <dimension ref="A7:A24"/>
  <sheetViews>
    <sheetView workbookViewId="0">
      <selection activeCell="C5" sqref="C5"/>
    </sheetView>
  </sheetViews>
  <sheetFormatPr baseColWidth="10" defaultColWidth="8.6640625" defaultRowHeight="15" x14ac:dyDescent="0.2"/>
  <cols>
    <col min="1" max="1" width="15.83203125" customWidth="1"/>
    <col min="2" max="2" width="31.5" customWidth="1"/>
  </cols>
  <sheetData>
    <row r="7" spans="1:1" x14ac:dyDescent="0.2">
      <c r="A7" s="249"/>
    </row>
    <row r="24" spans="1:1" x14ac:dyDescent="0.2">
      <c r="A24" s="8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672E-F3BB-4815-891B-E4333BEAE9C9}">
  <sheetPr codeName="Sheet10"/>
  <dimension ref="D1:Y134"/>
  <sheetViews>
    <sheetView showGridLines="0" zoomScale="85" zoomScaleNormal="85" workbookViewId="0">
      <selection activeCell="W18" sqref="W18"/>
    </sheetView>
  </sheetViews>
  <sheetFormatPr baseColWidth="10" defaultColWidth="8.83203125" defaultRowHeight="15" x14ac:dyDescent="0.2"/>
  <cols>
    <col min="4" max="6" width="8.83203125" style="47"/>
    <col min="7" max="7" width="2.1640625" customWidth="1"/>
    <col min="8" max="8" width="8.83203125" style="82" customWidth="1"/>
    <col min="9" max="9" width="8.83203125" style="82"/>
    <col min="10" max="10" width="2.5" customWidth="1"/>
    <col min="11" max="13" width="8.83203125" style="83"/>
    <col min="14" max="14" width="2.1640625" customWidth="1"/>
    <col min="15" max="20" width="8.83203125" style="85"/>
    <col min="21" max="21" width="2.1640625" customWidth="1"/>
  </cols>
  <sheetData>
    <row r="1" spans="4:25" x14ac:dyDescent="0.2">
      <c r="D1"/>
      <c r="E1"/>
      <c r="F1"/>
      <c r="H1"/>
      <c r="I1"/>
      <c r="K1"/>
      <c r="L1"/>
      <c r="M1"/>
      <c r="O1"/>
      <c r="P1"/>
      <c r="Q1"/>
      <c r="R1"/>
      <c r="S1"/>
      <c r="T1"/>
    </row>
    <row r="2" spans="4:25" x14ac:dyDescent="0.2">
      <c r="V2" s="592" t="s">
        <v>476</v>
      </c>
      <c r="W2" s="592"/>
      <c r="X2" s="592"/>
      <c r="Y2" s="592"/>
    </row>
    <row r="3" spans="4:25" ht="21" x14ac:dyDescent="0.25">
      <c r="D3" s="598" t="s">
        <v>473</v>
      </c>
      <c r="E3" s="598"/>
      <c r="F3" s="598"/>
      <c r="G3" s="84"/>
      <c r="H3" s="596" t="s">
        <v>471</v>
      </c>
      <c r="I3" s="596"/>
      <c r="J3" s="84"/>
      <c r="K3" s="599" t="s">
        <v>472</v>
      </c>
      <c r="L3" s="599"/>
      <c r="M3" s="599"/>
      <c r="O3" s="594" t="s">
        <v>474</v>
      </c>
      <c r="P3" s="594"/>
      <c r="Q3" s="594"/>
      <c r="R3" s="594"/>
      <c r="S3" s="594"/>
      <c r="T3" s="594"/>
      <c r="V3" s="85"/>
      <c r="W3" s="85"/>
      <c r="X3" s="85"/>
      <c r="Y3" s="85"/>
    </row>
    <row r="4" spans="4:25" x14ac:dyDescent="0.2">
      <c r="D4" s="81"/>
      <c r="K4" s="597"/>
      <c r="L4" s="597"/>
      <c r="M4" s="597"/>
      <c r="V4" s="85"/>
      <c r="W4" s="85"/>
      <c r="X4" s="85"/>
      <c r="Y4" s="85"/>
    </row>
    <row r="5" spans="4:25" x14ac:dyDescent="0.2">
      <c r="D5" s="81"/>
      <c r="V5" s="85"/>
      <c r="W5" s="85"/>
      <c r="X5" s="85"/>
      <c r="Y5" s="85"/>
    </row>
    <row r="6" spans="4:25" x14ac:dyDescent="0.2">
      <c r="D6" s="81"/>
      <c r="V6" s="85"/>
      <c r="W6" s="85"/>
      <c r="X6" s="85"/>
      <c r="Y6" s="85"/>
    </row>
    <row r="7" spans="4:25" x14ac:dyDescent="0.2">
      <c r="D7" s="81"/>
      <c r="V7" s="85"/>
      <c r="W7" s="85"/>
      <c r="X7" s="85"/>
      <c r="Y7" s="85"/>
    </row>
    <row r="8" spans="4:25" x14ac:dyDescent="0.2">
      <c r="V8" s="85"/>
      <c r="W8" s="85"/>
      <c r="X8" s="85"/>
      <c r="Y8" s="85"/>
    </row>
    <row r="9" spans="4:25" x14ac:dyDescent="0.2">
      <c r="V9" s="85"/>
      <c r="W9" s="85"/>
      <c r="X9" s="85"/>
      <c r="Y9" s="85"/>
    </row>
    <row r="10" spans="4:25" x14ac:dyDescent="0.2">
      <c r="V10" s="85"/>
      <c r="W10" s="100"/>
      <c r="X10" s="85"/>
      <c r="Y10" s="85"/>
    </row>
    <row r="11" spans="4:25" x14ac:dyDescent="0.2">
      <c r="V11" s="85"/>
      <c r="W11" s="85"/>
      <c r="X11" s="85"/>
      <c r="Y11" s="85"/>
    </row>
    <row r="12" spans="4:25" x14ac:dyDescent="0.2">
      <c r="V12" s="85"/>
      <c r="W12" s="85"/>
      <c r="X12" s="85"/>
      <c r="Y12" s="85"/>
    </row>
    <row r="13" spans="4:25" x14ac:dyDescent="0.2">
      <c r="V13" s="85"/>
      <c r="W13" s="85"/>
      <c r="X13" s="85"/>
      <c r="Y13" s="85"/>
    </row>
    <row r="14" spans="4:25" x14ac:dyDescent="0.2">
      <c r="V14" s="85"/>
      <c r="W14" s="85"/>
      <c r="X14" s="85"/>
      <c r="Y14" s="85"/>
    </row>
    <row r="15" spans="4:25" x14ac:dyDescent="0.2">
      <c r="V15" s="85"/>
      <c r="W15" s="85"/>
      <c r="X15" s="85"/>
      <c r="Y15" s="85"/>
    </row>
    <row r="16" spans="4:25" x14ac:dyDescent="0.2">
      <c r="D16"/>
      <c r="E16"/>
      <c r="F16"/>
      <c r="H16"/>
      <c r="I16"/>
      <c r="K16"/>
      <c r="L16"/>
      <c r="M16"/>
      <c r="O16"/>
      <c r="P16"/>
      <c r="Q16"/>
      <c r="R16"/>
      <c r="S16"/>
      <c r="T16"/>
    </row>
    <row r="17" spans="4:25" x14ac:dyDescent="0.2">
      <c r="D17"/>
      <c r="E17"/>
      <c r="F17"/>
      <c r="H17"/>
      <c r="I17"/>
      <c r="K17"/>
      <c r="L17"/>
      <c r="M17"/>
      <c r="O17"/>
      <c r="P17"/>
      <c r="Q17"/>
      <c r="R17"/>
      <c r="S17"/>
      <c r="T17"/>
    </row>
    <row r="18" spans="4:25" x14ac:dyDescent="0.2">
      <c r="D18"/>
      <c r="E18"/>
      <c r="F18"/>
      <c r="H18"/>
      <c r="I18"/>
      <c r="K18"/>
      <c r="L18"/>
      <c r="M18"/>
      <c r="O18"/>
      <c r="P18"/>
      <c r="Q18"/>
      <c r="R18"/>
      <c r="S18"/>
      <c r="T18"/>
    </row>
    <row r="19" spans="4:25" x14ac:dyDescent="0.2">
      <c r="D19"/>
      <c r="E19"/>
      <c r="F19"/>
      <c r="H19"/>
      <c r="I19"/>
      <c r="K19"/>
      <c r="L19"/>
      <c r="M19"/>
      <c r="O19"/>
      <c r="P19"/>
      <c r="Q19"/>
      <c r="R19"/>
      <c r="S19"/>
      <c r="T19"/>
    </row>
    <row r="20" spans="4:25" x14ac:dyDescent="0.2">
      <c r="D20"/>
      <c r="E20"/>
      <c r="F20"/>
      <c r="H20"/>
      <c r="I20"/>
      <c r="K20"/>
      <c r="L20"/>
      <c r="M20"/>
      <c r="O20"/>
      <c r="P20"/>
      <c r="Q20"/>
      <c r="R20"/>
      <c r="S20"/>
      <c r="T20"/>
    </row>
    <row r="21" spans="4:25" x14ac:dyDescent="0.2">
      <c r="D21"/>
      <c r="E21"/>
      <c r="F21"/>
      <c r="H21"/>
      <c r="I21"/>
      <c r="K21"/>
      <c r="L21"/>
      <c r="M21"/>
      <c r="O21"/>
      <c r="P21"/>
      <c r="Q21"/>
      <c r="R21"/>
      <c r="S21"/>
      <c r="T21"/>
    </row>
    <row r="22" spans="4:25" x14ac:dyDescent="0.2">
      <c r="D22"/>
      <c r="E22"/>
      <c r="F22"/>
      <c r="H22"/>
      <c r="I22"/>
      <c r="K22"/>
      <c r="L22"/>
      <c r="M22"/>
      <c r="O22"/>
      <c r="P22"/>
      <c r="Q22"/>
      <c r="R22"/>
      <c r="S22"/>
      <c r="T22"/>
      <c r="V22" s="593" t="s">
        <v>476</v>
      </c>
      <c r="W22" s="593"/>
      <c r="X22" s="593"/>
      <c r="Y22" s="593"/>
    </row>
    <row r="23" spans="4:25" ht="19" x14ac:dyDescent="0.25">
      <c r="D23" s="595" t="s">
        <v>473</v>
      </c>
      <c r="E23" s="595"/>
      <c r="F23" s="595"/>
      <c r="H23" s="596" t="s">
        <v>471</v>
      </c>
      <c r="I23" s="596"/>
      <c r="J23" s="82"/>
      <c r="K23" s="82"/>
      <c r="L23" s="597" t="s">
        <v>475</v>
      </c>
      <c r="M23" s="597"/>
      <c r="V23" s="85"/>
      <c r="W23" s="85"/>
      <c r="X23" s="85"/>
      <c r="Y23" s="85"/>
    </row>
    <row r="24" spans="4:25" x14ac:dyDescent="0.2">
      <c r="D24" s="86"/>
      <c r="E24" s="86"/>
      <c r="F24" s="86"/>
      <c r="J24" s="82"/>
      <c r="K24" s="82"/>
      <c r="V24" s="85"/>
      <c r="W24" s="85"/>
      <c r="X24" s="85"/>
      <c r="Y24" s="85"/>
    </row>
    <row r="25" spans="4:25" x14ac:dyDescent="0.2">
      <c r="D25" s="86"/>
      <c r="E25" s="86"/>
      <c r="F25" s="86"/>
      <c r="J25" s="82"/>
      <c r="K25" s="82"/>
      <c r="V25" s="85"/>
      <c r="W25" s="85"/>
      <c r="X25" s="85"/>
      <c r="Y25" s="85"/>
    </row>
    <row r="26" spans="4:25" x14ac:dyDescent="0.2">
      <c r="D26" s="86"/>
      <c r="E26" s="86"/>
      <c r="F26" s="86"/>
      <c r="J26" s="82"/>
      <c r="K26" s="82"/>
      <c r="V26" s="85"/>
      <c r="W26" s="85"/>
      <c r="X26" s="85"/>
      <c r="Y26" s="85"/>
    </row>
    <row r="27" spans="4:25" x14ac:dyDescent="0.2">
      <c r="D27" s="86"/>
      <c r="E27" s="86"/>
      <c r="F27" s="86"/>
      <c r="J27" s="82"/>
      <c r="K27" s="82"/>
      <c r="V27" s="85"/>
      <c r="W27" s="85"/>
      <c r="X27" s="85"/>
      <c r="Y27" s="85"/>
    </row>
    <row r="28" spans="4:25" x14ac:dyDescent="0.2">
      <c r="D28" s="86"/>
      <c r="E28" s="86"/>
      <c r="F28" s="86"/>
      <c r="J28" s="82"/>
      <c r="K28" s="82"/>
      <c r="V28" s="85"/>
      <c r="W28" s="85"/>
      <c r="X28" s="85"/>
      <c r="Y28" s="85"/>
    </row>
    <row r="29" spans="4:25" x14ac:dyDescent="0.2">
      <c r="D29" s="86"/>
      <c r="E29" s="86"/>
      <c r="F29" s="86"/>
      <c r="J29" s="82"/>
      <c r="K29" s="82"/>
      <c r="V29" s="85"/>
      <c r="W29" s="85"/>
      <c r="X29" s="85"/>
      <c r="Y29" s="85"/>
    </row>
    <row r="30" spans="4:25" x14ac:dyDescent="0.2">
      <c r="D30" s="86"/>
      <c r="E30" s="86"/>
      <c r="F30" s="86"/>
      <c r="J30" s="82"/>
      <c r="K30" s="82"/>
      <c r="V30" s="85"/>
      <c r="W30" s="85"/>
      <c r="X30" s="85"/>
      <c r="Y30" s="85"/>
    </row>
    <row r="31" spans="4:25" x14ac:dyDescent="0.2">
      <c r="D31" s="86"/>
      <c r="E31" s="86"/>
      <c r="F31" s="86"/>
      <c r="J31" s="82"/>
      <c r="K31" s="82"/>
      <c r="V31" s="85"/>
      <c r="W31" s="85"/>
      <c r="X31" s="85"/>
      <c r="Y31" s="85"/>
    </row>
    <row r="32" spans="4:25" x14ac:dyDescent="0.2">
      <c r="D32" s="86"/>
      <c r="E32" s="86"/>
      <c r="F32" s="86"/>
      <c r="J32" s="82"/>
      <c r="K32" s="82"/>
      <c r="V32" s="85"/>
      <c r="W32" s="85"/>
      <c r="X32" s="85"/>
      <c r="Y32" s="85"/>
    </row>
    <row r="33" spans="4:25" x14ac:dyDescent="0.2">
      <c r="D33" s="86"/>
      <c r="E33" s="86"/>
      <c r="F33" s="86"/>
      <c r="J33" s="82"/>
      <c r="K33" s="82"/>
      <c r="V33" s="85"/>
      <c r="W33" s="85"/>
      <c r="X33" s="85"/>
      <c r="Y33" s="85"/>
    </row>
    <row r="34" spans="4:25" x14ac:dyDescent="0.2">
      <c r="D34" s="86"/>
      <c r="E34" s="86"/>
      <c r="F34" s="86"/>
      <c r="J34" s="82"/>
      <c r="K34" s="82"/>
      <c r="V34" s="85"/>
      <c r="W34" s="85"/>
      <c r="X34" s="85"/>
      <c r="Y34" s="85"/>
    </row>
    <row r="35" spans="4:25" x14ac:dyDescent="0.2">
      <c r="D35" s="86"/>
      <c r="E35" s="86"/>
      <c r="F35" s="86"/>
      <c r="J35" s="82"/>
      <c r="K35" s="82"/>
      <c r="V35" s="85"/>
      <c r="W35" s="85"/>
      <c r="X35" s="85"/>
      <c r="Y35" s="85"/>
    </row>
    <row r="36" spans="4:25" x14ac:dyDescent="0.2">
      <c r="D36" s="86"/>
      <c r="E36" s="86"/>
      <c r="F36" s="86"/>
      <c r="J36" s="82"/>
      <c r="K36" s="82"/>
      <c r="V36" s="85"/>
      <c r="W36" s="85"/>
      <c r="X36" s="85"/>
      <c r="Y36" s="85"/>
    </row>
    <row r="37" spans="4:25" x14ac:dyDescent="0.2">
      <c r="D37"/>
      <c r="E37"/>
      <c r="F37"/>
      <c r="H37"/>
      <c r="I37"/>
      <c r="K37"/>
      <c r="L37"/>
      <c r="M37"/>
      <c r="O37"/>
      <c r="P37"/>
      <c r="Q37"/>
      <c r="R37"/>
      <c r="S37"/>
      <c r="T37"/>
    </row>
    <row r="38" spans="4:25" x14ac:dyDescent="0.2">
      <c r="D38"/>
      <c r="E38"/>
      <c r="F38"/>
      <c r="H38"/>
      <c r="I38"/>
      <c r="K38"/>
      <c r="L38"/>
      <c r="M38"/>
      <c r="O38"/>
      <c r="P38"/>
      <c r="Q38"/>
      <c r="R38"/>
      <c r="S38"/>
      <c r="T38"/>
    </row>
    <row r="39" spans="4:25" x14ac:dyDescent="0.2">
      <c r="D39"/>
      <c r="E39"/>
      <c r="F39"/>
      <c r="H39"/>
      <c r="I39"/>
      <c r="K39"/>
      <c r="L39"/>
      <c r="M39"/>
      <c r="O39"/>
      <c r="P39"/>
      <c r="Q39"/>
      <c r="R39"/>
      <c r="S39"/>
      <c r="T39"/>
    </row>
    <row r="40" spans="4:25" x14ac:dyDescent="0.2">
      <c r="D40"/>
      <c r="E40"/>
      <c r="F40"/>
      <c r="H40"/>
      <c r="I40"/>
      <c r="K40"/>
      <c r="L40"/>
      <c r="M40"/>
      <c r="O40"/>
      <c r="P40"/>
      <c r="Q40"/>
      <c r="R40"/>
      <c r="S40"/>
      <c r="T40"/>
    </row>
    <row r="41" spans="4:25" x14ac:dyDescent="0.2">
      <c r="D41"/>
      <c r="E41"/>
      <c r="F41"/>
      <c r="H41"/>
      <c r="I41"/>
      <c r="K41"/>
      <c r="L41"/>
      <c r="M41"/>
      <c r="O41"/>
      <c r="P41"/>
      <c r="Q41"/>
      <c r="R41"/>
      <c r="S41"/>
      <c r="T41"/>
    </row>
    <row r="42" spans="4:25" x14ac:dyDescent="0.2">
      <c r="D42"/>
      <c r="E42"/>
      <c r="F42"/>
      <c r="H42"/>
      <c r="I42"/>
      <c r="K42"/>
      <c r="L42"/>
      <c r="M42"/>
      <c r="O42"/>
      <c r="P42"/>
      <c r="Q42"/>
      <c r="R42"/>
      <c r="S42"/>
      <c r="T42"/>
    </row>
    <row r="43" spans="4:25" x14ac:dyDescent="0.2">
      <c r="D43"/>
      <c r="E43"/>
      <c r="F43"/>
      <c r="H43"/>
      <c r="I43"/>
      <c r="K43"/>
      <c r="L43"/>
      <c r="M43"/>
      <c r="O43"/>
      <c r="P43"/>
      <c r="Q43"/>
      <c r="R43"/>
      <c r="S43"/>
      <c r="T43"/>
    </row>
    <row r="44" spans="4:25" x14ac:dyDescent="0.2">
      <c r="D44"/>
      <c r="E44"/>
      <c r="F44"/>
      <c r="H44"/>
      <c r="I44"/>
      <c r="K44"/>
      <c r="L44"/>
      <c r="M44"/>
      <c r="O44"/>
      <c r="P44"/>
      <c r="Q44"/>
      <c r="R44"/>
      <c r="S44"/>
      <c r="T44"/>
    </row>
    <row r="45" spans="4:25" x14ac:dyDescent="0.2">
      <c r="D45"/>
      <c r="E45"/>
      <c r="F45"/>
      <c r="H45"/>
      <c r="I45"/>
      <c r="K45"/>
      <c r="L45"/>
      <c r="M45"/>
      <c r="O45"/>
      <c r="P45"/>
      <c r="Q45"/>
      <c r="R45"/>
      <c r="S45"/>
      <c r="T45"/>
    </row>
    <row r="46" spans="4:25" x14ac:dyDescent="0.2">
      <c r="D46"/>
      <c r="E46"/>
      <c r="F46"/>
      <c r="H46"/>
      <c r="I46"/>
      <c r="K46"/>
      <c r="L46"/>
      <c r="M46"/>
      <c r="O46"/>
      <c r="P46"/>
      <c r="Q46"/>
      <c r="R46"/>
      <c r="S46"/>
      <c r="T46"/>
    </row>
    <row r="47" spans="4:25" x14ac:dyDescent="0.2">
      <c r="D47"/>
      <c r="E47"/>
      <c r="F47"/>
      <c r="H47"/>
      <c r="I47"/>
      <c r="K47"/>
      <c r="L47"/>
      <c r="M47"/>
      <c r="O47"/>
      <c r="P47"/>
      <c r="Q47"/>
      <c r="R47"/>
      <c r="S47"/>
      <c r="T47"/>
    </row>
    <row r="48" spans="4:25" x14ac:dyDescent="0.2">
      <c r="D48"/>
      <c r="E48"/>
      <c r="F48"/>
      <c r="H48"/>
      <c r="I48"/>
      <c r="K48"/>
      <c r="L48"/>
      <c r="M48"/>
      <c r="O48"/>
      <c r="P48"/>
      <c r="Q48"/>
      <c r="R48"/>
      <c r="S48"/>
      <c r="T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sheetData>
  <mergeCells count="10">
    <mergeCell ref="V2:Y2"/>
    <mergeCell ref="V22:Y22"/>
    <mergeCell ref="O3:T3"/>
    <mergeCell ref="D23:F23"/>
    <mergeCell ref="H23:I23"/>
    <mergeCell ref="L23:M23"/>
    <mergeCell ref="D3:F3"/>
    <mergeCell ref="H3:I3"/>
    <mergeCell ref="K3:M3"/>
    <mergeCell ref="K4:M4"/>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E713-3B59-4838-AFC8-D155BF0D1873}">
  <dimension ref="C4:L11"/>
  <sheetViews>
    <sheetView workbookViewId="0">
      <selection activeCell="C4" sqref="C4:L11"/>
    </sheetView>
  </sheetViews>
  <sheetFormatPr baseColWidth="10" defaultColWidth="8.83203125" defaultRowHeight="15" x14ac:dyDescent="0.2"/>
  <cols>
    <col min="3" max="3" width="40.6640625" customWidth="1"/>
    <col min="2000" max="2000" width="2.5" customWidth="1"/>
  </cols>
  <sheetData>
    <row r="4" spans="3:12" ht="45" x14ac:dyDescent="0.2">
      <c r="C4" s="481" t="s">
        <v>1285</v>
      </c>
      <c r="D4" s="478" t="s">
        <v>1252</v>
      </c>
      <c r="E4" s="478" t="s">
        <v>1284</v>
      </c>
      <c r="F4" s="478" t="s">
        <v>1177</v>
      </c>
      <c r="G4" s="478" t="s">
        <v>1283</v>
      </c>
      <c r="H4" s="478" t="s">
        <v>1002</v>
      </c>
      <c r="I4" s="478" t="s">
        <v>1178</v>
      </c>
      <c r="J4" s="478" t="s">
        <v>1282</v>
      </c>
      <c r="K4" s="478" t="s">
        <v>998</v>
      </c>
      <c r="L4" s="479" t="s">
        <v>1003</v>
      </c>
    </row>
    <row r="5" spans="3:12" x14ac:dyDescent="0.2">
      <c r="C5" s="191" t="s">
        <v>1286</v>
      </c>
      <c r="D5" s="363">
        <v>12.577381927923158</v>
      </c>
      <c r="E5" s="363">
        <v>12.683559578681514</v>
      </c>
      <c r="F5" s="380">
        <v>24753.066324980977</v>
      </c>
      <c r="G5" s="380">
        <v>24828.798737608751</v>
      </c>
      <c r="H5" s="380">
        <v>75.732412627774465</v>
      </c>
      <c r="I5" s="363">
        <v>6.2859228379888279</v>
      </c>
      <c r="J5" s="363">
        <v>6.3366104605562086</v>
      </c>
      <c r="K5" s="363">
        <v>5.0687622567380686E-2</v>
      </c>
      <c r="L5" s="480">
        <v>1494.1007052974508</v>
      </c>
    </row>
    <row r="6" spans="3:12" x14ac:dyDescent="0.2">
      <c r="C6" s="191" t="s">
        <v>1280</v>
      </c>
      <c r="D6" s="363">
        <v>12.577381927923158</v>
      </c>
      <c r="E6" s="363">
        <v>12.683559578681514</v>
      </c>
      <c r="F6" s="380">
        <v>24753.066324980977</v>
      </c>
      <c r="G6" s="380">
        <v>24832.250466061058</v>
      </c>
      <c r="H6" s="380">
        <v>79.184141080080735</v>
      </c>
      <c r="I6" s="363">
        <v>6.2859228379888279</v>
      </c>
      <c r="J6" s="363">
        <v>6.3291885283100031</v>
      </c>
      <c r="K6" s="363">
        <v>4.3265690321175221E-2</v>
      </c>
      <c r="L6" s="480">
        <v>1830.1832350823765</v>
      </c>
    </row>
    <row r="7" spans="3:12" x14ac:dyDescent="0.2">
      <c r="C7" s="191" t="s">
        <v>1281</v>
      </c>
      <c r="D7" s="363">
        <v>12.577381927923158</v>
      </c>
      <c r="E7" s="363">
        <v>12.683559578681514</v>
      </c>
      <c r="F7" s="380">
        <v>24753.066324980977</v>
      </c>
      <c r="G7" s="380">
        <v>24894.745700772808</v>
      </c>
      <c r="H7" s="380">
        <v>141.67937579183126</v>
      </c>
      <c r="I7" s="363">
        <v>6.2859228379888279</v>
      </c>
      <c r="J7" s="363">
        <v>6.3207843864242932</v>
      </c>
      <c r="K7" s="363">
        <v>3.4861548435465295E-2</v>
      </c>
      <c r="L7" s="480">
        <v>4064.0586018175322</v>
      </c>
    </row>
    <row r="8" spans="3:12" x14ac:dyDescent="0.2">
      <c r="C8" s="191" t="s">
        <v>1287</v>
      </c>
      <c r="D8" s="363">
        <v>12.551804860769519</v>
      </c>
      <c r="E8" s="363">
        <v>12.666389737355523</v>
      </c>
      <c r="F8" s="380">
        <v>24645.841619340274</v>
      </c>
      <c r="G8" s="380">
        <v>24751.570365027899</v>
      </c>
      <c r="H8" s="380">
        <v>105.72874568762563</v>
      </c>
      <c r="I8" s="363">
        <v>6.274044096379729</v>
      </c>
      <c r="J8" s="363">
        <v>6.3286287699292636</v>
      </c>
      <c r="K8" s="363">
        <v>5.4584673549534557E-2</v>
      </c>
      <c r="L8" s="480">
        <v>1936.9676286820475</v>
      </c>
    </row>
    <row r="9" spans="3:12" x14ac:dyDescent="0.2">
      <c r="C9" s="191" t="s">
        <v>1288</v>
      </c>
      <c r="D9" s="363">
        <v>12.53782643244541</v>
      </c>
      <c r="E9" s="363">
        <v>12.66177685600857</v>
      </c>
      <c r="F9" s="380">
        <v>24590.192838564275</v>
      </c>
      <c r="G9" s="380">
        <v>24735.833356957919</v>
      </c>
      <c r="H9" s="380">
        <v>145.64051839364402</v>
      </c>
      <c r="I9" s="363">
        <v>6.2675459879688455</v>
      </c>
      <c r="J9" s="363">
        <v>6.326484394153673</v>
      </c>
      <c r="K9" s="363">
        <v>5.8938406184827485E-2</v>
      </c>
      <c r="L9" s="480">
        <v>2471.0630609338782</v>
      </c>
    </row>
    <row r="10" spans="3:12" x14ac:dyDescent="0.2">
      <c r="C10" s="191" t="s">
        <v>1289</v>
      </c>
      <c r="D10" s="363">
        <v>12.577381927923158</v>
      </c>
      <c r="E10" s="363">
        <v>12.661395521877411</v>
      </c>
      <c r="F10" s="380">
        <v>24753.066324980977</v>
      </c>
      <c r="G10" s="380">
        <v>24933.027045470939</v>
      </c>
      <c r="H10" s="380">
        <v>179.96072048996211</v>
      </c>
      <c r="I10" s="363">
        <v>6.2859228379888279</v>
      </c>
      <c r="J10" s="363">
        <v>6.3258026883782748</v>
      </c>
      <c r="K10" s="363">
        <v>3.9879850389446858E-2</v>
      </c>
      <c r="L10" s="480">
        <v>4512.572608286011</v>
      </c>
    </row>
    <row r="11" spans="3:12" x14ac:dyDescent="0.2">
      <c r="C11" s="201" t="s">
        <v>1290</v>
      </c>
      <c r="D11" s="419">
        <v>12.577381927923158</v>
      </c>
      <c r="E11" s="419">
        <v>12.683559578681514</v>
      </c>
      <c r="F11" s="426">
        <v>24753.066324980977</v>
      </c>
      <c r="G11" s="426">
        <v>24955.023620546493</v>
      </c>
      <c r="H11" s="426">
        <v>201.95729556551669</v>
      </c>
      <c r="I11" s="419">
        <v>6.2859228379888279</v>
      </c>
      <c r="J11" s="419">
        <v>6.3366104605562086</v>
      </c>
      <c r="K11" s="419">
        <v>5.0687622567380686E-2</v>
      </c>
      <c r="L11" s="427">
        <v>3984.3513137166447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45530-AC77-4986-BB97-8BD7A961DD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181</vt:i4>
      </vt:variant>
    </vt:vector>
  </HeadingPairs>
  <TitlesOfParts>
    <vt:vector size="202" baseType="lpstr">
      <vt:lpstr>Time Table</vt:lpstr>
      <vt:lpstr>PGX ACS studies </vt:lpstr>
      <vt:lpstr>Previous Model Structures </vt:lpstr>
      <vt:lpstr>Model structure </vt:lpstr>
      <vt:lpstr>assumptions</vt:lpstr>
      <vt:lpstr>Parameters.STEMI</vt:lpstr>
      <vt:lpstr>Intitial-Calculations</vt:lpstr>
      <vt:lpstr>decision tree</vt:lpstr>
      <vt:lpstr>markov</vt:lpstr>
      <vt:lpstr>out-put</vt:lpstr>
      <vt:lpstr>random</vt:lpstr>
      <vt:lpstr>PSA</vt:lpstr>
      <vt:lpstr>costs</vt:lpstr>
      <vt:lpstr>markov_transition</vt:lpstr>
      <vt:lpstr>age_sex_dependant_mortality</vt:lpstr>
      <vt:lpstr>age_sex_dependant_utility</vt:lpstr>
      <vt:lpstr>Parameters.NSTEMI</vt:lpstr>
      <vt:lpstr>Data from Pufulete 2022</vt:lpstr>
      <vt:lpstr>Sheet2</vt:lpstr>
      <vt:lpstr>timeline</vt:lpstr>
      <vt:lpstr>Sheet1</vt:lpstr>
      <vt:lpstr>adj_u_noevent</vt:lpstr>
      <vt:lpstr>adj_u_pos_stk</vt:lpstr>
      <vt:lpstr>adj_u_posrinfarc</vt:lpstr>
      <vt:lpstr>adj_u_rinfarc</vt:lpstr>
      <vt:lpstr>adj_u_stk</vt:lpstr>
      <vt:lpstr>an_u_dec_maj_bleed</vt:lpstr>
      <vt:lpstr>an_u_dec_min_bleed</vt:lpstr>
      <vt:lpstr>c_bleed_ac</vt:lpstr>
      <vt:lpstr>c_bleed_ap</vt:lpstr>
      <vt:lpstr>c_bleed_at</vt:lpstr>
      <vt:lpstr>c_dead_tree</vt:lpstr>
      <vt:lpstr>c_drug_ac_dead_poc</vt:lpstr>
      <vt:lpstr>c_drug_ac_dead_st</vt:lpstr>
      <vt:lpstr>c_drug_ac_mi_poc</vt:lpstr>
      <vt:lpstr>c_drug_ac_mi_st</vt:lpstr>
      <vt:lpstr>c_drug_ac_noevent_poc</vt:lpstr>
      <vt:lpstr>c_drug_ac_noevent_st</vt:lpstr>
      <vt:lpstr>c_drug_ac_stk_poc</vt:lpstr>
      <vt:lpstr>c_drug_ac_stk_st</vt:lpstr>
      <vt:lpstr>c_drug_ap_dead_poc</vt:lpstr>
      <vt:lpstr>c_drug_ap_dead_st</vt:lpstr>
      <vt:lpstr>c_drug_ap_mi_poc</vt:lpstr>
      <vt:lpstr>c_drug_ap_mi_st</vt:lpstr>
      <vt:lpstr>c_drug_ap_noevent_pc</vt:lpstr>
      <vt:lpstr>c_drug_ap_noevent_st</vt:lpstr>
      <vt:lpstr>c_drug_ap_stk_poc</vt:lpstr>
      <vt:lpstr>c_drug_ap_stk_st</vt:lpstr>
      <vt:lpstr>c_drug_at_dead_poc</vt:lpstr>
      <vt:lpstr>c_drug_at_dead_st</vt:lpstr>
      <vt:lpstr>c_drug_at_mi_poc</vt:lpstr>
      <vt:lpstr>c_drug_at_mi_st</vt:lpstr>
      <vt:lpstr>c_drug_at_noevent_pc</vt:lpstr>
      <vt:lpstr>c_drug_at_noevent_st</vt:lpstr>
      <vt:lpstr>c_drug_at_stk_poc</vt:lpstr>
      <vt:lpstr>c_drug_at_stk_st</vt:lpstr>
      <vt:lpstr>c_dys_ac</vt:lpstr>
      <vt:lpstr>c_dys_ap</vt:lpstr>
      <vt:lpstr>c_dys_at</vt:lpstr>
      <vt:lpstr>c_dys_pp</vt:lpstr>
      <vt:lpstr>c_maj_bleed</vt:lpstr>
      <vt:lpstr>c_mi_tree</vt:lpstr>
      <vt:lpstr>c_min_bleed</vt:lpstr>
      <vt:lpstr>c_noevent_markov</vt:lpstr>
      <vt:lpstr>c_noevent_tree</vt:lpstr>
      <vt:lpstr>c_pci</vt:lpstr>
      <vt:lpstr>c_poc_test</vt:lpstr>
      <vt:lpstr>c_poc_total</vt:lpstr>
      <vt:lpstr>c_poc_tree</vt:lpstr>
      <vt:lpstr>c_post_rinfar_mkv</vt:lpstr>
      <vt:lpstr>c_post_stk_mkv</vt:lpstr>
      <vt:lpstr>c_rinfar_mkv</vt:lpstr>
      <vt:lpstr>c_st_total</vt:lpstr>
      <vt:lpstr>c_st_tree</vt:lpstr>
      <vt:lpstr>c_stk_mkv</vt:lpstr>
      <vt:lpstr>c_stk_tree</vt:lpstr>
      <vt:lpstr>ce_tresh</vt:lpstr>
      <vt:lpstr>current_age</vt:lpstr>
      <vt:lpstr>cycle</vt:lpstr>
      <vt:lpstr>day_cost_asa</vt:lpstr>
      <vt:lpstr>day_cost_clop</vt:lpstr>
      <vt:lpstr>day_cost_pras</vt:lpstr>
      <vt:lpstr>day_cost_pras_10mg</vt:lpstr>
      <vt:lpstr>day_cost_pras_5mg</vt:lpstr>
      <vt:lpstr>day_cost_tica</vt:lpstr>
      <vt:lpstr>disc_cost</vt:lpstr>
      <vt:lpstr>disc_effect</vt:lpstr>
      <vt:lpstr>dist_dead_pc_tree</vt:lpstr>
      <vt:lpstr>dist_dead_st_tree</vt:lpstr>
      <vt:lpstr>dist_nevent_pc_tree</vt:lpstr>
      <vt:lpstr>dist_nevent_st_tree</vt:lpstr>
      <vt:lpstr>dist_rinfarc_pc_tree</vt:lpstr>
      <vt:lpstr>dist_rinfarc_st_tree</vt:lpstr>
      <vt:lpstr>dist_stk_pc_tree</vt:lpstr>
      <vt:lpstr>dist_stk_st_tree</vt:lpstr>
      <vt:lpstr>duration_dys</vt:lpstr>
      <vt:lpstr>duration_maj_bleed</vt:lpstr>
      <vt:lpstr>duration_min_bleed</vt:lpstr>
      <vt:lpstr>ICER</vt:lpstr>
      <vt:lpstr>ld_clop_300</vt:lpstr>
      <vt:lpstr>ld_clop_600</vt:lpstr>
      <vt:lpstr>ld_pras_60</vt:lpstr>
      <vt:lpstr>ld_tica_180</vt:lpstr>
      <vt:lpstr>life_table</vt:lpstr>
      <vt:lpstr>LYGs_poc</vt:lpstr>
      <vt:lpstr>LYGs_st</vt:lpstr>
      <vt:lpstr>male_proportion_STEMI</vt:lpstr>
      <vt:lpstr>md_328_day</vt:lpstr>
      <vt:lpstr>md_360_day</vt:lpstr>
      <vt:lpstr>md_365_day</vt:lpstr>
      <vt:lpstr>md_5_day</vt:lpstr>
      <vt:lpstr>md_halfway</vt:lpstr>
      <vt:lpstr>model_type</vt:lpstr>
      <vt:lpstr>or_dead_pras_clop</vt:lpstr>
      <vt:lpstr>or_dead_tica_clop</vt:lpstr>
      <vt:lpstr>or_dys_at_ac</vt:lpstr>
      <vt:lpstr>or_maj_bleed_pras_clop</vt:lpstr>
      <vt:lpstr>or_maj_bleed_tica_clop</vt:lpstr>
      <vt:lpstr>or_mi_pras_clop</vt:lpstr>
      <vt:lpstr>or_mi_tica_clop</vt:lpstr>
      <vt:lpstr>or_min_bleed_pras_clop</vt:lpstr>
      <vt:lpstr>or_min_bleed_tica_clop</vt:lpstr>
      <vt:lpstr>or_stk_pras_clop</vt:lpstr>
      <vt:lpstr>or_stk_tica_clop</vt:lpstr>
      <vt:lpstr>prb_dys_ap</vt:lpstr>
      <vt:lpstr>prev_lof_base</vt:lpstr>
      <vt:lpstr>prev_lof_sa</vt:lpstr>
      <vt:lpstr>prob_dead_ac</vt:lpstr>
      <vt:lpstr>prob_dead_ac_nlof</vt:lpstr>
      <vt:lpstr>prob_dead_ap</vt:lpstr>
      <vt:lpstr>prob_dead_at</vt:lpstr>
      <vt:lpstr>prob_dead_noevent</vt:lpstr>
      <vt:lpstr>prob_dead_pos_reinfarct</vt:lpstr>
      <vt:lpstr>prob_dead_pstk</vt:lpstr>
      <vt:lpstr>prob_dead_reinfarction</vt:lpstr>
      <vt:lpstr>prob_dead_stk</vt:lpstr>
      <vt:lpstr>prob_dys_ac</vt:lpstr>
      <vt:lpstr>prob_dys_ap</vt:lpstr>
      <vt:lpstr>prob_dys_at</vt:lpstr>
      <vt:lpstr>prob_maj_bleed_ac</vt:lpstr>
      <vt:lpstr>prob_maj_bleed_ap</vt:lpstr>
      <vt:lpstr>prob_maj_bleed_at</vt:lpstr>
      <vt:lpstr>prob_mi_ac</vt:lpstr>
      <vt:lpstr>prob_mi_ac_nlof</vt:lpstr>
      <vt:lpstr>prob_mi_ap</vt:lpstr>
      <vt:lpstr>prob_mi_at</vt:lpstr>
      <vt:lpstr>prob_min_bleed_ac</vt:lpstr>
      <vt:lpstr>prob_min_bleed_ap</vt:lpstr>
      <vt:lpstr>prob_min_bleed_at</vt:lpstr>
      <vt:lpstr>prob_nevent_to_reinfarc</vt:lpstr>
      <vt:lpstr>prob_stk_ac</vt:lpstr>
      <vt:lpstr>prob_stk_ac_nlof</vt:lpstr>
      <vt:lpstr>prob_stk_ap</vt:lpstr>
      <vt:lpstr>prob_stk_at</vt:lpstr>
      <vt:lpstr>prob_test_follow</vt:lpstr>
      <vt:lpstr>prob_test_order</vt:lpstr>
      <vt:lpstr>prop_ac_st</vt:lpstr>
      <vt:lpstr>prop_ap_lof</vt:lpstr>
      <vt:lpstr>prop_ap_st</vt:lpstr>
      <vt:lpstr>prop_at_lof</vt:lpstr>
      <vt:lpstr>prop_at_st</vt:lpstr>
      <vt:lpstr>prop_pras_5mg</vt:lpstr>
      <vt:lpstr>prop_test_not_followed</vt:lpstr>
      <vt:lpstr>prop_test_not_ordered</vt:lpstr>
      <vt:lpstr>qaly_poc_total</vt:lpstr>
      <vt:lpstr>qaly_poc_tree</vt:lpstr>
      <vt:lpstr>qaly_st_total</vt:lpstr>
      <vt:lpstr>qaly_st_tree</vt:lpstr>
      <vt:lpstr>rate_maj_bleed_ac_nlof</vt:lpstr>
      <vt:lpstr>rate_min_bleed_ac_nlof</vt:lpstr>
      <vt:lpstr>RR_dead_ac_nlof</vt:lpstr>
      <vt:lpstr>rr_maj_bleed_ac_nlof</vt:lpstr>
      <vt:lpstr>rr_mi_ac_nlof</vt:lpstr>
      <vt:lpstr>rr_min_bleed_ac_nlof</vt:lpstr>
      <vt:lpstr>rr_stk_ac_nlof</vt:lpstr>
      <vt:lpstr>smr_noevent</vt:lpstr>
      <vt:lpstr>smr_post_rinfar</vt:lpstr>
      <vt:lpstr>smr_post_stk</vt:lpstr>
      <vt:lpstr>smr_rinfar</vt:lpstr>
      <vt:lpstr>smr_stk</vt:lpstr>
      <vt:lpstr>start_age_f</vt:lpstr>
      <vt:lpstr>start_age_m</vt:lpstr>
      <vt:lpstr>stemi_size</vt:lpstr>
      <vt:lpstr>u_dec_bleed_ac</vt:lpstr>
      <vt:lpstr>u_dec_bleed_ap</vt:lpstr>
      <vt:lpstr>u_dec_bleed_at</vt:lpstr>
      <vt:lpstr>u_dec_dys</vt:lpstr>
      <vt:lpstr>u_dec_dys_ac</vt:lpstr>
      <vt:lpstr>u_dec_dys_ap</vt:lpstr>
      <vt:lpstr>u_dec_dys_at</vt:lpstr>
      <vt:lpstr>u_dec_maj_bleed</vt:lpstr>
      <vt:lpstr>u_dec_min_bleed</vt:lpstr>
      <vt:lpstr>u_noevent</vt:lpstr>
      <vt:lpstr>u_noevent_tree</vt:lpstr>
      <vt:lpstr>u_post_rinfar</vt:lpstr>
      <vt:lpstr>u_post_rinfar_tree</vt:lpstr>
      <vt:lpstr>u_post_stk</vt:lpstr>
      <vt:lpstr>u_post_stk_tree</vt:lpstr>
      <vt:lpstr>u_rinfar</vt:lpstr>
      <vt:lpstr>u_rinfar_tree</vt:lpstr>
      <vt:lpstr>u_stk</vt:lpstr>
      <vt:lpstr>u_stk_tree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Alireza Mahboub-Ahari</dc:creator>
  <cp:keywords/>
  <dc:description/>
  <cp:lastModifiedBy>Joe hilton Hilton</cp:lastModifiedBy>
  <cp:revision/>
  <dcterms:created xsi:type="dcterms:W3CDTF">2015-06-05T18:17:20Z</dcterms:created>
  <dcterms:modified xsi:type="dcterms:W3CDTF">2025-06-30T16:49:48Z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ath_AC_noLOF" linkTarget="prop_death_AC_noLOF">
    <vt:r8>0.0517306559582477</vt:r8>
  </property>
  <property fmtid="{D5CDD505-2E9C-101B-9397-08002B2CF9AE}" pid="3" name="MI_AC_noLOF" linkTarget="prop_MI_AC_noLOF">
    <vt:r8>0.0392419045404337</vt:r8>
  </property>
  <property fmtid="{D5CDD505-2E9C-101B-9397-08002B2CF9AE}" pid="4" name="stroke_AC_noLOF" linkTarget="prop_stroke_AC_noLOF">
    <vt:r8>0.00925925925925927</vt:r8>
  </property>
  <property fmtid="{D5CDD505-2E9C-101B-9397-08002B2CF9AE}" pid="5" name="test_not_followed" linkTarget="prop_test_not_followed">
    <vt:r8>0.0651</vt:r8>
  </property>
  <property fmtid="{D5CDD505-2E9C-101B-9397-08002B2CF9AE}" pid="6" name="test_not_ordered" linkTarget="prop_test_not_ordered">
    <vt:r8>0.07</vt:r8>
  </property>
  <property fmtid="{D5CDD505-2E9C-101B-9397-08002B2CF9AE}" pid="7" name="ac_st" linkTarget="prop_ac_st">
    <vt:r8>0.219</vt:r8>
  </property>
  <property fmtid="{D5CDD505-2E9C-101B-9397-08002B2CF9AE}" pid="8" name="ap_lof" linkTarget="prop_ap_lof">
    <vt:r8>0.293213828425096</vt:r8>
  </property>
  <property fmtid="{D5CDD505-2E9C-101B-9397-08002B2CF9AE}" pid="9" name="ap_st" linkTarget="prop_ap_st">
    <vt:r8>0.229</vt:r8>
  </property>
  <property fmtid="{D5CDD505-2E9C-101B-9397-08002B2CF9AE}" pid="10" name="at_lof" linkTarget="prop_at_lof">
    <vt:r8>0.706786171574904</vt:r8>
  </property>
  <property fmtid="{D5CDD505-2E9C-101B-9397-08002B2CF9AE}" pid="11" name="at_st" linkTarget="prop_at_st">
    <vt:r8>0.552</vt:r8>
  </property>
  <property fmtid="{D5CDD505-2E9C-101B-9397-08002B2CF9AE}" pid="12" name="pras_5mg" linkTarget="prop_pras_5mg">
    <vt:r8>0.15</vt:r8>
  </property>
</Properties>
</file>