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e68eecd37b909d/Desktop/Projet DATA/PortFolio/"/>
    </mc:Choice>
  </mc:AlternateContent>
  <xr:revisionPtr revIDLastSave="257" documentId="14_{CAEE70BA-ED23-4ABB-BAB0-97901391E70F}" xr6:coauthVersionLast="47" xr6:coauthVersionMax="47" xr10:uidLastSave="{087A33A7-D4AB-4816-B191-86770E7CB77F}"/>
  <bookViews>
    <workbookView xWindow="-120" yWindow="-120" windowWidth="29040" windowHeight="15720" activeTab="13" xr2:uid="{62A0900B-6C24-4C0B-8137-BE5C11E705DD}"/>
  </bookViews>
  <sheets>
    <sheet name="Chart" sheetId="19" r:id="rId1"/>
    <sheet name="Summary" sheetId="8" r:id="rId2"/>
    <sheet name="Jan" sheetId="1" r:id="rId3"/>
    <sheet name="Fev" sheetId="4" r:id="rId4"/>
    <sheet name="Mars" sheetId="6" r:id="rId5"/>
    <sheet name="Avr" sheetId="10" r:id="rId6"/>
    <sheet name="Mai" sheetId="11" r:id="rId7"/>
    <sheet name="Juin" sheetId="12" r:id="rId8"/>
    <sheet name="Juil" sheetId="13" r:id="rId9"/>
    <sheet name="Août" sheetId="14" r:id="rId10"/>
    <sheet name="Sept" sheetId="15" r:id="rId11"/>
    <sheet name="Oct" sheetId="16" r:id="rId12"/>
    <sheet name="Nov" sheetId="17" r:id="rId13"/>
    <sheet name="Dec" sheetId="1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6" l="1"/>
  <c r="M18" i="8"/>
  <c r="L18" i="8"/>
  <c r="K18" i="8"/>
  <c r="J18" i="8"/>
  <c r="I18" i="8"/>
  <c r="H18" i="8"/>
  <c r="F18" i="8"/>
  <c r="C18" i="8"/>
  <c r="G7" i="18"/>
  <c r="D18" i="18"/>
  <c r="R5" i="18" s="1"/>
  <c r="Q2" i="18"/>
  <c r="N2" i="18" a="1"/>
  <c r="O5" i="18" s="1"/>
  <c r="F2" i="18" a="1"/>
  <c r="G6" i="18" s="1"/>
  <c r="G3" i="18" l="1"/>
  <c r="G4" i="18"/>
  <c r="G5" i="18"/>
  <c r="N2" i="18"/>
  <c r="O3" i="18"/>
  <c r="O4" i="18"/>
  <c r="F2" i="18"/>
  <c r="G2" i="18" s="1"/>
  <c r="D19" i="17" l="1"/>
  <c r="R5" i="17" s="1"/>
  <c r="Q2" i="17"/>
  <c r="N2" i="17" a="1"/>
  <c r="O5" i="17" s="1"/>
  <c r="F2" i="17" a="1"/>
  <c r="G3" i="17" s="1"/>
  <c r="D18" i="16"/>
  <c r="R5" i="16" s="1"/>
  <c r="Q2" i="16"/>
  <c r="N2" i="16" a="1"/>
  <c r="O5" i="16" s="1"/>
  <c r="F2" i="16" a="1"/>
  <c r="G5" i="16" s="1"/>
  <c r="D18" i="15"/>
  <c r="R5" i="15" s="1"/>
  <c r="Q2" i="15"/>
  <c r="N2" i="15" a="1"/>
  <c r="O5" i="15" s="1"/>
  <c r="F2" i="15" a="1"/>
  <c r="D16" i="14"/>
  <c r="G6" i="14"/>
  <c r="R5" i="14"/>
  <c r="O5" i="14"/>
  <c r="G5" i="14"/>
  <c r="O4" i="14"/>
  <c r="G4" i="14"/>
  <c r="O3" i="14"/>
  <c r="G3" i="14"/>
  <c r="Q2" i="14"/>
  <c r="N2" i="14"/>
  <c r="N2" i="14" a="1"/>
  <c r="G2" i="14"/>
  <c r="F2" i="14"/>
  <c r="F2" i="14" a="1"/>
  <c r="D16" i="13"/>
  <c r="G6" i="13"/>
  <c r="R5" i="13"/>
  <c r="O5" i="13"/>
  <c r="G5" i="13"/>
  <c r="O4" i="13"/>
  <c r="G4" i="13"/>
  <c r="O3" i="13"/>
  <c r="G3" i="13"/>
  <c r="Q2" i="13"/>
  <c r="N2" i="13"/>
  <c r="N2" i="13" a="1"/>
  <c r="G2" i="13"/>
  <c r="F2" i="13"/>
  <c r="F2" i="13" a="1"/>
  <c r="D15" i="12"/>
  <c r="G18" i="8" s="1"/>
  <c r="Q2" i="12"/>
  <c r="N2" i="12" a="1"/>
  <c r="O3" i="12" s="1"/>
  <c r="F2" i="12" a="1"/>
  <c r="G4" i="12" s="1"/>
  <c r="D15" i="11"/>
  <c r="G6" i="11"/>
  <c r="R5" i="11"/>
  <c r="G5" i="11"/>
  <c r="O4" i="11"/>
  <c r="G4" i="11"/>
  <c r="O3" i="11"/>
  <c r="G3" i="11"/>
  <c r="Q2" i="11"/>
  <c r="N2" i="11"/>
  <c r="N2" i="11" a="1"/>
  <c r="G2" i="11"/>
  <c r="F2" i="11"/>
  <c r="F2" i="11" a="1"/>
  <c r="D17" i="10"/>
  <c r="E18" i="8" s="1"/>
  <c r="Q2" i="10"/>
  <c r="N2" i="10" a="1"/>
  <c r="N2" i="10" s="1"/>
  <c r="F2" i="10" a="1"/>
  <c r="D18" i="6"/>
  <c r="D18" i="8" s="1"/>
  <c r="Q2" i="6"/>
  <c r="N2" i="6" a="1"/>
  <c r="O4" i="6" s="1"/>
  <c r="F2" i="6" a="1"/>
  <c r="D16" i="4"/>
  <c r="G6" i="4"/>
  <c r="R5" i="4"/>
  <c r="G5" i="4"/>
  <c r="O4" i="4"/>
  <c r="G4" i="4"/>
  <c r="O3" i="4"/>
  <c r="G3" i="4"/>
  <c r="Q2" i="4"/>
  <c r="N2" i="4"/>
  <c r="N2" i="4" a="1"/>
  <c r="G2" i="4"/>
  <c r="G2" i="4" a="1"/>
  <c r="F2" i="4"/>
  <c r="F2" i="4" a="1"/>
  <c r="D18" i="1"/>
  <c r="R5" i="1" s="1"/>
  <c r="L4" i="1"/>
  <c r="Q5" i="1" s="1"/>
  <c r="Q2" i="1"/>
  <c r="N2" i="1" a="1"/>
  <c r="O3" i="1" s="1"/>
  <c r="F2" i="1" a="1"/>
  <c r="G5" i="1" s="1"/>
  <c r="B17" i="8"/>
  <c r="B18" i="8" l="1"/>
  <c r="S5" i="1"/>
  <c r="L2" i="4" s="1" a="1"/>
  <c r="L2" i="4" s="1"/>
  <c r="G4" i="1"/>
  <c r="G3" i="1"/>
  <c r="F2" i="1"/>
  <c r="G2" i="1" s="1" a="1"/>
  <c r="G2" i="1" s="1"/>
  <c r="G6" i="1"/>
  <c r="O2" i="4"/>
  <c r="L5" i="4"/>
  <c r="N2" i="1"/>
  <c r="O2" i="1" s="1"/>
  <c r="R5" i="6"/>
  <c r="F2" i="6"/>
  <c r="G2" i="6" s="1" a="1"/>
  <c r="G2" i="6" s="1"/>
  <c r="G5" i="6"/>
  <c r="G4" i="6"/>
  <c r="G3" i="6"/>
  <c r="G6" i="6"/>
  <c r="N2" i="6"/>
  <c r="O3" i="6"/>
  <c r="R5" i="12"/>
  <c r="G6" i="12"/>
  <c r="N2" i="12"/>
  <c r="O4" i="12"/>
  <c r="G5" i="12"/>
  <c r="F2" i="12"/>
  <c r="G2" i="12" s="1"/>
  <c r="G3" i="12"/>
  <c r="G6" i="10"/>
  <c r="G5" i="10"/>
  <c r="F2" i="10"/>
  <c r="G2" i="10" s="1"/>
  <c r="G4" i="10"/>
  <c r="G3" i="10"/>
  <c r="O3" i="10"/>
  <c r="R5" i="10"/>
  <c r="B21" i="8" s="1"/>
  <c r="O4" i="10"/>
  <c r="A4" i="8"/>
  <c r="B3" i="8" s="1" a="1"/>
  <c r="B3" i="8" s="1"/>
  <c r="C3" i="8" s="1"/>
  <c r="G3" i="15"/>
  <c r="B12" i="8"/>
  <c r="C12" i="8" s="1"/>
  <c r="N2" i="15"/>
  <c r="O3" i="15"/>
  <c r="O4" i="15"/>
  <c r="G6" i="15"/>
  <c r="F2" i="15"/>
  <c r="G2" i="15" s="1"/>
  <c r="G4" i="15"/>
  <c r="G5" i="15"/>
  <c r="N2" i="17"/>
  <c r="G4" i="17"/>
  <c r="G5" i="17"/>
  <c r="G6" i="17"/>
  <c r="F2" i="17"/>
  <c r="G2" i="17" s="1"/>
  <c r="O3" i="17"/>
  <c r="O4" i="17"/>
  <c r="G3" i="16"/>
  <c r="G4" i="16"/>
  <c r="G6" i="16"/>
  <c r="F2" i="16"/>
  <c r="G2" i="16" s="1"/>
  <c r="N2" i="16"/>
  <c r="O3" i="16"/>
  <c r="O4" i="16"/>
  <c r="C17" i="8" l="1"/>
  <c r="Q5" i="4"/>
  <c r="S5" i="4" s="1"/>
  <c r="L2" i="6" s="1" a="1"/>
  <c r="L2" i="6" s="1"/>
  <c r="L5" i="6" s="1"/>
  <c r="B10" i="8"/>
  <c r="C10" i="8" s="1"/>
  <c r="B8" i="8"/>
  <c r="C8" i="8" s="1"/>
  <c r="B11" i="8"/>
  <c r="C11" i="8" s="1"/>
  <c r="B9" i="8"/>
  <c r="C9" i="8" s="1"/>
  <c r="B7" i="8"/>
  <c r="C7" i="8" s="1"/>
  <c r="O2" i="6" l="1"/>
  <c r="D17" i="8"/>
  <c r="Q5" i="6"/>
  <c r="S5" i="6" s="1"/>
  <c r="L2" i="10" s="1" a="1"/>
  <c r="L2" i="10" s="1"/>
  <c r="L5" i="10" l="1"/>
  <c r="O2" i="10"/>
  <c r="E17" i="8" l="1"/>
  <c r="Q5" i="10"/>
  <c r="S5" i="10" s="1"/>
  <c r="L2" i="11" s="1" a="1"/>
  <c r="L2" i="11" s="1"/>
  <c r="L5" i="11" l="1"/>
  <c r="O2" i="11"/>
  <c r="F17" i="8" l="1"/>
  <c r="Q5" i="11"/>
  <c r="S5" i="11" s="1"/>
  <c r="L2" i="12" s="1" a="1"/>
  <c r="L2" i="12" s="1"/>
  <c r="O2" i="12" l="1"/>
  <c r="L5" i="12"/>
  <c r="G17" i="8" l="1"/>
  <c r="Q5" i="12"/>
  <c r="S5" i="12" s="1"/>
  <c r="L2" i="13" s="1" a="1"/>
  <c r="L2" i="13" s="1"/>
  <c r="L7" i="13" s="1"/>
  <c r="O2" i="13" l="1"/>
  <c r="Q5" i="13"/>
  <c r="S5" i="13" s="1"/>
  <c r="L2" i="14" s="1" a="1"/>
  <c r="L2" i="14" s="1"/>
  <c r="H17" i="8"/>
  <c r="O2" i="14" l="1"/>
  <c r="L8" i="14"/>
  <c r="Q5" i="14" l="1"/>
  <c r="S5" i="14" s="1"/>
  <c r="L2" i="15" s="1" a="1"/>
  <c r="L2" i="15" s="1"/>
  <c r="I17" i="8"/>
  <c r="L8" i="15" l="1"/>
  <c r="O2" i="15"/>
  <c r="Q5" i="15" l="1"/>
  <c r="S5" i="15" s="1"/>
  <c r="L2" i="16" s="1" a="1"/>
  <c r="L2" i="16" s="1"/>
  <c r="J17" i="8"/>
  <c r="L8" i="16" l="1"/>
  <c r="O2" i="16"/>
  <c r="Q5" i="16" l="1"/>
  <c r="S5" i="16" s="1"/>
  <c r="L2" i="17" s="1" a="1"/>
  <c r="L2" i="17" s="1"/>
  <c r="K17" i="8"/>
  <c r="L9" i="17" l="1"/>
  <c r="O2" i="17"/>
  <c r="Q5" i="17" l="1"/>
  <c r="L17" i="8"/>
  <c r="S5" i="17"/>
  <c r="L2" i="18" s="1" a="1"/>
  <c r="L2" i="18" s="1"/>
  <c r="O2" i="18" l="1"/>
  <c r="L10" i="18"/>
  <c r="Q5" i="18" l="1"/>
  <c r="M17" i="8"/>
  <c r="S5" i="18"/>
  <c r="A21" i="8"/>
  <c r="C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<sst xmlns="http://schemas.openxmlformats.org/spreadsheetml/2006/main" count="717" uniqueCount="72">
  <si>
    <t>Total Income</t>
  </si>
  <si>
    <t>Total Expenses</t>
  </si>
  <si>
    <t>Balance</t>
  </si>
  <si>
    <t>Category</t>
  </si>
  <si>
    <t>Amount</t>
  </si>
  <si>
    <t>Bank</t>
  </si>
  <si>
    <t>Utilities</t>
  </si>
  <si>
    <t>Car</t>
  </si>
  <si>
    <t>Food</t>
  </si>
  <si>
    <t>Activities</t>
  </si>
  <si>
    <t>Date</t>
  </si>
  <si>
    <t>Item</t>
  </si>
  <si>
    <t>Total</t>
  </si>
  <si>
    <t>Saving</t>
  </si>
  <si>
    <t>Social Help</t>
  </si>
  <si>
    <t>CAF</t>
  </si>
  <si>
    <t>Salary</t>
  </si>
  <si>
    <t>Salary UGA</t>
  </si>
  <si>
    <t>Health Insurance</t>
  </si>
  <si>
    <t>Phone Bill SFR</t>
  </si>
  <si>
    <t>Car Insurance</t>
  </si>
  <si>
    <t>House Insurance</t>
  </si>
  <si>
    <t>Groceries</t>
  </si>
  <si>
    <t>Loan/Credit</t>
  </si>
  <si>
    <t>Credit ETALIS</t>
  </si>
  <si>
    <t>Microsoft Office</t>
  </si>
  <si>
    <t>Phone Bill Bouygues</t>
  </si>
  <si>
    <t>Insurance Retirement</t>
  </si>
  <si>
    <t>Sports</t>
  </si>
  <si>
    <t>Balance Saving 2023</t>
  </si>
  <si>
    <t>Total Savings 2024</t>
  </si>
  <si>
    <t>Total Saving</t>
  </si>
  <si>
    <t>Avg/Month</t>
  </si>
  <si>
    <t>Rest to Save</t>
  </si>
  <si>
    <t>Month</t>
  </si>
  <si>
    <t>Income</t>
  </si>
  <si>
    <t>Expenses</t>
  </si>
  <si>
    <t>Janv</t>
  </si>
  <si>
    <t>Févr</t>
  </si>
  <si>
    <t>Mars</t>
  </si>
  <si>
    <t>Avr</t>
  </si>
  <si>
    <t>Mai</t>
  </si>
  <si>
    <t>Juin</t>
  </si>
  <si>
    <t>Juil</t>
  </si>
  <si>
    <t>Août</t>
  </si>
  <si>
    <t>Sept</t>
  </si>
  <si>
    <t>Oct</t>
  </si>
  <si>
    <t>Nov</t>
  </si>
  <si>
    <t>Déc</t>
  </si>
  <si>
    <t>Last month Balance</t>
  </si>
  <si>
    <t>Sport</t>
  </si>
  <si>
    <t>Fuel</t>
  </si>
  <si>
    <t>Holidays</t>
  </si>
  <si>
    <t>Rent</t>
  </si>
  <si>
    <t>Salary Camping</t>
  </si>
  <si>
    <t>Live Music</t>
  </si>
  <si>
    <t>Salary McDo</t>
  </si>
  <si>
    <t>Cie A</t>
  </si>
  <si>
    <t>Freelance</t>
  </si>
  <si>
    <t>Going out</t>
  </si>
  <si>
    <t>Cie B</t>
  </si>
  <si>
    <t>Restaurant Pizza Cosi</t>
  </si>
  <si>
    <t>Cie C</t>
  </si>
  <si>
    <t>Going Out</t>
  </si>
  <si>
    <t>Restaurant Sushi</t>
  </si>
  <si>
    <t>Restaurant Thai</t>
  </si>
  <si>
    <t>Cie D</t>
  </si>
  <si>
    <t>Restaurant Christmas Eve</t>
  </si>
  <si>
    <t>Shopping</t>
  </si>
  <si>
    <t>Christmas Shopping</t>
  </si>
  <si>
    <t>Taxes Gouv</t>
  </si>
  <si>
    <t>Ana's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</si>
</sst>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64" fontId="1" fillId="3" borderId="0" xfId="0" applyNumberFormat="1" applyFont="1" applyFill="1"/>
    <xf numFmtId="164" fontId="1" fillId="4" borderId="0" xfId="0" applyNumberFormat="1" applyFont="1" applyFill="1"/>
    <xf numFmtId="164" fontId="0" fillId="5" borderId="0" xfId="0" applyNumberFormat="1" applyFill="1"/>
    <xf numFmtId="164" fontId="1" fillId="5" borderId="0" xfId="0" applyNumberFormat="1" applyFont="1" applyFill="1"/>
    <xf numFmtId="164" fontId="1" fillId="6" borderId="0" xfId="0" applyNumberFormat="1" applyFont="1" applyFill="1"/>
    <xf numFmtId="0" fontId="1" fillId="0" borderId="0" xfId="0" applyFont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29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64" formatCode="#,##0.00\ &quot;€&quot;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64" formatCode="#,##0.00\ &quot;€&quot;"/>
    </dxf>
    <dxf>
      <numFmt numFmtId="164" formatCode="#,##0.00\ &quot;€&quot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21" formatCode="dd\-mmm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92D050"/>
        </patternFill>
      </fill>
    </dxf>
    <dxf>
      <numFmt numFmtId="164" formatCode="#,##0.00\ &quot;€&quot;"/>
    </dxf>
    <dxf>
      <numFmt numFmtId="164" formatCode="#,##0.00\ &quot;€&quot;"/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  <fill>
        <patternFill patternType="solid">
          <fgColor indexed="64"/>
          <bgColor theme="5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  <fill>
        <patternFill patternType="solid">
          <fgColor indexed="64"/>
          <bgColor theme="5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theme="5"/>
        </patternFill>
      </fill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FDF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Saving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Summary!$B$2</c:f>
              <c:strCache>
                <c:ptCount val="1"/>
                <c:pt idx="0">
                  <c:v>Total Saving</c:v>
                </c:pt>
              </c:strCache>
            </c:strRef>
          </c:tx>
          <c:spPr>
            <a:gradFill flip="none" rotWithShape="1">
              <a:gsLst>
                <a:gs pos="0">
                  <a:srgbClr val="92D050">
                    <a:shade val="30000"/>
                    <a:satMod val="115000"/>
                  </a:srgbClr>
                </a:gs>
                <a:gs pos="50000">
                  <a:srgbClr val="92D050">
                    <a:shade val="67500"/>
                    <a:satMod val="115000"/>
                  </a:srgbClr>
                </a:gs>
                <a:gs pos="100000">
                  <a:srgbClr val="92D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>
              <a:solidFill>
                <a:srgbClr val="92D05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>
              <a:contourClr>
                <a:srgbClr val="92D050"/>
              </a:contourClr>
            </a:sp3d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 w="12700">
                <a:solidFill>
                  <a:srgbClr val="92D050"/>
                </a:solidFill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Curved/>
                      </ask:type>
                    </ask:lineSketchStyleProps>
                  </a:ext>
                </a:extLst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 contourW="12700">
                <a:contourClr>
                  <a:srgbClr val="92D05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B33-43CE-9D97-7A4E8CDC92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Summary!$B$3</c:f>
              <c:numCache>
                <c:formatCode>#\ ##0.00\ "€"</c:formatCode>
                <c:ptCount val="1"/>
                <c:pt idx="0">
                  <c:v>5402.92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33-43CE-9D97-7A4E8CDC92F4}"/>
            </c:ext>
          </c:extLst>
        </c:ser>
        <c:ser>
          <c:idx val="1"/>
          <c:order val="1"/>
          <c:tx>
            <c:strRef>
              <c:f>Summary!$C$2</c:f>
              <c:strCache>
                <c:ptCount val="1"/>
                <c:pt idx="0">
                  <c:v>Rest to Save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Summary!$C$3</c:f>
              <c:numCache>
                <c:formatCode>#\ ##0.00\ "€"</c:formatCode>
                <c:ptCount val="1"/>
                <c:pt idx="0">
                  <c:v>4597.08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33-43CE-9D97-7A4E8CDC92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6905055"/>
        <c:axId val="518760287"/>
        <c:axId val="0"/>
      </c:bar3DChart>
      <c:catAx>
        <c:axId val="36905055"/>
        <c:scaling>
          <c:orientation val="minMax"/>
        </c:scaling>
        <c:delete val="1"/>
        <c:axPos val="l"/>
        <c:majorTickMark val="none"/>
        <c:minorTickMark val="none"/>
        <c:tickLblPos val="nextTo"/>
        <c:crossAx val="518760287"/>
        <c:crosses val="autoZero"/>
        <c:auto val="1"/>
        <c:lblAlgn val="ctr"/>
        <c:lblOffset val="100"/>
        <c:noMultiLvlLbl val="0"/>
      </c:catAx>
      <c:valAx>
        <c:axId val="51876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90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Income Vs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Summary!$A$17</c:f>
              <c:strCache>
                <c:ptCount val="1"/>
                <c:pt idx="0">
                  <c:v>Income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Summary!$B$16:$M$16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Summary!$B$17:$M$17</c:f>
              <c:numCache>
                <c:formatCode>#\ ##0.00\ "€"</c:formatCode>
                <c:ptCount val="12"/>
                <c:pt idx="0">
                  <c:v>1608.06</c:v>
                </c:pt>
                <c:pt idx="1">
                  <c:v>1932.83</c:v>
                </c:pt>
                <c:pt idx="2">
                  <c:v>1907.6</c:v>
                </c:pt>
                <c:pt idx="3">
                  <c:v>1646.23</c:v>
                </c:pt>
                <c:pt idx="4">
                  <c:v>1667.46</c:v>
                </c:pt>
                <c:pt idx="5">
                  <c:v>1205.5500000000002</c:v>
                </c:pt>
                <c:pt idx="6">
                  <c:v>1589.1500000000003</c:v>
                </c:pt>
                <c:pt idx="7">
                  <c:v>1647.7500000000002</c:v>
                </c:pt>
                <c:pt idx="8">
                  <c:v>2096.3500000000004</c:v>
                </c:pt>
                <c:pt idx="9">
                  <c:v>1824.3500000000001</c:v>
                </c:pt>
                <c:pt idx="10">
                  <c:v>2004.39</c:v>
                </c:pt>
                <c:pt idx="11">
                  <c:v>2976.93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C-4D5F-ACF0-6C4291A35F55}"/>
            </c:ext>
          </c:extLst>
        </c:ser>
        <c:ser>
          <c:idx val="1"/>
          <c:order val="1"/>
          <c:tx>
            <c:strRef>
              <c:f>Summary!$A$18</c:f>
              <c:strCache>
                <c:ptCount val="1"/>
                <c:pt idx="0">
                  <c:v>Expenses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Summary!$B$16:$M$16</c:f>
              <c:strCache>
                <c:ptCount val="12"/>
                <c:pt idx="0">
                  <c:v>Janv</c:v>
                </c:pt>
                <c:pt idx="1">
                  <c:v>Févr</c:v>
                </c:pt>
                <c:pt idx="2">
                  <c:v>Mars</c:v>
                </c:pt>
                <c:pt idx="3">
                  <c:v>Avr</c:v>
                </c:pt>
                <c:pt idx="4">
                  <c:v>Mai</c:v>
                </c:pt>
                <c:pt idx="5">
                  <c:v>Juin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Summary!$B$18:$M$18</c:f>
              <c:numCache>
                <c:formatCode>#\ ##0.00\ "€"</c:formatCode>
                <c:ptCount val="12"/>
                <c:pt idx="0">
                  <c:v>1283.29</c:v>
                </c:pt>
                <c:pt idx="1">
                  <c:v>1633.29</c:v>
                </c:pt>
                <c:pt idx="2">
                  <c:v>1869.43</c:v>
                </c:pt>
                <c:pt idx="3">
                  <c:v>1586.83</c:v>
                </c:pt>
                <c:pt idx="4">
                  <c:v>1405.49</c:v>
                </c:pt>
                <c:pt idx="5">
                  <c:v>1165.49</c:v>
                </c:pt>
                <c:pt idx="6">
                  <c:v>1525.49</c:v>
                </c:pt>
                <c:pt idx="7">
                  <c:v>1435.49</c:v>
                </c:pt>
                <c:pt idx="8">
                  <c:v>1923.0900000000001</c:v>
                </c:pt>
                <c:pt idx="9">
                  <c:v>1762.9900000000002</c:v>
                </c:pt>
                <c:pt idx="10">
                  <c:v>1889.94</c:v>
                </c:pt>
                <c:pt idx="11">
                  <c:v>2682.4799999999996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C-4D5F-ACF0-6C4291A3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624160"/>
        <c:axId val="226423088"/>
      </c:lineChart>
      <c:catAx>
        <c:axId val="170162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6423088"/>
        <c:crosses val="autoZero"/>
        <c:auto val="1"/>
        <c:lblAlgn val="ctr"/>
        <c:lblOffset val="100"/>
        <c:noMultiLvlLbl val="0"/>
      </c:catAx>
      <c:valAx>
        <c:axId val="2264230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1624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of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Summary!$B$6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3D9-4FA5-B4BF-73D5C57E8D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3D9-4FA5-B4BF-73D5C57E8D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3D9-4FA5-B4BF-73D5C57E8D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3D9-4FA5-B4BF-73D5C57E8D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A3D9-4FA5-B4BF-73D5C57E8D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A3D9-4FA5-B4BF-73D5C57E8D5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3D9-4FA5-B4BF-73D5C57E8D5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3D9-4FA5-B4BF-73D5C57E8D5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3D9-4FA5-B4BF-73D5C57E8D5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3D9-4FA5-B4BF-73D5C57E8D5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A3D9-4FA5-B4BF-73D5C57E8D5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A3D9-4FA5-B4BF-73D5C57E8D5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Summary!$A$7:$A$12</c:f>
              <c:strCache>
                <c:ptCount val="6"/>
                <c:pt idx="0">
                  <c:v>Bank</c:v>
                </c:pt>
                <c:pt idx="1">
                  <c:v>Utilities</c:v>
                </c:pt>
                <c:pt idx="2">
                  <c:v>Car</c:v>
                </c:pt>
                <c:pt idx="3">
                  <c:v>Food</c:v>
                </c:pt>
                <c:pt idx="4">
                  <c:v>Activities</c:v>
                </c:pt>
                <c:pt idx="5">
                  <c:v>Shopping</c:v>
                </c:pt>
              </c:strCache>
            </c:strRef>
          </c:cat>
          <c:val>
            <c:numRef>
              <c:f>Summary!$B$7:$B$12</c:f>
              <c:numCache>
                <c:formatCode>#\ ##0.00\ "€"</c:formatCode>
                <c:ptCount val="6"/>
                <c:pt idx="0">
                  <c:v>8904.880000000001</c:v>
                </c:pt>
                <c:pt idx="1">
                  <c:v>3388.56</c:v>
                </c:pt>
                <c:pt idx="2">
                  <c:v>663.12</c:v>
                </c:pt>
                <c:pt idx="3">
                  <c:v>3242.74</c:v>
                </c:pt>
                <c:pt idx="4">
                  <c:v>1730</c:v>
                </c:pt>
                <c:pt idx="5">
                  <c:v>1034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D9-4FA5-B4BF-73D5C57E8D51}"/>
            </c:ext>
          </c:extLst>
        </c:ser>
        <c:ser>
          <c:idx val="1"/>
          <c:order val="1"/>
          <c:tx>
            <c:strRef>
              <c:f>Summary!$C$6</c:f>
              <c:strCache>
                <c:ptCount val="1"/>
                <c:pt idx="0">
                  <c:v>Avg/Month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A3D9-4FA5-B4BF-73D5C57E8D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A3D9-4FA5-B4BF-73D5C57E8D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A3D9-4FA5-B4BF-73D5C57E8D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A3D9-4FA5-B4BF-73D5C57E8D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A3D9-4FA5-B4BF-73D5C57E8D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A3D9-4FA5-B4BF-73D5C57E8D5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A3D9-4FA5-B4BF-73D5C57E8D5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A3D9-4FA5-B4BF-73D5C57E8D5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A3D9-4FA5-B4BF-73D5C57E8D5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A3D9-4FA5-B4BF-73D5C57E8D5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A3D9-4FA5-B4BF-73D5C57E8D5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A3D9-4FA5-B4BF-73D5C57E8D51}"/>
                </c:ext>
              </c:extLst>
            </c:dLbl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Summary!$A$7:$A$12</c:f>
              <c:strCache>
                <c:ptCount val="6"/>
                <c:pt idx="0">
                  <c:v>Bank</c:v>
                </c:pt>
                <c:pt idx="1">
                  <c:v>Utilities</c:v>
                </c:pt>
                <c:pt idx="2">
                  <c:v>Car</c:v>
                </c:pt>
                <c:pt idx="3">
                  <c:v>Food</c:v>
                </c:pt>
                <c:pt idx="4">
                  <c:v>Activities</c:v>
                </c:pt>
                <c:pt idx="5">
                  <c:v>Shopping</c:v>
                </c:pt>
              </c:strCache>
            </c:strRef>
          </c:cat>
          <c:val>
            <c:numRef>
              <c:f>Summary!$C$7:$C$12</c:f>
              <c:numCache>
                <c:formatCode>#\ ##0.00\ "€"</c:formatCode>
                <c:ptCount val="6"/>
                <c:pt idx="0">
                  <c:v>742.07333333333338</c:v>
                </c:pt>
                <c:pt idx="1">
                  <c:v>282.38</c:v>
                </c:pt>
                <c:pt idx="2">
                  <c:v>55.26</c:v>
                </c:pt>
                <c:pt idx="3">
                  <c:v>270.2283333333333</c:v>
                </c:pt>
                <c:pt idx="4">
                  <c:v>144.16666666666666</c:v>
                </c:pt>
                <c:pt idx="5">
                  <c:v>86.166666666666671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3D9-4FA5-B4BF-73D5C57E8D5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5889150678783782E-2"/>
          <c:y val="8.0184510083840824E-2"/>
          <c:w val="0.85053840238839951"/>
          <c:h val="0.167458370212182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Summary!$A$20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rgbClr val="00B0F0"/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Summary!$A$21</c:f>
              <c:numCache>
                <c:formatCode>#\ ##0.00\ "€"</c:formatCode>
                <c:ptCount val="1"/>
                <c:pt idx="0">
                  <c:v>22106.649999999998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0-46CE-A3E5-090F9159A10F}"/>
            </c:ext>
          </c:extLst>
        </c:ser>
        <c:ser>
          <c:idx val="1"/>
          <c:order val="1"/>
          <c:tx>
            <c:strRef>
              <c:f>Summary!$B$20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rgbClr val="FFFF00"/>
              </a:contourClr>
            </a:sp3d>
          </c:spPr>
          <c:invertIfNegative val="0"/>
          <c:dLbls>
            <c:spPr>
              <a:solidFill>
                <a:srgbClr val="ED7D31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Summary!$B$21</c:f>
              <c:numCache>
                <c:formatCode>#\ ##0.00\ "€"</c:formatCode>
                <c:ptCount val="1"/>
                <c:pt idx="0">
                  <c:v>20163.3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0-46CE-A3E5-090F9159A1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117829375"/>
        <c:axId val="1217331359"/>
        <c:axId val="0"/>
      </c:bar3DChart>
      <c:catAx>
        <c:axId val="2117829375"/>
        <c:scaling>
          <c:orientation val="minMax"/>
        </c:scaling>
        <c:delete val="1"/>
        <c:axPos val="b"/>
        <c:majorTickMark val="out"/>
        <c:minorTickMark val="none"/>
        <c:tickLblPos val="nextTo"/>
        <c:crossAx val="1217331359"/>
        <c:crosses val="autoZero"/>
        <c:auto val="1"/>
        <c:lblAlgn val="ctr"/>
        <c:lblOffset val="100"/>
        <c:noMultiLvlLbl val="0"/>
      </c:catAx>
      <c:valAx>
        <c:axId val="1217331359"/>
        <c:scaling>
          <c:orientation val="minMax"/>
        </c:scaling>
        <c:delete val="0"/>
        <c:axPos val="l"/>
        <c:numFmt formatCode="#\ ##0.00\ &quot;€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782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12</xdr:row>
      <xdr:rowOff>13138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A7A6F1-A666-4165-B550-D6A29091E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190499</xdr:rowOff>
    </xdr:from>
    <xdr:to>
      <xdr:col>14</xdr:col>
      <xdr:colOff>600807</xdr:colOff>
      <xdr:row>27</xdr:row>
      <xdr:rowOff>6568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B0F6C9-8545-4D6E-BE96-32ABB49611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9</xdr:col>
      <xdr:colOff>8283</xdr:colOff>
      <xdr:row>44</xdr:row>
      <xdr:rowOff>13138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F573F3-9B36-4A47-8544-BAAA35F41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600807</xdr:colOff>
      <xdr:row>0</xdr:row>
      <xdr:rowOff>0</xdr:rowOff>
    </xdr:from>
    <xdr:to>
      <xdr:col>21</xdr:col>
      <xdr:colOff>605584</xdr:colOff>
      <xdr:row>27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A5A28B-6BE8-4E72-9D3F-5055F45F2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361EACA-2AA9-40EE-BC18-9271C4BB5C52}" name="Totals" displayName="Totals" ref="A20:C21" totalsRowShown="0" headerRowDxfId="297" dataDxfId="296">
  <autoFilter ref="A20:C21" xr:uid="{3361EACA-2AA9-40EE-BC18-9271C4BB5C52}">
    <filterColumn colId="0" hiddenButton="1"/>
    <filterColumn colId="1" hiddenButton="1"/>
    <filterColumn colId="2" hiddenButton="1"/>
  </autoFilter>
  <tableColumns count="3">
    <tableColumn id="1" xr3:uid="{1587CCF2-FBCA-425B-B419-9F9FE6760384}" name="Total Income" dataDxfId="295">
      <calculatedColumnFormula>SUM(Jan:Dec!Q5)</calculatedColumnFormula>
    </tableColumn>
    <tableColumn id="2" xr3:uid="{2413A6C1-DCEF-413A-B03B-B194A47D47ED}" name="Total Expenses" dataDxfId="294">
      <calculatedColumnFormula>SUM(Jan:Dec!R5)</calculatedColumnFormula>
    </tableColumn>
    <tableColumn id="3" xr3:uid="{3B988689-F780-4A2F-A879-2A02F712D41A}" name="Balance" dataDxfId="293">
      <calculatedColumnFormula>Totals[[#This Row],[Total Income]]-Totals[[#This Row],[Total Expenses]]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16AC96D9-C7A3-4769-8A25-94317DEB929B}" name="Table61" displayName="Table61" ref="A6:C12" headerRowDxfId="292">
  <autoFilter ref="A6:C12" xr:uid="{16AC96D9-C7A3-4769-8A25-94317DEB929B}">
    <filterColumn colId="0" hiddenButton="1"/>
    <filterColumn colId="1" hiddenButton="1"/>
    <filterColumn colId="2" hiddenButton="1"/>
  </autoFilter>
  <tableColumns count="3">
    <tableColumn id="1" xr3:uid="{50F9C93E-3298-4586-AC76-8692B8B0CFD0}" name="Category" totalsRowLabel="Total"/>
    <tableColumn id="2" xr3:uid="{37DC3EC2-B7C3-4092-9AA0-52D501BE44D7}" name="Amount" totalsRowFunction="sum" dataDxfId="291">
      <calculatedColumnFormula>SUM(Summary:Dec!G2)</calculatedColumnFormula>
    </tableColumn>
    <tableColumn id="3" xr3:uid="{B3AA9028-F1D9-4746-BF5D-6FA98C4ECFC5}" name="Avg/Month" dataDxfId="290">
      <calculatedColumnFormula>Table61[[#This Row],[Amount]]/12</calculatedColumnFormula>
    </tableColumn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2A61FF1-6875-4C5A-B28F-0968CA3ECD65}" name="Savings" displayName="Savings" ref="A3:A4" totalsRowShown="0" headerRowDxfId="289" dataDxfId="288">
  <autoFilter ref="A3:A4" xr:uid="{32A61FF1-6875-4C5A-B28F-0968CA3ECD65}">
    <filterColumn colId="0" hiddenButton="1"/>
  </autoFilter>
  <tableColumns count="1">
    <tableColumn id="1" xr3:uid="{4B130A99-069F-4C3C-8FEB-A050553ACD78}" name="Total Savings 2024" dataDxfId="287">
      <calculatedColumnFormula>SUM(Jan:Dec!Q2)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83920-17E6-484A-BF1F-A740DCDE41DB}" name="Table3" displayName="Table3" ref="A1:A2" totalsRowShown="0" headerRowDxfId="286" dataDxfId="285">
  <autoFilter ref="A1:A2" xr:uid="{61F83920-17E6-484A-BF1F-A740DCDE41DB}">
    <filterColumn colId="0" hiddenButton="1"/>
  </autoFilter>
  <tableColumns count="1">
    <tableColumn id="1" xr3:uid="{E1575A55-CC76-4C02-AF1B-249947073A92}" name="Balance Saving 2023" dataDxfId="2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F2D7A1-9BA6-4718-ABCC-C1872AC51ED4}" name="Table4" displayName="Table4" ref="B2:C3" totalsRowShown="0" headerRowDxfId="283" dataDxfId="282">
  <autoFilter ref="B2:C3" xr:uid="{FCF2D7A1-9BA6-4718-ABCC-C1872AC51ED4}">
    <filterColumn colId="0" hiddenButton="1"/>
    <filterColumn colId="1" hiddenButton="1"/>
  </autoFilter>
  <tableColumns count="2">
    <tableColumn id="1" xr3:uid="{35D0385E-DB30-4466-89CB-7A5449827166}" name="Total Saving" dataDxfId="281">
      <calculatedColumnFormula array="1">SUM(Table3[Balance Saving 2023]+Savings[Total Savings 2024])</calculatedColumnFormula>
    </tableColumn>
    <tableColumn id="2" xr3:uid="{45343E5B-D9A0-420E-855C-94464375A744}" name="Rest to Save" dataDxfId="280">
      <calculatedColumnFormula>10000-Table4[[#This Row],[Total Saving]]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415DA-BADC-4357-8B01-784DB07CE240}" name="Table5" displayName="Table5" ref="A16:M18" totalsRowShown="0">
  <autoFilter ref="A16:M18" xr:uid="{705415DA-BADC-4357-8B01-784DB07CE2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7F6AA5C3-0F92-4A01-943F-C1257E2E371D}" name="Month"/>
    <tableColumn id="2" xr3:uid="{C785730F-6873-4C26-A84A-5EAC5CB8EA40}" name="Janv" dataDxfId="279">
      <calculatedColumnFormula>Income[[#Totals],[Amount]]</calculatedColumnFormula>
    </tableColumn>
    <tableColumn id="3" xr3:uid="{F5220FF3-A5F0-4CAB-82DF-916DF1047D7D}" name="Févr" dataDxfId="278">
      <calculatedColumnFormula>Income10[[#Totals],[Amount]]</calculatedColumnFormula>
    </tableColumn>
    <tableColumn id="4" xr3:uid="{A2B63903-2E36-496D-81EB-C3BA668B482F}" name="Mars" dataDxfId="277">
      <calculatedColumnFormula>Income1014[[#Totals],[Amount]]</calculatedColumnFormula>
    </tableColumn>
    <tableColumn id="5" xr3:uid="{CADD5C72-2E15-432B-9E29-5582F62859F1}" name="Avr" dataDxfId="276">
      <calculatedColumnFormula>Income101418[[#Totals],[Amount]]</calculatedColumnFormula>
    </tableColumn>
    <tableColumn id="6" xr3:uid="{405760C8-D5EF-4FD1-A889-A86DEFA26A77}" name="Mai" dataDxfId="275">
      <calculatedColumnFormula>Income10141822[[#Totals],[Amount]]</calculatedColumnFormula>
    </tableColumn>
    <tableColumn id="7" xr3:uid="{DCBBB0C8-D424-409B-A6DE-E81727525AE7}" name="Juin" dataDxfId="274">
      <calculatedColumnFormula>Income10141828[[#Totals],[Amount]]</calculatedColumnFormula>
    </tableColumn>
    <tableColumn id="8" xr3:uid="{A20EB57A-5B74-46B3-B3E2-DFEA1145B62B}" name="Juil" dataDxfId="273">
      <calculatedColumnFormula>Income1014182832[[#Totals],[Amount]]</calculatedColumnFormula>
    </tableColumn>
    <tableColumn id="9" xr3:uid="{DD9C1E60-AB95-4FB8-98EF-67D42F0C6F50}" name="Août" dataDxfId="272">
      <calculatedColumnFormula>Income101418283236[[#Totals],[Amount]]</calculatedColumnFormula>
    </tableColumn>
    <tableColumn id="10" xr3:uid="{49C1FEC7-A692-4A56-9ACD-228EC61E6BC2}" name="Sept" dataDxfId="271">
      <calculatedColumnFormula>Income10141828323640[[#Totals],[Amount]]</calculatedColumnFormula>
    </tableColumn>
    <tableColumn id="11" xr3:uid="{A5B79FE8-D5E2-43AA-A857-302D9289722D}" name="Oct" dataDxfId="270">
      <calculatedColumnFormula>Income1014182832364044[[#Totals],[Amount]]</calculatedColumnFormula>
    </tableColumn>
    <tableColumn id="12" xr3:uid="{9E6F8A97-C031-4984-84D6-5695EDE0F21F}" name="Nov" dataDxfId="269">
      <calculatedColumnFormula>Income101418283236404448[[#Totals],[Amount]]</calculatedColumnFormula>
    </tableColumn>
    <tableColumn id="13" xr3:uid="{0DDB0F80-93E6-4465-8191-C61FF3181C12}" name="Déc" dataDxfId="268">
      <calculatedColumnFormula>Income10141828323640444852[[#Totals],[Amount]]</calculatedColumnFormula>
    </tableColumn>
  </tableColumns>
  <tableStyleInfo name="TableStyleMedium14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10805-A865-4FD0-9FEC-8F73067FFACA}" name="Expenses" displayName="Expenses" ref="A1:D18" totalsRowCount="1" headerRowDxfId="91">
  <autoFilter ref="A1:D17" xr:uid="{99E10805-A865-4FD0-9FEC-8F73067FFACA}"/>
  <tableColumns count="4">
    <tableColumn id="1" xr3:uid="{9D33B466-EF3F-48AF-89B6-B8319EA8272E}" name="Date" totalsRowLabel="Total" dataDxfId="93"/>
    <tableColumn id="2" xr3:uid="{708EFBBC-71B7-4B75-BE3A-37222D656E0E}" name="Category"/>
    <tableColumn id="3" xr3:uid="{FA9E4BEB-8570-4FA7-9D0E-4AEDD9D3E435}" name="Item"/>
    <tableColumn id="4" xr3:uid="{5B16D805-6786-4053-A6D1-3C3ECB6E5A71}" name="Amount" totalsRowFunction="sum" dataDxfId="92" totalsRowDxfId="9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EA488-08AE-4CAB-AEFE-046AF971564C}" name="Income" displayName="Income" ref="I1:L4" totalsRowCount="1" headerRowDxfId="267">
  <autoFilter ref="I1:L3" xr:uid="{94FEA488-08AE-4CAB-AEFE-046AF971564C}"/>
  <tableColumns count="4">
    <tableColumn id="1" xr3:uid="{F947C49F-04EA-44CA-8723-898E1DE4C86D}" name="Date" totalsRowLabel="Total" dataDxfId="266"/>
    <tableColumn id="2" xr3:uid="{3AB55561-AE7A-4274-88B3-03C0F0F4CF7C}" name="Category"/>
    <tableColumn id="3" xr3:uid="{B81509F2-171D-4159-8C06-2CC77274B401}" name="Item"/>
    <tableColumn id="4" xr3:uid="{200E074A-042F-4A3A-916E-48E77D620C98}" name="Amount" totalsRowFunction="sum" dataDxfId="265" totalsRowDxfId="2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52B7E8-54DA-421F-955F-0C156CE25052}" name="Balance" displayName="Balance" ref="Q4:S5" totalsRowShown="0" headerRowDxfId="263" dataDxfId="262">
  <autoFilter ref="Q4:S5" xr:uid="{8752B7E8-54DA-421F-955F-0C156CE25052}">
    <filterColumn colId="0" hiddenButton="1"/>
    <filterColumn colId="1" hiddenButton="1"/>
    <filterColumn colId="2" hiddenButton="1"/>
  </autoFilter>
  <tableColumns count="3">
    <tableColumn id="1" xr3:uid="{2B22F92B-C4BB-428E-AF66-824B06EEB6EF}" name="Total Income" dataDxfId="261">
      <calculatedColumnFormula>Income[[#Totals],[Amount]]</calculatedColumnFormula>
    </tableColumn>
    <tableColumn id="2" xr3:uid="{88990FDC-8D33-4381-86E9-7CC57C72305D}" name="Total Expenses" dataDxfId="260">
      <calculatedColumnFormula>Expenses[[#Totals],[Amount]]</calculatedColumnFormula>
    </tableColumn>
    <tableColumn id="3" xr3:uid="{61001DA6-8EAB-4407-ADAB-FAC159CB17AC}" name="Balance" dataDxfId="259">
      <calculatedColumnFormula>Balance[[#This Row],[Total Income]]-Balance[[#This Row],[Total Expenses]]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B0ED2E-BD21-4C07-8E3A-B7B22E084198}" name="Table8" displayName="Table8" ref="Q1:Q2" totalsRowShown="0" headerRowDxfId="258" dataDxfId="257">
  <autoFilter ref="Q1:Q2" xr:uid="{61B0ED2E-BD21-4C07-8E3A-B7B22E084198}">
    <filterColumn colId="0" hiddenButton="1"/>
  </autoFilter>
  <tableColumns count="1">
    <tableColumn id="1" xr3:uid="{03FC21B6-F002-4267-8D3F-AE35E3812700}" name="Saving" dataDxfId="256">
      <calculatedColumnFormula>SUMIF(Expenses[Item],Q1,Expenses[Amount])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FBCC69-641D-4E36-A7EF-A7A8124DFF3F}" name="Expenses8" displayName="Expenses8" ref="A1:D16" totalsRowCount="1" headerRowDxfId="255">
  <autoFilter ref="A1:D15" xr:uid="{3DFBCC69-641D-4E36-A7EF-A7A8124DFF3F}"/>
  <tableColumns count="4">
    <tableColumn id="1" xr3:uid="{B6CE40A2-C6F9-4A1A-A534-AFC2289311AB}" name="Date" totalsRowLabel="Total" dataDxfId="21"/>
    <tableColumn id="2" xr3:uid="{A2355DE7-219C-4DC0-A7B4-28C66F85A588}" name="Category"/>
    <tableColumn id="3" xr3:uid="{9591581B-80D7-4FFD-8C21-19B9418E01E5}" name="Item"/>
    <tableColumn id="4" xr3:uid="{52F11FAE-248A-43C7-8A95-EF9E430919C5}" name="Amount" totalsRowFunction="sum" dataDxfId="23" totalsRowDxfId="2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8ED56D-BD7F-4864-97E2-1106DCBD49EC}" name="Income10" displayName="Income10" ref="I1:L5" totalsRowCount="1" headerRowDxfId="254">
  <autoFilter ref="I1:L4" xr:uid="{BF8ED56D-BD7F-4864-97E2-1106DCBD49EC}"/>
  <tableColumns count="4">
    <tableColumn id="1" xr3:uid="{44FD2B7D-3DC2-4AC4-B43E-A5D95325961E}" name="Date" totalsRowLabel="Total" dataDxfId="253"/>
    <tableColumn id="2" xr3:uid="{6AF9CBC0-BD9C-40ED-8F73-07AAFF97257B}" name="Category"/>
    <tableColumn id="3" xr3:uid="{1CACAC4C-B993-4AF8-8D58-443B7764996D}" name="Item"/>
    <tableColumn id="4" xr3:uid="{C4D1B6A6-8C52-430C-83E5-09677B64CCFB}" name="Amount" totalsRowFunction="sum" dataDxfId="252" totalsRowDxfId="25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05F188-F491-4B9E-8008-46196D14B849}" name="Balance11" displayName="Balance11" ref="Q4:S5" totalsRowShown="0" headerRowDxfId="250" dataDxfId="249">
  <autoFilter ref="Q4:S5" xr:uid="{D205F188-F491-4B9E-8008-46196D14B849}">
    <filterColumn colId="0" hiddenButton="1"/>
    <filterColumn colId="1" hiddenButton="1"/>
    <filterColumn colId="2" hiddenButton="1"/>
  </autoFilter>
  <tableColumns count="3">
    <tableColumn id="1" xr3:uid="{8406A620-2E4F-425D-A156-AFF1D02E638C}" name="Total Income" dataDxfId="248">
      <calculatedColumnFormula>Income10[[#Totals],[Amount]]</calculatedColumnFormula>
    </tableColumn>
    <tableColumn id="2" xr3:uid="{EFB7BEAB-C2CD-492A-9F0E-94B9624A8C82}" name="Total Expenses" dataDxfId="247">
      <calculatedColumnFormula>Expenses8[[#Totals],[Amount]]</calculatedColumnFormula>
    </tableColumn>
    <tableColumn id="3" xr3:uid="{C07FAA00-91C5-4CE4-B067-A438A36B4E3F}" name="Balance" dataDxfId="246">
      <calculatedColumnFormula>Balance11[[#This Row],[Total Income]]-Balance11[[#This Row],[Total Expenses]]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F9CBB-A7C1-46E6-BF1F-4D3E448AA660}" name="Table812" displayName="Table812" ref="Q1:Q2" totalsRowShown="0" headerRowDxfId="245" dataDxfId="244">
  <autoFilter ref="Q1:Q2" xr:uid="{B94F9CBB-A7C1-46E6-BF1F-4D3E448AA660}">
    <filterColumn colId="0" hiddenButton="1"/>
  </autoFilter>
  <tableColumns count="1">
    <tableColumn id="1" xr3:uid="{4FC68582-BD1E-4E65-993F-FC4923651BA8}" name="Saving" dataDxfId="243">
      <calculatedColumnFormula>SUMIF(Expenses8[Item],Q1,Expenses8[Amount])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5A9B3D-174D-46A6-ABC2-6FC9586F01BF}" name="Expenses813" displayName="Expenses813" ref="A1:D18" totalsRowCount="1" headerRowDxfId="242">
  <autoFilter ref="A1:D17" xr:uid="{845A9B3D-174D-46A6-ABC2-6FC9586F01BF}"/>
  <tableColumns count="4">
    <tableColumn id="1" xr3:uid="{85C8C692-BC77-4348-B1FA-40251556670D}" name="Date" totalsRowLabel="Total" dataDxfId="20" totalsRowDxfId="19"/>
    <tableColumn id="2" xr3:uid="{E623321D-2D22-42D0-A2EF-8C477CDF2972}" name="Category"/>
    <tableColumn id="3" xr3:uid="{60443F7D-622E-4DCB-8F03-C71B8D883194}" name="Item"/>
    <tableColumn id="4" xr3:uid="{0E070195-4FFC-4553-B388-B45980856B8E}" name="Amount" totalsRowFunction="sum" dataDxfId="241" totalsRowDxfId="24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F69801B-20E9-48C5-96FA-6B5D594F3E09}" name="Income1014" displayName="Income1014" ref="I1:L5" totalsRowCount="1" headerRowDxfId="239">
  <autoFilter ref="I1:L4" xr:uid="{DF69801B-20E9-48C5-96FA-6B5D594F3E09}"/>
  <tableColumns count="4">
    <tableColumn id="1" xr3:uid="{79390B42-642B-47D3-8E7A-ACC726F1D780}" name="Date" totalsRowLabel="Total" dataDxfId="238"/>
    <tableColumn id="2" xr3:uid="{94AC039A-FF60-49A2-8E35-FF5220A2337C}" name="Category"/>
    <tableColumn id="3" xr3:uid="{1149A400-7BFA-4340-8B5A-6C65C9821E32}" name="Item"/>
    <tableColumn id="4" xr3:uid="{2E4C11D3-77D4-4492-9EEA-F68D994045FC}" name="Amount" totalsRowFunction="sum" dataDxfId="237" totalsRowDxfId="23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D9FCF74-DFCA-41A1-A0A1-958193484F7C}" name="Balance1115" displayName="Balance1115" ref="Q4:S5" totalsRowShown="0" headerRowDxfId="235" dataDxfId="234">
  <autoFilter ref="Q4:S5" xr:uid="{6D9FCF74-DFCA-41A1-A0A1-958193484F7C}">
    <filterColumn colId="0" hiddenButton="1"/>
    <filterColumn colId="1" hiddenButton="1"/>
    <filterColumn colId="2" hiddenButton="1"/>
  </autoFilter>
  <tableColumns count="3">
    <tableColumn id="1" xr3:uid="{417555FA-0C6C-4870-8448-C8AF0D1D4FFD}" name="Total Income" dataDxfId="233">
      <calculatedColumnFormula>Income1014[[#Totals],[Amount]]</calculatedColumnFormula>
    </tableColumn>
    <tableColumn id="2" xr3:uid="{7285219F-1663-4F10-ADCA-092A88C0CAC2}" name="Total Expenses" dataDxfId="232">
      <calculatedColumnFormula>Expenses813[[#Totals],[Amount]]</calculatedColumnFormula>
    </tableColumn>
    <tableColumn id="3" xr3:uid="{48292E39-F277-4142-A2F4-8A862F002244}" name="Balance" dataDxfId="231">
      <calculatedColumnFormula>Balance1115[[#This Row],[Total Income]]-Balance1115[[#This Row],[Total Expenses]]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CA4A91-FD65-44B0-8DA3-1FCD56A97C4D}" name="Table81216" displayName="Table81216" ref="Q1:Q2" totalsRowShown="0" headerRowDxfId="230" dataDxfId="229">
  <autoFilter ref="Q1:Q2" xr:uid="{9CCA4A91-FD65-44B0-8DA3-1FCD56A97C4D}">
    <filterColumn colId="0" hiddenButton="1"/>
  </autoFilter>
  <tableColumns count="1">
    <tableColumn id="1" xr3:uid="{3D6C375D-39C7-4D11-9378-2BB5F05FC4B4}" name="Saving" dataDxfId="228">
      <calculatedColumnFormula>SUMIF(Expenses813[Item],Q1,Expenses813[Amount])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B9EF72B-A4CB-4351-83DE-7606184DB3D4}" name="Expenses81317" displayName="Expenses81317" ref="A1:D17" totalsRowCount="1" headerRowDxfId="227">
  <autoFilter ref="A1:D16" xr:uid="{CB9EF72B-A4CB-4351-83DE-7606184DB3D4}"/>
  <tableColumns count="4">
    <tableColumn id="1" xr3:uid="{03551799-46F3-4BF2-9F61-D869A4CBDE8D}" name="Date" totalsRowLabel="Total" dataDxfId="18" totalsRowDxfId="17"/>
    <tableColumn id="2" xr3:uid="{7F8DF5B2-49E8-4B2C-AFF5-3741DA3C7024}" name="Category"/>
    <tableColumn id="3" xr3:uid="{959DE437-31B8-468B-87A5-0A69D300CC18}" name="Item"/>
    <tableColumn id="4" xr3:uid="{E837B4BC-9510-4FEE-963C-4E28B74D3035}" name="Amount" totalsRowFunction="sum" dataDxfId="226" totalsRowDxfId="22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405BA7F-4C94-4186-AA89-8E1B7A178C7B}" name="Income101418" displayName="Income101418" ref="I1:L5" totalsRowCount="1" headerRowDxfId="224">
  <autoFilter ref="I1:L4" xr:uid="{7405BA7F-4C94-4186-AA89-8E1B7A178C7B}"/>
  <tableColumns count="4">
    <tableColumn id="1" xr3:uid="{7DE87805-67BD-4E2C-8D94-58F58B4A64D8}" name="Date" totalsRowLabel="Total" dataDxfId="223"/>
    <tableColumn id="2" xr3:uid="{BB4B0D55-7FD3-4B87-A09E-CA27C4585AEB}" name="Category"/>
    <tableColumn id="3" xr3:uid="{EC8FEA5A-C76E-4061-BA9C-F0A8A0926839}" name="Item"/>
    <tableColumn id="4" xr3:uid="{BD38B574-6C67-4449-8D18-4FF1AAF5492D}" name="Amount" totalsRowFunction="sum" dataDxfId="222" totalsRowDxfId="2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5907CE0-8BF9-466A-BB3A-11784FE40A9A}" name="Balance111519" displayName="Balance111519" ref="Q4:S5" totalsRowShown="0" headerRowDxfId="220" dataDxfId="219">
  <autoFilter ref="Q4:S5" xr:uid="{15907CE0-8BF9-466A-BB3A-11784FE40A9A}">
    <filterColumn colId="0" hiddenButton="1"/>
    <filterColumn colId="1" hiddenButton="1"/>
    <filterColumn colId="2" hiddenButton="1"/>
  </autoFilter>
  <tableColumns count="3">
    <tableColumn id="1" xr3:uid="{C69597FD-98AB-4ECB-BD50-21CBE6988633}" name="Total Income" dataDxfId="218">
      <calculatedColumnFormula>Income101418[[#Totals],[Amount]]</calculatedColumnFormula>
    </tableColumn>
    <tableColumn id="2" xr3:uid="{75A8E69F-DAB8-4C2F-8D8E-68A0E4EB55D8}" name="Total Expenses" dataDxfId="217">
      <calculatedColumnFormula>Expenses81317[[#Totals],[Amount]]</calculatedColumnFormula>
    </tableColumn>
    <tableColumn id="3" xr3:uid="{32BE319E-435C-4CAB-A238-5D310D1A37ED}" name="Balance" dataDxfId="216">
      <calculatedColumnFormula>Balance111519[[#This Row],[Total Income]]-Balance111519[[#This Row],[Total Expenses]]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5BA6DD8-78F9-40B4-9C35-BADD1C2CF9E7}" name="Table8121620" displayName="Table8121620" ref="Q1:Q2" totalsRowShown="0" headerRowDxfId="215" dataDxfId="214">
  <autoFilter ref="Q1:Q2" xr:uid="{A5BA6DD8-78F9-40B4-9C35-BADD1C2CF9E7}">
    <filterColumn colId="0" hiddenButton="1"/>
  </autoFilter>
  <tableColumns count="1">
    <tableColumn id="1" xr3:uid="{A984A096-380D-47D1-B608-6774141DBDF0}" name="Saving" dataDxfId="213">
      <calculatedColumnFormula>SUMIF(Expenses81317[Item],Q1,Expenses81317[Amount])</calculatedColumnFormula>
    </tableColumn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AB5421B-01D9-4EE2-81F7-E2A39079AB8A}" name="Expenses8131721" displayName="Expenses8131721" ref="A1:D15" totalsRowCount="1" headerRowDxfId="212">
  <autoFilter ref="A1:D14" xr:uid="{4AB5421B-01D9-4EE2-81F7-E2A39079AB8A}"/>
  <tableColumns count="4">
    <tableColumn id="1" xr3:uid="{C9BDF245-E4E8-40B9-B07A-4ECCB4BFADF6}" name="Date" totalsRowLabel="Total" dataDxfId="16" totalsRowDxfId="15"/>
    <tableColumn id="2" xr3:uid="{EDB9B18B-8772-4233-B623-7BADCE53D20C}" name="Category"/>
    <tableColumn id="3" xr3:uid="{CBB4C80F-941B-4A9D-BDA6-0C60D8649F03}" name="Item"/>
    <tableColumn id="4" xr3:uid="{924F6D92-8612-462A-9BB9-A35FFBC1D784}" name="Amount" totalsRowFunction="sum" dataDxfId="211" totalsRowDxfId="21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FAAE399-DD9E-4447-9049-A3B51E494A11}" name="Income10141822" displayName="Income10141822" ref="I1:L5" totalsRowCount="1" headerRowDxfId="209">
  <autoFilter ref="I1:L4" xr:uid="{AFAAE399-DD9E-4447-9049-A3B51E494A11}"/>
  <tableColumns count="4">
    <tableColumn id="1" xr3:uid="{521EEA20-21D4-42A9-916C-B0E92C02FD8A}" name="Date" totalsRowLabel="Total" dataDxfId="208"/>
    <tableColumn id="2" xr3:uid="{DFE63FCA-E6E7-4F17-AB94-78D61E57B02C}" name="Category"/>
    <tableColumn id="3" xr3:uid="{8B31BF0D-109C-4A89-970B-90E1484CEADA}" name="Item"/>
    <tableColumn id="4" xr3:uid="{3B3A566C-0E9F-4780-928A-3D5C823CB656}" name="Amount" totalsRowFunction="sum" dataDxfId="207" totalsRowDxfId="20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A4A75A3-A262-4616-B54F-2DC3773BFEA0}" name="Balance11151923" displayName="Balance11151923" ref="Q4:S5" totalsRowShown="0" headerRowDxfId="205" dataDxfId="204">
  <autoFilter ref="Q4:S5" xr:uid="{7A4A75A3-A262-4616-B54F-2DC3773BFEA0}">
    <filterColumn colId="0" hiddenButton="1"/>
    <filterColumn colId="1" hiddenButton="1"/>
    <filterColumn colId="2" hiddenButton="1"/>
  </autoFilter>
  <tableColumns count="3">
    <tableColumn id="1" xr3:uid="{29A94FD4-D10E-407A-BEDF-9E987B295689}" name="Total Income" dataDxfId="203">
      <calculatedColumnFormula>Income10141822[[#Totals],[Amount]]</calculatedColumnFormula>
    </tableColumn>
    <tableColumn id="2" xr3:uid="{1D81017A-264B-4CB4-80EF-B89E55D17BEB}" name="Total Expenses" dataDxfId="202">
      <calculatedColumnFormula>Expenses8131721[[#Totals],[Amount]]</calculatedColumnFormula>
    </tableColumn>
    <tableColumn id="3" xr3:uid="{3DD20B6F-9343-4C2C-AF79-35DA7CF6114C}" name="Balance" dataDxfId="201">
      <calculatedColumnFormula>Balance11151923[[#This Row],[Total Income]]-Balance11151923[[#This Row],[Total Expenses]]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2F0E635-7C76-41CF-B91B-8F0F0C9F5BDE}" name="Table812162026" displayName="Table812162026" ref="Q1:Q2" totalsRowShown="0" headerRowDxfId="200" dataDxfId="199">
  <autoFilter ref="Q1:Q2" xr:uid="{42F0E635-7C76-41CF-B91B-8F0F0C9F5BDE}">
    <filterColumn colId="0" hiddenButton="1"/>
  </autoFilter>
  <tableColumns count="1">
    <tableColumn id="1" xr3:uid="{C9615E5A-9CA4-4D5D-B8EB-52B67CC538C5}" name="Saving" dataDxfId="198">
      <calculatedColumnFormula>SUMIF(Expenses8131721[Item],Q1,Expenses8131721[Amount])</calculatedColumnFormula>
    </tableColumn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CAE4241-3308-4E31-A5A3-9D8793291D56}" name="Expenses8131727" displayName="Expenses8131727" ref="A1:D15" totalsRowCount="1" headerRowDxfId="197">
  <autoFilter ref="A1:D14" xr:uid="{ACAE4241-3308-4E31-A5A3-9D8793291D56}"/>
  <tableColumns count="4">
    <tableColumn id="1" xr3:uid="{97709037-1E51-40D3-9EE6-F3AB2CFB6CAF}" name="Date" totalsRowLabel="Total" dataDxfId="14" totalsRowDxfId="13"/>
    <tableColumn id="2" xr3:uid="{B35F2718-0B4F-4750-B451-D05DACC4F1F9}" name="Category"/>
    <tableColumn id="3" xr3:uid="{2A57B6A9-EA34-49A1-BA08-D220EBD66957}" name="Item"/>
    <tableColumn id="4" xr3:uid="{134A0EB8-E098-4CB0-A738-B72B8EB7EBD2}" name="Amount" totalsRowFunction="sum" dataDxfId="196" totalsRowDxfId="19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F77360D-5A5F-4EED-9183-FBC3884C8B4F}" name="Income10141828" displayName="Income10141828" ref="I1:L5" totalsRowCount="1" headerRowDxfId="194">
  <autoFilter ref="I1:L4" xr:uid="{CF77360D-5A5F-4EED-9183-FBC3884C8B4F}"/>
  <tableColumns count="4">
    <tableColumn id="1" xr3:uid="{64F95FD7-C88A-402C-A726-D3AB608E879F}" name="Date" totalsRowLabel="Total" dataDxfId="193"/>
    <tableColumn id="2" xr3:uid="{835D95FD-D0FC-4ED8-ADD5-DDEB7EFEBD28}" name="Category"/>
    <tableColumn id="3" xr3:uid="{6AF593B0-05D7-4211-B268-F88B27B7D276}" name="Item"/>
    <tableColumn id="4" xr3:uid="{381533B5-52A2-4894-BD0E-5FD229A99035}" name="Amount" totalsRowFunction="sum" dataDxfId="192" totalsRowDxfId="19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A87748C-02F1-447B-86FB-3469B1AEBA19}" name="Balance11151929" displayName="Balance11151929" ref="Q4:S5" totalsRowShown="0" headerRowDxfId="190" dataDxfId="189">
  <autoFilter ref="Q4:S5" xr:uid="{AA87748C-02F1-447B-86FB-3469B1AEBA19}">
    <filterColumn colId="0" hiddenButton="1"/>
    <filterColumn colId="1" hiddenButton="1"/>
    <filterColumn colId="2" hiddenButton="1"/>
  </autoFilter>
  <tableColumns count="3">
    <tableColumn id="1" xr3:uid="{7B65C41E-E900-4C0D-BBBD-36E2A53442ED}" name="Total Income" dataDxfId="188">
      <calculatedColumnFormula>Income10141828[[#Totals],[Amount]]</calculatedColumnFormula>
    </tableColumn>
    <tableColumn id="2" xr3:uid="{A0AD7374-53BD-402D-9F00-92F8678FBFFC}" name="Total Expenses" dataDxfId="187">
      <calculatedColumnFormula>Expenses8131727[[#Totals],[Amount]]</calculatedColumnFormula>
    </tableColumn>
    <tableColumn id="3" xr3:uid="{7D3AB7F6-1344-4A68-9D39-53204B8B16D8}" name="Balance" dataDxfId="186">
      <calculatedColumnFormula>Balance11151929[[#This Row],[Total Income]]-Balance11151929[[#This Row],[Total Expenses]]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5AD9C66-79C8-4477-859E-FB409AC47950}" name="Table812162030" displayName="Table812162030" ref="Q1:Q2" totalsRowShown="0" headerRowDxfId="185" dataDxfId="184">
  <autoFilter ref="Q1:Q2" xr:uid="{A5AD9C66-79C8-4477-859E-FB409AC47950}">
    <filterColumn colId="0" hiddenButton="1"/>
  </autoFilter>
  <tableColumns count="1">
    <tableColumn id="1" xr3:uid="{D6B4AA3C-1BF3-436D-8C02-08F91F85BEED}" name="Saving" dataDxfId="183">
      <calculatedColumnFormula>SUMIF(Expenses8131727[Item],Q1,Expenses8131727[Amount])</calculatedColumnFormula>
    </tableColumn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72354F3-489B-4AD6-BA1D-D317B5CB2700}" name="Expenses813172731" displayName="Expenses813172731" ref="A1:D16" totalsRowCount="1" headerRowDxfId="182">
  <autoFilter ref="A1:D15" xr:uid="{A72354F3-489B-4AD6-BA1D-D317B5CB2700}"/>
  <tableColumns count="4">
    <tableColumn id="1" xr3:uid="{74CAE43D-AAE4-47EE-A928-D68ADA946B40}" name="Date" totalsRowLabel="Total" dataDxfId="12" totalsRowDxfId="11"/>
    <tableColumn id="2" xr3:uid="{5B23A236-CE57-4E11-A8CD-ECB232F69CD5}" name="Category"/>
    <tableColumn id="3" xr3:uid="{9343E746-919B-42C1-8FF2-2E583C654CEE}" name="Item"/>
    <tableColumn id="4" xr3:uid="{B434BF1B-B70D-404C-BBE8-330E9621D0EA}" name="Amount" totalsRowFunction="sum" dataDxfId="181" totalsRowDxfId="18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50C3393-0F0B-44DF-B91C-73EB0B75BC9D}" name="Income1014182832" displayName="Income1014182832" ref="I1:L7" totalsRowCount="1" headerRowDxfId="179">
  <autoFilter ref="I1:L6" xr:uid="{B50C3393-0F0B-44DF-B91C-73EB0B75BC9D}"/>
  <tableColumns count="4">
    <tableColumn id="1" xr3:uid="{26E5EE6B-8785-40DA-958F-F0F3F17C122A}" name="Date" totalsRowLabel="Total" dataDxfId="178"/>
    <tableColumn id="2" xr3:uid="{5D1389F1-7A64-4C34-9E18-99A68672816A}" name="Category"/>
    <tableColumn id="3" xr3:uid="{318D1FC7-909B-478B-8EB9-AA7BC7A63D8C}" name="Item"/>
    <tableColumn id="4" xr3:uid="{1FC03426-E44C-4923-997A-62D62717F0EF}" name="Amount" totalsRowFunction="sum" dataDxfId="177" totalsRowDxfId="176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F6168B2-815C-4EE2-9C4E-8DC2DF9B6959}" name="Balance1115192933" displayName="Balance1115192933" ref="Q4:S5" totalsRowShown="0" headerRowDxfId="175" dataDxfId="174">
  <autoFilter ref="Q4:S5" xr:uid="{6F6168B2-815C-4EE2-9C4E-8DC2DF9B6959}">
    <filterColumn colId="0" hiddenButton="1"/>
    <filterColumn colId="1" hiddenButton="1"/>
    <filterColumn colId="2" hiddenButton="1"/>
  </autoFilter>
  <tableColumns count="3">
    <tableColumn id="1" xr3:uid="{9A48EED7-2510-42FC-8811-0311994863BB}" name="Total Income" dataDxfId="173">
      <calculatedColumnFormula>Income1014182832[[#Totals],[Amount]]</calculatedColumnFormula>
    </tableColumn>
    <tableColumn id="2" xr3:uid="{25122F3C-A433-457B-A454-B057F31F5839}" name="Total Expenses" dataDxfId="172">
      <calculatedColumnFormula>Expenses813172731[[#Totals],[Amount]]</calculatedColumnFormula>
    </tableColumn>
    <tableColumn id="3" xr3:uid="{68EE8B64-C1CF-414A-84B9-C1A90DDFF1DE}" name="Balance" dataDxfId="171">
      <calculatedColumnFormula>Balance1115192933[[#This Row],[Total Income]]-Balance1115192933[[#This Row],[Total Expenses]]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DC10B02-1B3C-4A0B-AF8E-32A7844A8715}" name="Table81216203034" displayName="Table81216203034" ref="Q1:Q2" totalsRowShown="0" headerRowDxfId="170" dataDxfId="169">
  <autoFilter ref="Q1:Q2" xr:uid="{1DC10B02-1B3C-4A0B-AF8E-32A7844A8715}">
    <filterColumn colId="0" hiddenButton="1"/>
  </autoFilter>
  <tableColumns count="1">
    <tableColumn id="1" xr3:uid="{5E8952C8-8EE5-49E2-B790-0B8D32537BF2}" name="Saving" dataDxfId="168">
      <calculatedColumnFormula>SUMIF(Expenses813172731[Item],Q1,Expenses813172731[Amount])</calculatedColumnFormula>
    </tableColumn>
  </tableColumns>
  <tableStyleInfo name="TableStyleMedium3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CC35CB9-7E7F-470B-84CB-5CCB4804818D}" name="Expenses81317273135" displayName="Expenses81317273135" ref="A1:D16" totalsRowCount="1" headerRowDxfId="167">
  <autoFilter ref="A1:D15" xr:uid="{BCC35CB9-7E7F-470B-84CB-5CCB4804818D}"/>
  <tableColumns count="4">
    <tableColumn id="1" xr3:uid="{880DC5B3-B3D5-4205-A98F-FB94CB80AE1F}" name="Date" totalsRowLabel="Total" dataDxfId="10" totalsRowDxfId="9"/>
    <tableColumn id="2" xr3:uid="{C51B289B-DD5F-411B-85A0-C2FF36AF5786}" name="Category"/>
    <tableColumn id="3" xr3:uid="{4C052671-2FF8-4643-A1B8-1ACE39D4AD51}" name="Item"/>
    <tableColumn id="4" xr3:uid="{992FD54C-227E-49B2-A4AC-1F19621BA25E}" name="Amount" totalsRowFunction="sum" dataDxfId="166" totalsRowDxfId="165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A468E90-92BC-4F50-B82B-EE4F9D7CFF72}" name="Income101418283236" displayName="Income101418283236" ref="I1:L8" totalsRowCount="1" headerRowDxfId="164">
  <autoFilter ref="I1:L7" xr:uid="{8A468E90-92BC-4F50-B82B-EE4F9D7CFF72}"/>
  <tableColumns count="4">
    <tableColumn id="1" xr3:uid="{EC96746D-5A73-4F20-9F38-39BC96396EF1}" name="Date" totalsRowLabel="Total" dataDxfId="163"/>
    <tableColumn id="2" xr3:uid="{11E9F20A-997C-4734-8F3B-CE21CF59181A}" name="Category"/>
    <tableColumn id="3" xr3:uid="{1720D7A1-D91F-492E-93C3-134B0E29B4A9}" name="Item"/>
    <tableColumn id="4" xr3:uid="{F959980C-89F9-49E4-96E5-1722C24A42F2}" name="Amount" totalsRowFunction="sum" dataDxfId="162" totalsRowDxfId="161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1C466F6-F050-4255-8669-1FD4BFBDA42A}" name="Balance111519293337" displayName="Balance111519293337" ref="Q4:S5" totalsRowShown="0" headerRowDxfId="160" dataDxfId="159">
  <autoFilter ref="Q4:S5" xr:uid="{01C466F6-F050-4255-8669-1FD4BFBDA42A}">
    <filterColumn colId="0" hiddenButton="1"/>
    <filterColumn colId="1" hiddenButton="1"/>
    <filterColumn colId="2" hiddenButton="1"/>
  </autoFilter>
  <tableColumns count="3">
    <tableColumn id="1" xr3:uid="{92F1A4A8-AF5A-454D-A0F3-73996A3C7166}" name="Total Income" dataDxfId="158">
      <calculatedColumnFormula>Income101418283236[[#Totals],[Amount]]</calculatedColumnFormula>
    </tableColumn>
    <tableColumn id="2" xr3:uid="{13F8F6E9-3784-4FF0-A300-62D0F2AEE392}" name="Total Expenses" dataDxfId="157">
      <calculatedColumnFormula>Expenses81317273135[[#Totals],[Amount]]</calculatedColumnFormula>
    </tableColumn>
    <tableColumn id="3" xr3:uid="{CC3C4477-3B0F-4B50-90FF-CB93195E7E5D}" name="Balance" dataDxfId="156">
      <calculatedColumnFormula>Balance111519293337[[#This Row],[Total Income]]-Balance111519293337[[#This Row],[Total Expenses]]</calculatedColumnFormula>
    </tableColumn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7662922-7A89-4121-8C81-6207164571D0}" name="Table8121620303438" displayName="Table8121620303438" ref="Q1:Q2" totalsRowShown="0" headerRowDxfId="155" dataDxfId="154">
  <autoFilter ref="Q1:Q2" xr:uid="{37662922-7A89-4121-8C81-6207164571D0}">
    <filterColumn colId="0" hiddenButton="1"/>
  </autoFilter>
  <tableColumns count="1">
    <tableColumn id="1" xr3:uid="{93D0585E-D935-4A8E-9155-A26ACA3081C5}" name="Saving" dataDxfId="153">
      <calculatedColumnFormula>SUMIF(Expenses81317273135[Item],Q1,Expenses81317273135[Amount])</calculatedColumnFormula>
    </tableColumn>
  </tableColumns>
  <tableStyleInfo name="TableStyleMedium3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E8A473-AD81-49E1-B468-68A566095897}" name="Expenses8131727313539" displayName="Expenses8131727313539" ref="A1:D18" totalsRowCount="1" headerRowDxfId="152">
  <autoFilter ref="A1:D17" xr:uid="{00E8A473-AD81-49E1-B468-68A566095897}"/>
  <tableColumns count="4">
    <tableColumn id="1" xr3:uid="{4E7C83CB-85F8-4610-BCF3-B6D36FF89B52}" name="Date" totalsRowLabel="Total" dataDxfId="8" totalsRowDxfId="7"/>
    <tableColumn id="2" xr3:uid="{9D3BE1E3-1EF1-452B-9E68-F87FABDC10C4}" name="Category"/>
    <tableColumn id="3" xr3:uid="{6DC678FA-322F-424C-B379-9550DCE87682}" name="Item"/>
    <tableColumn id="4" xr3:uid="{9F94C42D-5B40-4496-8F8B-FD5898911E01}" name="Amount" totalsRowFunction="sum" dataDxfId="151" totalsRowDxfId="6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AC9F34C-DE8B-488F-B4DC-E814D8DE8104}" name="Income10141828323640" displayName="Income10141828323640" ref="I1:L8" totalsRowCount="1" headerRowDxfId="150">
  <autoFilter ref="I1:L7" xr:uid="{5AC9F34C-DE8B-488F-B4DC-E814D8DE8104}"/>
  <tableColumns count="4">
    <tableColumn id="1" xr3:uid="{9DCBA8B1-BF72-4FDB-A1E2-7579DAA0134E}" name="Date" totalsRowLabel="Total" dataDxfId="149"/>
    <tableColumn id="2" xr3:uid="{B4A90F2D-6EFE-4F42-B6F8-34FB73F227AE}" name="Category"/>
    <tableColumn id="3" xr3:uid="{9C208043-8A2A-4D66-B9CE-7BDD531F7512}" name="Item"/>
    <tableColumn id="4" xr3:uid="{56C8342B-F2E2-422B-B590-15BC6A061AC2}" name="Amount" totalsRowFunction="sum" dataDxfId="148" totalsRowDxfId="147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FF6C9B1-E566-4A34-B487-A6FFE3374577}" name="Balance11151929333741" displayName="Balance11151929333741" ref="Q4:S5" totalsRowShown="0" headerRowDxfId="146" dataDxfId="145">
  <autoFilter ref="Q4:S5" xr:uid="{9FF6C9B1-E566-4A34-B487-A6FFE3374577}">
    <filterColumn colId="0" hiddenButton="1"/>
    <filterColumn colId="1" hiddenButton="1"/>
    <filterColumn colId="2" hiddenButton="1"/>
  </autoFilter>
  <tableColumns count="3">
    <tableColumn id="1" xr3:uid="{1757B7AA-37D4-4185-A1C4-6AC8F2077A8B}" name="Total Income" dataDxfId="144">
      <calculatedColumnFormula>Income10141828323640[[#Totals],[Amount]]</calculatedColumnFormula>
    </tableColumn>
    <tableColumn id="2" xr3:uid="{276A0140-AA13-44A0-A40A-F94F7C8019F7}" name="Total Expenses" dataDxfId="143">
      <calculatedColumnFormula>Expenses8131727313539[[#Totals],[Amount]]</calculatedColumnFormula>
    </tableColumn>
    <tableColumn id="3" xr3:uid="{95E68A0B-49D3-44F3-AD96-02DA37CB57A3}" name="Balance" dataDxfId="142">
      <calculatedColumnFormula>Balance11151929333741[[#This Row],[Total Income]]-Balance11151929333741[[#This Row],[Total Expenses]]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278DB3AB-52A4-4549-8062-E5CC1F2729C9}" name="Table812162030343842" displayName="Table812162030343842" ref="Q1:Q2" totalsRowShown="0" headerRowDxfId="141" dataDxfId="140">
  <autoFilter ref="Q1:Q2" xr:uid="{278DB3AB-52A4-4549-8062-E5CC1F2729C9}">
    <filterColumn colId="0" hiddenButton="1"/>
  </autoFilter>
  <tableColumns count="1">
    <tableColumn id="1" xr3:uid="{C7531184-2D50-402A-A7E6-42BC2274E26D}" name="Saving" dataDxfId="139">
      <calculatedColumnFormula>SUMIF(Expenses8131727313539[Item],Q1,Expenses8131727313539[Amount])</calculatedColumnFormula>
    </tableColumn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5DB1089-FC1C-4238-B813-AB64983EE52B}" name="Expenses813172731353943" displayName="Expenses813172731353943" ref="A1:D18" totalsRowCount="1" headerRowDxfId="138">
  <autoFilter ref="A1:D17" xr:uid="{E5DB1089-FC1C-4238-B813-AB64983EE52B}"/>
  <tableColumns count="4">
    <tableColumn id="1" xr3:uid="{7DD3645A-F13A-462A-A90D-61E5CE219393}" name="Date" totalsRowLabel="Total" dataDxfId="5" totalsRowDxfId="4"/>
    <tableColumn id="2" xr3:uid="{2D29C328-7445-4AD3-8255-543ADC9962A0}" name="Category"/>
    <tableColumn id="3" xr3:uid="{8F7EB65C-555F-4756-A351-3CF41F43AC29}" name="Item"/>
    <tableColumn id="4" xr3:uid="{5DE012FF-349F-4C8B-98B4-3469B3D6BE2B}" name="Amount" totalsRowFunction="sum" dataDxfId="137" totalsRowDxfId="136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C5D5282-2FF7-44BB-91D4-D6B2A913A756}" name="Income1014182832364044" displayName="Income1014182832364044" ref="I1:L8" totalsRowCount="1" headerRowDxfId="135">
  <autoFilter ref="I1:L7" xr:uid="{EC5D5282-2FF7-44BB-91D4-D6B2A913A756}"/>
  <tableColumns count="4">
    <tableColumn id="1" xr3:uid="{991C662C-80AB-4E1F-9956-82099A8C4CD0}" name="Date" totalsRowLabel="Total" dataDxfId="134"/>
    <tableColumn id="2" xr3:uid="{14EF7B74-6C65-4D5A-AF2A-15E6D521830B}" name="Category"/>
    <tableColumn id="3" xr3:uid="{1110FD04-522E-49D1-B5DC-6A221F80E717}" name="Item"/>
    <tableColumn id="4" xr3:uid="{E1A7603C-78E2-477F-AD52-FE35AD106C9F}" name="Amount" totalsRowFunction="sum" dataDxfId="133" totalsRowDxfId="132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EFC5530-78E1-4665-9CCF-23690B35C6DE}" name="Balance1115192933374145" displayName="Balance1115192933374145" ref="Q4:S5" totalsRowShown="0" headerRowDxfId="131" dataDxfId="130">
  <autoFilter ref="Q4:S5" xr:uid="{6EFC5530-78E1-4665-9CCF-23690B35C6DE}">
    <filterColumn colId="0" hiddenButton="1"/>
    <filterColumn colId="1" hiddenButton="1"/>
    <filterColumn colId="2" hiddenButton="1"/>
  </autoFilter>
  <tableColumns count="3">
    <tableColumn id="1" xr3:uid="{C8D02AE7-ED97-474B-A1DC-3EAF9DAB98BD}" name="Total Income" dataDxfId="129">
      <calculatedColumnFormula>Income1014182832364044[[#Totals],[Amount]]</calculatedColumnFormula>
    </tableColumn>
    <tableColumn id="2" xr3:uid="{65067861-FD66-4AB9-91AF-23DE79FE04A1}" name="Total Expenses" dataDxfId="128">
      <calculatedColumnFormula>Expenses813172731353943[[#Totals],[Amount]]</calculatedColumnFormula>
    </tableColumn>
    <tableColumn id="3" xr3:uid="{9B11610E-91DC-4229-90B5-9D73AAE76E7D}" name="Balance" dataDxfId="127">
      <calculatedColumnFormula>Balance1115192933374145[[#This Row],[Total Income]]-Balance1115192933374145[[#This Row],[Total Expenses]]</calculatedColumnFormula>
    </tableColumn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96EDCE4F-9CA0-48A9-9924-FDF5928BF1F6}" name="Table81216203034384246" displayName="Table81216203034384246" ref="Q1:Q2" totalsRowShown="0" headerRowDxfId="126" dataDxfId="125">
  <autoFilter ref="Q1:Q2" xr:uid="{96EDCE4F-9CA0-48A9-9924-FDF5928BF1F6}">
    <filterColumn colId="0" hiddenButton="1"/>
  </autoFilter>
  <tableColumns count="1">
    <tableColumn id="1" xr3:uid="{611FE03F-12A5-47ED-B60E-A08AA12B0694}" name="Saving" dataDxfId="124">
      <calculatedColumnFormula>SUMIF(Expenses813172731353943[Item],Q1,Expenses813172731353943[Amount])</calculatedColumnFormula>
    </tableColumn>
  </tableColumns>
  <tableStyleInfo name="TableStyleMedium3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18FE653-CFC4-4E4D-9193-151A0DF2CC62}" name="Expenses81317273135394347" displayName="Expenses81317273135394347" ref="A1:D19" totalsRowCount="1" headerRowDxfId="123">
  <autoFilter ref="A1:D18" xr:uid="{B18FE653-CFC4-4E4D-9193-151A0DF2CC62}"/>
  <tableColumns count="4">
    <tableColumn id="1" xr3:uid="{AC4DA29A-7D8A-45EE-9270-CFCA5FEFE845}" name="Date" totalsRowLabel="Total" dataDxfId="3" totalsRowDxfId="2"/>
    <tableColumn id="2" xr3:uid="{809D2DDD-193F-4289-B61A-983695A60437}" name="Category"/>
    <tableColumn id="3" xr3:uid="{7CED7CD5-FE4C-42B4-AA1A-EBC11C957F22}" name="Item"/>
    <tableColumn id="4" xr3:uid="{82869923-5EB3-4180-9750-2FE80733F081}" name="Amount" totalsRowFunction="sum" dataDxfId="122" totalsRowDxfId="121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03C863C-60E8-4922-813B-DABA7BA10A93}" name="Income101418283236404448" displayName="Income101418283236404448" ref="I1:L9" totalsRowCount="1" headerRowDxfId="120">
  <autoFilter ref="I1:L8" xr:uid="{D03C863C-60E8-4922-813B-DABA7BA10A93}"/>
  <tableColumns count="4">
    <tableColumn id="1" xr3:uid="{28023F3D-DCC2-44C5-9A6A-AF052A3BE8CD}" name="Date" totalsRowLabel="Total" dataDxfId="119"/>
    <tableColumn id="2" xr3:uid="{CE5C3B7A-4499-4E2A-8764-F132EA490ADB}" name="Category"/>
    <tableColumn id="3" xr3:uid="{B6BC8B9D-7705-409E-8545-917CA2338D42}" name="Item"/>
    <tableColumn id="4" xr3:uid="{AFFE8829-CCD8-4EF4-8574-807BCB71CEDC}" name="Amount" totalsRowFunction="sum" dataDxfId="118" totalsRowDxfId="117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2F1FDE6-D400-4443-83AF-BE355F724C7E}" name="Balance111519293337414549" displayName="Balance111519293337414549" ref="Q4:S5" totalsRowShown="0" headerRowDxfId="116" dataDxfId="115">
  <autoFilter ref="Q4:S5" xr:uid="{B2F1FDE6-D400-4443-83AF-BE355F724C7E}">
    <filterColumn colId="0" hiddenButton="1"/>
    <filterColumn colId="1" hiddenButton="1"/>
    <filterColumn colId="2" hiddenButton="1"/>
  </autoFilter>
  <tableColumns count="3">
    <tableColumn id="1" xr3:uid="{3BC7C707-78AA-4A2E-BD34-0DC5D65BA1AA}" name="Total Income" dataDxfId="114">
      <calculatedColumnFormula>Income101418283236404448[[#Totals],[Amount]]</calculatedColumnFormula>
    </tableColumn>
    <tableColumn id="2" xr3:uid="{4B0898A2-ED99-4A1D-B356-30FBA312A02B}" name="Total Expenses" dataDxfId="113">
      <calculatedColumnFormula>Expenses81317273135394347[[#Totals],[Amount]]</calculatedColumnFormula>
    </tableColumn>
    <tableColumn id="3" xr3:uid="{5C3BB3F0-9A34-4F98-BFD7-F2C3CBD01376}" name="Balance" dataDxfId="112">
      <calculatedColumnFormula>Balance111519293337414549[[#This Row],[Total Income]]-Balance111519293337414549[[#This Row],[Total Expenses]]</calculatedColumnFormula>
    </tableColumn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52A7CC15-C9BD-4105-842D-8A880DFCC96C}" name="Table8121620303438424650" displayName="Table8121620303438424650" ref="Q1:Q2" totalsRowShown="0" headerRowDxfId="111" dataDxfId="110">
  <autoFilter ref="Q1:Q2" xr:uid="{52A7CC15-C9BD-4105-842D-8A880DFCC96C}">
    <filterColumn colId="0" hiddenButton="1"/>
  </autoFilter>
  <tableColumns count="1">
    <tableColumn id="1" xr3:uid="{814398D1-056E-49D1-856F-1A94F9D75297}" name="Saving" dataDxfId="109">
      <calculatedColumnFormula>SUMIF(Expenses81317273135394347[Item],Q1,Expenses81317273135394347[Amount])</calculatedColumnFormula>
    </tableColumn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0AD1128-933B-4490-911F-BF983FBA1FE3}" name="Expenses8131727313539434751" displayName="Expenses8131727313539434751" ref="A1:D18" totalsRowCount="1" headerRowDxfId="108">
  <autoFilter ref="A1:D17" xr:uid="{70AD1128-933B-4490-911F-BF983FBA1FE3}"/>
  <tableColumns count="4">
    <tableColumn id="1" xr3:uid="{8CB0E8E5-65BA-4B0B-B9E7-EED21B18B223}" name="Date" totalsRowLabel="Total" dataDxfId="1" totalsRowDxfId="0"/>
    <tableColumn id="2" xr3:uid="{30AE5F2D-CE0F-4430-9391-9A1C05A2663E}" name="Category"/>
    <tableColumn id="3" xr3:uid="{AE8A9709-4F53-4F29-8D34-9CA90E70614A}" name="Item"/>
    <tableColumn id="4" xr3:uid="{FE896F43-9C95-447D-A9FE-53672B6CED15}" name="Amount" totalsRowFunction="sum" dataDxfId="107" totalsRowDxfId="106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2460022-E0BF-402D-8573-60EF523C86DF}" name="Income10141828323640444852" displayName="Income10141828323640444852" ref="I1:L10" totalsRowCount="1" headerRowDxfId="105">
  <autoFilter ref="I1:L9" xr:uid="{02460022-E0BF-402D-8573-60EF523C86DF}"/>
  <tableColumns count="4">
    <tableColumn id="1" xr3:uid="{151F2CD4-9745-4C57-87E8-BEE0AD6015AB}" name="Date" totalsRowLabel="Total" dataDxfId="104"/>
    <tableColumn id="2" xr3:uid="{38516872-878F-4EBA-9414-46AFBDF7C210}" name="Category"/>
    <tableColumn id="3" xr3:uid="{F2760589-DC92-4F83-9A61-670A0A6FCA75}" name="Item"/>
    <tableColumn id="4" xr3:uid="{75737FD1-9DE2-43DF-B8D2-25124FEB9EE8}" name="Amount" totalsRowFunction="sum" dataDxfId="103" totalsRowDxfId="10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95176FE-E74E-4B0E-9CC2-2C844E50611E}" name="Balance11151929333741454953" displayName="Balance11151929333741454953" ref="Q4:S5" totalsRowShown="0" headerRowDxfId="101" dataDxfId="100">
  <autoFilter ref="Q4:S5" xr:uid="{D95176FE-E74E-4B0E-9CC2-2C844E50611E}">
    <filterColumn colId="0" hiddenButton="1"/>
    <filterColumn colId="1" hiddenButton="1"/>
    <filterColumn colId="2" hiddenButton="1"/>
  </autoFilter>
  <tableColumns count="3">
    <tableColumn id="1" xr3:uid="{A8D1FA14-E41E-4FDE-8CA9-CD7CE8E9C972}" name="Total Income" dataDxfId="99">
      <calculatedColumnFormula>Income10141828323640444852[[#Totals],[Amount]]</calculatedColumnFormula>
    </tableColumn>
    <tableColumn id="2" xr3:uid="{CD70B118-0FD0-46B1-9BD6-B21D9B3BAD27}" name="Total Expenses" dataDxfId="98">
      <calculatedColumnFormula>Expenses8131727313539434751[[#Totals],[Amount]]</calculatedColumnFormula>
    </tableColumn>
    <tableColumn id="3" xr3:uid="{8E3AAF4B-FB58-4BD0-8E6A-3BF01A2CC064}" name="Balance" dataDxfId="97">
      <calculatedColumnFormula>Balance11151929333741454953[[#This Row],[Total Income]]-Balance11151929333741454953[[#This Row],[Total Expenses]]</calculatedColumnFormula>
    </tableColumn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F627089-C269-4E4F-91E0-2FE587F54D1D}" name="Table812162030343842465054" displayName="Table812162030343842465054" ref="Q1:Q2" totalsRowShown="0" headerRowDxfId="96" dataDxfId="95">
  <autoFilter ref="Q1:Q2" xr:uid="{CF627089-C269-4E4F-91E0-2FE587F54D1D}">
    <filterColumn colId="0" hiddenButton="1"/>
  </autoFilter>
  <tableColumns count="1">
    <tableColumn id="1" xr3:uid="{D657DC01-1B4D-4D68-B697-32AC992C9236}" name="Saving" dataDxfId="94">
      <calculatedColumnFormula>SUMIF(Expenses8131727313539434751[Item],Q1,Expenses8131727313539434751[Amount])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4" Type="http://schemas.openxmlformats.org/officeDocument/2006/relationships/table" Target="../tables/table2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4" Type="http://schemas.openxmlformats.org/officeDocument/2006/relationships/table" Target="../tables/table3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Relationship Id="rId4" Type="http://schemas.openxmlformats.org/officeDocument/2006/relationships/table" Target="../tables/table3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4" Type="http://schemas.openxmlformats.org/officeDocument/2006/relationships/table" Target="../tables/table4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4" Type="http://schemas.openxmlformats.org/officeDocument/2006/relationships/table" Target="../tables/table4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table" Target="../tables/table47.xml"/><Relationship Id="rId4" Type="http://schemas.openxmlformats.org/officeDocument/2006/relationships/table" Target="../tables/table5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Relationship Id="rId4" Type="http://schemas.openxmlformats.org/officeDocument/2006/relationships/table" Target="../tables/table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8601-41D4-4F81-AE69-18E9556D2AB3}">
  <dimension ref="A1"/>
  <sheetViews>
    <sheetView topLeftCell="A7" zoomScale="130" zoomScaleNormal="130" workbookViewId="0">
      <selection activeCell="L33" sqref="L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CF63-80BA-457C-B131-DE6812623860}">
  <dimension ref="A1:M21"/>
  <sheetViews>
    <sheetView zoomScale="160" zoomScaleNormal="160" workbookViewId="0">
      <selection activeCell="A16" sqref="A16"/>
    </sheetView>
  </sheetViews>
  <sheetFormatPr defaultRowHeight="15" x14ac:dyDescent="0.25"/>
  <cols>
    <col min="1" max="1" width="18.7109375" bestFit="1" customWidth="1"/>
    <col min="2" max="2" width="14.28515625" bestFit="1" customWidth="1"/>
    <col min="3" max="3" width="11.7109375" bestFit="1" customWidth="1"/>
    <col min="4" max="13" width="9.85546875" bestFit="1" customWidth="1"/>
  </cols>
  <sheetData>
    <row r="1" spans="1:13" x14ac:dyDescent="0.25">
      <c r="A1" s="9" t="s">
        <v>29</v>
      </c>
    </row>
    <row r="2" spans="1:13" x14ac:dyDescent="0.25">
      <c r="A2" s="6">
        <v>552.91999999999996</v>
      </c>
      <c r="B2" s="9" t="s">
        <v>31</v>
      </c>
      <c r="C2" s="9" t="s">
        <v>33</v>
      </c>
    </row>
    <row r="3" spans="1:13" x14ac:dyDescent="0.25">
      <c r="A3" s="10" t="s">
        <v>30</v>
      </c>
      <c r="B3" s="6" cm="1">
        <f t="array" ref="B3">SUM(Table3[Balance Saving 2023]+Savings[Total Savings 2024])</f>
        <v>5402.92</v>
      </c>
      <c r="C3" s="6">
        <f>10000-Table4[[#This Row],[Total Saving]]</f>
        <v>4597.08</v>
      </c>
    </row>
    <row r="4" spans="1:13" x14ac:dyDescent="0.25">
      <c r="A4" s="6">
        <f>SUM(Jan:Dec!Q2)</f>
        <v>4850</v>
      </c>
    </row>
    <row r="6" spans="1:13" x14ac:dyDescent="0.25">
      <c r="A6" s="4" t="s">
        <v>3</v>
      </c>
      <c r="B6" s="11" t="s">
        <v>4</v>
      </c>
      <c r="C6" s="11" t="s">
        <v>32</v>
      </c>
    </row>
    <row r="7" spans="1:13" x14ac:dyDescent="0.25">
      <c r="A7" t="s">
        <v>5</v>
      </c>
      <c r="B7" s="6">
        <f>SUM(Summary:Dec!G2)</f>
        <v>8904.880000000001</v>
      </c>
      <c r="C7" s="6">
        <f>Table61[[#This Row],[Amount]]/12</f>
        <v>742.07333333333338</v>
      </c>
    </row>
    <row r="8" spans="1:13" x14ac:dyDescent="0.25">
      <c r="A8" t="s">
        <v>6</v>
      </c>
      <c r="B8" s="6">
        <f>SUM(Summary:Dec!G3)</f>
        <v>3388.56</v>
      </c>
      <c r="C8" s="6">
        <f>Table61[[#This Row],[Amount]]/12</f>
        <v>282.38</v>
      </c>
    </row>
    <row r="9" spans="1:13" x14ac:dyDescent="0.25">
      <c r="A9" t="s">
        <v>7</v>
      </c>
      <c r="B9" s="6">
        <f>SUM(Summary:Dec!G4)</f>
        <v>663.12</v>
      </c>
      <c r="C9" s="6">
        <f>Table61[[#This Row],[Amount]]/12</f>
        <v>55.26</v>
      </c>
    </row>
    <row r="10" spans="1:13" x14ac:dyDescent="0.25">
      <c r="A10" t="s">
        <v>8</v>
      </c>
      <c r="B10" s="6">
        <f>SUM(Summary:Dec!G5)</f>
        <v>3242.74</v>
      </c>
      <c r="C10" s="6">
        <f>Table61[[#This Row],[Amount]]/12</f>
        <v>270.2283333333333</v>
      </c>
    </row>
    <row r="11" spans="1:13" x14ac:dyDescent="0.25">
      <c r="A11" t="s">
        <v>9</v>
      </c>
      <c r="B11" s="6">
        <f>SUM(Summary:Dec!G6)</f>
        <v>1730</v>
      </c>
      <c r="C11" s="6">
        <f>Table61[[#This Row],[Amount]]/12</f>
        <v>144.16666666666666</v>
      </c>
    </row>
    <row r="12" spans="1:13" x14ac:dyDescent="0.25">
      <c r="A12" t="s">
        <v>68</v>
      </c>
      <c r="B12" s="6">
        <f>SUM(Summary:Dec!G7)</f>
        <v>1034</v>
      </c>
      <c r="C12" s="6">
        <f>Table61[[#This Row],[Amount]]/12</f>
        <v>86.166666666666671</v>
      </c>
    </row>
    <row r="16" spans="1:13" x14ac:dyDescent="0.25">
      <c r="A16" t="s">
        <v>34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</row>
    <row r="17" spans="1:13" x14ac:dyDescent="0.25">
      <c r="A17" t="s">
        <v>35</v>
      </c>
      <c r="B17" s="6">
        <f>Income[[#Totals],[Amount]]</f>
        <v>1608.06</v>
      </c>
      <c r="C17" s="6">
        <f>Income10[[#Totals],[Amount]]</f>
        <v>1932.83</v>
      </c>
      <c r="D17" s="6">
        <f>Income1014[[#Totals],[Amount]]</f>
        <v>1907.6</v>
      </c>
      <c r="E17" s="6">
        <f>Income101418[[#Totals],[Amount]]</f>
        <v>1646.23</v>
      </c>
      <c r="F17" s="6">
        <f>Income10141822[[#Totals],[Amount]]</f>
        <v>1667.46</v>
      </c>
      <c r="G17" s="6">
        <f>Income10141828[[#Totals],[Amount]]</f>
        <v>1205.5500000000002</v>
      </c>
      <c r="H17" s="6">
        <f>Income1014182832[[#Totals],[Amount]]</f>
        <v>1589.1500000000003</v>
      </c>
      <c r="I17" s="6">
        <f>Income101418283236[[#Totals],[Amount]]</f>
        <v>1647.7500000000002</v>
      </c>
      <c r="J17" s="6">
        <f>Income10141828323640[[#Totals],[Amount]]</f>
        <v>2096.3500000000004</v>
      </c>
      <c r="K17" s="6">
        <f>Income1014182832364044[[#Totals],[Amount]]</f>
        <v>1824.3500000000001</v>
      </c>
      <c r="L17" s="6">
        <f>Income101418283236404448[[#Totals],[Amount]]</f>
        <v>2004.39</v>
      </c>
      <c r="M17" s="6">
        <f>Income10141828323640444852[[#Totals],[Amount]]</f>
        <v>2976.93</v>
      </c>
    </row>
    <row r="18" spans="1:13" x14ac:dyDescent="0.25">
      <c r="A18" t="s">
        <v>36</v>
      </c>
      <c r="B18" s="6">
        <f>Expenses[[#Totals],[Amount]]</f>
        <v>1283.29</v>
      </c>
      <c r="C18" s="6">
        <f>Expenses8[[#Totals],[Amount]]</f>
        <v>1633.29</v>
      </c>
      <c r="D18" s="6">
        <f>Expenses813[[#Totals],[Amount]]</f>
        <v>1869.43</v>
      </c>
      <c r="E18" s="6">
        <f>Expenses81317[[#Totals],[Amount]]</f>
        <v>1586.83</v>
      </c>
      <c r="F18" s="6">
        <f>Expenses8131721[[#Totals],[Amount]]</f>
        <v>1405.49</v>
      </c>
      <c r="G18" s="6">
        <f>Expenses8131727[[#Totals],[Amount]]</f>
        <v>1165.49</v>
      </c>
      <c r="H18" s="6">
        <f>Expenses813172731[[#Totals],[Amount]]</f>
        <v>1525.49</v>
      </c>
      <c r="I18" s="6">
        <f>Expenses81317273135[[#Totals],[Amount]]</f>
        <v>1435.49</v>
      </c>
      <c r="J18" s="6">
        <f>Expenses8131727313539[[#Totals],[Amount]]</f>
        <v>1923.0900000000001</v>
      </c>
      <c r="K18" s="6">
        <f>Expenses813172731353943[[#Totals],[Amount]]</f>
        <v>1762.9900000000002</v>
      </c>
      <c r="L18" s="6">
        <f>Expenses81317273135394347[[#Totals],[Amount]]</f>
        <v>1889.94</v>
      </c>
      <c r="M18" s="6">
        <f>Expenses8131727313539434751[[#Totals],[Amount]]</f>
        <v>2682.4799999999996</v>
      </c>
    </row>
    <row r="20" spans="1:13" x14ac:dyDescent="0.25">
      <c r="A20" s="7" t="s">
        <v>0</v>
      </c>
      <c r="B20" s="5" t="s">
        <v>1</v>
      </c>
      <c r="C20" s="8" t="s">
        <v>2</v>
      </c>
    </row>
    <row r="21" spans="1:13" x14ac:dyDescent="0.25">
      <c r="A21" s="6">
        <f>SUM(Jan:Dec!Q5)</f>
        <v>22106.649999999998</v>
      </c>
      <c r="B21" s="6">
        <f>SUM(Jan:Dec!R5)</f>
        <v>20163.3</v>
      </c>
      <c r="C21" s="6">
        <f>Totals[[#This Row],[Total Income]]-Totals[[#This Row],[Total Expenses]]</f>
        <v>1943.3499999999985</v>
      </c>
    </row>
  </sheetData>
  <phoneticPr fontId="2" type="noConversion"/>
  <conditionalFormatting sqref="B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{AE3EA126-B076-4163-9C97-DD9C0D708724}</x14:id>
        </ext>
      </extLst>
    </cfRule>
  </conditionalFormatting>
  <conditionalFormatting sqref="B7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{A9E22F80-F631-4B69-A367-4E5AA5259BE1}</x14:id>
        </ext>
      </extLst>
    </cfRule>
  </conditionalFormatting>
  <pageMargins left="0.7" right="0.7" top="0.75" bottom="0.75" header="0.3" footer="0.3"/>
  <ignoredErrors>
    <ignoredError sqref="B18:M18" calculatedColumn="1"/>
  </ignoredErrors>
  <tableParts count="6">
    <tablePart r:id="rId1"/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3EA126-B076-4163-9C97-DD9C0D7087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</xm:sqref>
        </x14:conditionalFormatting>
        <x14:conditionalFormatting xmlns:xm="http://schemas.microsoft.com/office/excel/2006/main">
          <x14:cfRule type="dataBar" id="{A9E22F80-F631-4B69-A367-4E5AA5259BE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B7:B12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8974-64D7-443F-A6B3-83B656A31DBB}">
  <dimension ref="A1:S18"/>
  <sheetViews>
    <sheetView zoomScale="145" zoomScaleNormal="145" workbookViewId="0">
      <selection activeCell="B8" sqref="B8"/>
    </sheetView>
  </sheetViews>
  <sheetFormatPr defaultRowHeight="15" x14ac:dyDescent="0.25"/>
  <cols>
    <col min="1" max="1" width="7.42578125" bestFit="1" customWidth="1"/>
    <col min="2" max="2" width="11.140625" bestFit="1" customWidth="1"/>
    <col min="3" max="3" width="20.42578125" bestFit="1" customWidth="1"/>
    <col min="4" max="4" width="10.28515625" bestFit="1" customWidth="1"/>
    <col min="5" max="5" width="1.7109375" customWidth="1"/>
    <col min="6" max="6" width="8.85546875" bestFit="1" customWidth="1"/>
    <col min="7" max="7" width="8.28515625" bestFit="1" customWidth="1"/>
    <col min="8" max="8" width="4.42578125" customWidth="1"/>
    <col min="9" max="9" width="7.42578125" bestFit="1" customWidth="1"/>
    <col min="10" max="10" width="11.140625" bestFit="1" customWidth="1"/>
    <col min="11" max="11" width="10.5703125" bestFit="1" customWidth="1"/>
    <col min="12" max="12" width="10.42578125" bestFit="1" customWidth="1"/>
    <col min="13" max="13" width="1.5703125" customWidth="1"/>
    <col min="14" max="14" width="10.7109375" bestFit="1" customWidth="1"/>
    <col min="15" max="15" width="9.85546875" bestFit="1" customWidth="1"/>
    <col min="16" max="16" width="5.4257812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2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">
        <v>45292</v>
      </c>
      <c r="B2" t="s">
        <v>5</v>
      </c>
      <c r="C2" t="s">
        <v>13</v>
      </c>
      <c r="D2" s="6">
        <v>150</v>
      </c>
      <c r="F2" s="12" t="str" cm="1">
        <f t="array" ref="F2:F6">_xlfn.UNIQUE(B2:B17)</f>
        <v>Bank</v>
      </c>
      <c r="G2" s="6" cm="1">
        <f t="array" ref="G2">SUMIF(B2:B17,F2,D2:D17)-Table8[Saving]</f>
        <v>516.43999999999994</v>
      </c>
      <c r="I2" s="1">
        <v>45297</v>
      </c>
      <c r="J2" t="s">
        <v>14</v>
      </c>
      <c r="K2" t="s">
        <v>15</v>
      </c>
      <c r="L2" s="6">
        <v>89.37</v>
      </c>
      <c r="N2" s="12" t="str" cm="1">
        <f t="array" ref="N2:N3">_xlfn.UNIQUE(Income[Category])</f>
        <v>Social Help</v>
      </c>
      <c r="O2" s="6">
        <f>SUMIF(Income[Category],N2,Income[Amount])</f>
        <v>89.37</v>
      </c>
      <c r="Q2" s="6">
        <f>SUMIF(Expenses[Item],Q1,Expenses[Amount])</f>
        <v>350</v>
      </c>
    </row>
    <row r="3" spans="1:19" x14ac:dyDescent="0.25">
      <c r="A3" s="1">
        <v>45292</v>
      </c>
      <c r="B3" t="s">
        <v>5</v>
      </c>
      <c r="C3" t="s">
        <v>13</v>
      </c>
      <c r="D3" s="6">
        <v>200</v>
      </c>
      <c r="F3" s="12" t="str">
        <v>Utilities</v>
      </c>
      <c r="G3" s="6">
        <f>SUMIF(B2:B17,F3,D2:D17)</f>
        <v>31.980000000000004</v>
      </c>
      <c r="I3" s="1">
        <v>45319</v>
      </c>
      <c r="J3" t="s">
        <v>16</v>
      </c>
      <c r="K3" t="s">
        <v>17</v>
      </c>
      <c r="L3" s="6">
        <v>1518.69</v>
      </c>
      <c r="N3" s="12" t="str">
        <v>Salary</v>
      </c>
      <c r="O3" s="6">
        <f>SUMIF(J2:J3,N3,L2:L3)</f>
        <v>1518.69</v>
      </c>
    </row>
    <row r="4" spans="1:19" x14ac:dyDescent="0.25">
      <c r="A4" s="1">
        <v>45292</v>
      </c>
      <c r="B4" t="s">
        <v>6</v>
      </c>
      <c r="C4" t="s">
        <v>19</v>
      </c>
      <c r="D4" s="6">
        <v>10.99</v>
      </c>
      <c r="F4" s="12" t="str">
        <v>Car</v>
      </c>
      <c r="G4" s="6">
        <f>SUMIF(B2:B17,F4,D2:D17)</f>
        <v>44.87</v>
      </c>
      <c r="I4" t="s">
        <v>12</v>
      </c>
      <c r="L4" s="6">
        <f>SUBTOTAL(109,Income[Amount])</f>
        <v>1608.06</v>
      </c>
      <c r="Q4" s="8" t="s">
        <v>0</v>
      </c>
      <c r="R4" s="8" t="s">
        <v>1</v>
      </c>
      <c r="S4" s="8" t="s">
        <v>2</v>
      </c>
    </row>
    <row r="5" spans="1:19" x14ac:dyDescent="0.25">
      <c r="A5" s="1">
        <v>45292</v>
      </c>
      <c r="B5" t="s">
        <v>7</v>
      </c>
      <c r="C5" t="s">
        <v>20</v>
      </c>
      <c r="D5" s="6">
        <v>44.87</v>
      </c>
      <c r="F5" s="12" t="str">
        <v>Food</v>
      </c>
      <c r="G5" s="6">
        <f>SUMIF(Expenses[Category],F5,Expenses[Amount])</f>
        <v>240</v>
      </c>
      <c r="Q5" s="6">
        <f>Income[[#Totals],[Amount]]</f>
        <v>1608.06</v>
      </c>
      <c r="R5" s="6">
        <f>Expenses[[#Totals],[Amount]]</f>
        <v>1283.29</v>
      </c>
      <c r="S5" s="6">
        <f>Balance[[#This Row],[Total Income]]-Balance[[#This Row],[Total Expenses]]</f>
        <v>324.77</v>
      </c>
    </row>
    <row r="6" spans="1:19" x14ac:dyDescent="0.25">
      <c r="A6" s="1">
        <v>45292</v>
      </c>
      <c r="B6" t="s">
        <v>8</v>
      </c>
      <c r="C6" t="s">
        <v>22</v>
      </c>
      <c r="D6" s="6">
        <v>50</v>
      </c>
      <c r="F6" s="12" t="str">
        <v>Activities</v>
      </c>
      <c r="G6" s="6">
        <f>SUMIF(Expenses[Category],F6,Expenses[Amount])</f>
        <v>100</v>
      </c>
    </row>
    <row r="7" spans="1:19" x14ac:dyDescent="0.25">
      <c r="A7" s="1">
        <v>45295</v>
      </c>
      <c r="B7" t="s">
        <v>5</v>
      </c>
      <c r="C7" t="s">
        <v>18</v>
      </c>
      <c r="D7" s="6">
        <v>50.19</v>
      </c>
    </row>
    <row r="8" spans="1:19" x14ac:dyDescent="0.25">
      <c r="A8" s="1">
        <v>45296</v>
      </c>
      <c r="B8" t="s">
        <v>5</v>
      </c>
      <c r="C8" t="s">
        <v>21</v>
      </c>
      <c r="D8" s="6">
        <v>17.27</v>
      </c>
    </row>
    <row r="9" spans="1:19" x14ac:dyDescent="0.25">
      <c r="A9" s="1">
        <v>45297</v>
      </c>
      <c r="B9" t="s">
        <v>8</v>
      </c>
      <c r="C9" t="s">
        <v>22</v>
      </c>
      <c r="D9" s="6">
        <v>30</v>
      </c>
    </row>
    <row r="10" spans="1:19" x14ac:dyDescent="0.25">
      <c r="A10" s="1">
        <v>45297</v>
      </c>
      <c r="B10" t="s">
        <v>5</v>
      </c>
      <c r="C10" t="s">
        <v>23</v>
      </c>
      <c r="D10" s="6">
        <v>301.18</v>
      </c>
    </row>
    <row r="11" spans="1:19" x14ac:dyDescent="0.25">
      <c r="A11" s="1">
        <v>45300</v>
      </c>
      <c r="B11" t="s">
        <v>5</v>
      </c>
      <c r="C11" t="s">
        <v>24</v>
      </c>
      <c r="D11" s="6">
        <v>117.8</v>
      </c>
    </row>
    <row r="12" spans="1:19" x14ac:dyDescent="0.25">
      <c r="A12" s="1">
        <v>45300</v>
      </c>
      <c r="B12" t="s">
        <v>8</v>
      </c>
      <c r="C12" t="s">
        <v>22</v>
      </c>
      <c r="D12" s="6">
        <v>80</v>
      </c>
    </row>
    <row r="13" spans="1:19" x14ac:dyDescent="0.25">
      <c r="A13" s="1">
        <v>45303</v>
      </c>
      <c r="B13" t="s">
        <v>9</v>
      </c>
      <c r="C13" t="s">
        <v>28</v>
      </c>
      <c r="D13" s="6">
        <v>100</v>
      </c>
    </row>
    <row r="14" spans="1:19" x14ac:dyDescent="0.25">
      <c r="A14" s="1">
        <v>45305</v>
      </c>
      <c r="B14" t="s">
        <v>6</v>
      </c>
      <c r="C14" t="s">
        <v>25</v>
      </c>
      <c r="D14" s="6">
        <v>7</v>
      </c>
    </row>
    <row r="15" spans="1:19" x14ac:dyDescent="0.25">
      <c r="A15" s="1">
        <v>45306</v>
      </c>
      <c r="B15" t="s">
        <v>6</v>
      </c>
      <c r="C15" t="s">
        <v>26</v>
      </c>
      <c r="D15" s="6">
        <v>13.99</v>
      </c>
    </row>
    <row r="16" spans="1:19" x14ac:dyDescent="0.25">
      <c r="A16" s="1">
        <v>45311</v>
      </c>
      <c r="B16" t="s">
        <v>8</v>
      </c>
      <c r="C16" t="s">
        <v>22</v>
      </c>
      <c r="D16" s="6">
        <v>80</v>
      </c>
    </row>
    <row r="17" spans="1:4" x14ac:dyDescent="0.25">
      <c r="A17" s="1">
        <v>45318</v>
      </c>
      <c r="B17" t="s">
        <v>5</v>
      </c>
      <c r="C17" t="s">
        <v>27</v>
      </c>
      <c r="D17" s="6">
        <v>30</v>
      </c>
    </row>
    <row r="18" spans="1:4" x14ac:dyDescent="0.25">
      <c r="A18" t="s">
        <v>12</v>
      </c>
      <c r="D18" s="6">
        <f>SUBTOTAL(109,Expenses[Amount])</f>
        <v>1283.29</v>
      </c>
    </row>
  </sheetData>
  <conditionalFormatting sqref="D2:D17">
    <cfRule type="cellIs" dxfId="89" priority="1" operator="greaterThan">
      <formula>99</formula>
    </cfRule>
    <cfRule type="cellIs" dxfId="88" priority="2" operator="greaterThan">
      <formula>"&gt;=100"</formula>
    </cfRule>
    <cfRule type="cellIs" dxfId="87" priority="3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C8D9-E26C-411D-AB58-EE9FDA3965DA}">
  <dimension ref="A1:S26"/>
  <sheetViews>
    <sheetView zoomScale="145" zoomScaleNormal="145" workbookViewId="0">
      <selection activeCell="D22" sqref="D22"/>
    </sheetView>
  </sheetViews>
  <sheetFormatPr defaultRowHeight="15" x14ac:dyDescent="0.25"/>
  <cols>
    <col min="1" max="2" width="11.140625" bestFit="1" customWidth="1"/>
    <col min="3" max="3" width="20.42578125" bestFit="1" customWidth="1"/>
    <col min="4" max="4" width="10.42578125" bestFit="1" customWidth="1"/>
    <col min="5" max="5" width="0.85546875" customWidth="1"/>
    <col min="6" max="6" width="9.28515625" bestFit="1" customWidth="1"/>
    <col min="7" max="7" width="8.42578125" bestFit="1" customWidth="1"/>
    <col min="8" max="8" width="2" customWidth="1"/>
    <col min="9" max="9" width="7.4257812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.140625" customWidth="1"/>
    <col min="14" max="14" width="10.7109375" bestFit="1" customWidth="1"/>
    <col min="15" max="15" width="10" bestFit="1" customWidth="1"/>
    <col min="16" max="16" width="1.570312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2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45323</v>
      </c>
      <c r="B2" t="s">
        <v>5</v>
      </c>
      <c r="C2" t="s">
        <v>13</v>
      </c>
      <c r="D2" s="6">
        <v>700</v>
      </c>
      <c r="F2" s="12" t="str" cm="1">
        <f t="array" ref="F2:F6">_xlfn.UNIQUE(B2:B15)</f>
        <v>Bank</v>
      </c>
      <c r="G2" s="6" cm="1">
        <f t="array" ref="G2">SUMIF(B2:B15,F2,D2:D15)-Table812[Saving]</f>
        <v>516.44000000000005</v>
      </c>
      <c r="I2" s="1">
        <v>45323</v>
      </c>
      <c r="J2" t="s">
        <v>2</v>
      </c>
      <c r="K2" t="s">
        <v>49</v>
      </c>
      <c r="L2" s="6" cm="1">
        <f t="array" ref="L2">Balance[Balance]</f>
        <v>324.77</v>
      </c>
      <c r="N2" s="12" t="str" cm="1">
        <f t="array" ref="N2:N4">_xlfn.UNIQUE(Income10[Category])</f>
        <v>Balance</v>
      </c>
      <c r="O2" s="6">
        <f>SUMIF(Income10[Category],N2,Income10[Amount])</f>
        <v>324.77</v>
      </c>
      <c r="Q2" s="6">
        <f>SUMIF(Expenses8[Item],Q1,Expenses8[Amount])</f>
        <v>700</v>
      </c>
    </row>
    <row r="3" spans="1:19" x14ac:dyDescent="0.25">
      <c r="A3" s="13">
        <v>45326</v>
      </c>
      <c r="B3" t="s">
        <v>5</v>
      </c>
      <c r="C3" t="s">
        <v>18</v>
      </c>
      <c r="D3" s="6">
        <v>50.19</v>
      </c>
      <c r="F3" s="12" t="str">
        <v>Utilities</v>
      </c>
      <c r="G3" s="6">
        <f>SUMIF(B2:B15,F3,D2:D15)</f>
        <v>31.980000000000004</v>
      </c>
      <c r="I3" s="1">
        <v>45328</v>
      </c>
      <c r="J3" t="s">
        <v>14</v>
      </c>
      <c r="K3" t="s">
        <v>15</v>
      </c>
      <c r="L3" s="6">
        <v>89.37</v>
      </c>
      <c r="N3" s="12" t="str">
        <v>Social Help</v>
      </c>
      <c r="O3" s="6">
        <f>SUMIF(J2:J4,N3,L2:L4)</f>
        <v>89.37</v>
      </c>
    </row>
    <row r="4" spans="1:19" x14ac:dyDescent="0.25">
      <c r="A4" s="13">
        <v>45326</v>
      </c>
      <c r="B4" t="s">
        <v>6</v>
      </c>
      <c r="C4" t="s">
        <v>19</v>
      </c>
      <c r="D4" s="6">
        <v>10.99</v>
      </c>
      <c r="F4" s="12" t="str">
        <v>Car</v>
      </c>
      <c r="G4" s="6">
        <f>SUMIF(B2:B15,F4,D2:D15)</f>
        <v>44.87</v>
      </c>
      <c r="I4" s="1">
        <v>45350</v>
      </c>
      <c r="J4" t="s">
        <v>16</v>
      </c>
      <c r="K4" t="s">
        <v>17</v>
      </c>
      <c r="L4" s="6">
        <v>1518.69</v>
      </c>
      <c r="N4" s="12" t="str">
        <v>Salary</v>
      </c>
      <c r="O4" s="6">
        <f>SUMIF(J3:J5,N4,L3:L5)</f>
        <v>1518.69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45326</v>
      </c>
      <c r="B5" t="s">
        <v>7</v>
      </c>
      <c r="C5" t="s">
        <v>20</v>
      </c>
      <c r="D5" s="6">
        <v>44.87</v>
      </c>
      <c r="F5" s="12" t="str">
        <v>Food</v>
      </c>
      <c r="G5" s="6">
        <f>SUMIF(Expenses8[Category],F5,Expenses8[Amount])</f>
        <v>240</v>
      </c>
      <c r="I5" t="s">
        <v>12</v>
      </c>
      <c r="L5" s="6">
        <f>SUBTOTAL(109,Income10[Amount])</f>
        <v>1932.83</v>
      </c>
      <c r="Q5" s="6">
        <f>Income10[[#Totals],[Amount]]</f>
        <v>1932.83</v>
      </c>
      <c r="R5" s="6">
        <f>Expenses8[[#Totals],[Amount]]</f>
        <v>1633.29</v>
      </c>
      <c r="S5" s="6">
        <f>Balance11[[#This Row],[Total Income]]-Balance11[[#This Row],[Total Expenses]]</f>
        <v>299.53999999999996</v>
      </c>
    </row>
    <row r="6" spans="1:19" x14ac:dyDescent="0.25">
      <c r="A6" s="13">
        <v>45327</v>
      </c>
      <c r="B6" t="s">
        <v>5</v>
      </c>
      <c r="C6" t="s">
        <v>21</v>
      </c>
      <c r="D6" s="6">
        <v>17.27</v>
      </c>
      <c r="F6" s="12" t="str">
        <v>Activities</v>
      </c>
      <c r="G6" s="6">
        <f>SUMIF(Expenses8[Category],F6,Expenses8[Amount])</f>
        <v>100</v>
      </c>
    </row>
    <row r="7" spans="1:19" x14ac:dyDescent="0.25">
      <c r="A7" s="13">
        <v>45328</v>
      </c>
      <c r="B7" t="s">
        <v>8</v>
      </c>
      <c r="C7" t="s">
        <v>22</v>
      </c>
      <c r="D7" s="6">
        <v>80</v>
      </c>
      <c r="F7" s="12"/>
      <c r="G7" s="6"/>
    </row>
    <row r="8" spans="1:19" x14ac:dyDescent="0.25">
      <c r="A8" s="13">
        <v>45328</v>
      </c>
      <c r="B8" t="s">
        <v>5</v>
      </c>
      <c r="C8" t="s">
        <v>23</v>
      </c>
      <c r="D8" s="6">
        <v>301.18</v>
      </c>
    </row>
    <row r="9" spans="1:19" x14ac:dyDescent="0.25">
      <c r="A9" s="13">
        <v>45331</v>
      </c>
      <c r="B9" t="s">
        <v>5</v>
      </c>
      <c r="C9" t="s">
        <v>24</v>
      </c>
      <c r="D9" s="6">
        <v>117.8</v>
      </c>
    </row>
    <row r="10" spans="1:19" x14ac:dyDescent="0.25">
      <c r="A10" s="13">
        <v>45331</v>
      </c>
      <c r="B10" t="s">
        <v>8</v>
      </c>
      <c r="C10" t="s">
        <v>22</v>
      </c>
      <c r="D10" s="6">
        <v>80</v>
      </c>
    </row>
    <row r="11" spans="1:19" x14ac:dyDescent="0.25">
      <c r="A11" s="13">
        <v>45332</v>
      </c>
      <c r="B11" t="s">
        <v>9</v>
      </c>
      <c r="C11" t="s">
        <v>50</v>
      </c>
      <c r="D11" s="6">
        <v>100</v>
      </c>
    </row>
    <row r="12" spans="1:19" x14ac:dyDescent="0.25">
      <c r="A12" s="13">
        <v>45336</v>
      </c>
      <c r="B12" t="s">
        <v>6</v>
      </c>
      <c r="C12" t="s">
        <v>25</v>
      </c>
      <c r="D12" s="6">
        <v>7</v>
      </c>
    </row>
    <row r="13" spans="1:19" x14ac:dyDescent="0.25">
      <c r="A13" s="13">
        <v>45337</v>
      </c>
      <c r="B13" t="s">
        <v>6</v>
      </c>
      <c r="C13" t="s">
        <v>26</v>
      </c>
      <c r="D13" s="6">
        <v>13.99</v>
      </c>
    </row>
    <row r="14" spans="1:19" x14ac:dyDescent="0.25">
      <c r="A14" s="13">
        <v>45342</v>
      </c>
      <c r="B14" t="s">
        <v>8</v>
      </c>
      <c r="C14" t="s">
        <v>22</v>
      </c>
      <c r="D14" s="6">
        <v>80</v>
      </c>
    </row>
    <row r="15" spans="1:19" x14ac:dyDescent="0.25">
      <c r="A15" s="13">
        <v>45349</v>
      </c>
      <c r="B15" t="s">
        <v>5</v>
      </c>
      <c r="C15" t="s">
        <v>27</v>
      </c>
      <c r="D15" s="6">
        <v>30</v>
      </c>
    </row>
    <row r="16" spans="1:19" x14ac:dyDescent="0.25">
      <c r="A16" t="s">
        <v>12</v>
      </c>
      <c r="D16" s="6">
        <f>SUBTOTAL(109,Expenses8[Amount])</f>
        <v>1633.29</v>
      </c>
    </row>
    <row r="17" spans="1:4" x14ac:dyDescent="0.25">
      <c r="A17" s="1"/>
      <c r="D17" s="6"/>
    </row>
    <row r="18" spans="1:4" x14ac:dyDescent="0.25">
      <c r="A18" s="1"/>
      <c r="D18" s="6"/>
    </row>
    <row r="19" spans="1:4" x14ac:dyDescent="0.25">
      <c r="A19" s="1"/>
      <c r="D19" s="6"/>
    </row>
    <row r="20" spans="1:4" x14ac:dyDescent="0.25">
      <c r="A20" s="1"/>
      <c r="D20" s="6"/>
    </row>
    <row r="21" spans="1:4" x14ac:dyDescent="0.25">
      <c r="A21" s="1"/>
      <c r="D21" s="6"/>
    </row>
    <row r="22" spans="1:4" x14ac:dyDescent="0.25">
      <c r="A22" s="1"/>
      <c r="D22" s="6"/>
    </row>
    <row r="23" spans="1:4" x14ac:dyDescent="0.25">
      <c r="A23" s="1"/>
      <c r="D23" s="6"/>
    </row>
    <row r="24" spans="1:4" x14ac:dyDescent="0.25">
      <c r="A24" s="1"/>
      <c r="D24" s="6"/>
    </row>
    <row r="25" spans="1:4" x14ac:dyDescent="0.25">
      <c r="A25" s="1"/>
      <c r="D25" s="6"/>
    </row>
    <row r="26" spans="1:4" x14ac:dyDescent="0.25">
      <c r="D26" s="6"/>
    </row>
  </sheetData>
  <conditionalFormatting sqref="D2:D15">
    <cfRule type="cellIs" dxfId="86" priority="1" operator="greaterThan">
      <formula>99</formula>
    </cfRule>
    <cfRule type="cellIs" dxfId="85" priority="2" operator="greaterThan">
      <formula>"&gt;=100"</formula>
    </cfRule>
    <cfRule type="cellIs" dxfId="84" priority="3" operator="greaterThan">
      <formula>100</formula>
    </cfRule>
  </conditionalFormatting>
  <conditionalFormatting sqref="D17:D25">
    <cfRule type="cellIs" dxfId="83" priority="7" operator="greaterThan">
      <formula>99</formula>
    </cfRule>
    <cfRule type="cellIs" dxfId="82" priority="8" operator="greaterThan">
      <formula>"&gt;=100"</formula>
    </cfRule>
    <cfRule type="cellIs" dxfId="81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171A-A193-4E56-A567-1642D6590989}">
  <dimension ref="A1:S20"/>
  <sheetViews>
    <sheetView zoomScale="145" zoomScaleNormal="145" workbookViewId="0">
      <selection activeCell="L4" sqref="L4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0.42578125" bestFit="1" customWidth="1"/>
    <col min="4" max="4" width="10.42578125" bestFit="1" customWidth="1"/>
    <col min="5" max="5" width="1" customWidth="1"/>
    <col min="6" max="6" width="9.28515625" bestFit="1" customWidth="1"/>
    <col min="7" max="7" width="8.42578125" bestFit="1" customWidth="1"/>
    <col min="8" max="8" width="1.42578125" customWidth="1"/>
    <col min="9" max="9" width="8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.85546875" customWidth="1"/>
    <col min="14" max="14" width="8.85546875" bestFit="1" customWidth="1"/>
    <col min="15" max="15" width="10" bestFit="1" customWidth="1"/>
    <col min="16" max="16" width="2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45352</v>
      </c>
      <c r="B2" t="s">
        <v>5</v>
      </c>
      <c r="C2" t="s">
        <v>13</v>
      </c>
      <c r="D2" s="6">
        <v>150</v>
      </c>
      <c r="F2" s="12" t="str" cm="1">
        <f t="array" ref="F2:F7">_xlfn.UNIQUE(B2:B17)</f>
        <v>Bank</v>
      </c>
      <c r="G2" s="6" cm="1">
        <f t="array" ref="G2">SUMIF(B2:B17,F2,D2:D17)-Table81216[Saving]</f>
        <v>516.43999999999994</v>
      </c>
      <c r="I2" s="1">
        <v>45352</v>
      </c>
      <c r="J2" t="s">
        <v>2</v>
      </c>
      <c r="K2" t="s">
        <v>49</v>
      </c>
      <c r="L2" s="6" cm="1">
        <f t="array" ref="L2">Balance11[Balance]</f>
        <v>299.53999999999996</v>
      </c>
      <c r="N2" s="12" t="str" cm="1">
        <f t="array" ref="N2:N4">_xlfn.UNIQUE(Income1014[Category])</f>
        <v>Balance</v>
      </c>
      <c r="O2" s="6">
        <f>SUMIF(Income1014[Category],N2,Income1014[Amount])</f>
        <v>299.53999999999996</v>
      </c>
      <c r="Q2" s="6">
        <f>SUMIF(Expenses813[Item],Q1,Expenses813[Amount])</f>
        <v>150</v>
      </c>
    </row>
    <row r="3" spans="1:19" x14ac:dyDescent="0.25">
      <c r="A3" s="13">
        <v>45355</v>
      </c>
      <c r="B3" t="s">
        <v>5</v>
      </c>
      <c r="C3" t="s">
        <v>18</v>
      </c>
      <c r="D3" s="6">
        <v>50.19</v>
      </c>
      <c r="F3" s="12" t="str">
        <v>Utilities</v>
      </c>
      <c r="G3" s="6">
        <f>SUMIF(B2:B17,F3,D2:D17)</f>
        <v>31.980000000000004</v>
      </c>
      <c r="I3" s="1">
        <v>45357</v>
      </c>
      <c r="J3" t="s">
        <v>14</v>
      </c>
      <c r="K3" t="s">
        <v>15</v>
      </c>
      <c r="L3" s="6">
        <v>89.37</v>
      </c>
      <c r="N3" s="12" t="str">
        <v>Social Help</v>
      </c>
      <c r="O3" s="6">
        <f>SUMIF(J2:J4,N3,L2:L4)</f>
        <v>89.37</v>
      </c>
    </row>
    <row r="4" spans="1:19" x14ac:dyDescent="0.25">
      <c r="A4" s="13">
        <v>45355</v>
      </c>
      <c r="B4" t="s">
        <v>6</v>
      </c>
      <c r="C4" t="s">
        <v>19</v>
      </c>
      <c r="D4" s="6">
        <v>10.99</v>
      </c>
      <c r="F4" s="12" t="str">
        <v>Car</v>
      </c>
      <c r="G4" s="6">
        <f>SUMIF(B2:B17,F4,D2:D17)</f>
        <v>106.00999999999999</v>
      </c>
      <c r="I4" s="1">
        <v>45379</v>
      </c>
      <c r="J4" t="s">
        <v>16</v>
      </c>
      <c r="K4" t="s">
        <v>17</v>
      </c>
      <c r="L4" s="6">
        <v>1518.69</v>
      </c>
      <c r="N4" s="12" t="str">
        <v>Salary</v>
      </c>
      <c r="O4" s="6">
        <f>SUMIF(J3:J5,N4,L3:L5)</f>
        <v>1518.69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45355</v>
      </c>
      <c r="B5" t="s">
        <v>7</v>
      </c>
      <c r="C5" t="s">
        <v>20</v>
      </c>
      <c r="D5" s="6">
        <v>44.87</v>
      </c>
      <c r="F5" s="12" t="str">
        <v>Food</v>
      </c>
      <c r="G5" s="6">
        <f>SUMIF(Expenses813[Category],F5,Expenses813[Amount])</f>
        <v>230</v>
      </c>
      <c r="I5" t="s">
        <v>12</v>
      </c>
      <c r="L5" s="6">
        <f>SUBTOTAL(109,Income1014[Amount])</f>
        <v>1907.6</v>
      </c>
      <c r="Q5" s="6">
        <f>Income1014[[#Totals],[Amount]]</f>
        <v>1907.6</v>
      </c>
      <c r="R5" s="6">
        <f>Expenses813[[#Totals],[Amount]]</f>
        <v>1869.43</v>
      </c>
      <c r="S5" s="6">
        <f>Balance1115[[#This Row],[Total Income]]-Balance1115[[#This Row],[Total Expenses]]</f>
        <v>38.169999999999845</v>
      </c>
    </row>
    <row r="6" spans="1:19" x14ac:dyDescent="0.25">
      <c r="A6" s="13">
        <v>45356</v>
      </c>
      <c r="B6" t="s">
        <v>5</v>
      </c>
      <c r="C6" t="s">
        <v>21</v>
      </c>
      <c r="D6" s="6">
        <v>17.27</v>
      </c>
      <c r="F6" s="12" t="str">
        <v>Activities</v>
      </c>
      <c r="G6" s="6">
        <f>SUMIF(Expenses813[Category],F6,Expenses813[Amount])</f>
        <v>700</v>
      </c>
    </row>
    <row r="7" spans="1:19" x14ac:dyDescent="0.25">
      <c r="A7" s="13">
        <v>45357</v>
      </c>
      <c r="B7" t="s">
        <v>8</v>
      </c>
      <c r="C7" t="s">
        <v>22</v>
      </c>
      <c r="D7" s="6">
        <v>70</v>
      </c>
      <c r="F7" s="12" t="str">
        <v>Shopping</v>
      </c>
      <c r="G7" s="6">
        <f>SUMIF(Expenses813[Category],F7,Expenses813[Amount])</f>
        <v>135</v>
      </c>
    </row>
    <row r="8" spans="1:19" x14ac:dyDescent="0.25">
      <c r="A8" s="13">
        <v>45357</v>
      </c>
      <c r="B8" t="s">
        <v>5</v>
      </c>
      <c r="C8" t="s">
        <v>23</v>
      </c>
      <c r="D8" s="6">
        <v>301.18</v>
      </c>
    </row>
    <row r="9" spans="1:19" x14ac:dyDescent="0.25">
      <c r="A9" s="13">
        <v>45360</v>
      </c>
      <c r="B9" t="s">
        <v>5</v>
      </c>
      <c r="C9" t="s">
        <v>24</v>
      </c>
      <c r="D9" s="6">
        <v>117.8</v>
      </c>
    </row>
    <row r="10" spans="1:19" x14ac:dyDescent="0.25">
      <c r="A10" s="13">
        <v>45360</v>
      </c>
      <c r="B10" t="s">
        <v>8</v>
      </c>
      <c r="C10" t="s">
        <v>22</v>
      </c>
      <c r="D10" s="6">
        <v>80</v>
      </c>
    </row>
    <row r="11" spans="1:19" x14ac:dyDescent="0.25">
      <c r="A11" s="13">
        <v>45361</v>
      </c>
      <c r="B11" t="s">
        <v>9</v>
      </c>
      <c r="C11" t="s">
        <v>52</v>
      </c>
      <c r="D11" s="6">
        <v>700</v>
      </c>
    </row>
    <row r="12" spans="1:19" x14ac:dyDescent="0.25">
      <c r="A12" s="13">
        <v>45365</v>
      </c>
      <c r="B12" t="s">
        <v>6</v>
      </c>
      <c r="C12" t="s">
        <v>25</v>
      </c>
      <c r="D12" s="6">
        <v>7</v>
      </c>
    </row>
    <row r="13" spans="1:19" x14ac:dyDescent="0.25">
      <c r="A13" s="13">
        <v>45366</v>
      </c>
      <c r="B13" t="s">
        <v>6</v>
      </c>
      <c r="C13" t="s">
        <v>26</v>
      </c>
      <c r="D13" s="6">
        <v>13.99</v>
      </c>
    </row>
    <row r="14" spans="1:19" x14ac:dyDescent="0.25">
      <c r="A14" s="13">
        <v>45367</v>
      </c>
      <c r="B14" t="s">
        <v>68</v>
      </c>
      <c r="C14" t="s">
        <v>71</v>
      </c>
      <c r="D14" s="6">
        <v>135</v>
      </c>
    </row>
    <row r="15" spans="1:19" x14ac:dyDescent="0.25">
      <c r="A15" s="13">
        <v>45368</v>
      </c>
      <c r="B15" t="s">
        <v>7</v>
      </c>
      <c r="C15" t="s">
        <v>51</v>
      </c>
      <c r="D15" s="6">
        <v>61.14</v>
      </c>
    </row>
    <row r="16" spans="1:19" x14ac:dyDescent="0.25">
      <c r="A16" s="13">
        <v>45371</v>
      </c>
      <c r="B16" t="s">
        <v>8</v>
      </c>
      <c r="C16" t="s">
        <v>22</v>
      </c>
      <c r="D16" s="6">
        <v>80</v>
      </c>
    </row>
    <row r="17" spans="1:4" x14ac:dyDescent="0.25">
      <c r="A17" s="13">
        <v>45378</v>
      </c>
      <c r="B17" t="s">
        <v>5</v>
      </c>
      <c r="C17" t="s">
        <v>27</v>
      </c>
      <c r="D17" s="6">
        <v>30</v>
      </c>
    </row>
    <row r="18" spans="1:4" x14ac:dyDescent="0.25">
      <c r="A18" s="13" t="s">
        <v>12</v>
      </c>
      <c r="D18" s="6">
        <f>SUBTOTAL(109,Expenses813[Amount])</f>
        <v>1869.43</v>
      </c>
    </row>
    <row r="19" spans="1:4" x14ac:dyDescent="0.25">
      <c r="D19" s="6"/>
    </row>
    <row r="20" spans="1:4" x14ac:dyDescent="0.25">
      <c r="D20" s="6"/>
    </row>
  </sheetData>
  <conditionalFormatting sqref="D2:D17">
    <cfRule type="cellIs" dxfId="80" priority="1" operator="greaterThan">
      <formula>99</formula>
    </cfRule>
    <cfRule type="cellIs" dxfId="79" priority="2" operator="greaterThan">
      <formula>"&gt;=100"</formula>
    </cfRule>
    <cfRule type="cellIs" dxfId="78" priority="3" operator="greaterThan">
      <formula>100</formula>
    </cfRule>
  </conditionalFormatting>
  <conditionalFormatting sqref="D19">
    <cfRule type="cellIs" dxfId="77" priority="7" operator="greaterThan">
      <formula>99</formula>
    </cfRule>
    <cfRule type="cellIs" dxfId="76" priority="8" operator="greaterThan">
      <formula>"&gt;=100"</formula>
    </cfRule>
    <cfRule type="cellIs" dxfId="75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76C0-5963-4078-8DEF-78133D672AC6}">
  <dimension ref="A1:S32"/>
  <sheetViews>
    <sheetView zoomScale="145" zoomScaleNormal="145" workbookViewId="0">
      <selection activeCell="L4" sqref="L4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0.42578125" bestFit="1" customWidth="1"/>
    <col min="4" max="4" width="10.42578125" bestFit="1" customWidth="1"/>
    <col min="5" max="5" width="1.140625" customWidth="1"/>
    <col min="6" max="6" width="9.28515625" bestFit="1" customWidth="1"/>
    <col min="7" max="7" width="10" bestFit="1" customWidth="1"/>
    <col min="8" max="8" width="1" customWidth="1"/>
    <col min="9" max="9" width="7.4257812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" customWidth="1"/>
    <col min="14" max="14" width="10.7109375" bestFit="1" customWidth="1"/>
    <col min="15" max="15" width="10" bestFit="1" customWidth="1"/>
    <col min="16" max="16" width="1.2851562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45383</v>
      </c>
      <c r="B2" t="s">
        <v>5</v>
      </c>
      <c r="C2" t="s">
        <v>13</v>
      </c>
      <c r="D2" s="6">
        <v>600</v>
      </c>
      <c r="F2" s="12" t="str" cm="1">
        <f t="array" ref="F2:F6">_xlfn.UNIQUE(Expenses81317[Category])</f>
        <v>Bank</v>
      </c>
      <c r="G2" s="6">
        <f>SUMIF(Expenses81317[Category],F2,Expenses81317[Amount])</f>
        <v>1116.44</v>
      </c>
      <c r="I2" s="1">
        <v>45383</v>
      </c>
      <c r="J2" t="s">
        <v>2</v>
      </c>
      <c r="K2" t="s">
        <v>49</v>
      </c>
      <c r="L2" s="6" cm="1">
        <f t="array" ref="L2">Balance1115[Balance]</f>
        <v>38.169999999999845</v>
      </c>
      <c r="N2" s="12" t="str" cm="1">
        <f t="array" ref="N2:N4">_xlfn.UNIQUE(Income101418[Category])</f>
        <v>Balance</v>
      </c>
      <c r="O2" s="6">
        <f>SUMIF(Income101418[Category],N2,Income101418[Amount])</f>
        <v>38.169999999999845</v>
      </c>
      <c r="Q2" s="6">
        <f>SUMIF(Expenses81317[Item],Q1,Expenses81317[Amount])</f>
        <v>600</v>
      </c>
    </row>
    <row r="3" spans="1:19" x14ac:dyDescent="0.25">
      <c r="A3" s="13">
        <v>45386</v>
      </c>
      <c r="B3" t="s">
        <v>5</v>
      </c>
      <c r="C3" t="s">
        <v>18</v>
      </c>
      <c r="D3" s="6">
        <v>50.19</v>
      </c>
      <c r="F3" s="12" t="str">
        <v>Utilities</v>
      </c>
      <c r="G3" s="6">
        <f>SUMIF(Expenses81317[Category],F3,Expenses81317[Amount])</f>
        <v>31.980000000000004</v>
      </c>
      <c r="I3" s="1">
        <v>45388</v>
      </c>
      <c r="J3" t="s">
        <v>14</v>
      </c>
      <c r="K3" t="s">
        <v>15</v>
      </c>
      <c r="L3" s="6">
        <v>89.37</v>
      </c>
      <c r="N3" s="12" t="str">
        <v>Social Help</v>
      </c>
      <c r="O3" s="6">
        <f>SUMIF(J2:J4,N3,L2:L4)</f>
        <v>89.37</v>
      </c>
    </row>
    <row r="4" spans="1:19" x14ac:dyDescent="0.25">
      <c r="A4" s="13">
        <v>45386</v>
      </c>
      <c r="B4" t="s">
        <v>6</v>
      </c>
      <c r="C4" t="s">
        <v>19</v>
      </c>
      <c r="D4" s="6">
        <v>10.99</v>
      </c>
      <c r="F4" s="12" t="str">
        <v>Car</v>
      </c>
      <c r="G4" s="6">
        <f>SUMIF(Expenses81317[Category],F4,Expenses81317[Amount])</f>
        <v>108.41</v>
      </c>
      <c r="I4" s="1">
        <v>45410</v>
      </c>
      <c r="J4" t="s">
        <v>16</v>
      </c>
      <c r="K4" t="s">
        <v>17</v>
      </c>
      <c r="L4" s="6">
        <v>1518.69</v>
      </c>
      <c r="N4" s="12" t="str">
        <v>Salary</v>
      </c>
      <c r="O4" s="6">
        <f>SUMIF(J3:J5,N4,L3:L5)</f>
        <v>1518.69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45386</v>
      </c>
      <c r="B5" t="s">
        <v>7</v>
      </c>
      <c r="C5" t="s">
        <v>51</v>
      </c>
      <c r="D5" s="6">
        <v>63.54</v>
      </c>
      <c r="F5" s="12" t="str">
        <v>Food</v>
      </c>
      <c r="G5" s="6">
        <f>SUMIF(Expenses81317[Category],F5,Expenses81317[Amount])</f>
        <v>230</v>
      </c>
      <c r="I5" t="s">
        <v>12</v>
      </c>
      <c r="L5" s="6">
        <f>SUBTOTAL(109,Income101418[Amount])</f>
        <v>1646.23</v>
      </c>
      <c r="Q5" s="6">
        <f>Income101418[[#Totals],[Amount]]</f>
        <v>1646.23</v>
      </c>
      <c r="R5" s="6">
        <f>Expenses81317[[#Totals],[Amount]]</f>
        <v>1586.83</v>
      </c>
      <c r="S5" s="6">
        <f>Balance111519[[#This Row],[Total Income]]-Balance111519[[#This Row],[Total Expenses]]</f>
        <v>59.400000000000091</v>
      </c>
    </row>
    <row r="6" spans="1:19" x14ac:dyDescent="0.25">
      <c r="A6" s="13">
        <v>45386</v>
      </c>
      <c r="B6" t="s">
        <v>7</v>
      </c>
      <c r="C6" t="s">
        <v>20</v>
      </c>
      <c r="D6" s="6">
        <v>44.87</v>
      </c>
      <c r="F6" s="12" t="str">
        <v>Activities</v>
      </c>
      <c r="G6" s="6">
        <f>SUMIF(Expenses81317[Category],F6,Expenses81317[Amount])</f>
        <v>100</v>
      </c>
    </row>
    <row r="7" spans="1:19" x14ac:dyDescent="0.25">
      <c r="A7" s="13">
        <v>45387</v>
      </c>
      <c r="B7" t="s">
        <v>5</v>
      </c>
      <c r="C7" t="s">
        <v>21</v>
      </c>
      <c r="D7" s="6">
        <v>17.27</v>
      </c>
      <c r="F7" s="12"/>
      <c r="G7" s="6"/>
    </row>
    <row r="8" spans="1:19" x14ac:dyDescent="0.25">
      <c r="A8" s="13">
        <v>45388</v>
      </c>
      <c r="B8" t="s">
        <v>8</v>
      </c>
      <c r="C8" t="s">
        <v>22</v>
      </c>
      <c r="D8" s="6">
        <v>70</v>
      </c>
    </row>
    <row r="9" spans="1:19" x14ac:dyDescent="0.25">
      <c r="A9" s="13">
        <v>45388</v>
      </c>
      <c r="B9" t="s">
        <v>5</v>
      </c>
      <c r="C9" t="s">
        <v>23</v>
      </c>
      <c r="D9" s="6">
        <v>301.18</v>
      </c>
    </row>
    <row r="10" spans="1:19" x14ac:dyDescent="0.25">
      <c r="A10" s="13">
        <v>45391</v>
      </c>
      <c r="B10" t="s">
        <v>5</v>
      </c>
      <c r="C10" t="s">
        <v>24</v>
      </c>
      <c r="D10" s="6">
        <v>117.8</v>
      </c>
    </row>
    <row r="11" spans="1:19" x14ac:dyDescent="0.25">
      <c r="A11" s="13">
        <v>45391</v>
      </c>
      <c r="B11" t="s">
        <v>8</v>
      </c>
      <c r="C11" t="s">
        <v>22</v>
      </c>
      <c r="D11" s="6">
        <v>80</v>
      </c>
    </row>
    <row r="12" spans="1:19" x14ac:dyDescent="0.25">
      <c r="A12" s="13">
        <v>45392</v>
      </c>
      <c r="B12" t="s">
        <v>9</v>
      </c>
      <c r="C12" t="s">
        <v>50</v>
      </c>
      <c r="D12" s="6">
        <v>100</v>
      </c>
    </row>
    <row r="13" spans="1:19" x14ac:dyDescent="0.25">
      <c r="A13" s="13">
        <v>45396</v>
      </c>
      <c r="B13" t="s">
        <v>6</v>
      </c>
      <c r="C13" t="s">
        <v>25</v>
      </c>
      <c r="D13" s="6">
        <v>7</v>
      </c>
    </row>
    <row r="14" spans="1:19" x14ac:dyDescent="0.25">
      <c r="A14" s="13">
        <v>45397</v>
      </c>
      <c r="B14" t="s">
        <v>6</v>
      </c>
      <c r="C14" t="s">
        <v>26</v>
      </c>
      <c r="D14" s="6">
        <v>13.99</v>
      </c>
    </row>
    <row r="15" spans="1:19" x14ac:dyDescent="0.25">
      <c r="A15" s="13">
        <v>45402</v>
      </c>
      <c r="B15" t="s">
        <v>8</v>
      </c>
      <c r="C15" t="s">
        <v>22</v>
      </c>
      <c r="D15" s="6">
        <v>80</v>
      </c>
    </row>
    <row r="16" spans="1:19" x14ac:dyDescent="0.25">
      <c r="A16" s="13">
        <v>45409</v>
      </c>
      <c r="B16" t="s">
        <v>5</v>
      </c>
      <c r="C16" t="s">
        <v>27</v>
      </c>
      <c r="D16" s="6">
        <v>30</v>
      </c>
    </row>
    <row r="17" spans="1:4" x14ac:dyDescent="0.25">
      <c r="A17" s="13" t="s">
        <v>12</v>
      </c>
      <c r="D17" s="6">
        <f>SUBTOTAL(109,Expenses81317[Amount])</f>
        <v>1586.83</v>
      </c>
    </row>
    <row r="18" spans="1:4" x14ac:dyDescent="0.25">
      <c r="D18" s="6"/>
    </row>
    <row r="19" spans="1:4" x14ac:dyDescent="0.25">
      <c r="D19" s="6"/>
    </row>
    <row r="20" spans="1:4" x14ac:dyDescent="0.25">
      <c r="D20" s="6"/>
    </row>
    <row r="21" spans="1:4" x14ac:dyDescent="0.25">
      <c r="D21" s="6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</sheetData>
  <conditionalFormatting sqref="D2:D16">
    <cfRule type="cellIs" dxfId="74" priority="1" operator="greaterThan">
      <formula>99</formula>
    </cfRule>
    <cfRule type="cellIs" dxfId="73" priority="2" operator="greaterThan">
      <formula>"&gt;=100"</formula>
    </cfRule>
    <cfRule type="cellIs" dxfId="72" priority="3" operator="greaterThan">
      <formula>100</formula>
    </cfRule>
  </conditionalFormatting>
  <conditionalFormatting sqref="D18:D31">
    <cfRule type="cellIs" dxfId="71" priority="7" operator="greaterThan">
      <formula>99</formula>
    </cfRule>
    <cfRule type="cellIs" dxfId="70" priority="8" operator="greaterThan">
      <formula>"&gt;=100"</formula>
    </cfRule>
    <cfRule type="cellIs" dxfId="69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BD9E-0B3F-4130-856B-9BEC6628D8AE}">
  <dimension ref="A1:S31"/>
  <sheetViews>
    <sheetView zoomScale="145" zoomScaleNormal="145" workbookViewId="0">
      <selection activeCell="L4" sqref="L4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0.42578125" bestFit="1" customWidth="1"/>
    <col min="4" max="4" width="10.42578125" bestFit="1" customWidth="1"/>
    <col min="5" max="5" width="1" customWidth="1"/>
    <col min="6" max="6" width="9.28515625" bestFit="1" customWidth="1"/>
    <col min="7" max="7" width="8.42578125" bestFit="1" customWidth="1"/>
    <col min="8" max="8" width="1.42578125" customWidth="1"/>
    <col min="9" max="9" width="7.4257812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.28515625" customWidth="1"/>
    <col min="14" max="14" width="10.7109375" bestFit="1" customWidth="1"/>
    <col min="15" max="15" width="10" bestFit="1" customWidth="1"/>
    <col min="16" max="16" width="1.8554687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45413</v>
      </c>
      <c r="B2" t="s">
        <v>5</v>
      </c>
      <c r="C2" t="s">
        <v>13</v>
      </c>
      <c r="D2" s="6">
        <v>600</v>
      </c>
      <c r="F2" s="12" t="str" cm="1">
        <f t="array" ref="F2:F6">_xlfn.UNIQUE(Expenses8131721[Category])</f>
        <v>Bank</v>
      </c>
      <c r="G2" s="6">
        <f>SUMIF(Expenses8131721[Category],F2,Expenses8131721[Amount])</f>
        <v>998.6400000000001</v>
      </c>
      <c r="I2" s="1">
        <v>45413</v>
      </c>
      <c r="J2" t="s">
        <v>2</v>
      </c>
      <c r="K2" t="s">
        <v>49</v>
      </c>
      <c r="L2" s="6" cm="1">
        <f t="array" ref="L2">Balance111519[Balance]</f>
        <v>59.400000000000091</v>
      </c>
      <c r="N2" s="12" t="str" cm="1">
        <f t="array" ref="N2:N4">_xlfn.UNIQUE(Income10141822[Category])</f>
        <v>Balance</v>
      </c>
      <c r="O2" s="6">
        <f>SUMIF(Income10141822[Category],N2,Income10141822[Amount])</f>
        <v>59.400000000000091</v>
      </c>
      <c r="Q2" s="6">
        <f>SUMIF(Expenses8131721[Item],Q1,Expenses8131721[Amount])</f>
        <v>600</v>
      </c>
    </row>
    <row r="3" spans="1:19" x14ac:dyDescent="0.25">
      <c r="A3" s="13">
        <v>45416</v>
      </c>
      <c r="B3" t="s">
        <v>5</v>
      </c>
      <c r="C3" t="s">
        <v>18</v>
      </c>
      <c r="D3" s="6">
        <v>50.19</v>
      </c>
      <c r="F3" s="12" t="str">
        <v>Utilities</v>
      </c>
      <c r="G3" s="6">
        <f>SUMIF(Expenses8131721[Category],F3,Expenses8131721[Amount])</f>
        <v>31.980000000000004</v>
      </c>
      <c r="I3" s="1">
        <v>45418</v>
      </c>
      <c r="J3" t="s">
        <v>14</v>
      </c>
      <c r="K3" t="s">
        <v>15</v>
      </c>
      <c r="L3" s="6">
        <v>89.37</v>
      </c>
      <c r="N3" s="12" t="str">
        <v>Social Help</v>
      </c>
      <c r="O3" s="6">
        <f>SUMIF(Income10141822[Category],N3,Income10141822[Amount])</f>
        <v>89.37</v>
      </c>
    </row>
    <row r="4" spans="1:19" x14ac:dyDescent="0.25">
      <c r="A4" s="13">
        <v>45416</v>
      </c>
      <c r="B4" t="s">
        <v>6</v>
      </c>
      <c r="C4" t="s">
        <v>19</v>
      </c>
      <c r="D4" s="6">
        <v>10.99</v>
      </c>
      <c r="F4" s="12" t="str">
        <v>Car</v>
      </c>
      <c r="G4" s="6">
        <f>SUMIF(Expenses8131721[Category],F4,Expenses8131721[Amount])</f>
        <v>44.87</v>
      </c>
      <c r="I4" s="1">
        <v>45440</v>
      </c>
      <c r="J4" t="s">
        <v>16</v>
      </c>
      <c r="K4" t="s">
        <v>17</v>
      </c>
      <c r="L4" s="6">
        <v>1518.69</v>
      </c>
      <c r="N4" s="12" t="str">
        <v>Salary</v>
      </c>
      <c r="O4" s="6">
        <f>SUMIF(Income10141822[Category],N4,Income10141822[Amount])</f>
        <v>1518.69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45416</v>
      </c>
      <c r="B5" t="s">
        <v>7</v>
      </c>
      <c r="C5" t="s">
        <v>20</v>
      </c>
      <c r="D5" s="6">
        <v>44.87</v>
      </c>
      <c r="F5" s="12" t="str">
        <v>Food</v>
      </c>
      <c r="G5" s="6">
        <f>SUMIF(Expenses8131721[Category],F5,Expenses8131721[Amount])</f>
        <v>230</v>
      </c>
      <c r="I5" t="s">
        <v>12</v>
      </c>
      <c r="L5" s="6">
        <f>SUBTOTAL(109,Income10141822[Amount])</f>
        <v>1667.46</v>
      </c>
      <c r="Q5" s="6">
        <f>Income10141822[[#Totals],[Amount]]</f>
        <v>1667.46</v>
      </c>
      <c r="R5" s="6">
        <f>Expenses8131721[[#Totals],[Amount]]</f>
        <v>1405.49</v>
      </c>
      <c r="S5" s="6">
        <f>Balance11151923[[#This Row],[Total Income]]-Balance11151923[[#This Row],[Total Expenses]]</f>
        <v>261.97000000000003</v>
      </c>
    </row>
    <row r="6" spans="1:19" x14ac:dyDescent="0.25">
      <c r="A6" s="13">
        <v>45417</v>
      </c>
      <c r="B6" t="s">
        <v>5</v>
      </c>
      <c r="C6" t="s">
        <v>21</v>
      </c>
      <c r="D6" s="6">
        <v>17.27</v>
      </c>
      <c r="F6" s="12" t="str">
        <v>Activities</v>
      </c>
      <c r="G6" s="6">
        <f>SUMIF(Expenses8131721[Category],F6,Expenses8131721[Amount])</f>
        <v>100</v>
      </c>
    </row>
    <row r="7" spans="1:19" x14ac:dyDescent="0.25">
      <c r="A7" s="13">
        <v>45418</v>
      </c>
      <c r="B7" t="s">
        <v>8</v>
      </c>
      <c r="C7" t="s">
        <v>22</v>
      </c>
      <c r="D7" s="6">
        <v>70</v>
      </c>
      <c r="F7" s="12"/>
      <c r="G7" s="6"/>
    </row>
    <row r="8" spans="1:19" x14ac:dyDescent="0.25">
      <c r="A8" s="13">
        <v>45418</v>
      </c>
      <c r="B8" t="s">
        <v>5</v>
      </c>
      <c r="C8" t="s">
        <v>23</v>
      </c>
      <c r="D8" s="6">
        <v>301.18</v>
      </c>
    </row>
    <row r="9" spans="1:19" x14ac:dyDescent="0.25">
      <c r="A9" s="13">
        <v>45421</v>
      </c>
      <c r="B9" t="s">
        <v>8</v>
      </c>
      <c r="C9" t="s">
        <v>22</v>
      </c>
      <c r="D9" s="6">
        <v>80</v>
      </c>
    </row>
    <row r="10" spans="1:19" x14ac:dyDescent="0.25">
      <c r="A10" s="13">
        <v>45422</v>
      </c>
      <c r="B10" t="s">
        <v>9</v>
      </c>
      <c r="C10" t="s">
        <v>50</v>
      </c>
      <c r="D10" s="6">
        <v>100</v>
      </c>
    </row>
    <row r="11" spans="1:19" x14ac:dyDescent="0.25">
      <c r="A11" s="13">
        <v>45426</v>
      </c>
      <c r="B11" t="s">
        <v>6</v>
      </c>
      <c r="C11" t="s">
        <v>25</v>
      </c>
      <c r="D11" s="6">
        <v>7</v>
      </c>
    </row>
    <row r="12" spans="1:19" x14ac:dyDescent="0.25">
      <c r="A12" s="13">
        <v>45427</v>
      </c>
      <c r="B12" t="s">
        <v>6</v>
      </c>
      <c r="C12" t="s">
        <v>26</v>
      </c>
      <c r="D12" s="6">
        <v>13.99</v>
      </c>
    </row>
    <row r="13" spans="1:19" x14ac:dyDescent="0.25">
      <c r="A13" s="13">
        <v>45432</v>
      </c>
      <c r="B13" t="s">
        <v>8</v>
      </c>
      <c r="C13" t="s">
        <v>22</v>
      </c>
      <c r="D13" s="6">
        <v>80</v>
      </c>
    </row>
    <row r="14" spans="1:19" x14ac:dyDescent="0.25">
      <c r="A14" s="13">
        <v>45439</v>
      </c>
      <c r="B14" t="s">
        <v>5</v>
      </c>
      <c r="C14" t="s">
        <v>27</v>
      </c>
      <c r="D14" s="6">
        <v>30</v>
      </c>
    </row>
    <row r="15" spans="1:19" x14ac:dyDescent="0.25">
      <c r="A15" s="13" t="s">
        <v>12</v>
      </c>
      <c r="D15" s="6">
        <f>SUBTOTAL(109,Expenses8131721[Amount])</f>
        <v>1405.49</v>
      </c>
    </row>
    <row r="16" spans="1:19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</sheetData>
  <conditionalFormatting sqref="D2:D14">
    <cfRule type="cellIs" dxfId="68" priority="1" operator="greaterThan">
      <formula>99</formula>
    </cfRule>
    <cfRule type="cellIs" dxfId="67" priority="2" operator="greaterThan">
      <formula>"&gt;=100"</formula>
    </cfRule>
    <cfRule type="cellIs" dxfId="66" priority="3" operator="greaterThan">
      <formula>100</formula>
    </cfRule>
  </conditionalFormatting>
  <conditionalFormatting sqref="D16:D30">
    <cfRule type="cellIs" dxfId="65" priority="7" operator="greaterThan">
      <formula>99</formula>
    </cfRule>
    <cfRule type="cellIs" dxfId="64" priority="8" operator="greaterThan">
      <formula>"&gt;=100"</formula>
    </cfRule>
    <cfRule type="cellIs" dxfId="63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CDA3-B639-4F3B-88FC-2320A73585B9}">
  <dimension ref="A1:S30"/>
  <sheetViews>
    <sheetView zoomScale="145" zoomScaleNormal="145" workbookViewId="0">
      <selection activeCell="L4" sqref="L4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0.42578125" bestFit="1" customWidth="1"/>
    <col min="4" max="4" width="10.42578125" bestFit="1" customWidth="1"/>
    <col min="5" max="5" width="1.5703125" customWidth="1"/>
    <col min="6" max="6" width="9.28515625" bestFit="1" customWidth="1"/>
    <col min="7" max="7" width="8.42578125" bestFit="1" customWidth="1"/>
    <col min="8" max="8" width="1.7109375" customWidth="1"/>
    <col min="9" max="9" width="7.4257812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" customWidth="1"/>
    <col min="14" max="14" width="10.7109375" bestFit="1" customWidth="1"/>
    <col min="15" max="15" width="10" bestFit="1" customWidth="1"/>
    <col min="16" max="16" width="1.4257812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45444</v>
      </c>
      <c r="B2" t="s">
        <v>5</v>
      </c>
      <c r="C2" t="s">
        <v>18</v>
      </c>
      <c r="D2" s="6">
        <v>50.19</v>
      </c>
      <c r="F2" s="12" t="str" cm="1">
        <f t="array" ref="F2:F6">_xlfn.UNIQUE(Expenses8131727[Category])</f>
        <v>Bank</v>
      </c>
      <c r="G2" s="6">
        <f>SUMIF(Expenses8131727[Category],F2,Expenses8131727[Amount])</f>
        <v>398.64</v>
      </c>
      <c r="I2" s="1">
        <v>45444</v>
      </c>
      <c r="J2" t="s">
        <v>2</v>
      </c>
      <c r="K2" t="s">
        <v>49</v>
      </c>
      <c r="L2" s="6" cm="1">
        <f t="array" ref="L2">Balance11151923[Balance]</f>
        <v>261.97000000000003</v>
      </c>
      <c r="N2" s="12" t="str" cm="1">
        <f t="array" ref="N2:N4">_xlfn.UNIQUE(Income10141828[Category])</f>
        <v>Balance</v>
      </c>
      <c r="O2" s="6">
        <f>SUMIF(Income10141828[Category],N2,Income10141828[Amount])</f>
        <v>261.97000000000003</v>
      </c>
      <c r="Q2" s="6">
        <f>SUMIF(Expenses8131727[Item],Q1,Expenses8131727[Amount])</f>
        <v>0</v>
      </c>
    </row>
    <row r="3" spans="1:19" x14ac:dyDescent="0.25">
      <c r="A3" s="13">
        <v>45447</v>
      </c>
      <c r="B3" t="s">
        <v>6</v>
      </c>
      <c r="C3" t="s">
        <v>53</v>
      </c>
      <c r="D3" s="6">
        <v>400</v>
      </c>
      <c r="F3" s="12" t="str">
        <v>Utilities</v>
      </c>
      <c r="G3" s="6">
        <f>SUMIF(Expenses8131727[Category],F3,Expenses8131727[Amount])</f>
        <v>431.98</v>
      </c>
      <c r="I3" s="1">
        <v>45449</v>
      </c>
      <c r="J3" t="s">
        <v>14</v>
      </c>
      <c r="K3" t="s">
        <v>15</v>
      </c>
      <c r="L3" s="6">
        <v>89.37</v>
      </c>
      <c r="N3" s="12" t="str">
        <v>Social Help</v>
      </c>
      <c r="O3" s="6">
        <f>SUMIF(J2:J4,N3,L2:L4)</f>
        <v>89.37</v>
      </c>
    </row>
    <row r="4" spans="1:19" x14ac:dyDescent="0.25">
      <c r="A4" s="13">
        <v>45447</v>
      </c>
      <c r="B4" t="s">
        <v>6</v>
      </c>
      <c r="C4" t="s">
        <v>19</v>
      </c>
      <c r="D4" s="6">
        <v>10.99</v>
      </c>
      <c r="F4" s="12" t="str">
        <v>Car</v>
      </c>
      <c r="G4" s="6">
        <f>SUMIF(Expenses8131727[Category],F4,Expenses8131727[Amount])</f>
        <v>44.87</v>
      </c>
      <c r="I4" s="1">
        <v>45471</v>
      </c>
      <c r="J4" t="s">
        <v>16</v>
      </c>
      <c r="K4" t="s">
        <v>54</v>
      </c>
      <c r="L4" s="6">
        <v>854.21</v>
      </c>
      <c r="N4" s="12" t="str">
        <v>Salary</v>
      </c>
      <c r="O4" s="6">
        <f>SUMIF(J3:J5,N4,L3:L5)</f>
        <v>854.21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45447</v>
      </c>
      <c r="B5" t="s">
        <v>7</v>
      </c>
      <c r="C5" t="s">
        <v>20</v>
      </c>
      <c r="D5" s="6">
        <v>44.87</v>
      </c>
      <c r="F5" s="12" t="str">
        <v>Food</v>
      </c>
      <c r="G5" s="6">
        <f>SUMIF(Expenses8131727[Category],F5,Expenses8131727[Amount])</f>
        <v>240</v>
      </c>
      <c r="I5" t="s">
        <v>12</v>
      </c>
      <c r="L5" s="6">
        <f>SUBTOTAL(109,Income10141828[Amount])</f>
        <v>1205.5500000000002</v>
      </c>
      <c r="Q5" s="6">
        <f>Income10141828[[#Totals],[Amount]]</f>
        <v>1205.5500000000002</v>
      </c>
      <c r="R5" s="6">
        <f>Expenses8131727[[#Totals],[Amount]]</f>
        <v>1165.49</v>
      </c>
      <c r="S5" s="6">
        <f>Balance11151929[[#This Row],[Total Income]]-Balance11151929[[#This Row],[Total Expenses]]</f>
        <v>40.060000000000173</v>
      </c>
    </row>
    <row r="6" spans="1:19" x14ac:dyDescent="0.25">
      <c r="A6" s="13">
        <v>45448</v>
      </c>
      <c r="B6" t="s">
        <v>5</v>
      </c>
      <c r="C6" t="s">
        <v>21</v>
      </c>
      <c r="D6" s="6">
        <v>17.27</v>
      </c>
      <c r="F6" s="12" t="str">
        <v>Activities</v>
      </c>
      <c r="G6" s="6">
        <f>SUMIF(Expenses8131727[Category],F6,Expenses8131727[Amount])</f>
        <v>50</v>
      </c>
    </row>
    <row r="7" spans="1:19" x14ac:dyDescent="0.25">
      <c r="A7" s="13">
        <v>45449</v>
      </c>
      <c r="B7" t="s">
        <v>8</v>
      </c>
      <c r="C7" t="s">
        <v>22</v>
      </c>
      <c r="D7" s="6">
        <v>80</v>
      </c>
      <c r="F7" s="12"/>
      <c r="G7" s="6"/>
    </row>
    <row r="8" spans="1:19" x14ac:dyDescent="0.25">
      <c r="A8" s="13">
        <v>45449</v>
      </c>
      <c r="B8" t="s">
        <v>5</v>
      </c>
      <c r="C8" t="s">
        <v>23</v>
      </c>
      <c r="D8" s="6">
        <v>301.18</v>
      </c>
    </row>
    <row r="9" spans="1:19" x14ac:dyDescent="0.25">
      <c r="A9" s="13">
        <v>45452</v>
      </c>
      <c r="B9" t="s">
        <v>8</v>
      </c>
      <c r="C9" t="s">
        <v>22</v>
      </c>
      <c r="D9" s="6">
        <v>80</v>
      </c>
    </row>
    <row r="10" spans="1:19" x14ac:dyDescent="0.25">
      <c r="A10" s="13">
        <v>45453</v>
      </c>
      <c r="B10" t="s">
        <v>9</v>
      </c>
      <c r="C10" t="s">
        <v>50</v>
      </c>
      <c r="D10" s="6">
        <v>50</v>
      </c>
    </row>
    <row r="11" spans="1:19" x14ac:dyDescent="0.25">
      <c r="A11" s="13">
        <v>45457</v>
      </c>
      <c r="B11" t="s">
        <v>6</v>
      </c>
      <c r="C11" t="s">
        <v>25</v>
      </c>
      <c r="D11" s="6">
        <v>7</v>
      </c>
    </row>
    <row r="12" spans="1:19" x14ac:dyDescent="0.25">
      <c r="A12" s="13">
        <v>45458</v>
      </c>
      <c r="B12" t="s">
        <v>6</v>
      </c>
      <c r="C12" t="s">
        <v>26</v>
      </c>
      <c r="D12" s="6">
        <v>13.99</v>
      </c>
    </row>
    <row r="13" spans="1:19" x14ac:dyDescent="0.25">
      <c r="A13" s="13">
        <v>45463</v>
      </c>
      <c r="B13" t="s">
        <v>8</v>
      </c>
      <c r="C13" t="s">
        <v>22</v>
      </c>
      <c r="D13" s="6">
        <v>80</v>
      </c>
    </row>
    <row r="14" spans="1:19" x14ac:dyDescent="0.25">
      <c r="A14" s="13">
        <v>45470</v>
      </c>
      <c r="B14" t="s">
        <v>5</v>
      </c>
      <c r="C14" t="s">
        <v>27</v>
      </c>
      <c r="D14" s="6">
        <v>30</v>
      </c>
    </row>
    <row r="15" spans="1:19" x14ac:dyDescent="0.25">
      <c r="A15" s="13" t="s">
        <v>12</v>
      </c>
      <c r="D15" s="6">
        <f>SUBTOTAL(109,Expenses8131727[Amount])</f>
        <v>1165.49</v>
      </c>
    </row>
    <row r="16" spans="1:19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conditionalFormatting sqref="D2:D14">
    <cfRule type="cellIs" dxfId="62" priority="1" operator="greaterThan">
      <formula>99</formula>
    </cfRule>
    <cfRule type="cellIs" dxfId="61" priority="2" operator="greaterThan">
      <formula>"&gt;=100"</formula>
    </cfRule>
    <cfRule type="cellIs" dxfId="60" priority="3" operator="greaterThan">
      <formula>100</formula>
    </cfRule>
  </conditionalFormatting>
  <conditionalFormatting sqref="D16:D29">
    <cfRule type="cellIs" dxfId="59" priority="7" operator="greaterThan">
      <formula>99</formula>
    </cfRule>
    <cfRule type="cellIs" dxfId="58" priority="8" operator="greaterThan">
      <formula>"&gt;=100"</formula>
    </cfRule>
    <cfRule type="cellIs" dxfId="57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2863-BA18-47D3-9522-D36D42C2970D}">
  <dimension ref="A1:S34"/>
  <sheetViews>
    <sheetView zoomScale="145" zoomScaleNormal="145" workbookViewId="0">
      <selection activeCell="L5" sqref="L5:L6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0.42578125" bestFit="1" customWidth="1"/>
    <col min="4" max="4" width="10.42578125" bestFit="1" customWidth="1"/>
    <col min="5" max="5" width="1" customWidth="1"/>
    <col min="6" max="6" width="9.28515625" bestFit="1" customWidth="1"/>
    <col min="7" max="7" width="8.42578125" bestFit="1" customWidth="1"/>
    <col min="8" max="8" width="1.42578125" customWidth="1"/>
    <col min="9" max="9" width="7.4257812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.140625" customWidth="1"/>
    <col min="14" max="14" width="10.7109375" bestFit="1" customWidth="1"/>
    <col min="15" max="15" width="10" bestFit="1" customWidth="1"/>
    <col min="16" max="16" width="1.710937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45474</v>
      </c>
      <c r="B2" t="s">
        <v>5</v>
      </c>
      <c r="C2" t="s">
        <v>13</v>
      </c>
      <c r="D2" s="6">
        <v>350</v>
      </c>
      <c r="F2" s="12" t="str" cm="1">
        <f t="array" ref="F2:F6">_xlfn.UNIQUE(Expenses813172731[Category])</f>
        <v>Bank</v>
      </c>
      <c r="G2" s="6">
        <f>SUMIF(Expenses813172731[Category],F2,Expenses813172731[Amount])</f>
        <v>748.64</v>
      </c>
      <c r="I2" s="1">
        <v>45474</v>
      </c>
      <c r="J2" t="s">
        <v>2</v>
      </c>
      <c r="K2" t="s">
        <v>49</v>
      </c>
      <c r="L2" s="6" cm="1">
        <f t="array" ref="L2">Balance11151929[Balance]</f>
        <v>40.060000000000173</v>
      </c>
      <c r="N2" s="12" t="str" cm="1">
        <f t="array" ref="N2:N5">_xlfn.UNIQUE(Income1014182832[Category])</f>
        <v>Balance</v>
      </c>
      <c r="O2" s="6">
        <f>SUMIF(Income1014182832[Category],N2,Income1014182832[Amount])</f>
        <v>40.060000000000173</v>
      </c>
      <c r="Q2" s="6">
        <f>SUMIF(Expenses813172731[Item],Q1,Expenses813172731[Amount])</f>
        <v>350</v>
      </c>
    </row>
    <row r="3" spans="1:19" x14ac:dyDescent="0.25">
      <c r="A3" s="13">
        <v>45474</v>
      </c>
      <c r="B3" t="s">
        <v>6</v>
      </c>
      <c r="C3" t="s">
        <v>53</v>
      </c>
      <c r="D3" s="6">
        <v>400</v>
      </c>
      <c r="F3" s="12" t="str">
        <v>Utilities</v>
      </c>
      <c r="G3" s="6">
        <f>SUMIF(Expenses813172731[Category],F3,Expenses813172731[Amount])</f>
        <v>431.98</v>
      </c>
      <c r="I3" s="1">
        <v>45449</v>
      </c>
      <c r="J3" t="s">
        <v>14</v>
      </c>
      <c r="K3" t="s">
        <v>15</v>
      </c>
      <c r="L3" s="6">
        <v>89.37</v>
      </c>
      <c r="N3" s="12" t="str">
        <v>Social Help</v>
      </c>
      <c r="O3" s="6">
        <f>SUMIF(Income1014182832[Category],N3,Income1014182832[Amount])</f>
        <v>89.37</v>
      </c>
    </row>
    <row r="4" spans="1:19" x14ac:dyDescent="0.25">
      <c r="A4" s="13">
        <v>45477</v>
      </c>
      <c r="B4" t="s">
        <v>5</v>
      </c>
      <c r="C4" t="s">
        <v>18</v>
      </c>
      <c r="D4" s="6">
        <v>50.19</v>
      </c>
      <c r="F4" s="12" t="str">
        <v>Car</v>
      </c>
      <c r="G4" s="6">
        <f>SUMIF(Expenses813172731[Category],F4,Expenses813172731[Amount])</f>
        <v>44.87</v>
      </c>
      <c r="I4" s="1">
        <v>45453</v>
      </c>
      <c r="J4" t="s">
        <v>58</v>
      </c>
      <c r="K4" t="s">
        <v>57</v>
      </c>
      <c r="L4" s="6">
        <v>178</v>
      </c>
      <c r="N4" s="12" t="str">
        <v>Freelance</v>
      </c>
      <c r="O4" s="6">
        <f>SUMIF(Income1014182832[Category],N4,Income1014182832[Amount])</f>
        <v>178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45477</v>
      </c>
      <c r="B5" t="s">
        <v>6</v>
      </c>
      <c r="C5" t="s">
        <v>19</v>
      </c>
      <c r="D5" s="6">
        <v>10.99</v>
      </c>
      <c r="F5" s="12" t="str">
        <v>Food</v>
      </c>
      <c r="G5" s="6">
        <f>SUMIF(Expenses813172731[Category],F5,Expenses813172731[Amount])</f>
        <v>240</v>
      </c>
      <c r="I5" s="1">
        <v>45471</v>
      </c>
      <c r="J5" t="s">
        <v>16</v>
      </c>
      <c r="K5" t="s">
        <v>54</v>
      </c>
      <c r="L5" s="6">
        <v>834.21</v>
      </c>
      <c r="N5" s="12" t="str">
        <v>Salary</v>
      </c>
      <c r="O5" s="6">
        <f>SUMIF(Income1014182832[Category],N5,Income1014182832[Amount])</f>
        <v>1281.72</v>
      </c>
      <c r="Q5" s="6">
        <f>Income1014182832[[#Totals],[Amount]]</f>
        <v>1589.1500000000003</v>
      </c>
      <c r="R5" s="6">
        <f>Expenses813172731[[#Totals],[Amount]]</f>
        <v>1525.49</v>
      </c>
      <c r="S5" s="6">
        <f>Balance1115192933[[#This Row],[Total Income]]-Balance1115192933[[#This Row],[Total Expenses]]</f>
        <v>63.660000000000309</v>
      </c>
    </row>
    <row r="6" spans="1:19" x14ac:dyDescent="0.25">
      <c r="A6" s="13">
        <v>45477</v>
      </c>
      <c r="B6" t="s">
        <v>7</v>
      </c>
      <c r="C6" t="s">
        <v>20</v>
      </c>
      <c r="D6" s="6">
        <v>44.87</v>
      </c>
      <c r="F6" s="12" t="str">
        <v>Activities</v>
      </c>
      <c r="G6" s="6">
        <f>SUMIF(Expenses813172731[Category],F6,Expenses813172731[Amount])</f>
        <v>60</v>
      </c>
      <c r="I6" s="1">
        <v>45472</v>
      </c>
      <c r="J6" t="s">
        <v>16</v>
      </c>
      <c r="K6" t="s">
        <v>56</v>
      </c>
      <c r="L6" s="6">
        <v>447.51</v>
      </c>
    </row>
    <row r="7" spans="1:19" x14ac:dyDescent="0.25">
      <c r="A7" s="13">
        <v>45478</v>
      </c>
      <c r="B7" t="s">
        <v>5</v>
      </c>
      <c r="C7" t="s">
        <v>21</v>
      </c>
      <c r="D7" s="6">
        <v>17.27</v>
      </c>
      <c r="F7" s="12"/>
      <c r="G7" s="6"/>
      <c r="I7" t="s">
        <v>12</v>
      </c>
      <c r="L7" s="6">
        <f>SUBTOTAL(109,Income1014182832[Amount])</f>
        <v>1589.1500000000003</v>
      </c>
    </row>
    <row r="8" spans="1:19" x14ac:dyDescent="0.25">
      <c r="A8" s="13">
        <v>45479</v>
      </c>
      <c r="B8" t="s">
        <v>8</v>
      </c>
      <c r="C8" t="s">
        <v>22</v>
      </c>
      <c r="D8" s="6">
        <v>80</v>
      </c>
    </row>
    <row r="9" spans="1:19" x14ac:dyDescent="0.25">
      <c r="A9" s="13">
        <v>45479</v>
      </c>
      <c r="B9" t="s">
        <v>5</v>
      </c>
      <c r="C9" t="s">
        <v>23</v>
      </c>
      <c r="D9" s="6">
        <v>301.18</v>
      </c>
    </row>
    <row r="10" spans="1:19" x14ac:dyDescent="0.25">
      <c r="A10" s="13">
        <v>45482</v>
      </c>
      <c r="B10" t="s">
        <v>8</v>
      </c>
      <c r="C10" t="s">
        <v>22</v>
      </c>
      <c r="D10" s="6">
        <v>80</v>
      </c>
    </row>
    <row r="11" spans="1:19" x14ac:dyDescent="0.25">
      <c r="A11" s="13">
        <v>45483</v>
      </c>
      <c r="B11" t="s">
        <v>9</v>
      </c>
      <c r="C11" t="s">
        <v>55</v>
      </c>
      <c r="D11" s="6">
        <v>60</v>
      </c>
    </row>
    <row r="12" spans="1:19" x14ac:dyDescent="0.25">
      <c r="A12" s="13">
        <v>45487</v>
      </c>
      <c r="B12" t="s">
        <v>6</v>
      </c>
      <c r="C12" t="s">
        <v>25</v>
      </c>
      <c r="D12" s="6">
        <v>7</v>
      </c>
    </row>
    <row r="13" spans="1:19" x14ac:dyDescent="0.25">
      <c r="A13" s="13">
        <v>45488</v>
      </c>
      <c r="B13" t="s">
        <v>6</v>
      </c>
      <c r="C13" t="s">
        <v>26</v>
      </c>
      <c r="D13" s="6">
        <v>13.99</v>
      </c>
    </row>
    <row r="14" spans="1:19" x14ac:dyDescent="0.25">
      <c r="A14" s="13">
        <v>45493</v>
      </c>
      <c r="B14" t="s">
        <v>8</v>
      </c>
      <c r="C14" t="s">
        <v>22</v>
      </c>
      <c r="D14" s="6">
        <v>80</v>
      </c>
    </row>
    <row r="15" spans="1:19" x14ac:dyDescent="0.25">
      <c r="A15" s="13">
        <v>45500</v>
      </c>
      <c r="B15" t="s">
        <v>5</v>
      </c>
      <c r="C15" t="s">
        <v>27</v>
      </c>
      <c r="D15" s="6">
        <v>30</v>
      </c>
    </row>
    <row r="16" spans="1:19" x14ac:dyDescent="0.25">
      <c r="A16" s="13" t="s">
        <v>12</v>
      </c>
      <c r="D16" s="6">
        <f>SUBTOTAL(109,Expenses813172731[Amount])</f>
        <v>1525.49</v>
      </c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</sheetData>
  <conditionalFormatting sqref="D2:D15">
    <cfRule type="cellIs" dxfId="56" priority="1" operator="greaterThan">
      <formula>99</formula>
    </cfRule>
    <cfRule type="cellIs" dxfId="55" priority="2" operator="greaterThan">
      <formula>"&gt;=100"</formula>
    </cfRule>
    <cfRule type="cellIs" dxfId="54" priority="3" operator="greaterThan">
      <formula>100</formula>
    </cfRule>
  </conditionalFormatting>
  <conditionalFormatting sqref="D17:D33">
    <cfRule type="cellIs" dxfId="53" priority="7" operator="greaterThan">
      <formula>99</formula>
    </cfRule>
    <cfRule type="cellIs" dxfId="52" priority="8" operator="greaterThan">
      <formula>"&gt;=100"</formula>
    </cfRule>
    <cfRule type="cellIs" dxfId="51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C817-BA17-4351-BDEC-A7E384C50255}">
  <dimension ref="A1:S33"/>
  <sheetViews>
    <sheetView zoomScale="145" zoomScaleNormal="145" workbookViewId="0">
      <selection activeCell="L6" sqref="L6:L7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0.42578125" bestFit="1" customWidth="1"/>
    <col min="4" max="4" width="10.42578125" bestFit="1" customWidth="1"/>
    <col min="5" max="5" width="1.140625" customWidth="1"/>
    <col min="6" max="6" width="9.28515625" bestFit="1" customWidth="1"/>
    <col min="7" max="7" width="8.42578125" bestFit="1" customWidth="1"/>
    <col min="8" max="8" width="1" customWidth="1"/>
    <col min="9" max="9" width="7.710937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.28515625" customWidth="1"/>
    <col min="14" max="14" width="10.7109375" bestFit="1" customWidth="1"/>
    <col min="15" max="15" width="10" bestFit="1" customWidth="1"/>
    <col min="16" max="16" width="1.710937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45505</v>
      </c>
      <c r="B2" t="s">
        <v>5</v>
      </c>
      <c r="C2" t="s">
        <v>13</v>
      </c>
      <c r="D2" s="6">
        <v>250</v>
      </c>
      <c r="F2" s="12" t="str" cm="1">
        <f t="array" ref="F2:F6">_xlfn.UNIQUE(Expenses81317273135[Category])</f>
        <v>Bank</v>
      </c>
      <c r="G2" s="6">
        <f>SUMIF(Expenses81317273135[Category],F2,Expenses81317273135[Amount])</f>
        <v>648.64</v>
      </c>
      <c r="I2" s="1">
        <v>45505</v>
      </c>
      <c r="J2" t="s">
        <v>2</v>
      </c>
      <c r="K2" t="s">
        <v>49</v>
      </c>
      <c r="L2" s="6" cm="1">
        <f t="array" ref="L2">Balance1115192933[Balance]</f>
        <v>63.660000000000309</v>
      </c>
      <c r="N2" s="12" t="str" cm="1">
        <f t="array" ref="N2:N5">_xlfn.UNIQUE(Income101418283236[Category])</f>
        <v>Balance</v>
      </c>
      <c r="O2" s="6">
        <f>SUMIF(Income101418283236[Category],N2,Income101418283236[Amount])</f>
        <v>63.660000000000309</v>
      </c>
      <c r="Q2" s="6">
        <f>SUMIF(Expenses81317273135[Item],Q1,Expenses81317273135[Amount])</f>
        <v>250</v>
      </c>
    </row>
    <row r="3" spans="1:19" x14ac:dyDescent="0.25">
      <c r="A3" s="13">
        <v>45505</v>
      </c>
      <c r="B3" t="s">
        <v>6</v>
      </c>
      <c r="C3" t="s">
        <v>53</v>
      </c>
      <c r="D3" s="6">
        <v>400</v>
      </c>
      <c r="F3" s="12" t="str">
        <v>Utilities</v>
      </c>
      <c r="G3" s="6">
        <f>SUMIF(Expenses81317273135[Category],F3,Expenses81317273135[Amount])</f>
        <v>431.98</v>
      </c>
      <c r="I3" s="1">
        <v>45510</v>
      </c>
      <c r="J3" t="s">
        <v>14</v>
      </c>
      <c r="K3" t="s">
        <v>15</v>
      </c>
      <c r="L3" s="6">
        <v>59.37</v>
      </c>
      <c r="N3" s="12" t="str">
        <v>Social Help</v>
      </c>
      <c r="O3" s="6">
        <f>SUMIF(Income101418283236[Category],N3,Income101418283236[Amount])</f>
        <v>59.37</v>
      </c>
    </row>
    <row r="4" spans="1:19" x14ac:dyDescent="0.25">
      <c r="A4" s="13">
        <v>45508</v>
      </c>
      <c r="B4" t="s">
        <v>5</v>
      </c>
      <c r="C4" t="s">
        <v>18</v>
      </c>
      <c r="D4" s="6">
        <v>50.19</v>
      </c>
      <c r="F4" s="12" t="str">
        <v>Car</v>
      </c>
      <c r="G4" s="6">
        <f>SUMIF(Expenses81317273135[Category],F4,Expenses81317273135[Amount])</f>
        <v>44.87</v>
      </c>
      <c r="I4" s="1">
        <v>45514</v>
      </c>
      <c r="J4" t="s">
        <v>58</v>
      </c>
      <c r="K4" t="s">
        <v>57</v>
      </c>
      <c r="L4" s="6">
        <v>203</v>
      </c>
      <c r="N4" s="12" t="str">
        <v>Freelance</v>
      </c>
      <c r="O4" s="6">
        <f>SUMIF(Income101418283236[Category],N4,Income101418283236[Amount])</f>
        <v>293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45508</v>
      </c>
      <c r="B5" t="s">
        <v>6</v>
      </c>
      <c r="C5" t="s">
        <v>19</v>
      </c>
      <c r="D5" s="6">
        <v>10.99</v>
      </c>
      <c r="F5" s="12" t="str">
        <v>Food</v>
      </c>
      <c r="G5" s="6">
        <f>SUMIF(Expenses81317273135[Category],F5,Expenses81317273135[Amount])</f>
        <v>240</v>
      </c>
      <c r="I5" s="1">
        <v>45516</v>
      </c>
      <c r="J5" t="s">
        <v>58</v>
      </c>
      <c r="K5" t="s">
        <v>60</v>
      </c>
      <c r="L5" s="6">
        <v>90</v>
      </c>
      <c r="N5" s="12" t="str">
        <v>Salary</v>
      </c>
      <c r="O5" s="6">
        <f>SUMIF(Income101418283236[Category],N5,Income101418283236[Amount])</f>
        <v>1231.72</v>
      </c>
      <c r="Q5" s="6">
        <f>Income101418283236[[#Totals],[Amount]]</f>
        <v>1647.7500000000002</v>
      </c>
      <c r="R5" s="6">
        <f>Expenses81317273135[[#Totals],[Amount]]</f>
        <v>1435.49</v>
      </c>
      <c r="S5" s="6">
        <f>Balance111519293337[[#This Row],[Total Income]]-Balance111519293337[[#This Row],[Total Expenses]]</f>
        <v>212.26000000000022</v>
      </c>
    </row>
    <row r="6" spans="1:19" x14ac:dyDescent="0.25">
      <c r="A6" s="13">
        <v>45508</v>
      </c>
      <c r="B6" t="s">
        <v>7</v>
      </c>
      <c r="C6" t="s">
        <v>20</v>
      </c>
      <c r="D6" s="6">
        <v>44.87</v>
      </c>
      <c r="F6" s="12" t="str">
        <v>Activities</v>
      </c>
      <c r="G6" s="6">
        <f>SUMIF(Expenses81317273135[Category],F6,Expenses81317273135[Amount])</f>
        <v>70</v>
      </c>
      <c r="I6" s="1">
        <v>45532</v>
      </c>
      <c r="J6" t="s">
        <v>16</v>
      </c>
      <c r="K6" t="s">
        <v>54</v>
      </c>
      <c r="L6" s="6">
        <v>814.21</v>
      </c>
    </row>
    <row r="7" spans="1:19" x14ac:dyDescent="0.25">
      <c r="A7" s="13">
        <v>45509</v>
      </c>
      <c r="B7" t="s">
        <v>5</v>
      </c>
      <c r="C7" t="s">
        <v>21</v>
      </c>
      <c r="D7" s="6">
        <v>17.27</v>
      </c>
      <c r="F7" s="12"/>
      <c r="G7" s="6"/>
      <c r="I7" s="1">
        <v>45533</v>
      </c>
      <c r="J7" t="s">
        <v>16</v>
      </c>
      <c r="K7" t="s">
        <v>56</v>
      </c>
      <c r="L7" s="6">
        <v>417.51</v>
      </c>
    </row>
    <row r="8" spans="1:19" x14ac:dyDescent="0.25">
      <c r="A8" s="13">
        <v>45510</v>
      </c>
      <c r="B8" t="s">
        <v>8</v>
      </c>
      <c r="C8" t="s">
        <v>22</v>
      </c>
      <c r="D8" s="6">
        <v>80</v>
      </c>
      <c r="I8" t="s">
        <v>12</v>
      </c>
      <c r="L8" s="6">
        <f>SUBTOTAL(109,Income101418283236[Amount])</f>
        <v>1647.7500000000002</v>
      </c>
    </row>
    <row r="9" spans="1:19" x14ac:dyDescent="0.25">
      <c r="A9" s="13">
        <v>45510</v>
      </c>
      <c r="B9" t="s">
        <v>5</v>
      </c>
      <c r="C9" t="s">
        <v>23</v>
      </c>
      <c r="D9" s="6">
        <v>301.18</v>
      </c>
    </row>
    <row r="10" spans="1:19" x14ac:dyDescent="0.25">
      <c r="A10" s="13">
        <v>45513</v>
      </c>
      <c r="B10" t="s">
        <v>8</v>
      </c>
      <c r="C10" t="s">
        <v>22</v>
      </c>
      <c r="D10" s="6">
        <v>80</v>
      </c>
    </row>
    <row r="11" spans="1:19" x14ac:dyDescent="0.25">
      <c r="A11" s="13">
        <v>45514</v>
      </c>
      <c r="B11" t="s">
        <v>9</v>
      </c>
      <c r="C11" t="s">
        <v>59</v>
      </c>
      <c r="D11" s="6">
        <v>70</v>
      </c>
    </row>
    <row r="12" spans="1:19" x14ac:dyDescent="0.25">
      <c r="A12" s="13">
        <v>45518</v>
      </c>
      <c r="B12" t="s">
        <v>6</v>
      </c>
      <c r="C12" t="s">
        <v>25</v>
      </c>
      <c r="D12" s="6">
        <v>7</v>
      </c>
    </row>
    <row r="13" spans="1:19" x14ac:dyDescent="0.25">
      <c r="A13" s="13">
        <v>45519</v>
      </c>
      <c r="B13" t="s">
        <v>6</v>
      </c>
      <c r="C13" t="s">
        <v>26</v>
      </c>
      <c r="D13" s="6">
        <v>13.99</v>
      </c>
    </row>
    <row r="14" spans="1:19" x14ac:dyDescent="0.25">
      <c r="A14" s="13">
        <v>45524</v>
      </c>
      <c r="B14" t="s">
        <v>8</v>
      </c>
      <c r="C14" t="s">
        <v>22</v>
      </c>
      <c r="D14" s="6">
        <v>80</v>
      </c>
    </row>
    <row r="15" spans="1:19" x14ac:dyDescent="0.25">
      <c r="A15" s="13">
        <v>45531</v>
      </c>
      <c r="B15" t="s">
        <v>5</v>
      </c>
      <c r="C15" t="s">
        <v>27</v>
      </c>
      <c r="D15" s="6">
        <v>30</v>
      </c>
    </row>
    <row r="16" spans="1:19" x14ac:dyDescent="0.25">
      <c r="A16" s="13" t="s">
        <v>12</v>
      </c>
      <c r="D16" s="6">
        <f>SUBTOTAL(109,Expenses81317273135[Amount])</f>
        <v>1435.49</v>
      </c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</sheetData>
  <conditionalFormatting sqref="D2:D15">
    <cfRule type="cellIs" dxfId="50" priority="1" operator="greaterThan">
      <formula>99</formula>
    </cfRule>
    <cfRule type="cellIs" dxfId="49" priority="2" operator="greaterThan">
      <formula>"&gt;=100"</formula>
    </cfRule>
    <cfRule type="cellIs" dxfId="48" priority="3" operator="greaterThan">
      <formula>100</formula>
    </cfRule>
  </conditionalFormatting>
  <conditionalFormatting sqref="D17:D32">
    <cfRule type="cellIs" dxfId="47" priority="7" operator="greaterThan">
      <formula>99</formula>
    </cfRule>
    <cfRule type="cellIs" dxfId="46" priority="8" operator="greaterThan">
      <formula>"&gt;=100"</formula>
    </cfRule>
    <cfRule type="cellIs" dxfId="45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CD32-1D60-4C70-B01E-6D1127EEAFB3}">
  <dimension ref="A1:S34"/>
  <sheetViews>
    <sheetView zoomScale="145" zoomScaleNormal="145" workbookViewId="0">
      <selection activeCell="L6" sqref="L6:L7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0.42578125" bestFit="1" customWidth="1"/>
    <col min="4" max="4" width="10.42578125" bestFit="1" customWidth="1"/>
    <col min="5" max="5" width="1.140625" customWidth="1"/>
    <col min="6" max="6" width="9.28515625" bestFit="1" customWidth="1"/>
    <col min="7" max="7" width="8.42578125" bestFit="1" customWidth="1"/>
    <col min="8" max="8" width="1.140625" customWidth="1"/>
    <col min="9" max="9" width="7.710937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" customWidth="1"/>
    <col min="14" max="14" width="10.7109375" bestFit="1" customWidth="1"/>
    <col min="15" max="15" width="10" bestFit="1" customWidth="1"/>
    <col min="16" max="16" width="1.4257812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45536</v>
      </c>
      <c r="B2" t="s">
        <v>5</v>
      </c>
      <c r="C2" t="s">
        <v>13</v>
      </c>
      <c r="D2" s="6">
        <v>450</v>
      </c>
      <c r="F2" s="12" t="str" cm="1">
        <f t="array" ref="F2:F6">_xlfn.UNIQUE(Expenses8131727313539[Category])</f>
        <v>Bank</v>
      </c>
      <c r="G2" s="6">
        <f>SUMIF(Expenses8131727313539[Category],F2,Expenses8131727313539[Amount])</f>
        <v>848.6400000000001</v>
      </c>
      <c r="I2" s="1">
        <v>45536</v>
      </c>
      <c r="J2" t="s">
        <v>2</v>
      </c>
      <c r="K2" t="s">
        <v>49</v>
      </c>
      <c r="L2" s="6" cm="1">
        <f t="array" ref="L2">Balance111519293337[Balance]</f>
        <v>212.26000000000022</v>
      </c>
      <c r="N2" s="12" t="str" cm="1">
        <f t="array" ref="N2:N5">_xlfn.UNIQUE(Income10141828323640[Category])</f>
        <v>Balance</v>
      </c>
      <c r="O2" s="6">
        <f>SUMIF(Income10141828323640[Category],N2,Income10141828323640[Amount])</f>
        <v>212.26000000000022</v>
      </c>
      <c r="Q2" s="6">
        <f>SUMIF(Expenses8131727313539[Item],Q1,Expenses8131727313539[Amount])</f>
        <v>450</v>
      </c>
    </row>
    <row r="3" spans="1:19" x14ac:dyDescent="0.25">
      <c r="A3" s="13">
        <v>45536</v>
      </c>
      <c r="B3" t="s">
        <v>6</v>
      </c>
      <c r="C3" t="s">
        <v>53</v>
      </c>
      <c r="D3" s="6">
        <v>400</v>
      </c>
      <c r="F3" s="12" t="str">
        <v>Utilities</v>
      </c>
      <c r="G3" s="6">
        <f>SUMIF(Expenses8131727313539[Category],F3,Expenses8131727313539[Amount])</f>
        <v>636.78</v>
      </c>
      <c r="I3" s="1">
        <v>45541</v>
      </c>
      <c r="J3" t="s">
        <v>14</v>
      </c>
      <c r="K3" t="s">
        <v>15</v>
      </c>
      <c r="L3" s="6">
        <v>59.37</v>
      </c>
      <c r="N3" s="12" t="str">
        <v>Social Help</v>
      </c>
      <c r="O3" s="6">
        <f>SUMIF(Income10141828323640[Category],N3,Income10141828323640[Amount])</f>
        <v>59.37</v>
      </c>
    </row>
    <row r="4" spans="1:19" x14ac:dyDescent="0.25">
      <c r="A4" s="13">
        <v>45539</v>
      </c>
      <c r="B4" t="s">
        <v>5</v>
      </c>
      <c r="C4" t="s">
        <v>18</v>
      </c>
      <c r="D4" s="6">
        <v>50.19</v>
      </c>
      <c r="F4" s="12" t="str">
        <v>Car</v>
      </c>
      <c r="G4" s="6">
        <f>SUMIF(Expenses8131727313539[Category],F4,Expenses8131727313539[Amount])</f>
        <v>44.87</v>
      </c>
      <c r="I4" s="1">
        <v>45545</v>
      </c>
      <c r="J4" t="s">
        <v>58</v>
      </c>
      <c r="K4" t="s">
        <v>57</v>
      </c>
      <c r="L4" s="6">
        <v>203</v>
      </c>
      <c r="N4" s="12" t="str">
        <v>Freelance</v>
      </c>
      <c r="O4" s="6">
        <f>SUMIF(Income10141828323640[Category],N4,Income10141828323640[Amount])</f>
        <v>593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45539</v>
      </c>
      <c r="B5" t="s">
        <v>6</v>
      </c>
      <c r="C5" t="s">
        <v>19</v>
      </c>
      <c r="D5" s="6">
        <v>10.99</v>
      </c>
      <c r="F5" s="12" t="str">
        <v>Food</v>
      </c>
      <c r="G5" s="6">
        <f>SUMIF(Expenses8131727313539[Category],F5,Expenses8131727313539[Amount])</f>
        <v>277.8</v>
      </c>
      <c r="I5" s="1">
        <v>45554</v>
      </c>
      <c r="J5" t="s">
        <v>58</v>
      </c>
      <c r="K5" t="s">
        <v>62</v>
      </c>
      <c r="L5" s="6">
        <v>390</v>
      </c>
      <c r="N5" s="12" t="str">
        <v>Salary</v>
      </c>
      <c r="O5" s="6">
        <f>SUMIF(Income10141828323640[Category],N5,Income10141828323640[Amount])</f>
        <v>1231.72</v>
      </c>
      <c r="Q5" s="6">
        <f>Income10141828323640[[#Totals],[Amount]]</f>
        <v>2096.3500000000004</v>
      </c>
      <c r="R5" s="6">
        <f>Expenses8131727313539[[#Totals],[Amount]]</f>
        <v>1923.0900000000001</v>
      </c>
      <c r="S5" s="6">
        <f>Balance11151929333741[[#This Row],[Total Income]]-Balance11151929333741[[#This Row],[Total Expenses]]</f>
        <v>173.26000000000022</v>
      </c>
    </row>
    <row r="6" spans="1:19" x14ac:dyDescent="0.25">
      <c r="A6" s="13">
        <v>45539</v>
      </c>
      <c r="B6" t="s">
        <v>7</v>
      </c>
      <c r="C6" t="s">
        <v>20</v>
      </c>
      <c r="D6" s="6">
        <v>44.87</v>
      </c>
      <c r="F6" s="12" t="str">
        <v>Activities</v>
      </c>
      <c r="G6" s="6">
        <f>SUMIF(Expenses8131727313539[Category],F6,Expenses8131727313539[Amount])</f>
        <v>115</v>
      </c>
      <c r="I6" s="1">
        <v>45563</v>
      </c>
      <c r="J6" t="s">
        <v>16</v>
      </c>
      <c r="K6" t="s">
        <v>54</v>
      </c>
      <c r="L6" s="6">
        <v>814.21</v>
      </c>
    </row>
    <row r="7" spans="1:19" x14ac:dyDescent="0.25">
      <c r="A7" s="13">
        <v>45540</v>
      </c>
      <c r="B7" t="s">
        <v>5</v>
      </c>
      <c r="C7" t="s">
        <v>21</v>
      </c>
      <c r="D7" s="6">
        <v>17.27</v>
      </c>
      <c r="F7" s="12"/>
      <c r="G7" s="6"/>
      <c r="I7" s="1">
        <v>45564</v>
      </c>
      <c r="J7" t="s">
        <v>16</v>
      </c>
      <c r="K7" t="s">
        <v>56</v>
      </c>
      <c r="L7" s="6">
        <v>417.51</v>
      </c>
    </row>
    <row r="8" spans="1:19" x14ac:dyDescent="0.25">
      <c r="A8" s="13">
        <v>45541</v>
      </c>
      <c r="B8" t="s">
        <v>8</v>
      </c>
      <c r="C8" t="s">
        <v>22</v>
      </c>
      <c r="D8" s="6">
        <v>80</v>
      </c>
      <c r="I8" t="s">
        <v>12</v>
      </c>
      <c r="L8" s="6">
        <f>SUBTOTAL(109,Income10141828323640[Amount])</f>
        <v>2096.3500000000004</v>
      </c>
    </row>
    <row r="9" spans="1:19" x14ac:dyDescent="0.25">
      <c r="A9" s="13">
        <v>45541</v>
      </c>
      <c r="B9" t="s">
        <v>5</v>
      </c>
      <c r="C9" t="s">
        <v>23</v>
      </c>
      <c r="D9" s="6">
        <v>301.18</v>
      </c>
    </row>
    <row r="10" spans="1:19" x14ac:dyDescent="0.25">
      <c r="A10" s="13">
        <v>45544</v>
      </c>
      <c r="B10" t="s">
        <v>8</v>
      </c>
      <c r="C10" t="s">
        <v>22</v>
      </c>
      <c r="D10" s="6">
        <v>80</v>
      </c>
    </row>
    <row r="11" spans="1:19" x14ac:dyDescent="0.25">
      <c r="A11" s="13">
        <v>45545</v>
      </c>
      <c r="B11" t="s">
        <v>9</v>
      </c>
      <c r="C11" t="s">
        <v>50</v>
      </c>
      <c r="D11" s="6">
        <v>115</v>
      </c>
    </row>
    <row r="12" spans="1:19" x14ac:dyDescent="0.25">
      <c r="A12" s="13">
        <v>45549</v>
      </c>
      <c r="B12" t="s">
        <v>6</v>
      </c>
      <c r="C12" t="s">
        <v>25</v>
      </c>
      <c r="D12" s="6">
        <v>7</v>
      </c>
    </row>
    <row r="13" spans="1:19" x14ac:dyDescent="0.25">
      <c r="A13" s="13">
        <v>45550</v>
      </c>
      <c r="B13" t="s">
        <v>6</v>
      </c>
      <c r="C13" t="s">
        <v>26</v>
      </c>
      <c r="D13" s="6">
        <v>13.99</v>
      </c>
    </row>
    <row r="14" spans="1:19" x14ac:dyDescent="0.25">
      <c r="A14" s="13">
        <v>45554</v>
      </c>
      <c r="B14" t="s">
        <v>8</v>
      </c>
      <c r="C14" t="s">
        <v>61</v>
      </c>
      <c r="D14" s="6">
        <v>37.799999999999997</v>
      </c>
    </row>
    <row r="15" spans="1:19" x14ac:dyDescent="0.25">
      <c r="A15" s="13">
        <v>45555</v>
      </c>
      <c r="B15" t="s">
        <v>6</v>
      </c>
      <c r="C15" t="s">
        <v>70</v>
      </c>
      <c r="D15" s="6">
        <v>204.8</v>
      </c>
    </row>
    <row r="16" spans="1:19" x14ac:dyDescent="0.25">
      <c r="A16" s="13">
        <v>45555</v>
      </c>
      <c r="B16" t="s">
        <v>8</v>
      </c>
      <c r="C16" t="s">
        <v>22</v>
      </c>
      <c r="D16" s="6">
        <v>80</v>
      </c>
    </row>
    <row r="17" spans="1:4" x14ac:dyDescent="0.25">
      <c r="A17" s="13">
        <v>45562</v>
      </c>
      <c r="B17" t="s">
        <v>5</v>
      </c>
      <c r="C17" t="s">
        <v>27</v>
      </c>
      <c r="D17" s="6">
        <v>30</v>
      </c>
    </row>
    <row r="18" spans="1:4" x14ac:dyDescent="0.25">
      <c r="A18" s="13" t="s">
        <v>12</v>
      </c>
      <c r="D18" s="6">
        <f>SUBTOTAL(109,Expenses8131727313539[Amount])</f>
        <v>1923.0900000000001</v>
      </c>
    </row>
    <row r="19" spans="1:4" x14ac:dyDescent="0.25">
      <c r="D19" s="6"/>
    </row>
    <row r="20" spans="1:4" x14ac:dyDescent="0.25">
      <c r="D20" s="6"/>
    </row>
    <row r="21" spans="1:4" x14ac:dyDescent="0.25">
      <c r="D21" s="6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  <row r="33" spans="4:4" x14ac:dyDescent="0.25">
      <c r="D33" s="6"/>
    </row>
    <row r="34" spans="4:4" x14ac:dyDescent="0.25">
      <c r="D34" s="6"/>
    </row>
  </sheetData>
  <conditionalFormatting sqref="D2:D17">
    <cfRule type="cellIs" dxfId="44" priority="1" operator="greaterThan">
      <formula>99</formula>
    </cfRule>
    <cfRule type="cellIs" dxfId="43" priority="2" operator="greaterThan">
      <formula>"&gt;=100"</formula>
    </cfRule>
    <cfRule type="cellIs" dxfId="42" priority="3" operator="greaterThan">
      <formula>100</formula>
    </cfRule>
  </conditionalFormatting>
  <conditionalFormatting sqref="D19:D33">
    <cfRule type="cellIs" dxfId="41" priority="7" operator="greaterThan">
      <formula>99</formula>
    </cfRule>
    <cfRule type="cellIs" dxfId="40" priority="8" operator="greaterThan">
      <formula>"&gt;=100"</formula>
    </cfRule>
    <cfRule type="cellIs" dxfId="39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B00B-9527-468F-8CBA-665878B354EC}">
  <dimension ref="A1:S33"/>
  <sheetViews>
    <sheetView zoomScale="145" zoomScaleNormal="145" workbookViewId="0">
      <selection activeCell="L6" sqref="L6:L7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0.42578125" bestFit="1" customWidth="1"/>
    <col min="4" max="4" width="10.42578125" bestFit="1" customWidth="1"/>
    <col min="5" max="5" width="1.28515625" customWidth="1"/>
    <col min="6" max="6" width="9.28515625" bestFit="1" customWidth="1"/>
    <col min="7" max="7" width="8.42578125" bestFit="1" customWidth="1"/>
    <col min="8" max="8" width="1.42578125" customWidth="1"/>
    <col min="9" max="9" width="7.4257812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" customWidth="1"/>
    <col min="14" max="14" width="10.7109375" bestFit="1" customWidth="1"/>
    <col min="15" max="15" width="10" bestFit="1" customWidth="1"/>
    <col min="16" max="16" width="1.2851562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45566</v>
      </c>
      <c r="B2" t="s">
        <v>5</v>
      </c>
      <c r="C2" t="s">
        <v>13</v>
      </c>
      <c r="D2" s="6">
        <v>500</v>
      </c>
      <c r="F2" s="12" t="str" cm="1">
        <f t="array" ref="F2:F6">_xlfn.UNIQUE(Expenses813172731353943[Category])</f>
        <v>Bank</v>
      </c>
      <c r="G2" s="6">
        <f>SUMIF(Expenses813172731353943[Category],F2,Expenses813172731353943[Amount])</f>
        <v>898.6400000000001</v>
      </c>
      <c r="I2" s="1">
        <v>45566</v>
      </c>
      <c r="J2" t="s">
        <v>2</v>
      </c>
      <c r="K2" t="s">
        <v>49</v>
      </c>
      <c r="L2" s="6" cm="1">
        <f t="array" ref="L2">Balance11151929333741[Balance]</f>
        <v>173.26000000000022</v>
      </c>
      <c r="N2" s="12" t="str" cm="1">
        <f t="array" ref="N2:N5">_xlfn.UNIQUE(Income1014182832364044[Category])</f>
        <v>Balance</v>
      </c>
      <c r="O2" s="6">
        <f>SUMIF(Income1014182832364044[Category],N2,Income1014182832364044[Amount])</f>
        <v>173.26000000000022</v>
      </c>
      <c r="Q2" s="6">
        <f>SUMIF(Expenses813172731353943[Item],Q1,Expenses813172731353943[Amount])</f>
        <v>500</v>
      </c>
    </row>
    <row r="3" spans="1:19" x14ac:dyDescent="0.25">
      <c r="A3" s="13">
        <v>45566</v>
      </c>
      <c r="B3" t="s">
        <v>6</v>
      </c>
      <c r="C3" t="s">
        <v>53</v>
      </c>
      <c r="D3" s="6">
        <v>400</v>
      </c>
      <c r="F3" s="12" t="str">
        <v>Utilities</v>
      </c>
      <c r="G3" s="6">
        <f>SUMIF(Expenses813172731353943[Category],F3,Expenses813172731353943[Amount])</f>
        <v>431.98</v>
      </c>
      <c r="I3" s="1">
        <v>45571</v>
      </c>
      <c r="J3" t="s">
        <v>14</v>
      </c>
      <c r="K3" t="s">
        <v>15</v>
      </c>
      <c r="L3" s="6">
        <v>59.37</v>
      </c>
      <c r="N3" s="12" t="str">
        <v>Social Help</v>
      </c>
      <c r="O3" s="6">
        <f>SUMIF(Income1014182832364044[Category],N3,Income1014182832364044[Amount])</f>
        <v>59.37</v>
      </c>
    </row>
    <row r="4" spans="1:19" x14ac:dyDescent="0.25">
      <c r="A4" s="13">
        <v>45569</v>
      </c>
      <c r="B4" t="s">
        <v>5</v>
      </c>
      <c r="C4" t="s">
        <v>18</v>
      </c>
      <c r="D4" s="6">
        <v>50.19</v>
      </c>
      <c r="F4" s="12" t="str">
        <v>Car</v>
      </c>
      <c r="G4" s="6">
        <f>SUMIF(Expenses813172731353943[Category],F4,Expenses813172731353943[Amount])</f>
        <v>44.87</v>
      </c>
      <c r="I4" s="1">
        <v>45575</v>
      </c>
      <c r="J4" t="s">
        <v>58</v>
      </c>
      <c r="K4" t="s">
        <v>62</v>
      </c>
      <c r="L4" s="6">
        <v>250</v>
      </c>
      <c r="N4" s="12" t="str">
        <v>Freelance</v>
      </c>
      <c r="O4" s="6">
        <f>SUMIF(Income1014182832364044[Category],N4,Income1014182832364044[Amount])</f>
        <v>360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45569</v>
      </c>
      <c r="B5" t="s">
        <v>6</v>
      </c>
      <c r="C5" t="s">
        <v>19</v>
      </c>
      <c r="D5" s="6">
        <v>10.99</v>
      </c>
      <c r="F5" s="12" t="str">
        <v>Food</v>
      </c>
      <c r="G5" s="6">
        <f>SUMIF(Expenses813172731353943[Category],F5,Expenses813172731353943[Amount])</f>
        <v>267.5</v>
      </c>
      <c r="I5" s="1">
        <v>45584</v>
      </c>
      <c r="J5" t="s">
        <v>58</v>
      </c>
      <c r="K5" t="s">
        <v>60</v>
      </c>
      <c r="L5" s="6">
        <v>110</v>
      </c>
      <c r="N5" s="12" t="str">
        <v>Salary</v>
      </c>
      <c r="O5" s="6">
        <f>SUMIF(Income1014182832364044[Category],N5,Income1014182832364044[Amount])</f>
        <v>1231.72</v>
      </c>
      <c r="Q5" s="6">
        <f>Income1014182832364044[[#Totals],[Amount]]</f>
        <v>1824.3500000000001</v>
      </c>
      <c r="R5" s="6">
        <f>Expenses813172731353943[[#Totals],[Amount]]</f>
        <v>1762.9900000000002</v>
      </c>
      <c r="S5" s="6">
        <f>Balance1115192933374145[[#This Row],[Total Income]]-Balance1115192933374145[[#This Row],[Total Expenses]]</f>
        <v>61.3599999999999</v>
      </c>
    </row>
    <row r="6" spans="1:19" x14ac:dyDescent="0.25">
      <c r="A6" s="13">
        <v>45569</v>
      </c>
      <c r="B6" t="s">
        <v>7</v>
      </c>
      <c r="C6" t="s">
        <v>20</v>
      </c>
      <c r="D6" s="6">
        <v>44.87</v>
      </c>
      <c r="F6" s="12" t="str">
        <v>Activities</v>
      </c>
      <c r="G6" s="6">
        <f>SUMIF(Expenses813172731353943[Category],F6,Expenses813172731353943[Amount])</f>
        <v>120</v>
      </c>
      <c r="I6" s="1">
        <v>45593</v>
      </c>
      <c r="J6" t="s">
        <v>16</v>
      </c>
      <c r="K6" t="s">
        <v>54</v>
      </c>
      <c r="L6" s="6">
        <v>814.21</v>
      </c>
    </row>
    <row r="7" spans="1:19" x14ac:dyDescent="0.25">
      <c r="A7" s="13">
        <v>45570</v>
      </c>
      <c r="B7" t="s">
        <v>5</v>
      </c>
      <c r="C7" t="s">
        <v>21</v>
      </c>
      <c r="D7" s="6">
        <v>17.27</v>
      </c>
      <c r="F7" s="12"/>
      <c r="G7" s="6"/>
      <c r="I7" s="1">
        <v>45594</v>
      </c>
      <c r="J7" t="s">
        <v>16</v>
      </c>
      <c r="K7" t="s">
        <v>56</v>
      </c>
      <c r="L7" s="6">
        <v>417.51</v>
      </c>
    </row>
    <row r="8" spans="1:19" x14ac:dyDescent="0.25">
      <c r="A8" s="13">
        <v>45570</v>
      </c>
      <c r="B8" t="s">
        <v>8</v>
      </c>
      <c r="C8" t="s">
        <v>61</v>
      </c>
      <c r="D8" s="6">
        <v>27.5</v>
      </c>
      <c r="I8" t="s">
        <v>12</v>
      </c>
      <c r="L8" s="6">
        <f>SUBTOTAL(109,Income1014182832364044[Amount])</f>
        <v>1824.3500000000001</v>
      </c>
    </row>
    <row r="9" spans="1:19" x14ac:dyDescent="0.25">
      <c r="A9" s="13">
        <v>45571</v>
      </c>
      <c r="B9" t="s">
        <v>8</v>
      </c>
      <c r="C9" t="s">
        <v>22</v>
      </c>
      <c r="D9" s="6">
        <v>80</v>
      </c>
    </row>
    <row r="10" spans="1:19" x14ac:dyDescent="0.25">
      <c r="A10" s="13">
        <v>45571</v>
      </c>
      <c r="B10" t="s">
        <v>5</v>
      </c>
      <c r="C10" t="s">
        <v>23</v>
      </c>
      <c r="D10" s="6">
        <v>301.18</v>
      </c>
    </row>
    <row r="11" spans="1:19" x14ac:dyDescent="0.25">
      <c r="A11" s="13">
        <v>45574</v>
      </c>
      <c r="B11" t="s">
        <v>8</v>
      </c>
      <c r="C11" t="s">
        <v>22</v>
      </c>
      <c r="D11" s="6">
        <v>80</v>
      </c>
    </row>
    <row r="12" spans="1:19" x14ac:dyDescent="0.25">
      <c r="A12" s="13">
        <v>45575</v>
      </c>
      <c r="B12" t="s">
        <v>9</v>
      </c>
      <c r="C12" t="s">
        <v>50</v>
      </c>
      <c r="D12" s="6">
        <v>50</v>
      </c>
    </row>
    <row r="13" spans="1:19" x14ac:dyDescent="0.25">
      <c r="A13" s="13">
        <v>45579</v>
      </c>
      <c r="B13" t="s">
        <v>6</v>
      </c>
      <c r="C13" t="s">
        <v>25</v>
      </c>
      <c r="D13" s="6">
        <v>7</v>
      </c>
    </row>
    <row r="14" spans="1:19" x14ac:dyDescent="0.25">
      <c r="A14" s="13">
        <v>45580</v>
      </c>
      <c r="B14" t="s">
        <v>6</v>
      </c>
      <c r="C14" t="s">
        <v>26</v>
      </c>
      <c r="D14" s="6">
        <v>13.99</v>
      </c>
    </row>
    <row r="15" spans="1:19" x14ac:dyDescent="0.25">
      <c r="A15" s="13">
        <v>45581</v>
      </c>
      <c r="B15" t="s">
        <v>9</v>
      </c>
      <c r="C15" t="s">
        <v>63</v>
      </c>
      <c r="D15" s="6">
        <v>70</v>
      </c>
    </row>
    <row r="16" spans="1:19" x14ac:dyDescent="0.25">
      <c r="A16" s="13">
        <v>45585</v>
      </c>
      <c r="B16" t="s">
        <v>8</v>
      </c>
      <c r="C16" t="s">
        <v>22</v>
      </c>
      <c r="D16" s="6">
        <v>80</v>
      </c>
    </row>
    <row r="17" spans="1:4" x14ac:dyDescent="0.25">
      <c r="A17" s="13">
        <v>45592</v>
      </c>
      <c r="B17" t="s">
        <v>5</v>
      </c>
      <c r="C17" t="s">
        <v>27</v>
      </c>
      <c r="D17" s="6">
        <v>30</v>
      </c>
    </row>
    <row r="18" spans="1:4" x14ac:dyDescent="0.25">
      <c r="A18" s="13" t="s">
        <v>12</v>
      </c>
      <c r="D18" s="6">
        <f>SUBTOTAL(109,Expenses813172731353943[Amount])</f>
        <v>1762.9900000000002</v>
      </c>
    </row>
    <row r="19" spans="1:4" x14ac:dyDescent="0.25">
      <c r="D19" s="6"/>
    </row>
    <row r="20" spans="1:4" x14ac:dyDescent="0.25">
      <c r="D20" s="6"/>
    </row>
    <row r="21" spans="1:4" x14ac:dyDescent="0.25">
      <c r="D21" s="6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  <row r="33" spans="4:4" x14ac:dyDescent="0.25">
      <c r="D33" s="6"/>
    </row>
  </sheetData>
  <conditionalFormatting sqref="D2:D17">
    <cfRule type="cellIs" dxfId="38" priority="1" operator="greaterThan">
      <formula>99</formula>
    </cfRule>
    <cfRule type="cellIs" dxfId="37" priority="2" operator="greaterThan">
      <formula>"&gt;=100"</formula>
    </cfRule>
    <cfRule type="cellIs" dxfId="36" priority="3" operator="greaterThan">
      <formula>100</formula>
    </cfRule>
  </conditionalFormatting>
  <conditionalFormatting sqref="D19:D32">
    <cfRule type="cellIs" dxfId="35" priority="7" operator="greaterThan">
      <formula>99</formula>
    </cfRule>
    <cfRule type="cellIs" dxfId="34" priority="8" operator="greaterThan">
      <formula>"&gt;=100"</formula>
    </cfRule>
    <cfRule type="cellIs" dxfId="33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2AF-7C59-4EEC-95C5-A00FDEC13571}">
  <dimension ref="A1:S33"/>
  <sheetViews>
    <sheetView zoomScale="145" zoomScaleNormal="145" workbookViewId="0">
      <selection activeCell="L6" sqref="L6:L8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0.42578125" bestFit="1" customWidth="1"/>
    <col min="4" max="4" width="10.42578125" bestFit="1" customWidth="1"/>
    <col min="5" max="5" width="1.140625" customWidth="1"/>
    <col min="6" max="6" width="9.28515625" bestFit="1" customWidth="1"/>
    <col min="7" max="7" width="8.42578125" bestFit="1" customWidth="1"/>
    <col min="8" max="8" width="1.42578125" customWidth="1"/>
    <col min="9" max="9" width="7.4257812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1.140625" customWidth="1"/>
    <col min="14" max="14" width="10.7109375" bestFit="1" customWidth="1"/>
    <col min="15" max="15" width="10" bestFit="1" customWidth="1"/>
    <col min="16" max="16" width="1.28515625" customWidth="1"/>
    <col min="17" max="17" width="14.7109375" bestFit="1" customWidth="1"/>
    <col min="18" max="18" width="16.5703125" bestFit="1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45597</v>
      </c>
      <c r="B2" t="s">
        <v>5</v>
      </c>
      <c r="C2" t="s">
        <v>13</v>
      </c>
      <c r="D2" s="6">
        <v>550</v>
      </c>
      <c r="F2" s="12" t="str" cm="1">
        <f t="array" ref="F2:F6">_xlfn.UNIQUE(Expenses81317273135394347[Category])</f>
        <v>Bank</v>
      </c>
      <c r="G2" s="6">
        <f>SUMIF(Expenses81317273135394347[Category],F2,Expenses81317273135394347[Amount])</f>
        <v>948.6400000000001</v>
      </c>
      <c r="I2" s="1">
        <v>45597</v>
      </c>
      <c r="J2" t="s">
        <v>2</v>
      </c>
      <c r="K2" t="s">
        <v>49</v>
      </c>
      <c r="L2" s="6" cm="1">
        <f t="array" ref="L2">Balance1115192933374145[Balance]</f>
        <v>61.3599999999999</v>
      </c>
      <c r="N2" s="12" t="str" cm="1">
        <f t="array" ref="N2:N5">_xlfn.UNIQUE(Income101418283236404448[Category])</f>
        <v>Balance</v>
      </c>
      <c r="O2" s="6">
        <f>SUMIF(Income101418283236404448[Category],N2,Income101418283236404448[Amount])</f>
        <v>61.3599999999999</v>
      </c>
      <c r="Q2" s="6">
        <f>SUMIF(Expenses81317273135394347[Item],Q1,Expenses81317273135394347[Amount])</f>
        <v>550</v>
      </c>
    </row>
    <row r="3" spans="1:19" x14ac:dyDescent="0.25">
      <c r="A3" s="13">
        <v>45597</v>
      </c>
      <c r="B3" t="s">
        <v>6</v>
      </c>
      <c r="C3" t="s">
        <v>53</v>
      </c>
      <c r="D3" s="6">
        <v>400</v>
      </c>
      <c r="F3" s="12" t="str">
        <v>Utilities</v>
      </c>
      <c r="G3" s="6">
        <f>SUMIF(Expenses81317273135394347[Category],F3,Expenses81317273135394347[Amount])</f>
        <v>431.98</v>
      </c>
      <c r="I3" s="1">
        <v>45602</v>
      </c>
      <c r="J3" t="s">
        <v>14</v>
      </c>
      <c r="K3" t="s">
        <v>15</v>
      </c>
      <c r="L3" s="6">
        <v>19.37</v>
      </c>
      <c r="N3" s="12" t="str">
        <v>Social Help</v>
      </c>
      <c r="O3" s="6">
        <f>SUMIF(Income101418283236404448[Category],N3,Income101418283236404448[Amount])</f>
        <v>19.37</v>
      </c>
    </row>
    <row r="4" spans="1:19" x14ac:dyDescent="0.25">
      <c r="A4" s="13">
        <v>45600</v>
      </c>
      <c r="B4" t="s">
        <v>5</v>
      </c>
      <c r="C4" t="s">
        <v>18</v>
      </c>
      <c r="D4" s="6">
        <v>50.19</v>
      </c>
      <c r="F4" s="12" t="str">
        <v>Car</v>
      </c>
      <c r="G4" s="6">
        <f>SUMIF(Expenses81317273135394347[Category],F4,Expenses81317273135394347[Amount])</f>
        <v>44.87</v>
      </c>
      <c r="I4" s="1">
        <v>45606</v>
      </c>
      <c r="J4" t="s">
        <v>58</v>
      </c>
      <c r="K4" t="s">
        <v>57</v>
      </c>
      <c r="L4" s="6">
        <v>150</v>
      </c>
      <c r="N4" s="12" t="str">
        <v>Freelance</v>
      </c>
      <c r="O4" s="6">
        <f>SUMIF(Income101418283236404448[Category],N4,Income101418283236404448[Amount])</f>
        <v>760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45600</v>
      </c>
      <c r="B5" t="s">
        <v>6</v>
      </c>
      <c r="C5" t="s">
        <v>19</v>
      </c>
      <c r="D5" s="6">
        <v>10.99</v>
      </c>
      <c r="F5" s="12" t="str">
        <v>Food</v>
      </c>
      <c r="G5" s="6">
        <f>SUMIF(Expenses81317273135394347[Category],F5,Expenses81317273135394347[Amount])</f>
        <v>359.45</v>
      </c>
      <c r="I5" s="1">
        <v>45615</v>
      </c>
      <c r="J5" t="s">
        <v>58</v>
      </c>
      <c r="K5" t="s">
        <v>60</v>
      </c>
      <c r="L5" s="6">
        <v>210</v>
      </c>
      <c r="N5" s="12" t="str">
        <v>Salary</v>
      </c>
      <c r="O5" s="6">
        <f>SUMIF(Income101418283236404448[Category],N5,Income101418283236404448[Amount])</f>
        <v>1163.6600000000001</v>
      </c>
      <c r="Q5" s="6">
        <f>Income101418283236404448[[#Totals],[Amount]]</f>
        <v>2004.39</v>
      </c>
      <c r="R5" s="6">
        <f>Expenses81317273135394347[[#Totals],[Amount]]</f>
        <v>1889.94</v>
      </c>
      <c r="S5" s="6">
        <f>Balance111519293337414549[[#This Row],[Total Income]]-Balance111519293337414549[[#This Row],[Total Expenses]]</f>
        <v>114.45000000000005</v>
      </c>
    </row>
    <row r="6" spans="1:19" x14ac:dyDescent="0.25">
      <c r="A6" s="13">
        <v>45600</v>
      </c>
      <c r="B6" t="s">
        <v>7</v>
      </c>
      <c r="C6" t="s">
        <v>20</v>
      </c>
      <c r="D6" s="6">
        <v>44.87</v>
      </c>
      <c r="F6" s="12" t="str">
        <v>Activities</v>
      </c>
      <c r="G6" s="6">
        <f>SUMIF(Expenses81317273135394347[Category],F6,Expenses81317273135394347[Amount])</f>
        <v>105</v>
      </c>
      <c r="I6" s="1">
        <v>45624</v>
      </c>
      <c r="J6" t="s">
        <v>58</v>
      </c>
      <c r="K6" t="s">
        <v>66</v>
      </c>
      <c r="L6" s="6">
        <v>400</v>
      </c>
    </row>
    <row r="7" spans="1:19" x14ac:dyDescent="0.25">
      <c r="A7" s="13">
        <v>45601</v>
      </c>
      <c r="B7" t="s">
        <v>5</v>
      </c>
      <c r="C7" t="s">
        <v>21</v>
      </c>
      <c r="D7" s="6">
        <v>17.27</v>
      </c>
      <c r="F7" s="12"/>
      <c r="G7" s="6"/>
      <c r="I7" s="1">
        <v>45624</v>
      </c>
      <c r="J7" t="s">
        <v>16</v>
      </c>
      <c r="K7" t="s">
        <v>54</v>
      </c>
      <c r="L7" s="6">
        <v>814.21</v>
      </c>
    </row>
    <row r="8" spans="1:19" x14ac:dyDescent="0.25">
      <c r="A8" s="13">
        <v>45601</v>
      </c>
      <c r="B8" t="s">
        <v>8</v>
      </c>
      <c r="C8" t="s">
        <v>65</v>
      </c>
      <c r="D8" s="6">
        <v>52.45</v>
      </c>
      <c r="I8" s="1">
        <v>45625</v>
      </c>
      <c r="J8" t="s">
        <v>16</v>
      </c>
      <c r="K8" t="s">
        <v>56</v>
      </c>
      <c r="L8" s="6">
        <v>349.45</v>
      </c>
    </row>
    <row r="9" spans="1:19" x14ac:dyDescent="0.25">
      <c r="A9" s="13">
        <v>45602</v>
      </c>
      <c r="B9" t="s">
        <v>8</v>
      </c>
      <c r="C9" t="s">
        <v>22</v>
      </c>
      <c r="D9" s="6">
        <v>80</v>
      </c>
      <c r="I9" t="s">
        <v>12</v>
      </c>
      <c r="L9" s="6">
        <f>SUBTOTAL(109,Income101418283236404448[Amount])</f>
        <v>2004.39</v>
      </c>
    </row>
    <row r="10" spans="1:19" x14ac:dyDescent="0.25">
      <c r="A10" s="13">
        <v>45602</v>
      </c>
      <c r="B10" t="s">
        <v>5</v>
      </c>
      <c r="C10" t="s">
        <v>23</v>
      </c>
      <c r="D10" s="6">
        <v>301.18</v>
      </c>
    </row>
    <row r="11" spans="1:19" x14ac:dyDescent="0.25">
      <c r="A11" s="13">
        <v>45605</v>
      </c>
      <c r="B11" t="s">
        <v>8</v>
      </c>
      <c r="C11" t="s">
        <v>22</v>
      </c>
      <c r="D11" s="6">
        <v>80</v>
      </c>
    </row>
    <row r="12" spans="1:19" x14ac:dyDescent="0.25">
      <c r="A12" s="13">
        <v>45606</v>
      </c>
      <c r="B12" t="s">
        <v>9</v>
      </c>
      <c r="C12" t="s">
        <v>50</v>
      </c>
      <c r="D12" s="6">
        <v>50</v>
      </c>
    </row>
    <row r="13" spans="1:19" x14ac:dyDescent="0.25">
      <c r="A13" s="13">
        <v>45610</v>
      </c>
      <c r="B13" t="s">
        <v>6</v>
      </c>
      <c r="C13" t="s">
        <v>25</v>
      </c>
      <c r="D13" s="6">
        <v>7</v>
      </c>
    </row>
    <row r="14" spans="1:19" x14ac:dyDescent="0.25">
      <c r="A14" s="13">
        <v>45611</v>
      </c>
      <c r="B14" t="s">
        <v>6</v>
      </c>
      <c r="C14" t="s">
        <v>26</v>
      </c>
      <c r="D14" s="6">
        <v>13.99</v>
      </c>
    </row>
    <row r="15" spans="1:19" x14ac:dyDescent="0.25">
      <c r="A15" s="13">
        <v>45612</v>
      </c>
      <c r="B15" t="s">
        <v>9</v>
      </c>
      <c r="C15" t="s">
        <v>63</v>
      </c>
      <c r="D15" s="6">
        <v>55</v>
      </c>
    </row>
    <row r="16" spans="1:19" x14ac:dyDescent="0.25">
      <c r="A16" s="13">
        <v>45616</v>
      </c>
      <c r="B16" t="s">
        <v>8</v>
      </c>
      <c r="C16" t="s">
        <v>22</v>
      </c>
      <c r="D16" s="6">
        <v>80</v>
      </c>
    </row>
    <row r="17" spans="1:4" x14ac:dyDescent="0.25">
      <c r="A17" s="13">
        <v>45621</v>
      </c>
      <c r="B17" t="s">
        <v>8</v>
      </c>
      <c r="C17" t="s">
        <v>64</v>
      </c>
      <c r="D17" s="6">
        <v>67</v>
      </c>
    </row>
    <row r="18" spans="1:4" x14ac:dyDescent="0.25">
      <c r="A18" s="13">
        <v>45623</v>
      </c>
      <c r="B18" t="s">
        <v>5</v>
      </c>
      <c r="C18" t="s">
        <v>27</v>
      </c>
      <c r="D18" s="6">
        <v>30</v>
      </c>
    </row>
    <row r="19" spans="1:4" x14ac:dyDescent="0.25">
      <c r="A19" s="13" t="s">
        <v>12</v>
      </c>
      <c r="D19" s="6">
        <f>SUBTOTAL(109,Expenses81317273135394347[Amount])</f>
        <v>1889.94</v>
      </c>
    </row>
    <row r="20" spans="1:4" x14ac:dyDescent="0.25">
      <c r="D20" s="6"/>
    </row>
    <row r="21" spans="1:4" x14ac:dyDescent="0.25">
      <c r="D21" s="6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  <row r="33" spans="4:4" x14ac:dyDescent="0.25">
      <c r="D33" s="6"/>
    </row>
  </sheetData>
  <conditionalFormatting sqref="D2:D18">
    <cfRule type="cellIs" dxfId="32" priority="1" operator="greaterThan">
      <formula>99</formula>
    </cfRule>
    <cfRule type="cellIs" dxfId="31" priority="2" operator="greaterThan">
      <formula>"&gt;=100"</formula>
    </cfRule>
    <cfRule type="cellIs" dxfId="30" priority="3" operator="greaterThan">
      <formula>100</formula>
    </cfRule>
  </conditionalFormatting>
  <conditionalFormatting sqref="D20:D32">
    <cfRule type="cellIs" dxfId="29" priority="7" operator="greaterThan">
      <formula>99</formula>
    </cfRule>
    <cfRule type="cellIs" dxfId="28" priority="8" operator="greaterThan">
      <formula>"&gt;=100"</formula>
    </cfRule>
    <cfRule type="cellIs" dxfId="27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292A-79C7-4B65-80B9-3F9274F069A8}">
  <dimension ref="A1:S32"/>
  <sheetViews>
    <sheetView tabSelected="1" zoomScale="145" zoomScaleNormal="145" workbookViewId="0">
      <selection activeCell="L7" sqref="L7:L8"/>
    </sheetView>
  </sheetViews>
  <sheetFormatPr defaultRowHeight="15" x14ac:dyDescent="0.25"/>
  <cols>
    <col min="1" max="1" width="11.140625" style="13" bestFit="1" customWidth="1"/>
    <col min="2" max="2" width="11.140625" bestFit="1" customWidth="1"/>
    <col min="3" max="3" width="23.7109375" bestFit="1" customWidth="1"/>
    <col min="4" max="4" width="10.42578125" bestFit="1" customWidth="1"/>
    <col min="5" max="5" width="0.85546875" customWidth="1"/>
    <col min="6" max="6" width="9.28515625" bestFit="1" customWidth="1"/>
    <col min="7" max="7" width="10" bestFit="1" customWidth="1"/>
    <col min="8" max="8" width="0.85546875" customWidth="1"/>
    <col min="9" max="9" width="7.42578125" bestFit="1" customWidth="1"/>
    <col min="10" max="10" width="11.140625" bestFit="1" customWidth="1"/>
    <col min="11" max="11" width="18.28515625" bestFit="1" customWidth="1"/>
    <col min="12" max="12" width="10.42578125" bestFit="1" customWidth="1"/>
    <col min="13" max="13" width="0.85546875" customWidth="1"/>
    <col min="14" max="14" width="10.7109375" bestFit="1" customWidth="1"/>
    <col min="15" max="15" width="10" bestFit="1" customWidth="1"/>
    <col min="16" max="16" width="0.42578125" customWidth="1"/>
    <col min="17" max="17" width="14.7109375" bestFit="1" customWidth="1"/>
    <col min="18" max="18" width="14" customWidth="1"/>
    <col min="19" max="19" width="10.140625" bestFit="1" customWidth="1"/>
  </cols>
  <sheetData>
    <row r="1" spans="1:19" x14ac:dyDescent="0.25">
      <c r="A1" s="14" t="s">
        <v>10</v>
      </c>
      <c r="B1" s="2" t="s">
        <v>3</v>
      </c>
      <c r="C1" s="2" t="s">
        <v>11</v>
      </c>
      <c r="D1" s="5" t="s">
        <v>4</v>
      </c>
      <c r="F1" s="2" t="s">
        <v>3</v>
      </c>
      <c r="G1" s="5" t="s">
        <v>12</v>
      </c>
      <c r="I1" s="3" t="s">
        <v>10</v>
      </c>
      <c r="J1" s="3" t="s">
        <v>3</v>
      </c>
      <c r="K1" s="3" t="s">
        <v>11</v>
      </c>
      <c r="L1" s="7" t="s">
        <v>4</v>
      </c>
      <c r="N1" s="3" t="s">
        <v>3</v>
      </c>
      <c r="O1" s="7" t="s">
        <v>12</v>
      </c>
      <c r="Q1" s="6" t="s">
        <v>13</v>
      </c>
    </row>
    <row r="2" spans="1:19" x14ac:dyDescent="0.25">
      <c r="A2" s="13">
        <v>45627</v>
      </c>
      <c r="B2" t="s">
        <v>5</v>
      </c>
      <c r="C2" t="s">
        <v>13</v>
      </c>
      <c r="D2" s="6">
        <v>350</v>
      </c>
      <c r="F2" s="12" t="str" cm="1">
        <f t="array" ref="F2:F7">_xlfn.UNIQUE(Expenses8131727313539434751[Category])</f>
        <v>Bank</v>
      </c>
      <c r="G2" s="6">
        <f>SUMIF(Expenses8131727313539434751[Category],F2,Expenses8131727313539434751[Amount])</f>
        <v>748.64</v>
      </c>
      <c r="I2" s="1">
        <v>45597</v>
      </c>
      <c r="J2" t="s">
        <v>2</v>
      </c>
      <c r="K2" t="s">
        <v>49</v>
      </c>
      <c r="L2" s="6" cm="1">
        <f t="array" ref="L2">Balance111519293337414549[Balance]</f>
        <v>114.45000000000005</v>
      </c>
      <c r="N2" s="12" t="str" cm="1">
        <f t="array" ref="N2:N5">_xlfn.UNIQUE(Income10141828323640444852[Category])</f>
        <v>Balance</v>
      </c>
      <c r="O2" s="6">
        <f>SUMIF(Income10141828323640444852[Category],N2,Income10141828323640444852[Amount])</f>
        <v>114.45000000000005</v>
      </c>
      <c r="Q2" s="6">
        <f>SUMIF(Expenses8131727313539434751[Item],Q1,Expenses8131727313539434751[Amount])</f>
        <v>350</v>
      </c>
    </row>
    <row r="3" spans="1:19" x14ac:dyDescent="0.25">
      <c r="A3" s="13">
        <v>45627</v>
      </c>
      <c r="B3" t="s">
        <v>6</v>
      </c>
      <c r="C3" t="s">
        <v>53</v>
      </c>
      <c r="D3" s="6">
        <v>400</v>
      </c>
      <c r="F3" s="12" t="str">
        <v>Utilities</v>
      </c>
      <c r="G3" s="6">
        <f>SUMIF(Expenses8131727313539434751[Category],F3,Expenses8131727313539434751[Amount])</f>
        <v>431.98</v>
      </c>
      <c r="I3" s="1">
        <v>45627</v>
      </c>
      <c r="J3" t="s">
        <v>14</v>
      </c>
      <c r="K3" t="s">
        <v>15</v>
      </c>
      <c r="L3" s="6">
        <v>19.37</v>
      </c>
      <c r="N3" s="12" t="str">
        <v>Social Help</v>
      </c>
      <c r="O3" s="6">
        <f>SUMIF(Income10141828323640444852[Category],N3,Income10141828323640444852[Amount])</f>
        <v>19.37</v>
      </c>
    </row>
    <row r="4" spans="1:19" x14ac:dyDescent="0.25">
      <c r="A4" s="13">
        <v>45630</v>
      </c>
      <c r="B4" t="s">
        <v>5</v>
      </c>
      <c r="C4" t="s">
        <v>18</v>
      </c>
      <c r="D4" s="6">
        <v>50.19</v>
      </c>
      <c r="F4" s="12" t="str">
        <v>Car</v>
      </c>
      <c r="G4" s="6">
        <f>SUMIF(Expenses8131727313539434751[Category],F4,Expenses8131727313539434751[Amount])</f>
        <v>44.87</v>
      </c>
      <c r="I4" s="1">
        <v>45632</v>
      </c>
      <c r="J4" t="s">
        <v>58</v>
      </c>
      <c r="K4" t="s">
        <v>57</v>
      </c>
      <c r="L4" s="6">
        <v>520</v>
      </c>
      <c r="N4" s="12" t="str">
        <v>Freelance</v>
      </c>
      <c r="O4" s="6">
        <f>SUMIF(Income10141828323640444852[Category],N4,Income10141828323640444852[Amount])</f>
        <v>1330</v>
      </c>
      <c r="Q4" s="8" t="s">
        <v>0</v>
      </c>
      <c r="R4" s="8" t="s">
        <v>1</v>
      </c>
      <c r="S4" s="8" t="s">
        <v>2</v>
      </c>
    </row>
    <row r="5" spans="1:19" x14ac:dyDescent="0.25">
      <c r="A5" s="13">
        <v>45630</v>
      </c>
      <c r="B5" t="s">
        <v>6</v>
      </c>
      <c r="C5" t="s">
        <v>19</v>
      </c>
      <c r="D5" s="6">
        <v>10.99</v>
      </c>
      <c r="F5" s="12" t="str">
        <v>Food</v>
      </c>
      <c r="G5" s="6">
        <f>SUMIF(Expenses8131727313539434751[Category],F5,Expenses8131727313539434751[Amount])</f>
        <v>447.99</v>
      </c>
      <c r="I5" s="1">
        <v>45636</v>
      </c>
      <c r="J5" t="s">
        <v>58</v>
      </c>
      <c r="K5" t="s">
        <v>62</v>
      </c>
      <c r="L5" s="6">
        <v>410</v>
      </c>
      <c r="N5" s="12" t="str">
        <v>Salary</v>
      </c>
      <c r="O5" s="6">
        <f>SUMIF(Income10141828323640444852[Category],N5,Income10141828323640444852[Amount])</f>
        <v>1513.1100000000001</v>
      </c>
      <c r="Q5" s="6">
        <f>Income10141828323640444852[[#Totals],[Amount]]</f>
        <v>2976.93</v>
      </c>
      <c r="R5" s="6">
        <f>Expenses8131727313539434751[[#Totals],[Amount]]</f>
        <v>2682.4799999999996</v>
      </c>
      <c r="S5" s="6">
        <f>Balance11151929333741454953[[#This Row],[Total Income]]-Balance11151929333741454953[[#This Row],[Total Expenses]]</f>
        <v>294.45000000000027</v>
      </c>
    </row>
    <row r="6" spans="1:19" x14ac:dyDescent="0.25">
      <c r="A6" s="13">
        <v>45630</v>
      </c>
      <c r="B6" t="s">
        <v>7</v>
      </c>
      <c r="C6" t="s">
        <v>20</v>
      </c>
      <c r="D6" s="6">
        <v>44.87</v>
      </c>
      <c r="F6" s="12" t="str">
        <v>Activities</v>
      </c>
      <c r="G6" s="6">
        <f>SUMIF(Expenses8131727313539434751[Category],F6,Expenses8131727313539434751[Amount])</f>
        <v>110</v>
      </c>
      <c r="I6" s="1">
        <v>45645</v>
      </c>
      <c r="J6" t="s">
        <v>58</v>
      </c>
      <c r="K6" t="s">
        <v>66</v>
      </c>
      <c r="L6" s="6">
        <v>400</v>
      </c>
    </row>
    <row r="7" spans="1:19" x14ac:dyDescent="0.25">
      <c r="A7" s="13">
        <v>45631</v>
      </c>
      <c r="B7" t="s">
        <v>5</v>
      </c>
      <c r="C7" t="s">
        <v>21</v>
      </c>
      <c r="D7" s="6">
        <v>17.27</v>
      </c>
      <c r="F7" s="12" t="str">
        <v>Shopping</v>
      </c>
      <c r="G7" s="6">
        <f>SUMIF(Expenses8131727313539434751[Category],F7,Expenses8131727313539434751[Amount])</f>
        <v>899</v>
      </c>
      <c r="I7" s="1">
        <v>45654</v>
      </c>
      <c r="J7" t="s">
        <v>16</v>
      </c>
      <c r="K7" t="s">
        <v>54</v>
      </c>
      <c r="L7" s="6">
        <v>814.21</v>
      </c>
    </row>
    <row r="8" spans="1:19" x14ac:dyDescent="0.25">
      <c r="A8" s="13">
        <v>45632</v>
      </c>
      <c r="B8" t="s">
        <v>8</v>
      </c>
      <c r="C8" t="s">
        <v>22</v>
      </c>
      <c r="D8" s="6">
        <v>80</v>
      </c>
      <c r="I8" s="1">
        <v>45654</v>
      </c>
      <c r="J8" t="s">
        <v>16</v>
      </c>
      <c r="K8" t="s">
        <v>56</v>
      </c>
      <c r="L8" s="6">
        <v>349.45</v>
      </c>
    </row>
    <row r="9" spans="1:19" x14ac:dyDescent="0.25">
      <c r="A9" s="13">
        <v>45632</v>
      </c>
      <c r="B9" t="s">
        <v>5</v>
      </c>
      <c r="C9" t="s">
        <v>23</v>
      </c>
      <c r="D9" s="6">
        <v>301.18</v>
      </c>
      <c r="I9" s="1">
        <v>45655</v>
      </c>
      <c r="J9" t="s">
        <v>16</v>
      </c>
      <c r="K9" t="s">
        <v>56</v>
      </c>
      <c r="L9" s="6">
        <v>349.45</v>
      </c>
    </row>
    <row r="10" spans="1:19" x14ac:dyDescent="0.25">
      <c r="A10" s="13">
        <v>45635</v>
      </c>
      <c r="B10" t="s">
        <v>8</v>
      </c>
      <c r="C10" t="s">
        <v>22</v>
      </c>
      <c r="D10" s="6">
        <v>80</v>
      </c>
      <c r="I10" t="s">
        <v>12</v>
      </c>
      <c r="L10" s="6">
        <f>SUBTOTAL(109,Income10141828323640444852[Amount])</f>
        <v>2976.93</v>
      </c>
    </row>
    <row r="11" spans="1:19" x14ac:dyDescent="0.25">
      <c r="A11" s="13">
        <v>45636</v>
      </c>
      <c r="B11" t="s">
        <v>9</v>
      </c>
      <c r="C11" t="s">
        <v>50</v>
      </c>
      <c r="D11" s="6">
        <v>110</v>
      </c>
    </row>
    <row r="12" spans="1:19" x14ac:dyDescent="0.25">
      <c r="A12" s="13">
        <v>45640</v>
      </c>
      <c r="B12" t="s">
        <v>6</v>
      </c>
      <c r="C12" t="s">
        <v>25</v>
      </c>
      <c r="D12" s="6">
        <v>7</v>
      </c>
    </row>
    <row r="13" spans="1:19" x14ac:dyDescent="0.25">
      <c r="A13" s="13">
        <v>45641</v>
      </c>
      <c r="B13" t="s">
        <v>6</v>
      </c>
      <c r="C13" t="s">
        <v>26</v>
      </c>
      <c r="D13" s="6">
        <v>13.99</v>
      </c>
    </row>
    <row r="14" spans="1:19" x14ac:dyDescent="0.25">
      <c r="A14" s="13">
        <v>45644</v>
      </c>
      <c r="B14" t="s">
        <v>68</v>
      </c>
      <c r="C14" t="s">
        <v>69</v>
      </c>
      <c r="D14" s="6">
        <v>899</v>
      </c>
    </row>
    <row r="15" spans="1:19" x14ac:dyDescent="0.25">
      <c r="A15" s="13">
        <v>45646</v>
      </c>
      <c r="B15" t="s">
        <v>8</v>
      </c>
      <c r="C15" t="s">
        <v>22</v>
      </c>
      <c r="D15" s="6">
        <v>80</v>
      </c>
    </row>
    <row r="16" spans="1:19" x14ac:dyDescent="0.25">
      <c r="A16" s="13">
        <v>45651</v>
      </c>
      <c r="B16" t="s">
        <v>8</v>
      </c>
      <c r="C16" t="s">
        <v>67</v>
      </c>
      <c r="D16" s="6">
        <v>207.99</v>
      </c>
    </row>
    <row r="17" spans="1:4" x14ac:dyDescent="0.25">
      <c r="A17" s="13">
        <v>45653</v>
      </c>
      <c r="B17" t="s">
        <v>5</v>
      </c>
      <c r="C17" t="s">
        <v>27</v>
      </c>
      <c r="D17" s="6">
        <v>30</v>
      </c>
    </row>
    <row r="18" spans="1:4" x14ac:dyDescent="0.25">
      <c r="A18" s="13" t="s">
        <v>12</v>
      </c>
      <c r="D18" s="6">
        <f>SUBTOTAL(109,Expenses8131727313539434751[Amount])</f>
        <v>2682.4799999999996</v>
      </c>
    </row>
    <row r="19" spans="1:4" x14ac:dyDescent="0.25">
      <c r="D19" s="6"/>
    </row>
    <row r="20" spans="1:4" x14ac:dyDescent="0.25">
      <c r="D20" s="6"/>
    </row>
    <row r="21" spans="1:4" x14ac:dyDescent="0.25">
      <c r="D21" s="6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</sheetData>
  <conditionalFormatting sqref="D2:D17 D19:D31">
    <cfRule type="cellIs" dxfId="26" priority="7" operator="greaterThan">
      <formula>99</formula>
    </cfRule>
    <cfRule type="cellIs" dxfId="25" priority="8" operator="greaterThan">
      <formula>"&gt;=100"</formula>
    </cfRule>
    <cfRule type="cellIs" dxfId="24" priority="9" operator="greaterThan">
      <formula>100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Chart</vt:lpstr>
      <vt:lpstr>Summary</vt:lpstr>
      <vt:lpstr>Jan</vt:lpstr>
      <vt:lpstr>Fev</vt:lpstr>
      <vt:lpstr>Mars</vt:lpstr>
      <vt:lpstr>Avr</vt:lpstr>
      <vt:lpstr>Mai</vt:lpstr>
      <vt:lpstr>Juin</vt:lpstr>
      <vt:lpstr>Juil</vt:lpstr>
      <vt:lpstr>Août</vt:lpstr>
      <vt:lpstr>Sept</vt:lpstr>
      <vt:lpstr>Oct</vt:lpstr>
      <vt:lpstr>Nov</vt:lpstr>
      <vt:lpstr>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Jean-Baptiste Allombert</dc:creator>
  <cp:keywords/>
  <dc:description/>
  <cp:lastModifiedBy>Jean-Baptiste Allombert</cp:lastModifiedBy>
  <cp:revision/>
  <dcterms:created xsi:type="dcterms:W3CDTF">2023-12-18T10:43:38Z</dcterms:created>
  <dcterms:modified xsi:type="dcterms:W3CDTF">2024-01-01T14:38:51Z</dcterms:modified>
  <cp:category/>
  <cp:contentStatus/>
</cp:coreProperties>
</file>